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05" yWindow="75" windowWidth="8970" windowHeight="7890" tabRatio="909" firstSheet="4" activeTab="8"/>
  </bookViews>
  <sheets>
    <sheet name="Saham, Pengurus, dan legalitas" sheetId="1" r:id="rId1"/>
    <sheet name="SID BI dan Historis PNM VC" sheetId="2" r:id="rId2"/>
    <sheet name="Mutasi Rek Bank" sheetId="3" r:id="rId3"/>
    <sheet name="Rekap Penjualan" sheetId="4" r:id="rId4"/>
    <sheet name="Assumsi untuk Laba rugi" sheetId="13" r:id="rId5"/>
    <sheet name="LABA RUGI" sheetId="5" r:id="rId6"/>
    <sheet name="Aktiva tetap dan biaya penyusut" sheetId="14" r:id="rId7"/>
    <sheet name="NERACA" sheetId="6" r:id="rId8"/>
    <sheet name="analisa ratio, RPC dan Keb. MK" sheetId="7" r:id="rId9"/>
    <sheet name="RAB" sheetId="8" r:id="rId10"/>
    <sheet name="LPJ" sheetId="9" r:id="rId11"/>
    <sheet name="Calculator Konversi Bunga" sheetId="12" r:id="rId12"/>
    <sheet name="Angsuran Modal Kerja" sheetId="10" r:id="rId13"/>
    <sheet name="Angsuran Investasi" sheetId="11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IntlFixup" hidden="1">TRUE</definedName>
    <definedName name="AA">#REF!</definedName>
    <definedName name="ab">#REF!</definedName>
    <definedName name="AC">#REF!</definedName>
    <definedName name="AccessDatabase" hidden="1">"C:\My Documents\MAUI MALL1.mdb"</definedName>
    <definedName name="ACwvu.CapersView." hidden="1">[1]MASTER!#REF!</definedName>
    <definedName name="ACwvu.Japan_Capers_Ed_Pub." hidden="1">#REF!</definedName>
    <definedName name="ACwvu.KJP_CC." hidden="1">#REF!</definedName>
    <definedName name="AD">#REF!</definedName>
    <definedName name="AF">#REF!</definedName>
    <definedName name="AG">#REF!</definedName>
    <definedName name="AH">#REF!</definedName>
    <definedName name="AN">#REF!</definedName>
    <definedName name="Andi">#REF!</definedName>
    <definedName name="ANGSUR">[2]KASUS8!$B$15:$H$194</definedName>
    <definedName name="anscount" hidden="1">4</definedName>
    <definedName name="AO">#REF!</definedName>
    <definedName name="AP">#REF!</definedName>
    <definedName name="Asumsi">#REF!</definedName>
    <definedName name="AT">#REF!</definedName>
    <definedName name="AU">#REF!</definedName>
    <definedName name="AV">#REF!</definedName>
    <definedName name="AW">[3]score!$F$119:$F$123</definedName>
    <definedName name="AX">[3]score!$F$125:$F$129</definedName>
    <definedName name="BA">#REF!</definedName>
    <definedName name="BB">#REF!</definedName>
    <definedName name="BC">#REF!</definedName>
    <definedName name="BD">#REF!</definedName>
    <definedName name="BE">#REF!</definedName>
    <definedName name="BF">#REF!</definedName>
    <definedName name="BG">#REF!</definedName>
    <definedName name="BH">#REF!</definedName>
    <definedName name="BI">#REF!</definedName>
    <definedName name="BJ">#REF!</definedName>
    <definedName name="BNG">[4]parameter!$E$215:$E$216</definedName>
    <definedName name="BULAN">[5]KASUS10!$I$23:$I$202</definedName>
    <definedName name="BULAN1">[2]KASUS10!$J$23:$J$202</definedName>
    <definedName name="CA">#REF!</definedName>
    <definedName name="CB">#REF!</definedName>
    <definedName name="CC">#REF!</definedName>
    <definedName name="CD">#REF!</definedName>
    <definedName name="CE">#REF!</definedName>
    <definedName name="CF">#REF!</definedName>
    <definedName name="CG">#REF!</definedName>
    <definedName name="CH">#REF!</definedName>
    <definedName name="CI">#REF!</definedName>
    <definedName name="CJ">#REF!</definedName>
    <definedName name="CK">#REF!</definedName>
    <definedName name="CL">#REF!</definedName>
    <definedName name="CM">#REF!</definedName>
    <definedName name="CN">#REF!</definedName>
    <definedName name="CO">#REF!</definedName>
    <definedName name="CP">#REF!</definedName>
    <definedName name="CQ">#REF!</definedName>
    <definedName name="CR">#REF!</definedName>
    <definedName name="CS">#REF!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atar">#REF!</definedName>
    <definedName name="DCF">#REF!</definedName>
    <definedName name="EA">#REF!</definedName>
    <definedName name="EB">#REF!</definedName>
    <definedName name="EC">#REF!</definedName>
    <definedName name="ED">#REF!</definedName>
    <definedName name="EE">#REF!</definedName>
    <definedName name="EF">#REF!</definedName>
    <definedName name="EG">#REF!</definedName>
    <definedName name="EH">#REF!</definedName>
    <definedName name="EI">#REF!</definedName>
    <definedName name="EJ">#REF!</definedName>
    <definedName name="EK">#REF!</definedName>
    <definedName name="EL">#REF!</definedName>
    <definedName name="FA">#REF!</definedName>
    <definedName name="FB">#REF!</definedName>
    <definedName name="FC">#REF!</definedName>
    <definedName name="file">PROPER(CELL("filename"))</definedName>
    <definedName name="FLOW0">#REF!</definedName>
    <definedName name="GB">#REF!</definedName>
    <definedName name="GC">#REF!</definedName>
    <definedName name="GD">#REF!</definedName>
    <definedName name="GE">#REF!</definedName>
    <definedName name="GF">#REF!</definedName>
    <definedName name="GG">#REF!</definedName>
    <definedName name="GH">#REF!</definedName>
    <definedName name="GI">#REF!</definedName>
    <definedName name="GJ">#REF!</definedName>
    <definedName name="GK">#REF!</definedName>
    <definedName name="GL">#REF!</definedName>
    <definedName name="GM">#REF!</definedName>
    <definedName name="GN">#REF!</definedName>
    <definedName name="GOL">#REF!</definedName>
    <definedName name="HA">#REF!</definedName>
    <definedName name="HB">#REF!</definedName>
    <definedName name="HTML_CodePage" hidden="1">1252</definedName>
    <definedName name="HTML_Control" localSheetId="1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hughu">#REF!</definedName>
    <definedName name="J">#REF!</definedName>
    <definedName name="JEN">[4]parameter!$E$149:$E$151</definedName>
    <definedName name="JKL">[6]parameter!$E$163:$E$164</definedName>
    <definedName name="JKW">[6]parameter!$E$190:$E$211</definedName>
    <definedName name="kocab">[4]kocab!#REF!</definedName>
    <definedName name="limcount" hidden="1">3</definedName>
    <definedName name="MMM" localSheetId="1" hidden="1">{"Japan_Capers_Ed_Pub",#N/A,FALSE,"DI 2 YEAR MASTER SCHEDULE"}</definedName>
    <definedName name="MMM" hidden="1">{"Japan_Capers_Ed_Pub",#N/A,FALSE,"DI 2 YEAR MASTER SCHEDULE"}</definedName>
    <definedName name="Nama">[7]SAA!$D$11:$D$77</definedName>
    <definedName name="Nama_Perkiraan">[7]SAA!$C$11:$D$77</definedName>
    <definedName name="Nama_Saldo">[7]SAA!$D$11:$H$77</definedName>
    <definedName name="No_Perkiraan">[7]SAA!$C$11:$C$77</definedName>
    <definedName name="nomor">[8]MENU!$P$8:$P$18</definedName>
    <definedName name="OA">#REF!</definedName>
    <definedName name="Pasar">#REF!</definedName>
    <definedName name="PDK">[4]parameter!$E$163:$E$167</definedName>
    <definedName name="PENY">[6]parameter_tier!$E$137:$E$157</definedName>
    <definedName name="PER">[4]parameter!$E$210:$E$212</definedName>
    <definedName name="PKR">[6]parameter!$E$174:$E$177</definedName>
    <definedName name="PKS">[6]parameter!$E$184:$E$187</definedName>
    <definedName name="Rwvu.CapersView." hidden="1">#REF!</definedName>
    <definedName name="Rwvu.Japan_Capers_Ed_Pub." hidden="1">#REF!</definedName>
    <definedName name="Rwvu.KJP_CC." hidden="1">#REF!</definedName>
    <definedName name="S">#REF!</definedName>
    <definedName name="S1A">[6]parameter!$E$6:$E$9</definedName>
    <definedName name="S1B">[6]parameter!$E$11:$E$12</definedName>
    <definedName name="S1C">[6]parameter!$E$14:$E$17</definedName>
    <definedName name="S1D">[6]parameter!$E$19:$E$22</definedName>
    <definedName name="S2A">[6]parameter!$E$26:$E$29</definedName>
    <definedName name="S2B">[6]parameter!$E$31:$E$34</definedName>
    <definedName name="S2C">[6]parameter!$E$36:$E$39</definedName>
    <definedName name="S3A">[6]parameter!$E$43:$E$46</definedName>
    <definedName name="S3B">[6]parameter!$E$48:$E$51</definedName>
    <definedName name="S3C">[6]parameter!$E$53:$E$55</definedName>
    <definedName name="S3D">[6]parameter!$E$57:$E$60</definedName>
    <definedName name="S3E">[6]parameter!$E$62:$E$65</definedName>
    <definedName name="S3F">[6]parameter!$E$67:$E$70</definedName>
    <definedName name="S3I">[6]parameter!$E$86:$E$89</definedName>
    <definedName name="S3J">[6]parameter!$E$91:$E$94</definedName>
    <definedName name="S3K">[6]parameter!$E$96:$E$99</definedName>
    <definedName name="S3X">[4]parameter!$E$140:$E$145</definedName>
    <definedName name="S4A">[6]parameter!$E$103:$E$106</definedName>
    <definedName name="S4B">[6]parameter!$E$108:$E$111</definedName>
    <definedName name="S4C">[6]parameter!$E$113:$E$116</definedName>
    <definedName name="S4D">[6]parameter!$E$118:$E$121</definedName>
    <definedName name="S5A">[4]parameter!$E$113:$E$116</definedName>
    <definedName name="S6A">[6]parameter!$E$132:$E$133</definedName>
    <definedName name="S7A">[4]parameter!$E$126:$E$130</definedName>
    <definedName name="Saldo_Awal">[7]SAA!#REF!</definedName>
    <definedName name="sencount" hidden="1">3</definedName>
    <definedName name="STA">[6]parameter!$E$180:$E$181</definedName>
    <definedName name="Swvu.CapersView." hidden="1">[1]MASTER!#REF!</definedName>
    <definedName name="Swvu.Japan_Capers_Ed_Pub." hidden="1">#REF!</definedName>
    <definedName name="Swvu.KJP_CC." hidden="1">#REF!</definedName>
    <definedName name="trte" localSheetId="1" hidden="1">{#N/A,#N/A,FALSE,"PRJCTED QTRLY $'s"}</definedName>
    <definedName name="trte" hidden="1">{#N/A,#N/A,FALSE,"PRJCTED QTRLY $'s"}</definedName>
    <definedName name="TUJ">[6]parameter!$E$159:$E$160</definedName>
    <definedName name="vvv" localSheetId="1" hidden="1">{"Japan_Capers_Ed_Pub",#N/A,FALSE,"DI 2 YEAR MASTER SCHEDULE"}</definedName>
    <definedName name="vvv" hidden="1">{"Japan_Capers_Ed_Pub",#N/A,FALSE,"DI 2 YEAR MASTER SCHEDULE"}</definedName>
    <definedName name="vvvv" localSheetId="1" hidden="1">{#N/A,#N/A,FALSE,"PRJCTED MNTHLY QTY's"}</definedName>
    <definedName name="vvvv" hidden="1">{#N/A,#N/A,FALSE,"PRJCTED MNTHLY QTY's"}</definedName>
    <definedName name="wrn.CapersPlotter." localSheetId="1" hidden="1">{#N/A,#N/A,FALSE,"DI 2 YEAR MASTER SCHEDULE"}</definedName>
    <definedName name="wrn.CapersPlotter." hidden="1">{#N/A,#N/A,FALSE,"DI 2 YEAR MASTER SCHEDULE"}</definedName>
    <definedName name="wrn.Edutainment._.Priority._.List." localSheetId="1" hidden="1">{#N/A,#N/A,FALSE,"DI 2 YEAR MASTER SCHEDULE"}</definedName>
    <definedName name="wrn.Edutainment._.Priority._.List." hidden="1">{#N/A,#N/A,FALSE,"DI 2 YEAR MASTER SCHEDULE"}</definedName>
    <definedName name="wrn.Japan_Capers_Ed._.Pub." localSheetId="1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1" hidden="1">{#N/A,#N/A,FALSE,"DI 2 YEAR MASTER SCHEDULE"}</definedName>
    <definedName name="wrn.Priority._.list." hidden="1">{#N/A,#N/A,FALSE,"DI 2 YEAR MASTER SCHEDULE"}</definedName>
    <definedName name="wrn.Prjcted._.Mnthly._.Qtys." localSheetId="1" hidden="1">{#N/A,#N/A,FALSE,"PRJCTED MNTHLY QTY's"}</definedName>
    <definedName name="wrn.Prjcted._.Mnthly._.Qtys." hidden="1">{#N/A,#N/A,FALSE,"PRJCTED MNTHLY QTY's"}</definedName>
    <definedName name="wrn.Prjcted._.Qtrly._.Dollars." localSheetId="1" hidden="1">{#N/A,#N/A,FALSE,"PRJCTED QTRLY $'s"}</definedName>
    <definedName name="wrn.Prjcted._.Qtrly._.Dollars." hidden="1">{#N/A,#N/A,FALSE,"PRJCTED QTRLY $'s"}</definedName>
    <definedName name="wrn.Prjcted._.Qtrly._.Qtys." localSheetId="1" hidden="1">{#N/A,#N/A,FALSE,"PRJCTED QTRLY QTY's"}</definedName>
    <definedName name="wrn.Prjcted._.Qtrly._.Qtys." hidden="1">{#N/A,#N/A,FALSE,"PRJCTED QTRLY QTY's"}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>[9]parameter_tier!$E$141:$E$161</definedName>
    <definedName name="x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xPasar">#REF!</definedName>
    <definedName name="XXX" localSheetId="1" hidden="1">{"'PRODUCTIONCOST SHEET'!$B$3:$G$48"}</definedName>
    <definedName name="XXX" hidden="1">{"'PRODUCTIONCOST SHEET'!$B$3:$G$48"}</definedName>
    <definedName name="Z_9A428CE1_B4D9_11D0_A8AA_0000C071AEE7_.wvu.Cols" hidden="1">[1]MASTER!$A$1:$Q$65536,[1]MASTER!$Y$1:$Z$65536</definedName>
    <definedName name="Z_9A428CE1_B4D9_11D0_A8AA_0000C071AEE7_.wvu.PrintArea" hidden="1">#REF!</definedName>
    <definedName name="Z_9A428CE1_B4D9_11D0_A8AA_0000C071AEE7_.wvu.Rows" hidden="1">[1]MASTER!#REF!,[1]MASTER!#REF!,[1]MASTER!#REF!,[1]MASTER!#REF!,[1]MASTER!#REF!,[1]MASTER!#REF!,[1]MASTER!#REF!,[1]MASTER!$A$98:$IV$272</definedName>
    <definedName name="Z_EB924B51_01F3_412F_ABF4_73B7E6F19BA6_.wvu.Cols" localSheetId="13" hidden="1">'Angsuran Investasi'!$I:$I,'Angsuran Investasi'!$N:$O</definedName>
    <definedName name="Z_EB924B51_01F3_412F_ABF4_73B7E6F19BA6_.wvu.Cols" localSheetId="12" hidden="1">'Angsuran Modal Kerja'!$I:$I,'Angsuran Modal Kerja'!$N:$O</definedName>
    <definedName name="Z_EB924B51_01F3_412F_ABF4_73B7E6F19BA6_.wvu.Rows" localSheetId="10" hidden="1">LPJ!$11:$20</definedName>
  </definedNames>
  <calcPr calcId="125725"/>
  <customWorkbookViews>
    <customWorkbookView name="utu - Personal View" guid="{EB924B51-01F3-412F-ABF4-73B7E6F19BA6}" mergeInterval="0" personalView="1" maximized="1" xWindow="1" yWindow="1" windowWidth="1362" windowHeight="538" tabRatio="909" activeSheetId="5"/>
  </customWorkbookViews>
</workbook>
</file>

<file path=xl/calcChain.xml><?xml version="1.0" encoding="utf-8"?>
<calcChain xmlns="http://schemas.openxmlformats.org/spreadsheetml/2006/main">
  <c r="C52" i="6"/>
  <c r="C54"/>
  <c r="C56" s="1"/>
  <c r="C23"/>
  <c r="C21"/>
  <c r="G23"/>
  <c r="E21"/>
  <c r="E23"/>
  <c r="G9" i="9"/>
  <c r="I9" s="1"/>
  <c r="I23" i="14"/>
  <c r="C23"/>
  <c r="C15"/>
  <c r="I22"/>
  <c r="C14"/>
  <c r="C22" s="1"/>
  <c r="L8" i="2"/>
  <c r="L11"/>
  <c r="L15"/>
  <c r="L7"/>
  <c r="G41" i="6"/>
  <c r="G15"/>
  <c r="O35"/>
  <c r="G3"/>
  <c r="F8" i="7"/>
  <c r="J21" i="14"/>
  <c r="D37" i="7"/>
  <c r="P38"/>
  <c r="N34" i="6"/>
  <c r="G58"/>
  <c r="E58"/>
  <c r="C58"/>
  <c r="K55"/>
  <c r="I55"/>
  <c r="J55" s="1"/>
  <c r="C53"/>
  <c r="K51"/>
  <c r="J51"/>
  <c r="I51"/>
  <c r="K48"/>
  <c r="J48"/>
  <c r="I48"/>
  <c r="E41"/>
  <c r="C41"/>
  <c r="D40" i="7" s="1"/>
  <c r="K40" i="6"/>
  <c r="I40"/>
  <c r="J40" s="1"/>
  <c r="K39"/>
  <c r="I39"/>
  <c r="J39" s="1"/>
  <c r="K38"/>
  <c r="I38"/>
  <c r="J38" s="1"/>
  <c r="K37"/>
  <c r="I37"/>
  <c r="J37" s="1"/>
  <c r="N3"/>
  <c r="E5" i="10"/>
  <c r="D5"/>
  <c r="D4"/>
  <c r="C10" s="1"/>
  <c r="P9" i="7"/>
  <c r="D8"/>
  <c r="K24" i="6"/>
  <c r="K20"/>
  <c r="K17"/>
  <c r="K7"/>
  <c r="K8"/>
  <c r="K9"/>
  <c r="K6"/>
  <c r="J17"/>
  <c r="I24"/>
  <c r="J24" s="1"/>
  <c r="I20"/>
  <c r="J20" s="1"/>
  <c r="I7"/>
  <c r="J7" s="1"/>
  <c r="I8"/>
  <c r="J8" s="1"/>
  <c r="I9"/>
  <c r="J9" s="1"/>
  <c r="I6"/>
  <c r="J6" s="1"/>
  <c r="C14" i="5"/>
  <c r="C15" i="6"/>
  <c r="C46" s="1"/>
  <c r="I17"/>
  <c r="G10"/>
  <c r="L21" i="14"/>
  <c r="M21"/>
  <c r="N21"/>
  <c r="K21"/>
  <c r="R3" i="6"/>
  <c r="G28" i="14"/>
  <c r="N26"/>
  <c r="M26"/>
  <c r="L26"/>
  <c r="K26"/>
  <c r="D30"/>
  <c r="D31"/>
  <c r="D29"/>
  <c r="D32" s="1"/>
  <c r="F28"/>
  <c r="C4"/>
  <c r="E3" i="6"/>
  <c r="C12" i="14" s="1"/>
  <c r="J13" s="1"/>
  <c r="E3" i="5"/>
  <c r="L18" i="14"/>
  <c r="M18"/>
  <c r="N18"/>
  <c r="K18"/>
  <c r="H17"/>
  <c r="H25" s="1"/>
  <c r="G16"/>
  <c r="E30" s="1"/>
  <c r="E15"/>
  <c r="E18" s="1"/>
  <c r="E12" i="6" s="1"/>
  <c r="E43" s="1"/>
  <c r="D15" i="14"/>
  <c r="D23" s="1"/>
  <c r="D26" s="1"/>
  <c r="G11" i="6" s="1"/>
  <c r="G42" s="1"/>
  <c r="I42" s="1"/>
  <c r="J42" s="1"/>
  <c r="D14" i="14"/>
  <c r="D22" s="1"/>
  <c r="E10"/>
  <c r="C12" i="6" s="1"/>
  <c r="C43" s="1"/>
  <c r="D10" i="14"/>
  <c r="C11" i="6" s="1"/>
  <c r="C42" s="1"/>
  <c r="K17" i="5"/>
  <c r="I17"/>
  <c r="J17" s="1"/>
  <c r="G13"/>
  <c r="I13" s="1"/>
  <c r="J13" s="1"/>
  <c r="D11" i="4"/>
  <c r="E6" i="5" s="1"/>
  <c r="C6" s="1"/>
  <c r="D17" s="1"/>
  <c r="D10" i="4"/>
  <c r="L16" i="2"/>
  <c r="K6"/>
  <c r="K7"/>
  <c r="K8"/>
  <c r="K9"/>
  <c r="L9"/>
  <c r="K10"/>
  <c r="K11"/>
  <c r="K12"/>
  <c r="L12"/>
  <c r="K13"/>
  <c r="K14"/>
  <c r="K15"/>
  <c r="L6"/>
  <c r="L10"/>
  <c r="L13"/>
  <c r="L14"/>
  <c r="L35"/>
  <c r="L37"/>
  <c r="L38"/>
  <c r="L40"/>
  <c r="L41"/>
  <c r="J41" s="1"/>
  <c r="K35"/>
  <c r="K36"/>
  <c r="L36"/>
  <c r="J36" s="1"/>
  <c r="K37"/>
  <c r="K38"/>
  <c r="K39"/>
  <c r="L39"/>
  <c r="K40"/>
  <c r="K41"/>
  <c r="K17"/>
  <c r="L17"/>
  <c r="K18"/>
  <c r="L18"/>
  <c r="K19"/>
  <c r="L19"/>
  <c r="J19" s="1"/>
  <c r="K20"/>
  <c r="L20"/>
  <c r="J20" s="1"/>
  <c r="K21"/>
  <c r="L21"/>
  <c r="L44"/>
  <c r="K43"/>
  <c r="L43"/>
  <c r="K44"/>
  <c r="J44" s="1"/>
  <c r="K45"/>
  <c r="J45" s="1"/>
  <c r="L45"/>
  <c r="K46"/>
  <c r="J46" s="1"/>
  <c r="L46"/>
  <c r="K47"/>
  <c r="L47"/>
  <c r="K42"/>
  <c r="L42"/>
  <c r="K16"/>
  <c r="J16" s="1"/>
  <c r="F22"/>
  <c r="D22"/>
  <c r="L5"/>
  <c r="C15" i="13"/>
  <c r="C14"/>
  <c r="B14"/>
  <c r="C13"/>
  <c r="C12"/>
  <c r="K5" i="10"/>
  <c r="M5" s="1"/>
  <c r="L34" i="2"/>
  <c r="L4"/>
  <c r="J4" s="1"/>
  <c r="E5" i="11"/>
  <c r="D5"/>
  <c r="K6" s="1"/>
  <c r="M6" s="1"/>
  <c r="C6" i="12"/>
  <c r="C7"/>
  <c r="C8"/>
  <c r="C5"/>
  <c r="E18" i="5"/>
  <c r="G18" s="1"/>
  <c r="E10" i="6"/>
  <c r="E2" i="5"/>
  <c r="G2" s="1"/>
  <c r="G8" i="9"/>
  <c r="G10" s="1"/>
  <c r="G5"/>
  <c r="I5" s="1"/>
  <c r="G4"/>
  <c r="G6" s="1"/>
  <c r="C37" i="3"/>
  <c r="C22"/>
  <c r="C34" s="1"/>
  <c r="C23"/>
  <c r="C35" s="1"/>
  <c r="C24"/>
  <c r="C36" s="1"/>
  <c r="C25"/>
  <c r="C26"/>
  <c r="C38"/>
  <c r="C21"/>
  <c r="C33" s="1"/>
  <c r="F48" i="2"/>
  <c r="D48"/>
  <c r="I12" i="11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H1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K7"/>
  <c r="D7"/>
  <c r="J6"/>
  <c r="K5"/>
  <c r="M5" s="1"/>
  <c r="P19" i="7"/>
  <c r="P48" s="1"/>
  <c r="F60" i="2"/>
  <c r="K34"/>
  <c r="K5"/>
  <c r="K4"/>
  <c r="D7" i="10"/>
  <c r="H7" i="8"/>
  <c r="H8"/>
  <c r="H9"/>
  <c r="H10"/>
  <c r="H6"/>
  <c r="H11" s="1"/>
  <c r="D14" s="1"/>
  <c r="I8" i="9"/>
  <c r="I4"/>
  <c r="D2" i="7"/>
  <c r="D4" s="1"/>
  <c r="E33" i="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D34"/>
  <c r="D35"/>
  <c r="D36"/>
  <c r="D37"/>
  <c r="D38"/>
  <c r="D33"/>
  <c r="D27"/>
  <c r="G28"/>
  <c r="F28"/>
  <c r="E28"/>
  <c r="D28"/>
  <c r="H27"/>
  <c r="G27"/>
  <c r="F27"/>
  <c r="E27"/>
  <c r="E14"/>
  <c r="E13"/>
  <c r="D14"/>
  <c r="D13"/>
  <c r="D34" i="1"/>
  <c r="E32"/>
  <c r="J20" i="9"/>
  <c r="J15"/>
  <c r="I12" i="10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H1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K7"/>
  <c r="J6"/>
  <c r="G20" i="9"/>
  <c r="I20"/>
  <c r="G13" i="3"/>
  <c r="F14"/>
  <c r="G14"/>
  <c r="F13"/>
  <c r="H13"/>
  <c r="I15" i="9"/>
  <c r="G15"/>
  <c r="E31" i="1"/>
  <c r="E33"/>
  <c r="E30"/>
  <c r="E34"/>
  <c r="C10" i="6"/>
  <c r="H39" i="3"/>
  <c r="G39"/>
  <c r="C22" i="6"/>
  <c r="C25"/>
  <c r="C57" l="1"/>
  <c r="D39" i="7"/>
  <c r="I41" i="6"/>
  <c r="J41" s="1"/>
  <c r="G22" i="9"/>
  <c r="I10"/>
  <c r="I22" s="1"/>
  <c r="I23"/>
  <c r="J10" s="1"/>
  <c r="K10" s="1"/>
  <c r="J11" i="2"/>
  <c r="J8"/>
  <c r="G40" i="3"/>
  <c r="F40"/>
  <c r="F39"/>
  <c r="D40"/>
  <c r="I6" i="9"/>
  <c r="G34" i="6"/>
  <c r="E34"/>
  <c r="P34" s="1"/>
  <c r="C47"/>
  <c r="C49" s="1"/>
  <c r="I45"/>
  <c r="J45" s="1"/>
  <c r="I43"/>
  <c r="J43" s="1"/>
  <c r="K42"/>
  <c r="K41"/>
  <c r="D10" i="7"/>
  <c r="I10" i="6"/>
  <c r="J10" s="1"/>
  <c r="I11"/>
  <c r="J11" s="1"/>
  <c r="P3"/>
  <c r="K11"/>
  <c r="K10"/>
  <c r="D11" i="7"/>
  <c r="J10" i="10"/>
  <c r="K4"/>
  <c r="J15" i="2"/>
  <c r="J12"/>
  <c r="J9"/>
  <c r="J7"/>
  <c r="J39"/>
  <c r="J35"/>
  <c r="J38"/>
  <c r="K48"/>
  <c r="J37"/>
  <c r="E29" i="14"/>
  <c r="E23"/>
  <c r="E26" s="1"/>
  <c r="G12" i="6" s="1"/>
  <c r="G43" s="1"/>
  <c r="K43" s="1"/>
  <c r="H26" i="14"/>
  <c r="G14" i="6" s="1"/>
  <c r="G45" s="1"/>
  <c r="K45" s="1"/>
  <c r="G31" i="14"/>
  <c r="H18"/>
  <c r="G18"/>
  <c r="E13" i="6" s="1"/>
  <c r="E44" s="1"/>
  <c r="G24" i="14"/>
  <c r="D18"/>
  <c r="E11" i="6" s="1"/>
  <c r="E42" s="1"/>
  <c r="G10" i="14"/>
  <c r="C13" i="6" s="1"/>
  <c r="C44" s="1"/>
  <c r="C26"/>
  <c r="H10" i="14"/>
  <c r="C14" i="6" s="1"/>
  <c r="C45" s="1"/>
  <c r="K13" i="5"/>
  <c r="G6"/>
  <c r="J14" i="2"/>
  <c r="J21"/>
  <c r="J18"/>
  <c r="J5"/>
  <c r="J13"/>
  <c r="J42"/>
  <c r="J43"/>
  <c r="J17"/>
  <c r="J40"/>
  <c r="J10"/>
  <c r="J6"/>
  <c r="E39" i="3"/>
  <c r="D39"/>
  <c r="L22" i="2"/>
  <c r="J47"/>
  <c r="L48"/>
  <c r="K22"/>
  <c r="E12" i="5" s="1"/>
  <c r="L11" i="10"/>
  <c r="D16" i="8"/>
  <c r="E15"/>
  <c r="E14"/>
  <c r="E11" i="10"/>
  <c r="E12" s="1"/>
  <c r="K6"/>
  <c r="M6" s="1"/>
  <c r="C18" i="5"/>
  <c r="I18" s="1"/>
  <c r="J18" s="1"/>
  <c r="E40" i="3"/>
  <c r="D11" i="10"/>
  <c r="D12" s="1"/>
  <c r="M11"/>
  <c r="P50" i="7" s="1"/>
  <c r="J34" i="2"/>
  <c r="P11" i="7"/>
  <c r="P40" s="1"/>
  <c r="E7" i="5"/>
  <c r="C7"/>
  <c r="D6"/>
  <c r="D13"/>
  <c r="I24" i="9" l="1"/>
  <c r="E8" i="5"/>
  <c r="E11"/>
  <c r="G11" s="1"/>
  <c r="F28" i="2"/>
  <c r="D20" i="7"/>
  <c r="C11" i="5"/>
  <c r="F59" i="7"/>
  <c r="D49"/>
  <c r="C8" i="5"/>
  <c r="C11" i="10"/>
  <c r="C12" s="1"/>
  <c r="C13" s="1"/>
  <c r="N11"/>
  <c r="R34" i="6"/>
  <c r="F37" i="7"/>
  <c r="J8" i="9"/>
  <c r="J4"/>
  <c r="E52" i="6"/>
  <c r="E53" s="1"/>
  <c r="K14"/>
  <c r="I14"/>
  <c r="J14" s="1"/>
  <c r="K12"/>
  <c r="I12"/>
  <c r="J12" s="1"/>
  <c r="E22"/>
  <c r="J22" i="2"/>
  <c r="P18" i="7" s="1"/>
  <c r="P47" s="1"/>
  <c r="G29" i="14"/>
  <c r="E14" i="6"/>
  <c r="E45" s="1"/>
  <c r="E31" i="14"/>
  <c r="E32" s="1"/>
  <c r="E14" i="5" s="1"/>
  <c r="E15" i="6" s="1"/>
  <c r="E46" s="1"/>
  <c r="E47" s="1"/>
  <c r="E49" s="1"/>
  <c r="G26" i="14"/>
  <c r="G13" i="6" s="1"/>
  <c r="G44" s="1"/>
  <c r="G30" i="14"/>
  <c r="G32" s="1"/>
  <c r="G14" i="5" s="1"/>
  <c r="D14"/>
  <c r="K18"/>
  <c r="C12"/>
  <c r="D12" s="1"/>
  <c r="G12"/>
  <c r="K6"/>
  <c r="I6"/>
  <c r="J6" s="1"/>
  <c r="G7"/>
  <c r="F30" i="7" s="1"/>
  <c r="F6" i="5"/>
  <c r="J48" i="2"/>
  <c r="P21" i="7"/>
  <c r="M12" i="10"/>
  <c r="K11"/>
  <c r="J11" s="1"/>
  <c r="L12" s="1"/>
  <c r="N12" s="1"/>
  <c r="E16" i="8"/>
  <c r="D4" i="11"/>
  <c r="D18" i="5"/>
  <c r="F11" i="10"/>
  <c r="E13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F13" i="5"/>
  <c r="F18"/>
  <c r="F7"/>
  <c r="F12"/>
  <c r="F17"/>
  <c r="O11" i="10"/>
  <c r="D7" i="5"/>
  <c r="D13" i="10"/>
  <c r="F12"/>
  <c r="F49" i="7" l="1"/>
  <c r="U39" s="1"/>
  <c r="U51" s="1"/>
  <c r="F20"/>
  <c r="U10" s="1"/>
  <c r="U22" s="1"/>
  <c r="G21" i="6"/>
  <c r="F29" i="2"/>
  <c r="I44" i="6"/>
  <c r="J44" s="1"/>
  <c r="K44"/>
  <c r="K13"/>
  <c r="I13"/>
  <c r="J13" s="1"/>
  <c r="C14" i="10"/>
  <c r="G46" i="6"/>
  <c r="F14" i="5"/>
  <c r="K14"/>
  <c r="I14"/>
  <c r="J14" s="1"/>
  <c r="G8"/>
  <c r="K7"/>
  <c r="H17"/>
  <c r="I7"/>
  <c r="J7" s="1"/>
  <c r="H7"/>
  <c r="H14"/>
  <c r="H18"/>
  <c r="H13"/>
  <c r="I12"/>
  <c r="J12" s="1"/>
  <c r="K12"/>
  <c r="H12"/>
  <c r="K11"/>
  <c r="I11"/>
  <c r="J11" s="1"/>
  <c r="H11"/>
  <c r="H6"/>
  <c r="G15"/>
  <c r="O12" i="10"/>
  <c r="M13"/>
  <c r="M14" s="1"/>
  <c r="M15" s="1"/>
  <c r="M16" s="1"/>
  <c r="K12"/>
  <c r="J12" s="1"/>
  <c r="L13" s="1"/>
  <c r="D11" i="11"/>
  <c r="D12" s="1"/>
  <c r="M11"/>
  <c r="C10"/>
  <c r="J10"/>
  <c r="L11"/>
  <c r="K4"/>
  <c r="E11"/>
  <c r="C11"/>
  <c r="C12" s="1"/>
  <c r="C13" s="1"/>
  <c r="E47" i="10"/>
  <c r="E15" i="5"/>
  <c r="F15" s="1"/>
  <c r="F11"/>
  <c r="E9"/>
  <c r="U14" i="7" s="1"/>
  <c r="U43" s="1"/>
  <c r="U48" s="1"/>
  <c r="F8" i="5"/>
  <c r="D11"/>
  <c r="C15"/>
  <c r="F13" i="10"/>
  <c r="D14"/>
  <c r="D8" i="5"/>
  <c r="C9"/>
  <c r="F55" i="7" l="1"/>
  <c r="F26"/>
  <c r="E54" i="6"/>
  <c r="E56" s="1"/>
  <c r="E57" s="1"/>
  <c r="E25"/>
  <c r="E26" s="1"/>
  <c r="K21"/>
  <c r="G52"/>
  <c r="I21"/>
  <c r="J21" s="1"/>
  <c r="G22"/>
  <c r="D55" i="7"/>
  <c r="D26"/>
  <c r="D22"/>
  <c r="D50"/>
  <c r="D51"/>
  <c r="D21"/>
  <c r="I46" i="6"/>
  <c r="J46" s="1"/>
  <c r="K46"/>
  <c r="G47"/>
  <c r="K15"/>
  <c r="I15"/>
  <c r="J15" s="1"/>
  <c r="C15" i="10"/>
  <c r="E16" i="6"/>
  <c r="E18" s="1"/>
  <c r="C16"/>
  <c r="C18" s="1"/>
  <c r="K15" i="5"/>
  <c r="H15"/>
  <c r="I15"/>
  <c r="J15" s="1"/>
  <c r="I8"/>
  <c r="J8" s="1"/>
  <c r="K8"/>
  <c r="H8"/>
  <c r="G9"/>
  <c r="F11" i="11"/>
  <c r="E12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D13"/>
  <c r="N11"/>
  <c r="O11" s="1"/>
  <c r="K11"/>
  <c r="J11" s="1"/>
  <c r="M12"/>
  <c r="D9" i="5"/>
  <c r="U19" i="7"/>
  <c r="C10" i="5"/>
  <c r="D15" i="10"/>
  <c r="C16" s="1"/>
  <c r="F14"/>
  <c r="M17"/>
  <c r="N13"/>
  <c r="K13"/>
  <c r="D15" i="5"/>
  <c r="P12" i="7"/>
  <c r="F9" i="5"/>
  <c r="E10"/>
  <c r="G25" i="6" l="1"/>
  <c r="F11" i="7"/>
  <c r="I22" i="6"/>
  <c r="J22" s="1"/>
  <c r="K22"/>
  <c r="F10" i="7"/>
  <c r="I52" i="6"/>
  <c r="J52" s="1"/>
  <c r="K52"/>
  <c r="G53"/>
  <c r="F12" i="11"/>
  <c r="P13" i="7"/>
  <c r="P41"/>
  <c r="P42" s="1"/>
  <c r="D54"/>
  <c r="D25"/>
  <c r="F50"/>
  <c r="U40" s="1"/>
  <c r="F22"/>
  <c r="U12" s="1"/>
  <c r="U24" s="1"/>
  <c r="F51"/>
  <c r="U41" s="1"/>
  <c r="U53" s="1"/>
  <c r="F21"/>
  <c r="U11" s="1"/>
  <c r="U23" s="1"/>
  <c r="I47" i="6"/>
  <c r="J47" s="1"/>
  <c r="G49"/>
  <c r="H49" s="1"/>
  <c r="K47"/>
  <c r="H48"/>
  <c r="D43"/>
  <c r="H40"/>
  <c r="F38"/>
  <c r="H37"/>
  <c r="F41"/>
  <c r="D39"/>
  <c r="H38"/>
  <c r="D48"/>
  <c r="D40"/>
  <c r="F39"/>
  <c r="D37"/>
  <c r="F48"/>
  <c r="F40"/>
  <c r="H39"/>
  <c r="D38"/>
  <c r="F37"/>
  <c r="D44"/>
  <c r="F43"/>
  <c r="F47"/>
  <c r="D49"/>
  <c r="H41"/>
  <c r="F42"/>
  <c r="H43"/>
  <c r="F44"/>
  <c r="D41"/>
  <c r="H45"/>
  <c r="H42"/>
  <c r="F45"/>
  <c r="F46"/>
  <c r="D46"/>
  <c r="D42"/>
  <c r="D45"/>
  <c r="H44"/>
  <c r="D47"/>
  <c r="H46"/>
  <c r="H47"/>
  <c r="F49"/>
  <c r="D23" i="7"/>
  <c r="D16" i="6"/>
  <c r="H17"/>
  <c r="H12"/>
  <c r="H9"/>
  <c r="H13"/>
  <c r="H6"/>
  <c r="H14"/>
  <c r="H10"/>
  <c r="H7"/>
  <c r="H8"/>
  <c r="H11"/>
  <c r="H15"/>
  <c r="G16"/>
  <c r="I9" i="5"/>
  <c r="J9" s="1"/>
  <c r="H9"/>
  <c r="K9"/>
  <c r="G10"/>
  <c r="F10" i="6"/>
  <c r="F8"/>
  <c r="F15"/>
  <c r="D12"/>
  <c r="D17"/>
  <c r="F9"/>
  <c r="D11"/>
  <c r="D9"/>
  <c r="D13"/>
  <c r="F12"/>
  <c r="F6"/>
  <c r="D10"/>
  <c r="F11"/>
  <c r="D14"/>
  <c r="D15"/>
  <c r="D8"/>
  <c r="D6"/>
  <c r="F7"/>
  <c r="F17"/>
  <c r="D7"/>
  <c r="F14"/>
  <c r="F13"/>
  <c r="D18"/>
  <c r="L12" i="11"/>
  <c r="N12" s="1"/>
  <c r="O12" s="1"/>
  <c r="F18" i="6"/>
  <c r="M13" i="11"/>
  <c r="M14" s="1"/>
  <c r="M15" s="1"/>
  <c r="M16" s="1"/>
  <c r="D14"/>
  <c r="F13"/>
  <c r="C14"/>
  <c r="E71"/>
  <c r="F16" i="6"/>
  <c r="F10" i="5"/>
  <c r="E16"/>
  <c r="O13" i="10"/>
  <c r="F15"/>
  <c r="D16"/>
  <c r="J13"/>
  <c r="M18"/>
  <c r="D10" i="5"/>
  <c r="C16"/>
  <c r="G26" i="6" l="1"/>
  <c r="I26" s="1"/>
  <c r="J26" s="1"/>
  <c r="I25"/>
  <c r="J25" s="1"/>
  <c r="K25"/>
  <c r="K23"/>
  <c r="G54"/>
  <c r="K54" s="1"/>
  <c r="I23"/>
  <c r="J23" s="1"/>
  <c r="U25" i="7"/>
  <c r="U26" s="1"/>
  <c r="I54" i="6"/>
  <c r="J54" s="1"/>
  <c r="G56"/>
  <c r="G57" s="1"/>
  <c r="K53"/>
  <c r="I53"/>
  <c r="J53" s="1"/>
  <c r="F39" i="7"/>
  <c r="F40"/>
  <c r="K12" i="11"/>
  <c r="J12" s="1"/>
  <c r="L13" s="1"/>
  <c r="N13" s="1"/>
  <c r="F54" i="7"/>
  <c r="F25"/>
  <c r="U42"/>
  <c r="U45" s="1"/>
  <c r="U52"/>
  <c r="U54" s="1"/>
  <c r="U55" s="1"/>
  <c r="U13"/>
  <c r="U16" s="1"/>
  <c r="K49" i="6"/>
  <c r="I49"/>
  <c r="J49" s="1"/>
  <c r="I16"/>
  <c r="J16" s="1"/>
  <c r="K16"/>
  <c r="H16"/>
  <c r="G18"/>
  <c r="H10" i="5"/>
  <c r="K10"/>
  <c r="I10"/>
  <c r="J10" s="1"/>
  <c r="G16"/>
  <c r="U27" i="7"/>
  <c r="U29" s="1"/>
  <c r="F14" i="11"/>
  <c r="D15"/>
  <c r="K13"/>
  <c r="J13" s="1"/>
  <c r="C15"/>
  <c r="F16" i="10"/>
  <c r="D17"/>
  <c r="C19" i="5"/>
  <c r="C20" s="1"/>
  <c r="D16"/>
  <c r="M19" i="10"/>
  <c r="L14"/>
  <c r="O13" i="11"/>
  <c r="E19" i="5"/>
  <c r="E20" s="1"/>
  <c r="F16"/>
  <c r="M17" i="11"/>
  <c r="C17" i="10"/>
  <c r="K26" i="6" l="1"/>
  <c r="I56"/>
  <c r="J56" s="1"/>
  <c r="K56"/>
  <c r="U56" i="7"/>
  <c r="U58" s="1"/>
  <c r="K57" i="6"/>
  <c r="I57"/>
  <c r="J57" s="1"/>
  <c r="F23" i="7"/>
  <c r="I18" i="6"/>
  <c r="J18" s="1"/>
  <c r="K18"/>
  <c r="H18"/>
  <c r="I16" i="5"/>
  <c r="J16" s="1"/>
  <c r="K16"/>
  <c r="H16"/>
  <c r="G19"/>
  <c r="D16" i="11"/>
  <c r="F15"/>
  <c r="C16"/>
  <c r="F19" i="5"/>
  <c r="F17" i="10"/>
  <c r="D18"/>
  <c r="L14" i="11"/>
  <c r="M20" i="10"/>
  <c r="N14"/>
  <c r="K14"/>
  <c r="C18"/>
  <c r="M18" i="11"/>
  <c r="C21" i="5"/>
  <c r="D19"/>
  <c r="D44" i="7" l="1"/>
  <c r="D15"/>
  <c r="N36" i="6"/>
  <c r="O38" s="1"/>
  <c r="N5"/>
  <c r="O7" s="1"/>
  <c r="O8" s="1"/>
  <c r="D14" i="7"/>
  <c r="D43"/>
  <c r="C19" i="10"/>
  <c r="K19" i="5"/>
  <c r="I19"/>
  <c r="J19" s="1"/>
  <c r="G20"/>
  <c r="H19"/>
  <c r="F16" i="11"/>
  <c r="D17"/>
  <c r="C17"/>
  <c r="D21" i="5"/>
  <c r="N14" i="11"/>
  <c r="K14"/>
  <c r="F20" i="5"/>
  <c r="P14" i="7"/>
  <c r="O14" i="10"/>
  <c r="M21"/>
  <c r="D20" i="5"/>
  <c r="M19" i="11"/>
  <c r="J14" i="10"/>
  <c r="D19"/>
  <c r="F18"/>
  <c r="E21" i="5"/>
  <c r="C20" i="10" l="1"/>
  <c r="P36" i="6"/>
  <c r="Q38" s="1"/>
  <c r="E60" s="1"/>
  <c r="P5"/>
  <c r="Q7" s="1"/>
  <c r="Q4"/>
  <c r="C27"/>
  <c r="S4"/>
  <c r="P15" i="7"/>
  <c r="P17" s="1"/>
  <c r="P20" s="1"/>
  <c r="P23" s="1"/>
  <c r="P43"/>
  <c r="P44" s="1"/>
  <c r="P46" s="1"/>
  <c r="P49" s="1"/>
  <c r="P52" s="1"/>
  <c r="C60" i="6"/>
  <c r="O39"/>
  <c r="I20" i="5"/>
  <c r="J20" s="1"/>
  <c r="K20"/>
  <c r="H20"/>
  <c r="G21"/>
  <c r="F17" i="11"/>
  <c r="D18"/>
  <c r="C18"/>
  <c r="M20"/>
  <c r="O14"/>
  <c r="F21" i="5"/>
  <c r="D20" i="10"/>
  <c r="C21" s="1"/>
  <c r="F19"/>
  <c r="J14" i="11"/>
  <c r="L15" i="10"/>
  <c r="M22"/>
  <c r="R5" i="6" l="1"/>
  <c r="S7" s="1"/>
  <c r="F60" i="7"/>
  <c r="R36" i="6"/>
  <c r="S38" s="1"/>
  <c r="G60" s="1"/>
  <c r="F43" i="7"/>
  <c r="F44"/>
  <c r="F31"/>
  <c r="F15"/>
  <c r="F14"/>
  <c r="S35" i="6"/>
  <c r="Q35"/>
  <c r="Q39" s="1"/>
  <c r="Q8"/>
  <c r="E27" s="1"/>
  <c r="S8"/>
  <c r="G27" s="1"/>
  <c r="E59"/>
  <c r="C61"/>
  <c r="I21" i="5"/>
  <c r="J21" s="1"/>
  <c r="H21"/>
  <c r="K21"/>
  <c r="F18" i="11"/>
  <c r="D19"/>
  <c r="C19"/>
  <c r="N15" i="10"/>
  <c r="K15"/>
  <c r="D21"/>
  <c r="C22" s="1"/>
  <c r="F20"/>
  <c r="M21" i="11"/>
  <c r="M23" i="10"/>
  <c r="L15" i="11"/>
  <c r="S39" i="6" l="1"/>
  <c r="G59"/>
  <c r="G61" s="1"/>
  <c r="E61"/>
  <c r="E62" s="1"/>
  <c r="E64" s="1"/>
  <c r="D46" i="7"/>
  <c r="C62" i="6"/>
  <c r="D42" i="7"/>
  <c r="D20" i="11"/>
  <c r="F19"/>
  <c r="C20"/>
  <c r="J15" i="10"/>
  <c r="N15" i="11"/>
  <c r="K15"/>
  <c r="M22"/>
  <c r="F21" i="10"/>
  <c r="D22"/>
  <c r="M24"/>
  <c r="O15"/>
  <c r="F46" i="7" l="1"/>
  <c r="K61" i="6"/>
  <c r="I61"/>
  <c r="J61" s="1"/>
  <c r="G62"/>
  <c r="F42" i="7"/>
  <c r="D47"/>
  <c r="D52"/>
  <c r="C64" i="6"/>
  <c r="D21" i="11"/>
  <c r="F20"/>
  <c r="C21"/>
  <c r="J15"/>
  <c r="F22" i="10"/>
  <c r="D23"/>
  <c r="M23" i="11"/>
  <c r="L16" i="10"/>
  <c r="M25"/>
  <c r="O15" i="11"/>
  <c r="C23" i="10"/>
  <c r="F52" i="7" l="1"/>
  <c r="F47"/>
  <c r="K62" i="6"/>
  <c r="G64"/>
  <c r="I62"/>
  <c r="J62" s="1"/>
  <c r="D13" i="7"/>
  <c r="D17"/>
  <c r="C24" i="10"/>
  <c r="D22" i="11"/>
  <c r="F21"/>
  <c r="C22"/>
  <c r="M26" i="10"/>
  <c r="M24" i="11"/>
  <c r="L16"/>
  <c r="C28" i="6"/>
  <c r="N16" i="10"/>
  <c r="K16"/>
  <c r="J16" s="1"/>
  <c r="D24"/>
  <c r="C25" s="1"/>
  <c r="F23"/>
  <c r="D18" i="7" l="1"/>
  <c r="H55" i="6"/>
  <c r="F52"/>
  <c r="D51"/>
  <c r="D54"/>
  <c r="F51"/>
  <c r="D55"/>
  <c r="D52"/>
  <c r="H51"/>
  <c r="F55"/>
  <c r="F53"/>
  <c r="F54"/>
  <c r="H52"/>
  <c r="D56"/>
  <c r="D57"/>
  <c r="D53"/>
  <c r="H54"/>
  <c r="F61"/>
  <c r="F56"/>
  <c r="H53"/>
  <c r="F57"/>
  <c r="D61"/>
  <c r="H61"/>
  <c r="F62"/>
  <c r="H57"/>
  <c r="H56"/>
  <c r="D62"/>
  <c r="H62"/>
  <c r="G28"/>
  <c r="H28" s="1"/>
  <c r="K27"/>
  <c r="F13" i="7"/>
  <c r="I27" i="6"/>
  <c r="J27" s="1"/>
  <c r="F17" i="7"/>
  <c r="H20" i="6"/>
  <c r="H24"/>
  <c r="H23"/>
  <c r="H21"/>
  <c r="H25"/>
  <c r="H22"/>
  <c r="H27"/>
  <c r="H26"/>
  <c r="F22" i="11"/>
  <c r="D23"/>
  <c r="D27" i="6"/>
  <c r="C23" i="11"/>
  <c r="D25" i="10"/>
  <c r="C26" s="1"/>
  <c r="F24"/>
  <c r="M25" i="11"/>
  <c r="O16" i="10"/>
  <c r="N16" i="11"/>
  <c r="K16"/>
  <c r="J16" s="1"/>
  <c r="M27" i="10"/>
  <c r="L17"/>
  <c r="F27" i="6"/>
  <c r="E28"/>
  <c r="D26"/>
  <c r="D28"/>
  <c r="D20"/>
  <c r="D24"/>
  <c r="F20"/>
  <c r="D25"/>
  <c r="F21"/>
  <c r="F23"/>
  <c r="D21"/>
  <c r="F22"/>
  <c r="F24"/>
  <c r="D22"/>
  <c r="D23"/>
  <c r="F25"/>
  <c r="F26"/>
  <c r="C30"/>
  <c r="G30" l="1"/>
  <c r="K28"/>
  <c r="I28"/>
  <c r="J28" s="1"/>
  <c r="F18" i="7"/>
  <c r="D24" i="11"/>
  <c r="F23"/>
  <c r="C24"/>
  <c r="M28" i="10"/>
  <c r="O16" i="11"/>
  <c r="M26"/>
  <c r="F28" i="6"/>
  <c r="E30"/>
  <c r="N17" i="10"/>
  <c r="O17" s="1"/>
  <c r="K17"/>
  <c r="J17" s="1"/>
  <c r="L17" i="11"/>
  <c r="D26" i="10"/>
  <c r="F25"/>
  <c r="F24" i="11" l="1"/>
  <c r="D25"/>
  <c r="C25"/>
  <c r="N17"/>
  <c r="O17" s="1"/>
  <c r="K17"/>
  <c r="J17" s="1"/>
  <c r="M27"/>
  <c r="M29" i="10"/>
  <c r="D27"/>
  <c r="F26"/>
  <c r="L18"/>
  <c r="C27"/>
  <c r="D26" i="11" l="1"/>
  <c r="F25"/>
  <c r="C26"/>
  <c r="C27" s="1"/>
  <c r="C28" i="10"/>
  <c r="L18" i="11"/>
  <c r="N18" i="10"/>
  <c r="O18" s="1"/>
  <c r="K18"/>
  <c r="J18" s="1"/>
  <c r="D28"/>
  <c r="F27"/>
  <c r="M28" i="11"/>
  <c r="M30" i="10"/>
  <c r="D27" i="11" l="1"/>
  <c r="F26"/>
  <c r="M29"/>
  <c r="L19" i="10"/>
  <c r="F28"/>
  <c r="D29"/>
  <c r="N18" i="11"/>
  <c r="O18" s="1"/>
  <c r="K18"/>
  <c r="J18" s="1"/>
  <c r="M31" i="10"/>
  <c r="C29"/>
  <c r="D28" i="11" l="1"/>
  <c r="F27"/>
  <c r="C28"/>
  <c r="C29" s="1"/>
  <c r="C30" i="10"/>
  <c r="M32"/>
  <c r="F29"/>
  <c r="D30"/>
  <c r="N19"/>
  <c r="O19" s="1"/>
  <c r="K19"/>
  <c r="J19" s="1"/>
  <c r="L19" i="11"/>
  <c r="M30"/>
  <c r="D29" l="1"/>
  <c r="F28"/>
  <c r="L20" i="10"/>
  <c r="M33"/>
  <c r="M31" i="11"/>
  <c r="F30" i="10"/>
  <c r="D31"/>
  <c r="N19" i="11"/>
  <c r="O19" s="1"/>
  <c r="K19"/>
  <c r="J19" s="1"/>
  <c r="C31" i="10"/>
  <c r="C32" l="1"/>
  <c r="F29" i="11"/>
  <c r="D30"/>
  <c r="C30"/>
  <c r="D32" i="10"/>
  <c r="C33" s="1"/>
  <c r="F31"/>
  <c r="N20"/>
  <c r="O20" s="1"/>
  <c r="K20"/>
  <c r="J20" s="1"/>
  <c r="M32" i="11"/>
  <c r="L20"/>
  <c r="M34" i="10"/>
  <c r="F30" i="11" l="1"/>
  <c r="D31"/>
  <c r="C31"/>
  <c r="M35" i="10"/>
  <c r="M33" i="11"/>
  <c r="N20"/>
  <c r="O20" s="1"/>
  <c r="K20"/>
  <c r="J20" s="1"/>
  <c r="D33" i="10"/>
  <c r="C34" s="1"/>
  <c r="F32"/>
  <c r="L21"/>
  <c r="F31" i="11" l="1"/>
  <c r="D32"/>
  <c r="C32"/>
  <c r="M36" i="10"/>
  <c r="L21" i="11"/>
  <c r="N21" i="10"/>
  <c r="O21" s="1"/>
  <c r="K21"/>
  <c r="J21" s="1"/>
  <c r="F33"/>
  <c r="D34"/>
  <c r="M34" i="11"/>
  <c r="D33" l="1"/>
  <c r="F32"/>
  <c r="C33"/>
  <c r="L22" i="10"/>
  <c r="N21" i="11"/>
  <c r="O21" s="1"/>
  <c r="K21"/>
  <c r="J21" s="1"/>
  <c r="F34" i="10"/>
  <c r="D35"/>
  <c r="M37"/>
  <c r="C35"/>
  <c r="M35" i="11"/>
  <c r="F33" l="1"/>
  <c r="D34"/>
  <c r="C34"/>
  <c r="L22"/>
  <c r="N22" i="10"/>
  <c r="O22" s="1"/>
  <c r="K22"/>
  <c r="J22" s="1"/>
  <c r="M36" i="11"/>
  <c r="M38" i="10"/>
  <c r="C36"/>
  <c r="F35"/>
  <c r="D36"/>
  <c r="D35" i="11" l="1"/>
  <c r="F34"/>
  <c r="C35"/>
  <c r="C36" s="1"/>
  <c r="D37" i="10"/>
  <c r="F36"/>
  <c r="M39"/>
  <c r="M37" i="11"/>
  <c r="N22"/>
  <c r="O22" s="1"/>
  <c r="K22"/>
  <c r="J22" s="1"/>
  <c r="C37" i="10"/>
  <c r="L23"/>
  <c r="C38" l="1"/>
  <c r="D36" i="11"/>
  <c r="F35"/>
  <c r="L23"/>
  <c r="M38"/>
  <c r="M40" i="10"/>
  <c r="N23"/>
  <c r="O23" s="1"/>
  <c r="K23"/>
  <c r="J23" s="1"/>
  <c r="F37"/>
  <c r="D38"/>
  <c r="C39" l="1"/>
  <c r="F36" i="11"/>
  <c r="D37"/>
  <c r="C37"/>
  <c r="F38" i="10"/>
  <c r="D39"/>
  <c r="L24"/>
  <c r="M39" i="11"/>
  <c r="M41" i="10"/>
  <c r="N23" i="11"/>
  <c r="O23" s="1"/>
  <c r="K23"/>
  <c r="J23" s="1"/>
  <c r="D38" l="1"/>
  <c r="F37"/>
  <c r="C38"/>
  <c r="N24" i="10"/>
  <c r="O24" s="1"/>
  <c r="K24"/>
  <c r="J24" s="1"/>
  <c r="L24" i="11"/>
  <c r="M40"/>
  <c r="F39" i="10"/>
  <c r="D40"/>
  <c r="M42"/>
  <c r="C40"/>
  <c r="C41" l="1"/>
  <c r="F38" i="11"/>
  <c r="D39"/>
  <c r="C39"/>
  <c r="F40" i="10"/>
  <c r="D41"/>
  <c r="L25"/>
  <c r="M41" i="11"/>
  <c r="N24"/>
  <c r="O24" s="1"/>
  <c r="K24"/>
  <c r="J24" s="1"/>
  <c r="M43" i="10"/>
  <c r="F39" i="11" l="1"/>
  <c r="D40"/>
  <c r="C40"/>
  <c r="D42" i="10"/>
  <c r="F41"/>
  <c r="L25" i="11"/>
  <c r="N25" i="10"/>
  <c r="O25" s="1"/>
  <c r="K25"/>
  <c r="J25" s="1"/>
  <c r="M42" i="11"/>
  <c r="C42" i="10"/>
  <c r="M44"/>
  <c r="C43" l="1"/>
  <c r="D41" i="11"/>
  <c r="F40"/>
  <c r="C41"/>
  <c r="C42" s="1"/>
  <c r="M45" i="10"/>
  <c r="D43"/>
  <c r="F42"/>
  <c r="L26"/>
  <c r="M43" i="11"/>
  <c r="N25"/>
  <c r="O25" s="1"/>
  <c r="K25"/>
  <c r="J25" s="1"/>
  <c r="C44" i="10" l="1"/>
  <c r="F41" i="11"/>
  <c r="D42"/>
  <c r="D44" i="10"/>
  <c r="F43"/>
  <c r="N26"/>
  <c r="O26" s="1"/>
  <c r="K26"/>
  <c r="J26" s="1"/>
  <c r="L26" i="11"/>
  <c r="M46" i="10"/>
  <c r="M44" i="11"/>
  <c r="C45" i="10" l="1"/>
  <c r="C43" i="11"/>
  <c r="C44" s="1"/>
  <c r="F42"/>
  <c r="D43"/>
  <c r="L27" i="10"/>
  <c r="M45" i="11"/>
  <c r="N26"/>
  <c r="O26" s="1"/>
  <c r="K26"/>
  <c r="J26" s="1"/>
  <c r="M47" i="10"/>
  <c r="D45"/>
  <c r="F44"/>
  <c r="C45" i="11" l="1"/>
  <c r="F43"/>
  <c r="D44"/>
  <c r="L27"/>
  <c r="N27" i="10"/>
  <c r="O27" s="1"/>
  <c r="K27"/>
  <c r="J27" s="1"/>
  <c r="D46"/>
  <c r="F45"/>
  <c r="C46"/>
  <c r="M46" i="11"/>
  <c r="D45" l="1"/>
  <c r="F44"/>
  <c r="C46"/>
  <c r="L28" i="10"/>
  <c r="F46"/>
  <c r="F47" s="1"/>
  <c r="D47"/>
  <c r="N27" i="11"/>
  <c r="O27" s="1"/>
  <c r="K27"/>
  <c r="J27" s="1"/>
  <c r="M47"/>
  <c r="F45" l="1"/>
  <c r="D46"/>
  <c r="M48"/>
  <c r="L28"/>
  <c r="N28" i="10"/>
  <c r="O28" s="1"/>
  <c r="K28"/>
  <c r="J28" s="1"/>
  <c r="D47" i="11" l="1"/>
  <c r="F46"/>
  <c r="C47"/>
  <c r="M49"/>
  <c r="L29" i="10"/>
  <c r="N28" i="11"/>
  <c r="O28" s="1"/>
  <c r="K28"/>
  <c r="J28" s="1"/>
  <c r="D48" l="1"/>
  <c r="F47"/>
  <c r="C48"/>
  <c r="L29"/>
  <c r="N29" i="10"/>
  <c r="O29" s="1"/>
  <c r="K29"/>
  <c r="J29" s="1"/>
  <c r="M50" i="11"/>
  <c r="C49" l="1"/>
  <c r="F48"/>
  <c r="D49"/>
  <c r="M51"/>
  <c r="L30" i="10"/>
  <c r="N29" i="11"/>
  <c r="O29" s="1"/>
  <c r="K29"/>
  <c r="J29" s="1"/>
  <c r="C50" l="1"/>
  <c r="D50"/>
  <c r="F49"/>
  <c r="N30" i="10"/>
  <c r="O30" s="1"/>
  <c r="K30"/>
  <c r="J30" s="1"/>
  <c r="M52" i="11"/>
  <c r="L30"/>
  <c r="C51" l="1"/>
  <c r="D51"/>
  <c r="F50"/>
  <c r="L31" i="10"/>
  <c r="N30" i="11"/>
  <c r="O30" s="1"/>
  <c r="K30"/>
  <c r="J30" s="1"/>
  <c r="M53"/>
  <c r="C52" l="1"/>
  <c r="C53" s="1"/>
  <c r="F51"/>
  <c r="D52"/>
  <c r="L31"/>
  <c r="M54"/>
  <c r="N31" i="10"/>
  <c r="O31" s="1"/>
  <c r="K31"/>
  <c r="J31" s="1"/>
  <c r="F52" i="11" l="1"/>
  <c r="D53"/>
  <c r="L32" i="10"/>
  <c r="M55" i="11"/>
  <c r="N31"/>
  <c r="O31" s="1"/>
  <c r="K31"/>
  <c r="J31" s="1"/>
  <c r="F53" l="1"/>
  <c r="C54"/>
  <c r="C55" s="1"/>
  <c r="D54"/>
  <c r="N32" i="10"/>
  <c r="O32" s="1"/>
  <c r="K32"/>
  <c r="J32" s="1"/>
  <c r="L32" i="11"/>
  <c r="M56"/>
  <c r="F54" l="1"/>
  <c r="D55"/>
  <c r="N32"/>
  <c r="O32" s="1"/>
  <c r="K32"/>
  <c r="J32" s="1"/>
  <c r="L33" i="10"/>
  <c r="M57" i="11"/>
  <c r="F55" l="1"/>
  <c r="C56"/>
  <c r="C57" s="1"/>
  <c r="D56"/>
  <c r="M58"/>
  <c r="N33" i="10"/>
  <c r="O33" s="1"/>
  <c r="K33"/>
  <c r="J33" s="1"/>
  <c r="L33" i="11"/>
  <c r="F56" l="1"/>
  <c r="D57"/>
  <c r="L34" i="10"/>
  <c r="M59" i="11"/>
  <c r="N33"/>
  <c r="O33" s="1"/>
  <c r="K33"/>
  <c r="J33" s="1"/>
  <c r="F57" l="1"/>
  <c r="D58"/>
  <c r="C58"/>
  <c r="L34"/>
  <c r="M60"/>
  <c r="N34" i="10"/>
  <c r="K34"/>
  <c r="J34" s="1"/>
  <c r="D59" i="11" l="1"/>
  <c r="F58"/>
  <c r="C59"/>
  <c r="C60" s="1"/>
  <c r="O34" i="10"/>
  <c r="N47"/>
  <c r="L35"/>
  <c r="K35" s="1"/>
  <c r="J35" s="1"/>
  <c r="N34" i="11"/>
  <c r="K34"/>
  <c r="J34" s="1"/>
  <c r="M61"/>
  <c r="F59" l="1"/>
  <c r="D60"/>
  <c r="L36" i="10"/>
  <c r="K36" s="1"/>
  <c r="J36" s="1"/>
  <c r="O34" i="11"/>
  <c r="N71"/>
  <c r="L35"/>
  <c r="K35" s="1"/>
  <c r="J35" s="1"/>
  <c r="M62"/>
  <c r="C61" l="1"/>
  <c r="C62" s="1"/>
  <c r="F60"/>
  <c r="D61"/>
  <c r="L37" i="10"/>
  <c r="K37" s="1"/>
  <c r="J37" s="1"/>
  <c r="L36" i="11"/>
  <c r="K36" s="1"/>
  <c r="J36" s="1"/>
  <c r="M63"/>
  <c r="F61" l="1"/>
  <c r="D62"/>
  <c r="L38" i="10"/>
  <c r="K38" s="1"/>
  <c r="J38" s="1"/>
  <c r="M64" i="11"/>
  <c r="L37"/>
  <c r="K37" s="1"/>
  <c r="J37" s="1"/>
  <c r="F62" l="1"/>
  <c r="D63"/>
  <c r="C63"/>
  <c r="L39" i="10"/>
  <c r="K39" s="1"/>
  <c r="J39" s="1"/>
  <c r="L38" i="11"/>
  <c r="K38" s="1"/>
  <c r="J38" s="1"/>
  <c r="M65"/>
  <c r="D64" l="1"/>
  <c r="F63"/>
  <c r="C64"/>
  <c r="L40" i="10"/>
  <c r="K40" s="1"/>
  <c r="J40" s="1"/>
  <c r="L39" i="11"/>
  <c r="K39" s="1"/>
  <c r="J39" s="1"/>
  <c r="M66"/>
  <c r="F64" l="1"/>
  <c r="D65"/>
  <c r="C65"/>
  <c r="L40"/>
  <c r="K40" s="1"/>
  <c r="J40" s="1"/>
  <c r="M67"/>
  <c r="L41" i="10"/>
  <c r="K41" s="1"/>
  <c r="J41" s="1"/>
  <c r="F65" i="11" l="1"/>
  <c r="D66"/>
  <c r="C66"/>
  <c r="L41"/>
  <c r="K41" s="1"/>
  <c r="J41" s="1"/>
  <c r="L42" i="10"/>
  <c r="K42" s="1"/>
  <c r="J42" s="1"/>
  <c r="M68" i="11"/>
  <c r="D67" l="1"/>
  <c r="F66"/>
  <c r="C67"/>
  <c r="C68" s="1"/>
  <c r="L42"/>
  <c r="K42" s="1"/>
  <c r="J42"/>
  <c r="L43" i="10"/>
  <c r="K43" s="1"/>
  <c r="J43" s="1"/>
  <c r="M69" i="11"/>
  <c r="F67" l="1"/>
  <c r="D68"/>
  <c r="L44" i="10"/>
  <c r="K44" s="1"/>
  <c r="J44" s="1"/>
  <c r="M70" i="11"/>
  <c r="L43"/>
  <c r="K43" s="1"/>
  <c r="J43" s="1"/>
  <c r="F68" l="1"/>
  <c r="D69"/>
  <c r="C69"/>
  <c r="L44"/>
  <c r="K44" s="1"/>
  <c r="J44"/>
  <c r="L45" i="10"/>
  <c r="K45" s="1"/>
  <c r="J45" s="1"/>
  <c r="M71" i="11"/>
  <c r="D70" l="1"/>
  <c r="F69"/>
  <c r="C70"/>
  <c r="L46" i="10"/>
  <c r="K50"/>
  <c r="L45" i="11"/>
  <c r="K45" s="1"/>
  <c r="J45" s="1"/>
  <c r="F70" l="1"/>
  <c r="F71" s="1"/>
  <c r="D71"/>
  <c r="L46"/>
  <c r="K46" s="1"/>
  <c r="J46" s="1"/>
  <c r="L47" i="10"/>
  <c r="K49" s="1"/>
  <c r="K51" s="1"/>
  <c r="K46"/>
  <c r="L47" i="11" l="1"/>
  <c r="K47" s="1"/>
  <c r="J47" s="1"/>
  <c r="K47" i="10"/>
  <c r="J46"/>
  <c r="L48" i="11" l="1"/>
  <c r="K48" s="1"/>
  <c r="J48" s="1"/>
  <c r="L49" l="1"/>
  <c r="K49" s="1"/>
  <c r="J49" s="1"/>
  <c r="L50" l="1"/>
  <c r="K50" s="1"/>
  <c r="J50" s="1"/>
  <c r="L51" l="1"/>
  <c r="K51" s="1"/>
  <c r="J51" s="1"/>
  <c r="L52" l="1"/>
  <c r="K52" s="1"/>
  <c r="J52" s="1"/>
  <c r="L53" l="1"/>
  <c r="K53" s="1"/>
  <c r="J53" s="1"/>
  <c r="L54" l="1"/>
  <c r="K54" s="1"/>
  <c r="J54" s="1"/>
  <c r="L55" l="1"/>
  <c r="K55" s="1"/>
  <c r="J55" s="1"/>
  <c r="L56" l="1"/>
  <c r="K56" s="1"/>
  <c r="J56" s="1"/>
  <c r="L57" l="1"/>
  <c r="K57" s="1"/>
  <c r="J57" s="1"/>
  <c r="L58" l="1"/>
  <c r="K58" s="1"/>
  <c r="J58" s="1"/>
  <c r="L59" l="1"/>
  <c r="K59" s="1"/>
  <c r="J59" s="1"/>
  <c r="L60" l="1"/>
  <c r="K60" s="1"/>
  <c r="J60" s="1"/>
  <c r="L61" l="1"/>
  <c r="K61" s="1"/>
  <c r="J61" s="1"/>
  <c r="L62" l="1"/>
  <c r="K62" s="1"/>
  <c r="J62" s="1"/>
  <c r="L63" l="1"/>
  <c r="K63" s="1"/>
  <c r="J63" s="1"/>
  <c r="L64" l="1"/>
  <c r="K64" s="1"/>
  <c r="J64" s="1"/>
  <c r="L65" l="1"/>
  <c r="K65" s="1"/>
  <c r="J65" s="1"/>
  <c r="L66" l="1"/>
  <c r="K66" s="1"/>
  <c r="J66" s="1"/>
  <c r="L67" l="1"/>
  <c r="K67" s="1"/>
  <c r="J67" s="1"/>
  <c r="L68" l="1"/>
  <c r="K68" s="1"/>
  <c r="J68" s="1"/>
  <c r="L69" l="1"/>
  <c r="K69" s="1"/>
  <c r="J69" s="1"/>
  <c r="L70" l="1"/>
  <c r="L71" l="1"/>
  <c r="K70"/>
  <c r="K71" l="1"/>
  <c r="J70"/>
</calcChain>
</file>

<file path=xl/comments1.xml><?xml version="1.0" encoding="utf-8"?>
<comments xmlns="http://schemas.openxmlformats.org/spreadsheetml/2006/main">
  <authors>
    <author>utu</author>
  </authors>
  <commentList>
    <comment ref="D53" authorId="0">
      <text>
        <r>
          <rPr>
            <b/>
            <sz val="9"/>
            <color indexed="81"/>
            <rFont val="Tahoma"/>
            <family val="2"/>
          </rPr>
          <t>Modal Kerja atau Investasi</t>
        </r>
      </text>
    </comment>
    <comment ref="D54" authorId="0">
      <text>
        <r>
          <rPr>
            <sz val="9"/>
            <color indexed="81"/>
            <rFont val="Tahoma"/>
            <family val="2"/>
          </rPr>
          <t>liat di jadwal angsuran (Kartu Investasi)</t>
        </r>
      </text>
    </comment>
    <comment ref="D55" authorId="0">
      <text>
        <r>
          <rPr>
            <sz val="9"/>
            <color indexed="81"/>
            <rFont val="Tahoma"/>
            <family val="2"/>
          </rPr>
          <t xml:space="preserve">liat di jadwal angsuran (Kartu Investasi)
</t>
        </r>
      </text>
    </comment>
    <comment ref="D56" authorId="0">
      <text>
        <r>
          <rPr>
            <sz val="9"/>
            <color indexed="81"/>
            <rFont val="Tahoma"/>
            <family val="2"/>
          </rPr>
          <t>liat di jadwal angsuran (Kartu Investasi)</t>
        </r>
      </text>
    </comment>
    <comment ref="F59" authorId="0">
      <text>
        <r>
          <rPr>
            <sz val="9"/>
            <color indexed="81"/>
            <rFont val="Tahoma"/>
            <family val="2"/>
          </rPr>
          <t>liat di jadwal angsuran (Kartu Investasi), untuk angsuran pokok selama satu tahun (tahun berjalan)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sesuai dengan jumlah bulan dalam laporan tahun berjalan</t>
        </r>
      </text>
    </comment>
  </commentList>
</comments>
</file>

<file path=xl/comments3.xml><?xml version="1.0" encoding="utf-8"?>
<comments xmlns="http://schemas.openxmlformats.org/spreadsheetml/2006/main">
  <authors>
    <author>User</author>
    <author>utu</author>
  </authors>
  <commentList>
    <comment ref="T1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assumsi kenaikan HPP</t>
        </r>
      </text>
    </comment>
    <comment ref="P21" authorId="1">
      <text>
        <r>
          <rPr>
            <b/>
            <sz val="6"/>
            <color indexed="81"/>
            <rFont val="Tahoma"/>
            <family val="2"/>
          </rPr>
          <t xml:space="preserve">Untuk modal kerja : diambil dari sheet angsuran modal kerja
Untuk investasi : diambil dari sheet angsuran investasi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assumsi kenaikan HPP</t>
        </r>
      </text>
    </comment>
    <comment ref="P50" authorId="1">
      <text>
        <r>
          <rPr>
            <b/>
            <sz val="6"/>
            <color indexed="81"/>
            <rFont val="Tahoma"/>
            <family val="2"/>
          </rPr>
          <t xml:space="preserve">Untuk modal kerja : diambil dari sheet angsuran modal kerja
Untuk investasi : diambil dari sheet angsuran investasi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utu</author>
  </authors>
  <commentList>
    <comment ref="I23" authorId="0">
      <text>
        <r>
          <rPr>
            <b/>
            <sz val="9"/>
            <color indexed="81"/>
            <rFont val="Tahoma"/>
            <family val="2"/>
          </rPr>
          <t>untuk investasi, diambil dari jadwal angsuran investasi</t>
        </r>
      </text>
    </comment>
  </commentList>
</comments>
</file>

<file path=xl/comments5.xml><?xml version="1.0" encoding="utf-8"?>
<comments xmlns="http://schemas.openxmlformats.org/spreadsheetml/2006/main">
  <authors>
    <author>win 7</author>
  </authors>
  <commentList>
    <comment ref="E5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F5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G5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H5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I5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E6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H6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E7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F7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G7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H7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I7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E8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F8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G8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H8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I8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</commentList>
</comments>
</file>

<file path=xl/comments6.xml><?xml version="1.0" encoding="utf-8"?>
<comments xmlns="http://schemas.openxmlformats.org/spreadsheetml/2006/main">
  <authors>
    <author>win 7</author>
  </authors>
  <commentList>
    <comment ref="D5" authorId="0">
      <text>
        <r>
          <rPr>
            <sz val="9"/>
            <rFont val="Times New Roman"/>
            <family val="1"/>
          </rPr>
          <t>win 7:
Input : Bunga/Margin per tahun</t>
        </r>
      </text>
    </comment>
    <comment ref="E5" authorId="0">
      <text>
        <r>
          <rPr>
            <sz val="9"/>
            <rFont val="Times New Roman"/>
            <family val="1"/>
          </rPr>
          <t>win 7:
Input : bunga/margin effektif per tahun</t>
        </r>
      </text>
    </comment>
    <comment ref="D6" authorId="0">
      <text>
        <r>
          <rPr>
            <sz val="9"/>
            <rFont val="Times New Roman"/>
            <family val="1"/>
          </rPr>
          <t>win 7:
Input : Jangka waktu</t>
        </r>
      </text>
    </comment>
    <comment ref="I11" authorId="0">
      <text>
        <r>
          <rPr>
            <sz val="9"/>
            <rFont val="Times New Roman"/>
            <family val="1"/>
          </rPr>
          <t xml:space="preserve">win 7:
mulai pembayaran angsuran :misal tgl 05 bulan Juni 2016
</t>
        </r>
      </text>
    </comment>
  </commentList>
</comments>
</file>

<file path=xl/comments7.xml><?xml version="1.0" encoding="utf-8"?>
<comments xmlns="http://schemas.openxmlformats.org/spreadsheetml/2006/main">
  <authors>
    <author>win 7</author>
  </authors>
  <commentList>
    <comment ref="D6" authorId="0">
      <text>
        <r>
          <rPr>
            <sz val="9"/>
            <rFont val="Times New Roman"/>
            <family val="1"/>
          </rPr>
          <t>win 7:
Input : Jangka waktu</t>
        </r>
      </text>
    </comment>
    <comment ref="I11" authorId="0">
      <text>
        <r>
          <rPr>
            <sz val="9"/>
            <rFont val="Times New Roman"/>
            <family val="1"/>
          </rPr>
          <t xml:space="preserve">win 7:
mulai pembayaran angsuran :misal tgl 05 bulan Juni 2016
</t>
        </r>
      </text>
    </comment>
  </commentList>
</comments>
</file>

<file path=xl/sharedStrings.xml><?xml version="1.0" encoding="utf-8"?>
<sst xmlns="http://schemas.openxmlformats.org/spreadsheetml/2006/main" count="736" uniqueCount="370">
  <si>
    <t>%</t>
  </si>
  <si>
    <t>Keterangan</t>
  </si>
  <si>
    <t xml:space="preserve">Aktiva </t>
  </si>
  <si>
    <t>Total Aktiva Lancar</t>
  </si>
  <si>
    <t>Total Aktiva Tetap</t>
  </si>
  <si>
    <t>Total Aktiva</t>
  </si>
  <si>
    <t>Pasiva</t>
  </si>
  <si>
    <t>Hutang Usaha</t>
  </si>
  <si>
    <t>Kewajiban lancar</t>
  </si>
  <si>
    <t>Kewajiban jangka panjang</t>
  </si>
  <si>
    <t>Total Pasiva</t>
  </si>
  <si>
    <t>Tanah</t>
  </si>
  <si>
    <t>Bangunan</t>
  </si>
  <si>
    <t>Periode</t>
  </si>
  <si>
    <t>Bunga</t>
  </si>
  <si>
    <t>Piutang Usaha</t>
  </si>
  <si>
    <t>Persediaan</t>
  </si>
  <si>
    <t>Modal Disetor</t>
  </si>
  <si>
    <t>No</t>
  </si>
  <si>
    <t>Plafon</t>
  </si>
  <si>
    <t>Total</t>
  </si>
  <si>
    <t>Ratio (%)</t>
  </si>
  <si>
    <t>Leverage :</t>
  </si>
  <si>
    <t>Biaya :</t>
  </si>
  <si>
    <t>Pertumbuhan :</t>
  </si>
  <si>
    <t>Mutasi</t>
  </si>
  <si>
    <t>Sisa Pinjaman</t>
  </si>
  <si>
    <t>Jumlah angsuran</t>
  </si>
  <si>
    <t>Jenis</t>
  </si>
  <si>
    <t>Naik atau Turun</t>
  </si>
  <si>
    <t>Nominal</t>
  </si>
  <si>
    <t>Rasio</t>
  </si>
  <si>
    <t>Jatuh Tempo</t>
  </si>
  <si>
    <t>Atas Nama</t>
  </si>
  <si>
    <t>Saldo Akhir</t>
  </si>
  <si>
    <t>Debet</t>
  </si>
  <si>
    <t>Frekuensi</t>
  </si>
  <si>
    <t>Kredit</t>
  </si>
  <si>
    <t>ROA</t>
  </si>
  <si>
    <t>ROE</t>
  </si>
  <si>
    <t>Current Ratio</t>
  </si>
  <si>
    <t>X</t>
  </si>
  <si>
    <t>Pokok</t>
  </si>
  <si>
    <t>HPP</t>
  </si>
  <si>
    <t>Rata-Rata per Bulan</t>
  </si>
  <si>
    <t>Nomor</t>
  </si>
  <si>
    <t>No.</t>
  </si>
  <si>
    <t>Jabatan</t>
  </si>
  <si>
    <t>Plafond Pembiayaan</t>
  </si>
  <si>
    <t>Jangka Waktu</t>
  </si>
  <si>
    <t>bulan</t>
  </si>
  <si>
    <t>kali</t>
  </si>
  <si>
    <t>Kebutuhan Modal Kerja Proyeksi</t>
  </si>
  <si>
    <t>Proyeksi Rasio Aktivitas</t>
  </si>
  <si>
    <t>Nilai Pasar</t>
  </si>
  <si>
    <t>Nilai Likuidasi</t>
  </si>
  <si>
    <t xml:space="preserve">  Akumulasi Penyusutan</t>
  </si>
  <si>
    <t>Beban Pokok Penjualan :</t>
  </si>
  <si>
    <t>Penjualan :</t>
  </si>
  <si>
    <t>Kas dan Setara Kas</t>
  </si>
  <si>
    <t>Peralatan</t>
  </si>
  <si>
    <t>Aset Lain-Lain</t>
  </si>
  <si>
    <t>Jenis Ijin</t>
  </si>
  <si>
    <t>Diterbitkan Oleh</t>
  </si>
  <si>
    <t>Dikeluarkan</t>
  </si>
  <si>
    <t>Berakhir</t>
  </si>
  <si>
    <t>TDP</t>
  </si>
  <si>
    <t>NPWP</t>
  </si>
  <si>
    <t>Total Nilai Jaminan</t>
  </si>
  <si>
    <t>Nilai HT</t>
  </si>
  <si>
    <t>- Biaya Bunga Bank</t>
  </si>
  <si>
    <t>- Biaya Penyusutan</t>
  </si>
  <si>
    <t>dalam ribuan Rp.</t>
  </si>
  <si>
    <t>Perhitungan Kebutuhan Modal Kerja</t>
  </si>
  <si>
    <t>Likuisitas :</t>
  </si>
  <si>
    <t>Net Working Capital</t>
  </si>
  <si>
    <t>aktiva lancar - kewajiban lancar</t>
  </si>
  <si>
    <t>Profitabilitas/Rentabilitas :</t>
  </si>
  <si>
    <t>.</t>
  </si>
  <si>
    <t>Debt Equity Ratio</t>
  </si>
  <si>
    <t>Kali</t>
  </si>
  <si>
    <t>Debt to Asset Ratio</t>
  </si>
  <si>
    <t>Aktifitas :</t>
  </si>
  <si>
    <t>hari</t>
  </si>
  <si>
    <t>Total asset Turn Over</t>
  </si>
  <si>
    <t>Laba Kotor/Penjualan</t>
  </si>
  <si>
    <t>Biaya Umun &amp; Adm. Penjualan</t>
  </si>
  <si>
    <t>Piutang Lain Lain</t>
  </si>
  <si>
    <t>Mesin &amp; Peralatan</t>
  </si>
  <si>
    <t>Hutang Bank (Jt. Tempo 1 Tahun)</t>
  </si>
  <si>
    <t>Hutang Bank (Jt. Tempo &gt; 1 Tahun)</t>
  </si>
  <si>
    <t>Hutang Lainnya</t>
  </si>
  <si>
    <t>Pajak</t>
  </si>
  <si>
    <t>Daftar Asset</t>
  </si>
  <si>
    <t>Uraian</t>
  </si>
  <si>
    <t xml:space="preserve">Luas </t>
  </si>
  <si>
    <t>% Nilai Likuidasi</t>
  </si>
  <si>
    <t>SUB TOTAL</t>
  </si>
  <si>
    <t>PENDEKATAN FLAT MURNI</t>
  </si>
  <si>
    <t>PENDEKATAN EFEKTIF ANUITAS</t>
  </si>
  <si>
    <t xml:space="preserve">Pembiayaan </t>
  </si>
  <si>
    <t>Bagi Hasil ( flat )</t>
  </si>
  <si>
    <t>Bagi Hasil effektif</t>
  </si>
  <si>
    <t>atau</t>
  </si>
  <si>
    <t>SELISIH BAGI HASIL</t>
  </si>
  <si>
    <t>O/S Invest</t>
  </si>
  <si>
    <t>ANGS POKOK</t>
  </si>
  <si>
    <t>BAGI HASIL</t>
  </si>
  <si>
    <t>T.KEWAJIBAN</t>
  </si>
  <si>
    <t>BULAN</t>
  </si>
  <si>
    <t>ANGSURAN POKOK</t>
  </si>
  <si>
    <t>TOTAL KEWAJIBAN</t>
  </si>
  <si>
    <t>Per/Bln</t>
  </si>
  <si>
    <t>komulatif</t>
  </si>
  <si>
    <t>0</t>
  </si>
  <si>
    <t>Total Bunga</t>
  </si>
  <si>
    <t>Rata OS</t>
  </si>
  <si>
    <t>Produktifitas</t>
  </si>
  <si>
    <t>Penjualan Bersih (a)</t>
  </si>
  <si>
    <t>Beban Pokok Penjualan (b)</t>
  </si>
  <si>
    <t>Jumlah Biaya Umum &amp; Adm (d)</t>
  </si>
  <si>
    <t>Laba Usaha (e) = (c) - (d)</t>
  </si>
  <si>
    <t>Laba (Rugi) Operasional (c) = (a) - (b)</t>
  </si>
  <si>
    <t>- Biaya Operasional Lainnya (Gaji, Listrik, Air, ATK, dll)</t>
  </si>
  <si>
    <t>aktiva lancar : kewajiban lancar</t>
  </si>
  <si>
    <t>laba bersih : total aktiva</t>
  </si>
  <si>
    <t>total kewajiban : total modal</t>
  </si>
  <si>
    <t>laba bersih : total penjualan</t>
  </si>
  <si>
    <t>total kewajiban : total aktiva</t>
  </si>
  <si>
    <t>(piutang Usaha : total penjualan) x jumlah hari periode laporan (misal : 1 tahun = 360 hari)</t>
  </si>
  <si>
    <t>(persediaan : HPP) x jumlah hari periode laporan (misal : 1 tahun = 360 hari)</t>
  </si>
  <si>
    <t>(hutang usaha : HPP) x jumlah hari periode laporan (misal : 1 tahun = 360 hari)</t>
  </si>
  <si>
    <t>total penjualan : total aktiva</t>
  </si>
  <si>
    <t>laba kotor / total penjualan</t>
  </si>
  <si>
    <t>total biaya umum&amp;adm / total penjualan</t>
  </si>
  <si>
    <t>Net Profit Margin (NPM)</t>
  </si>
  <si>
    <t>Penjualan / omset (a)</t>
  </si>
  <si>
    <t>Harga Pokok Penjualan (b)</t>
  </si>
  <si>
    <t>Laba Kotor (c) = (a) - (b)</t>
  </si>
  <si>
    <t>Keuntungan Usaha  (e) = (c) - (d)</t>
  </si>
  <si>
    <t>Total Penghasilan (f) = (e)</t>
  </si>
  <si>
    <t>Umur Piutang Usaha (a)</t>
  </si>
  <si>
    <t>Umur Persediaan (b)</t>
  </si>
  <si>
    <t>Umur Hutang Usaha (c)</t>
  </si>
  <si>
    <t>(d) = (a + b) - c</t>
  </si>
  <si>
    <t>HPP untuk 1 bulan (e)</t>
  </si>
  <si>
    <t>Modal Kerja (f) = (d) x (e)</t>
  </si>
  <si>
    <t>Perputaran Piutang Usaha (h)</t>
  </si>
  <si>
    <t>Perputaran Persediaan (i)</t>
  </si>
  <si>
    <t>Perputaran Hutang Usaha (j)</t>
  </si>
  <si>
    <t>(k) = (h + i) -j</t>
  </si>
  <si>
    <t>Financial Need Proyeksi (l) = (g) x (k)</t>
  </si>
  <si>
    <t>Days of account Payable (DOP)</t>
  </si>
  <si>
    <t>Days of Receivable (DOR)</t>
  </si>
  <si>
    <t>Days of Inventory (DOI)</t>
  </si>
  <si>
    <t>DOR : 30 hari</t>
  </si>
  <si>
    <t>DOI : 30 hari</t>
  </si>
  <si>
    <t>DOP : 30 hari</t>
  </si>
  <si>
    <t>HPP/bulan (eksisting) x proyeksi HPP/bulan</t>
  </si>
  <si>
    <t>Proyeksi (assumsi)</t>
  </si>
  <si>
    <t>Tanah Bangunan (Rumah), SHM No........, an. .........................., yang terletak di (alamat jaminan)</t>
  </si>
  <si>
    <t>SCR (Total Nilai Likuidasi Jaminan : Plafond Pembiayaan) dalam (%)</t>
  </si>
  <si>
    <t>SKTU</t>
  </si>
  <si>
    <t xml:space="preserve">SIUP </t>
  </si>
  <si>
    <t>Jumlah Modal Dasar dan Disetor</t>
  </si>
  <si>
    <t>Modal Dasar</t>
  </si>
  <si>
    <t>Perizinan Usaha</t>
  </si>
  <si>
    <t>Nama Pemegang Saham, Komposisi dan Pengurus</t>
  </si>
  <si>
    <t>Nama</t>
  </si>
  <si>
    <t>Jumlah Saham</t>
  </si>
  <si>
    <t>Rp</t>
  </si>
  <si>
    <t>No. KTP</t>
  </si>
  <si>
    <t>Alamat</t>
  </si>
  <si>
    <t>Koll</t>
  </si>
  <si>
    <t>Pinjaman Perusahaan/(Calond debitur dan isteri)</t>
  </si>
  <si>
    <t>Suku Bunga</t>
  </si>
  <si>
    <t>Pinjaman di PNM VC (existing)</t>
  </si>
  <si>
    <t>Fasilitas</t>
  </si>
  <si>
    <t>Plafond</t>
  </si>
  <si>
    <t>Outstanding</t>
  </si>
  <si>
    <t>Historis Pembayaran</t>
  </si>
  <si>
    <t>Pembayaran ke -</t>
  </si>
  <si>
    <t>Tanggal Pembayaran</t>
  </si>
  <si>
    <t>Nama Rekening            :</t>
  </si>
  <si>
    <t>Nomor Rekening          :</t>
  </si>
  <si>
    <t>Total Transaksi/Mutasi Rekening</t>
  </si>
  <si>
    <t>Rekap Penjualan (berdasarkan catatan/nota) calon debitur</t>
  </si>
  <si>
    <t>Bulan</t>
  </si>
  <si>
    <t>Rata-rata/bulan</t>
  </si>
  <si>
    <t>dari penjualan</t>
  </si>
  <si>
    <t>Biaya Operasional Lainnya (Gaji, Listrik, Air, ATK, dll)</t>
  </si>
  <si>
    <t xml:space="preserve">Kendaraan </t>
  </si>
  <si>
    <t>dari laba sebelum pajak</t>
  </si>
  <si>
    <t>Keterangan/Assumsi</t>
  </si>
  <si>
    <t>Penjualan Tahun berjalan naik sebesar</t>
  </si>
  <si>
    <t>dari tahun sebelumnya</t>
  </si>
  <si>
    <t>Biaya Operasional Lainnya (Gaji, Listrik, Air, ATK, dll) tetap</t>
  </si>
  <si>
    <t xml:space="preserve">HPP tetap </t>
  </si>
  <si>
    <t>Control</t>
  </si>
  <si>
    <t>Tanah (Rp)</t>
  </si>
  <si>
    <t>Bangunan (Rp)</t>
  </si>
  <si>
    <t>Mobil &amp; Motor (Rp)</t>
  </si>
  <si>
    <t xml:space="preserve"> (In house)</t>
  </si>
  <si>
    <t>Mesin dan Peralatan (Rp)</t>
  </si>
  <si>
    <t>Tanah Kosong</t>
  </si>
  <si>
    <t>Mesin</t>
  </si>
  <si>
    <t>laba bersih : total modal</t>
  </si>
  <si>
    <t>Jumlah bulan dalam tahun  berjalan</t>
  </si>
  <si>
    <t>Jumlah hari dalam tahun berjalan</t>
  </si>
  <si>
    <t>Jumlah hari dalam 1 bulan</t>
  </si>
  <si>
    <t xml:space="preserve">Asumsi Peningkatan HPP naik : </t>
  </si>
  <si>
    <t>(g) = (e) x kenaikan HPP</t>
  </si>
  <si>
    <t>Kebutuhan dana (m) = (l) - (f)</t>
  </si>
  <si>
    <t>OUTSTANDING</t>
  </si>
  <si>
    <t>- Biaya Margin PNM VC</t>
  </si>
  <si>
    <t>MARGIN</t>
  </si>
  <si>
    <t>Tahun</t>
  </si>
  <si>
    <t>Rencana Anggaran Biaya Investasi</t>
  </si>
  <si>
    <t>Jumlah</t>
  </si>
  <si>
    <t>Harga Satuan</t>
  </si>
  <si>
    <t>Satuan</t>
  </si>
  <si>
    <t>Perlengkapan</t>
  </si>
  <si>
    <t>unit</t>
  </si>
  <si>
    <t>set</t>
  </si>
  <si>
    <t>Pembiayaan Investasi :</t>
  </si>
  <si>
    <t>Sharing Dana Sendiri              :</t>
  </si>
  <si>
    <t>Total Investasi (sesuai RAB)  :</t>
  </si>
  <si>
    <t>Plafond Pembiayaan                :</t>
  </si>
  <si>
    <t>Legalitas Pribadi</t>
  </si>
  <si>
    <t>Bank BRI</t>
  </si>
  <si>
    <t>Bank Mega</t>
  </si>
  <si>
    <t>Tgl Cair</t>
  </si>
  <si>
    <t>Jw. Waktu</t>
  </si>
  <si>
    <t>Bank Mandiri</t>
  </si>
  <si>
    <t>KMK</t>
  </si>
  <si>
    <t>Investasi</t>
  </si>
  <si>
    <t>Bank Niaga</t>
  </si>
  <si>
    <t>Bank Danamon</t>
  </si>
  <si>
    <t>Konsumtif</t>
  </si>
  <si>
    <t>Kollektibiltas</t>
  </si>
  <si>
    <t>Modal Kerja</t>
  </si>
  <si>
    <t>dst</t>
  </si>
  <si>
    <t>…</t>
  </si>
  <si>
    <t>Hutang PNM VC (Jt. Tempo 1 Tahun)</t>
  </si>
  <si>
    <t>Hutang PNM VC (Jt. Tempo &gt; 1 Tahun)</t>
  </si>
  <si>
    <t>XXX</t>
  </si>
  <si>
    <t>YYY</t>
  </si>
  <si>
    <t>ZZZ</t>
  </si>
  <si>
    <t>AAA</t>
  </si>
  <si>
    <t>Total Kewajiban</t>
  </si>
  <si>
    <r>
      <t xml:space="preserve">Angsuran Bank pinjaman saat ini  </t>
    </r>
    <r>
      <rPr>
        <b/>
        <sz val="10"/>
        <rFont val="Calibri"/>
        <family val="2"/>
      </rPr>
      <t>* (g)</t>
    </r>
  </si>
  <si>
    <t>Angsuran PNM VC existing ** (h)</t>
  </si>
  <si>
    <t>Angsuran/bulan</t>
  </si>
  <si>
    <t>Penghasilan bersih (i) = (e) - (g) - (h)</t>
  </si>
  <si>
    <r>
      <t xml:space="preserve">Angsuran pinjaman baru  </t>
    </r>
    <r>
      <rPr>
        <b/>
        <sz val="10"/>
        <rFont val="Calibri"/>
        <family val="2"/>
      </rPr>
      <t>*** (j)</t>
    </r>
  </si>
  <si>
    <t>(i)</t>
  </si>
  <si>
    <t>(j)</t>
  </si>
  <si>
    <t>Rasio RC (k) = ------------  x 100%</t>
  </si>
  <si>
    <t>* Total Angsuran Bank pinjaman saat ini (pokok + bunga)</t>
  </si>
  <si>
    <t>*** Total Angsuran PNM VC fasilitas Baru (pokok + margin)</t>
  </si>
  <si>
    <t>** Total Angsuran PNM VC existing (pokok + margin)</t>
  </si>
  <si>
    <t>xxx</t>
  </si>
  <si>
    <t>yyy</t>
  </si>
  <si>
    <t>zzz</t>
  </si>
  <si>
    <t>aaa</t>
  </si>
  <si>
    <t>Direktur Utama</t>
  </si>
  <si>
    <t>Direktur</t>
  </si>
  <si>
    <t>Komisaris Utama</t>
  </si>
  <si>
    <t>Komisaris</t>
  </si>
  <si>
    <t>BP2T</t>
  </si>
  <si>
    <t>Kantor Lurah</t>
  </si>
  <si>
    <t>Dirjend Pajak</t>
  </si>
  <si>
    <t>Common Size</t>
  </si>
  <si>
    <t>XXXXX</t>
  </si>
  <si>
    <t>BNI</t>
  </si>
  <si>
    <t>Nopember 16</t>
  </si>
  <si>
    <t>Oktober 16</t>
  </si>
  <si>
    <t>Desember 16</t>
  </si>
  <si>
    <t>BRI</t>
  </si>
  <si>
    <t xml:space="preserve">LT : </t>
  </si>
  <si>
    <t xml:space="preserve">LB : </t>
  </si>
  <si>
    <t>Harga Per Meter</t>
  </si>
  <si>
    <t>Pertumbuhan Penjualan</t>
  </si>
  <si>
    <t>Pertumbuhan Net Profit Margin</t>
  </si>
  <si>
    <t>Penjualan tahun berjalan / penjualan tahun sebelumnya</t>
  </si>
  <si>
    <t>Laba bersih tahun berjalan / laba bersih tahun sebelumnya</t>
  </si>
  <si>
    <t>(In House)</t>
  </si>
  <si>
    <t>31 Desember 2016</t>
  </si>
  <si>
    <t>31 Maret 2017</t>
  </si>
  <si>
    <t>Tahun Sebelumnya (2016) :</t>
  </si>
  <si>
    <t>Januari 17</t>
  </si>
  <si>
    <t>Februari 17</t>
  </si>
  <si>
    <t>Maret 17</t>
  </si>
  <si>
    <t>Tahun Berjalan (2107) :</t>
  </si>
  <si>
    <t>Biaya Lainnya (misal : rumah tangga)</t>
  </si>
  <si>
    <t>per bulan</t>
  </si>
  <si>
    <t>Pendapatan Lain-Lain : (f)</t>
  </si>
  <si>
    <t>Biaya Lain-Lain : (g)</t>
  </si>
  <si>
    <t>Laba Usaha Sebelum Pajak (h) = (e) + (f) - (g)</t>
  </si>
  <si>
    <t>Pajak Penghasilan (i)</t>
  </si>
  <si>
    <t>Laba Bersih (j) = (h) - (i)</t>
  </si>
  <si>
    <t>Biaya Operasional Lainnya + Pajak + biaya lainnya (d)</t>
  </si>
  <si>
    <t>Akta Pendirian</t>
  </si>
  <si>
    <t>Nama Notaris</t>
  </si>
  <si>
    <t>Tanggal Pendirian</t>
  </si>
  <si>
    <t>No. Akta</t>
  </si>
  <si>
    <t>ABC, SH, Mkn</t>
  </si>
  <si>
    <t>15 Oktober 2012</t>
  </si>
  <si>
    <t>Perubahan Akta (optional)</t>
  </si>
  <si>
    <t>DEF, SH, Mkn</t>
  </si>
  <si>
    <t>10 Nopember 2015</t>
  </si>
  <si>
    <t>Jumlah bulan dalam tahun berjalan</t>
  </si>
  <si>
    <t>Bunga Flat</t>
  </si>
  <si>
    <t>Per bulan</t>
  </si>
  <si>
    <t>=</t>
  </si>
  <si>
    <t>Pertahun</t>
  </si>
  <si>
    <t>Bunga Effektif / tahun dengan jangka waktu :</t>
  </si>
  <si>
    <t>2 tahun</t>
  </si>
  <si>
    <t>3 tahun</t>
  </si>
  <si>
    <t>4 tahun</t>
  </si>
  <si>
    <t>5 tahun</t>
  </si>
  <si>
    <t>% Nilai HT</t>
  </si>
  <si>
    <t>Kartu Kredit</t>
  </si>
  <si>
    <t>Lainnya :</t>
  </si>
  <si>
    <t>-</t>
  </si>
  <si>
    <t xml:space="preserve">* Note : </t>
  </si>
  <si>
    <t>Pinjaman Pengurus (kalau Calon debitur dalam bentuk CV/PT)</t>
  </si>
  <si>
    <t>- Untuk yang di blok, agar tidak di ubah angkanya (sudah menggunakan rumus)</t>
  </si>
  <si>
    <t>31 Desember 2017</t>
  </si>
  <si>
    <t>(In House, disetahunkan)</t>
  </si>
  <si>
    <t>01 Januari s.d</t>
  </si>
  <si>
    <t>Mobil &amp; Motor</t>
  </si>
  <si>
    <t>Biaya Penyusutan</t>
  </si>
  <si>
    <t>Umur Ekonomis (thn)</t>
  </si>
  <si>
    <t>Tahun 2016</t>
  </si>
  <si>
    <t>Bulan Berjalan</t>
  </si>
  <si>
    <t>Tahun 2017 per</t>
  </si>
  <si>
    <t>2017 disetahunkan</t>
  </si>
  <si>
    <t>Penambahan Asset di tahun 2017 per</t>
  </si>
  <si>
    <t>Mesin &amp; Peralatan (Rp)</t>
  </si>
  <si>
    <t>Total Biaya Penyusutan</t>
  </si>
  <si>
    <t>Repayment Capacity (Per Bulan) posisi Tahun 2017 per</t>
  </si>
  <si>
    <t xml:space="preserve">Modal awal </t>
  </si>
  <si>
    <t>Modal Akhir</t>
  </si>
  <si>
    <t>Laba Bersih (tahun berjalan)</t>
  </si>
  <si>
    <t xml:space="preserve"> Modal/Ekuitas</t>
  </si>
  <si>
    <t>Prive</t>
  </si>
  <si>
    <t>Modal disetor</t>
  </si>
  <si>
    <t>Laba ditahan</t>
  </si>
  <si>
    <t>Laba tahun berjalan</t>
  </si>
  <si>
    <t>Total modal/ekuitas</t>
  </si>
  <si>
    <t>deviden</t>
  </si>
  <si>
    <t>Laba bersih (setelah dikurangi prive)</t>
  </si>
  <si>
    <t>Laba bersih (setelah dikurangi deviden)</t>
  </si>
  <si>
    <t>Laporan Perubahan Modal</t>
  </si>
  <si>
    <t>Neraca untuk calon debitur perorangan dan CV</t>
  </si>
  <si>
    <t>Neraca untuk calon debitur dalam bentuk PT</t>
  </si>
  <si>
    <t xml:space="preserve">Penambahan Asset di </t>
  </si>
  <si>
    <t>Untuk Calon Debitur Perorangan dan CV</t>
  </si>
  <si>
    <t>Untuk Calon Debitur PT</t>
  </si>
  <si>
    <t>- Untuk laba rugi, agar tidak diubah secara manual (sudah menggunakan rumus)</t>
  </si>
  <si>
    <t>- Untuk angka yang menggunakan warna hitam, agar tidak diubah manual (sudah menggunakan rumus)</t>
  </si>
  <si>
    <t>Nama Bank                    :</t>
  </si>
  <si>
    <t>Nama Bank/LKM</t>
  </si>
  <si>
    <t>1 tahun</t>
  </si>
  <si>
    <t>Tanah Bangunan</t>
  </si>
  <si>
    <t>Take Over (n)</t>
  </si>
  <si>
    <t>Total Kebutuhan Dana (o) = (m+n)</t>
  </si>
  <si>
    <t>Pembiayaan PNMVC (p)</t>
  </si>
  <si>
    <t>Tidak boleh lebih besar dari Total Kebutuhan Dana (o)</t>
  </si>
</sst>
</file>

<file path=xl/styles.xml><?xml version="1.0" encoding="utf-8"?>
<styleSheet xmlns="http://schemas.openxmlformats.org/spreadsheetml/2006/main">
  <numFmts count="3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p&quot;#,##0.00_);[Red]\(&quot;Rp&quot;#,##0.00\)"/>
    <numFmt numFmtId="165" formatCode="_(&quot;Rp&quot;* #,##0_);_(&quot;Rp&quot;* \(#,##0\);_(&quot;Rp&quot;* &quot;-&quot;_);_(@_)"/>
    <numFmt numFmtId="166" formatCode="_(* #,##0_);_(* \(#,##0\);_(* &quot;-&quot;??_);_(@_)"/>
    <numFmt numFmtId="167" formatCode="[$-409]d\-mmm\-yy;@"/>
    <numFmt numFmtId="168" formatCode="0.0%"/>
    <numFmt numFmtId="169" formatCode="_([$Rp-421]* #,##0_);_([$Rp-421]* \(#,##0\);_([$Rp-421]* &quot;-&quot;_);_(@_)"/>
    <numFmt numFmtId="170" formatCode="_([$Rp-421]* #,##0.00_);_([$Rp-421]* \(#,##0.00\);_([$Rp-421]* &quot;-&quot;??_);_(@_)"/>
    <numFmt numFmtId="171" formatCode="_(* #,##0.00_);_(* \(#,##0.00\);_(* &quot;-&quot;_);_(@_)"/>
    <numFmt numFmtId="172" formatCode="#,##0;\-#,##0;&quot;-&quot;"/>
    <numFmt numFmtId="173" formatCode="_(* #,##0,_);_(* \(#,##0,\);_(* &quot;&quot;\-&quot;&quot;_)"/>
    <numFmt numFmtId="174" formatCode="#,##0_);\(#,##0\);&quot;-&quot;"/>
    <numFmt numFmtId="175" formatCode="0%_);\(0%\);&quot;-&quot;"/>
    <numFmt numFmtId="176" formatCode="_(* #,##0_);_(* \(#,##0\);_(* &quot;&quot;&quot;&quot;&quot;&quot;&quot;&quot;&quot;&quot;&quot;&quot;&quot;&quot;&quot;&quot;\-&quot;&quot;&quot;&quot;&quot;&quot;&quot;&quot;&quot;&quot;&quot;&quot;&quot;&quot;&quot;&quot;_)"/>
    <numFmt numFmtId="177" formatCode="_(* #,##0,_);_(* \(#,##0,\);_(* &quot;&quot;&quot;&quot;&quot;&quot;&quot;&quot;&quot;&quot;&quot;&quot;&quot;&quot;&quot;&quot;\-&quot;&quot;&quot;&quot;&quot;&quot;&quot;&quot;&quot;&quot;&quot;&quot;&quot;&quot;&quot;&quot;_)"/>
    <numFmt numFmtId="178" formatCode="_(* #,##0_);_(* \(#,##0\);_(* \-_);_(@_)"/>
    <numFmt numFmtId="179" formatCode="_(* #,##0.00_);_(* \(#,##0.00\);_(* \-??_);_(@_)"/>
    <numFmt numFmtId="180" formatCode="_(* #,##0,_);[Red]_(* \(#,##0,\);_(* &quot;&quot;&quot;&quot;&quot;&quot;&quot;&quot;\ \-\ &quot;&quot;&quot;&quot;&quot;&quot;&quot;&quot;_);_(@_)"/>
    <numFmt numFmtId="181" formatCode="0%\ ;\(0%\)"/>
    <numFmt numFmtId="182" formatCode="&quot;  &quot;@"/>
    <numFmt numFmtId="183" formatCode="&quot;Rp&quot;###0.00_);\(&quot;Rp&quot;###0.00\)"/>
    <numFmt numFmtId="184" formatCode="_(&quot;Rp&quot;* #,##0_);_(&quot;Rp&quot;* \(#,##0\);_(&quot;Rp&quot;* &quot;-&quot;??_);_(@_)"/>
    <numFmt numFmtId="185" formatCode="0%\ ;[Red]\(0%\)"/>
    <numFmt numFmtId="186" formatCode="0%;\(0%\)"/>
    <numFmt numFmtId="187" formatCode="#,##0.000_);[Red]\(#,##0.000\)"/>
    <numFmt numFmtId="188" formatCode="[Red]&quot;Rp&quot;#,##0_);[Red]&quot;Rp&quot;\(#,##0\)"/>
    <numFmt numFmtId="189" formatCode="&quot;          &quot;@"/>
    <numFmt numFmtId="190" formatCode="_(&quot;Rp&quot;* #,##0.000_);_(&quot;Rp&quot;* \(#,##0.000\);_(&quot;Rp&quot;* &quot;-&quot;??_);_(@_)"/>
    <numFmt numFmtId="191" formatCode="[Red]#,##0_);[Red]\(#,##0\)"/>
    <numFmt numFmtId="192" formatCode="0.0000000000"/>
    <numFmt numFmtId="193" formatCode="m\-yy"/>
    <numFmt numFmtId="194" formatCode="0.0%_);\(0.0%\)"/>
    <numFmt numFmtId="195" formatCode="0.000%"/>
    <numFmt numFmtId="196" formatCode="yyyy"/>
    <numFmt numFmtId="197" formatCode="#,##0\ ;[Red]\(#,##0\)"/>
  </numFmts>
  <fonts count="8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8"/>
      <name val="Calibri"/>
      <family val="2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b/>
      <sz val="12"/>
      <name val="Arial"/>
      <family val="2"/>
    </font>
    <font>
      <b/>
      <sz val="8"/>
      <name val="MS Sans Serif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b/>
      <sz val="8"/>
      <color indexed="8"/>
      <name val="Helv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i/>
      <sz val="11"/>
      <name val="Calibri"/>
      <family val="2"/>
    </font>
    <font>
      <b/>
      <u/>
      <sz val="8"/>
      <name val="Calibri"/>
      <family val="2"/>
    </font>
    <font>
      <b/>
      <i/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indexed="8"/>
      <name val="Calibri"/>
      <family val="2"/>
    </font>
    <font>
      <b/>
      <u/>
      <sz val="10"/>
      <name val="Calibri"/>
      <family val="2"/>
    </font>
    <font>
      <i/>
      <sz val="10"/>
      <name val="Calibri"/>
      <family val="2"/>
    </font>
    <font>
      <b/>
      <sz val="6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5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3" tint="0.59999389629810485"/>
      <name val="Calibri"/>
      <family val="2"/>
      <scheme val="minor"/>
    </font>
    <font>
      <sz val="9"/>
      <color indexed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05">
    <xf numFmtId="0" fontId="0" fillId="0" borderId="0"/>
    <xf numFmtId="0" fontId="14" fillId="0" borderId="0">
      <alignment horizontal="center" wrapText="1"/>
      <protection locked="0"/>
    </xf>
    <xf numFmtId="0" fontId="2" fillId="0" borderId="0" applyFill="0" applyBorder="0">
      <alignment vertical="center"/>
    </xf>
    <xf numFmtId="172" fontId="15" fillId="0" borderId="0" applyFill="0" applyBorder="0" applyAlignment="0"/>
    <xf numFmtId="173" fontId="2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  <xf numFmtId="176" fontId="2" fillId="0" borderId="0" applyFill="0" applyBorder="0" applyAlignment="0"/>
    <xf numFmtId="172" fontId="15" fillId="0" borderId="0" applyFill="0" applyBorder="0" applyAlignment="0"/>
    <xf numFmtId="177" fontId="2" fillId="0" borderId="0" applyFill="0" applyBorder="0" applyAlignment="0"/>
    <xf numFmtId="173" fontId="2" fillId="0" borderId="0" applyFill="0" applyBorder="0" applyAlignment="0"/>
    <xf numFmtId="43" fontId="10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/>
    <xf numFmtId="178" fontId="1" fillId="0" borderId="0"/>
    <xf numFmtId="178" fontId="1" fillId="0" borderId="0"/>
    <xf numFmtId="41" fontId="3" fillId="0" borderId="0" applyFont="0" applyFill="0" applyBorder="0" applyAlignment="0" applyProtection="0"/>
    <xf numFmtId="178" fontId="1" fillId="0" borderId="0"/>
    <xf numFmtId="178" fontId="2" fillId="0" borderId="0" applyFill="0" applyBorder="0" applyAlignment="0" applyProtection="0"/>
    <xf numFmtId="178" fontId="1" fillId="0" borderId="0"/>
    <xf numFmtId="41" fontId="4" fillId="0" borderId="0" applyFont="0" applyFill="0" applyBorder="0" applyAlignment="0" applyProtection="0"/>
    <xf numFmtId="41" fontId="10" fillId="0" borderId="0" applyFont="0" applyFill="0" applyBorder="0" applyAlignment="0" applyProtection="0"/>
    <xf numFmtId="178" fontId="1" fillId="0" borderId="0"/>
    <xf numFmtId="178" fontId="1" fillId="0" borderId="0"/>
    <xf numFmtId="41" fontId="2" fillId="0" borderId="0" applyFont="0" applyFill="0" applyBorder="0" applyAlignment="0" applyProtection="0"/>
    <xf numFmtId="178" fontId="1" fillId="0" borderId="0"/>
    <xf numFmtId="41" fontId="49" fillId="0" borderId="0" applyFont="0" applyFill="0" applyBorder="0" applyAlignment="0" applyProtection="0"/>
    <xf numFmtId="178" fontId="1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9" fillId="0" borderId="0" applyFont="0" applyFill="0" applyBorder="0" applyAlignment="0" applyProtection="0"/>
    <xf numFmtId="17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5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1" fillId="0" borderId="0"/>
    <xf numFmtId="179" fontId="1" fillId="0" borderId="0"/>
    <xf numFmtId="179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79" fontId="1" fillId="0" borderId="0"/>
    <xf numFmtId="179" fontId="2" fillId="0" borderId="0" applyFill="0" applyBorder="0" applyAlignment="0" applyProtection="0"/>
    <xf numFmtId="43" fontId="51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1" fillId="0" borderId="0"/>
    <xf numFmtId="43" fontId="2" fillId="0" borderId="0" applyFont="0" applyFill="0" applyBorder="0" applyAlignment="0" applyProtection="0"/>
    <xf numFmtId="179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0" borderId="0" applyNumberFormat="0" applyAlignment="0">
      <alignment horizontal="left"/>
    </xf>
    <xf numFmtId="173" fontId="2" fillId="0" borderId="0" applyFont="0" applyFill="0" applyBorder="0" applyAlignment="0" applyProtection="0"/>
    <xf numFmtId="180" fontId="2" fillId="0" borderId="0" applyFont="0" applyFill="0" applyBorder="0" applyAlignment="0"/>
    <xf numFmtId="164" fontId="2" fillId="0" borderId="0" applyFont="0" applyFill="0" applyBorder="0" applyAlignment="0"/>
    <xf numFmtId="44" fontId="1" fillId="0" borderId="0" applyFont="0" applyFill="0" applyBorder="0" applyAlignment="0" applyProtection="0"/>
    <xf numFmtId="15" fontId="6" fillId="0" borderId="0" applyFill="0" applyBorder="0" applyAlignment="0"/>
    <xf numFmtId="181" fontId="2" fillId="2" borderId="0" applyFont="0" applyFill="0" applyBorder="0" applyAlignment="0" applyProtection="0"/>
    <xf numFmtId="181" fontId="2" fillId="2" borderId="1" applyFont="0" applyFill="0" applyBorder="0" applyAlignment="0" applyProtection="0"/>
    <xf numFmtId="17" fontId="6" fillId="0" borderId="0" applyFill="0" applyBorder="0">
      <alignment horizontal="right"/>
    </xf>
    <xf numFmtId="14" fontId="15" fillId="0" borderId="0" applyFill="0" applyBorder="0" applyAlignment="0"/>
    <xf numFmtId="172" fontId="17" fillId="0" borderId="0" applyFill="0" applyBorder="0" applyAlignment="0"/>
    <xf numFmtId="173" fontId="2" fillId="0" borderId="0" applyFill="0" applyBorder="0" applyAlignment="0"/>
    <xf numFmtId="172" fontId="17" fillId="0" borderId="0" applyFill="0" applyBorder="0" applyAlignment="0"/>
    <xf numFmtId="177" fontId="2" fillId="0" borderId="0" applyFill="0" applyBorder="0" applyAlignment="0"/>
    <xf numFmtId="173" fontId="2" fillId="0" borderId="0" applyFill="0" applyBorder="0" applyAlignment="0"/>
    <xf numFmtId="0" fontId="18" fillId="0" borderId="0" applyNumberFormat="0" applyAlignment="0">
      <alignment horizontal="left"/>
    </xf>
    <xf numFmtId="179" fontId="1" fillId="0" borderId="0"/>
    <xf numFmtId="178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182" fontId="2" fillId="2" borderId="0" applyFont="0" applyFill="0" applyBorder="0" applyAlignment="0"/>
    <xf numFmtId="38" fontId="5" fillId="3" borderId="0" applyNumberFormat="0" applyBorder="0" applyAlignment="0" applyProtection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4">
      <alignment horizontal="center"/>
    </xf>
    <xf numFmtId="0" fontId="20" fillId="0" borderId="0">
      <alignment horizontal="center"/>
    </xf>
    <xf numFmtId="0" fontId="52" fillId="0" borderId="0" applyNumberFormat="0" applyFill="0" applyBorder="0" applyAlignment="0" applyProtection="0">
      <alignment vertical="top"/>
      <protection locked="0"/>
    </xf>
    <xf numFmtId="10" fontId="5" fillId="2" borderId="5" applyNumberFormat="0" applyBorder="0" applyAlignment="0" applyProtection="0"/>
    <xf numFmtId="164" fontId="5" fillId="2" borderId="0" applyFont="0" applyBorder="0" applyAlignment="0" applyProtection="0">
      <protection locked="0"/>
    </xf>
    <xf numFmtId="15" fontId="5" fillId="2" borderId="0" applyFont="0" applyBorder="0" applyAlignment="0" applyProtection="0">
      <protection locked="0"/>
    </xf>
    <xf numFmtId="182" fontId="2" fillId="2" borderId="0" applyFont="0" applyBorder="0" applyAlignment="0">
      <protection locked="0"/>
    </xf>
    <xf numFmtId="38" fontId="5" fillId="2" borderId="0">
      <protection locked="0"/>
    </xf>
    <xf numFmtId="183" fontId="2" fillId="2" borderId="0" applyFont="0" applyBorder="0" applyAlignment="0">
      <protection locked="0"/>
    </xf>
    <xf numFmtId="10" fontId="5" fillId="2" borderId="0">
      <protection locked="0"/>
    </xf>
    <xf numFmtId="184" fontId="2" fillId="2" borderId="0" applyNumberFormat="0" applyBorder="0" applyAlignment="0">
      <protection locked="0"/>
    </xf>
    <xf numFmtId="172" fontId="21" fillId="0" borderId="0" applyFill="0" applyBorder="0" applyAlignment="0"/>
    <xf numFmtId="173" fontId="2" fillId="0" borderId="0" applyFill="0" applyBorder="0" applyAlignment="0"/>
    <xf numFmtId="172" fontId="21" fillId="0" borderId="0" applyFill="0" applyBorder="0" applyAlignment="0"/>
    <xf numFmtId="177" fontId="2" fillId="0" borderId="0" applyFill="0" applyBorder="0" applyAlignment="0"/>
    <xf numFmtId="173" fontId="2" fillId="0" borderId="0" applyFill="0" applyBorder="0" applyAlignment="0"/>
    <xf numFmtId="185" fontId="2" fillId="3" borderId="0" applyFont="0" applyBorder="0" applyAlignment="0" applyProtection="0">
      <alignment horizontal="right"/>
      <protection hidden="1"/>
    </xf>
    <xf numFmtId="186" fontId="2" fillId="0" borderId="0"/>
    <xf numFmtId="38" fontId="5" fillId="0" borderId="0" applyFont="0" applyFill="0" applyBorder="0" applyAlignment="0"/>
    <xf numFmtId="184" fontId="2" fillId="0" borderId="0" applyFont="0" applyFill="0" applyBorder="0" applyAlignment="0"/>
    <xf numFmtId="40" fontId="5" fillId="0" borderId="0" applyFont="0" applyFill="0" applyBorder="0" applyAlignment="0"/>
    <xf numFmtId="187" fontId="5" fillId="0" borderId="0" applyFont="0" applyFill="0" applyBorder="0" applyAlignment="0"/>
    <xf numFmtId="0" fontId="50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3" fillId="0" borderId="0"/>
    <xf numFmtId="0" fontId="48" fillId="0" borderId="0"/>
    <xf numFmtId="0" fontId="2" fillId="0" borderId="0"/>
    <xf numFmtId="0" fontId="3" fillId="0" borderId="0"/>
    <xf numFmtId="0" fontId="2" fillId="0" borderId="0"/>
    <xf numFmtId="0" fontId="51" fillId="0" borderId="0"/>
    <xf numFmtId="0" fontId="2" fillId="0" borderId="0"/>
    <xf numFmtId="0" fontId="4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49" fillId="0" borderId="0"/>
    <xf numFmtId="184" fontId="2" fillId="0" borderId="0" applyNumberFormat="0" applyFill="0" applyBorder="0" applyAlignment="0" applyProtection="0"/>
    <xf numFmtId="188" fontId="2" fillId="0" borderId="0" applyFont="0" applyFill="0" applyBorder="0" applyAlignment="0" applyProtection="0"/>
    <xf numFmtId="0" fontId="7" fillId="4" borderId="0"/>
    <xf numFmtId="18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1" fontId="2" fillId="0" borderId="0"/>
    <xf numFmtId="14" fontId="14" fillId="0" borderId="0">
      <alignment horizontal="center" wrapText="1"/>
      <protection locked="0"/>
    </xf>
    <xf numFmtId="9" fontId="10" fillId="0" borderId="0" applyFont="0" applyFill="0" applyBorder="0" applyAlignment="0" applyProtection="0"/>
    <xf numFmtId="17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3" fontId="2" fillId="0" borderId="0" applyFont="0" applyFill="0" applyBorder="0" applyAlignment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/>
    <xf numFmtId="9" fontId="1" fillId="0" borderId="0"/>
    <xf numFmtId="9" fontId="5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/>
    <xf numFmtId="9" fontId="4" fillId="0" borderId="0" applyFont="0" applyFill="0" applyBorder="0" applyAlignment="0" applyProtection="0"/>
    <xf numFmtId="9" fontId="1" fillId="0" borderId="0"/>
    <xf numFmtId="9" fontId="1" fillId="0" borderId="0"/>
    <xf numFmtId="9" fontId="1" fillId="0" borderId="0" applyFont="0" applyFill="0" applyBorder="0" applyAlignment="0" applyProtection="0"/>
    <xf numFmtId="9" fontId="1" fillId="0" borderId="0"/>
    <xf numFmtId="9" fontId="4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9" fillId="0" borderId="0" applyFont="0" applyFill="0" applyBorder="0" applyAlignment="0" applyProtection="0"/>
    <xf numFmtId="192" fontId="2" fillId="0" borderId="0" applyFont="0" applyFill="0" applyBorder="0" applyAlignment="0" applyProtection="0"/>
    <xf numFmtId="172" fontId="22" fillId="0" borderId="0" applyFill="0" applyBorder="0" applyAlignment="0"/>
    <xf numFmtId="173" fontId="2" fillId="0" borderId="0" applyFill="0" applyBorder="0" applyAlignment="0"/>
    <xf numFmtId="172" fontId="22" fillId="0" borderId="0" applyFill="0" applyBorder="0" applyAlignment="0"/>
    <xf numFmtId="177" fontId="2" fillId="0" borderId="0" applyFill="0" applyBorder="0" applyAlignment="0"/>
    <xf numFmtId="173" fontId="2" fillId="0" borderId="0" applyFill="0" applyBorder="0" applyAlignment="0"/>
    <xf numFmtId="184" fontId="2" fillId="0" borderId="0" applyNumberFormat="0" applyFill="0" applyBorder="0" applyAlignment="0" applyProtection="0">
      <alignment horizontal="left"/>
    </xf>
    <xf numFmtId="0" fontId="23" fillId="5" borderId="0" applyNumberFormat="0" applyFont="0" applyBorder="0" applyAlignment="0">
      <alignment horizontal="center"/>
    </xf>
    <xf numFmtId="14" fontId="24" fillId="0" borderId="0" applyNumberFormat="0" applyFill="0" applyBorder="0" applyAlignment="0" applyProtection="0">
      <alignment horizontal="left"/>
    </xf>
    <xf numFmtId="0" fontId="23" fillId="1" borderId="3" applyNumberFormat="0" applyFont="0" applyAlignment="0">
      <alignment horizontal="center"/>
    </xf>
    <xf numFmtId="0" fontId="25" fillId="0" borderId="0" applyNumberFormat="0" applyFill="0" applyBorder="0" applyAlignment="0">
      <alignment horizontal="center"/>
    </xf>
    <xf numFmtId="184" fontId="2" fillId="6" borderId="0" applyNumberFormat="0" applyFont="0" applyBorder="0" applyAlignment="0">
      <protection hidden="1"/>
    </xf>
    <xf numFmtId="40" fontId="26" fillId="0" borderId="0" applyBorder="0">
      <alignment horizontal="right"/>
    </xf>
    <xf numFmtId="184" fontId="2" fillId="7" borderId="0" applyNumberFormat="0" applyFont="0" applyBorder="0" applyAlignment="0" applyProtection="0"/>
    <xf numFmtId="49" fontId="15" fillId="0" borderId="0" applyFill="0" applyBorder="0" applyAlignment="0"/>
    <xf numFmtId="193" fontId="2" fillId="0" borderId="0" applyFill="0" applyBorder="0" applyAlignment="0"/>
    <xf numFmtId="194" fontId="2" fillId="0" borderId="0" applyFill="0" applyBorder="0" applyAlignment="0"/>
    <xf numFmtId="193" fontId="2" fillId="0" borderId="0" applyFill="0" applyBorder="0" applyAlignment="0" applyProtection="0">
      <alignment horizontal="right"/>
    </xf>
    <xf numFmtId="184" fontId="2" fillId="0" borderId="0" applyNumberFormat="0" applyFill="0" applyBorder="0" applyAlignment="0" applyProtection="0"/>
  </cellStyleXfs>
  <cellXfs count="817">
    <xf numFmtId="0" fontId="0" fillId="0" borderId="0" xfId="0"/>
    <xf numFmtId="9" fontId="0" fillId="0" borderId="0" xfId="0" applyNumberFormat="1"/>
    <xf numFmtId="0" fontId="54" fillId="0" borderId="0" xfId="121" applyFont="1"/>
    <xf numFmtId="169" fontId="54" fillId="0" borderId="0" xfId="121" applyNumberFormat="1" applyFont="1"/>
    <xf numFmtId="0" fontId="55" fillId="0" borderId="6" xfId="121" applyFont="1" applyBorder="1"/>
    <xf numFmtId="0" fontId="54" fillId="0" borderId="6" xfId="121" applyFont="1" applyBorder="1"/>
    <xf numFmtId="0" fontId="55" fillId="0" borderId="0" xfId="121" applyFont="1" applyFill="1" applyBorder="1" applyAlignment="1">
      <alignment horizontal="center" vertical="center"/>
    </xf>
    <xf numFmtId="169" fontId="55" fillId="0" borderId="0" xfId="121" applyNumberFormat="1" applyFont="1" applyFill="1" applyBorder="1" applyAlignment="1">
      <alignment vertical="center"/>
    </xf>
    <xf numFmtId="0" fontId="56" fillId="0" borderId="0" xfId="121" applyFont="1" applyFill="1" applyBorder="1" applyAlignment="1">
      <alignment horizontal="center" vertical="center" wrapText="1"/>
    </xf>
    <xf numFmtId="169" fontId="55" fillId="0" borderId="0" xfId="121" applyNumberFormat="1" applyFont="1" applyFill="1" applyBorder="1" applyAlignment="1">
      <alignment horizontal="center" vertical="center" wrapText="1"/>
    </xf>
    <xf numFmtId="0" fontId="57" fillId="12" borderId="5" xfId="121" applyFont="1" applyFill="1" applyBorder="1" applyAlignment="1">
      <alignment horizontal="center" vertical="center" wrapText="1"/>
    </xf>
    <xf numFmtId="0" fontId="58" fillId="0" borderId="0" xfId="0" applyFont="1"/>
    <xf numFmtId="0" fontId="59" fillId="0" borderId="0" xfId="0" applyFont="1" applyFill="1"/>
    <xf numFmtId="0" fontId="59" fillId="0" borderId="0" xfId="0" applyFont="1"/>
    <xf numFmtId="41" fontId="60" fillId="0" borderId="0" xfId="0" applyNumberFormat="1" applyFont="1"/>
    <xf numFmtId="0" fontId="61" fillId="0" borderId="0" xfId="0" applyFont="1"/>
    <xf numFmtId="41" fontId="58" fillId="0" borderId="0" xfId="0" applyNumberFormat="1" applyFont="1"/>
    <xf numFmtId="0" fontId="58" fillId="0" borderId="0" xfId="0" applyFont="1" applyFill="1"/>
    <xf numFmtId="0" fontId="58" fillId="0" borderId="0" xfId="0" applyFont="1" applyBorder="1"/>
    <xf numFmtId="41" fontId="61" fillId="0" borderId="0" xfId="0" applyNumberFormat="1" applyFont="1" applyFill="1" applyBorder="1" applyAlignment="1"/>
    <xf numFmtId="0" fontId="63" fillId="0" borderId="0" xfId="0" applyFont="1" applyAlignment="1">
      <alignment horizontal="center" vertical="center"/>
    </xf>
    <xf numFmtId="170" fontId="63" fillId="0" borderId="0" xfId="0" applyNumberFormat="1" applyFont="1" applyAlignment="1">
      <alignment horizontal="center" vertical="center"/>
    </xf>
    <xf numFmtId="1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vertical="center"/>
    </xf>
    <xf numFmtId="170" fontId="62" fillId="12" borderId="5" xfId="0" applyNumberFormat="1" applyFont="1" applyFill="1" applyBorder="1" applyAlignment="1">
      <alignment horizontal="center" vertical="center"/>
    </xf>
    <xf numFmtId="1" fontId="62" fillId="12" borderId="5" xfId="0" applyNumberFormat="1" applyFont="1" applyFill="1" applyBorder="1" applyAlignment="1">
      <alignment horizontal="center" vertical="center"/>
    </xf>
    <xf numFmtId="0" fontId="63" fillId="0" borderId="8" xfId="0" applyFont="1" applyBorder="1" applyAlignment="1">
      <alignment horizontal="center" vertical="center"/>
    </xf>
    <xf numFmtId="0" fontId="0" fillId="0" borderId="0" xfId="0" applyNumberFormat="1"/>
    <xf numFmtId="41" fontId="62" fillId="0" borderId="0" xfId="0" applyNumberFormat="1" applyFont="1" applyFill="1" applyBorder="1" applyAlignment="1"/>
    <xf numFmtId="0" fontId="63" fillId="0" borderId="0" xfId="0" applyFont="1" applyFill="1"/>
    <xf numFmtId="41" fontId="63" fillId="0" borderId="0" xfId="0" applyNumberFormat="1" applyFont="1" applyFill="1"/>
    <xf numFmtId="41" fontId="63" fillId="0" borderId="0" xfId="0" applyNumberFormat="1" applyFont="1"/>
    <xf numFmtId="41" fontId="65" fillId="0" borderId="0" xfId="0" applyNumberFormat="1" applyFont="1" applyFill="1" applyBorder="1" applyAlignment="1">
      <alignment horizontal="center"/>
    </xf>
    <xf numFmtId="10" fontId="66" fillId="0" borderId="0" xfId="155" applyNumberFormat="1" applyFont="1" applyFill="1" applyAlignment="1">
      <alignment horizontal="center"/>
    </xf>
    <xf numFmtId="41" fontId="66" fillId="0" borderId="0" xfId="155" applyNumberFormat="1" applyFont="1" applyFill="1" applyAlignment="1">
      <alignment horizontal="center"/>
    </xf>
    <xf numFmtId="10" fontId="66" fillId="0" borderId="0" xfId="155" applyNumberFormat="1" applyFont="1" applyAlignment="1">
      <alignment horizontal="center"/>
    </xf>
    <xf numFmtId="41" fontId="65" fillId="0" borderId="0" xfId="0" applyNumberFormat="1" applyFont="1" applyFill="1" applyBorder="1" applyAlignment="1"/>
    <xf numFmtId="41" fontId="66" fillId="0" borderId="0" xfId="0" applyNumberFormat="1" applyFont="1" applyFill="1"/>
    <xf numFmtId="41" fontId="66" fillId="0" borderId="0" xfId="0" applyNumberFormat="1" applyFont="1"/>
    <xf numFmtId="2" fontId="65" fillId="0" borderId="0" xfId="0" applyNumberFormat="1" applyFont="1" applyFill="1" applyBorder="1" applyAlignment="1">
      <alignment horizontal="center"/>
    </xf>
    <xf numFmtId="2" fontId="66" fillId="0" borderId="0" xfId="0" applyNumberFormat="1" applyFont="1" applyFill="1" applyAlignment="1">
      <alignment horizontal="center"/>
    </xf>
    <xf numFmtId="2" fontId="66" fillId="0" borderId="0" xfId="0" applyNumberFormat="1" applyFont="1" applyAlignment="1">
      <alignment horizontal="center"/>
    </xf>
    <xf numFmtId="0" fontId="6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167" fontId="53" fillId="12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167" fontId="0" fillId="0" borderId="0" xfId="0" applyNumberFormat="1" applyFont="1" applyAlignment="1">
      <alignment horizontal="center"/>
    </xf>
    <xf numFmtId="3" fontId="0" fillId="0" borderId="0" xfId="0" applyNumberFormat="1"/>
    <xf numFmtId="3" fontId="53" fillId="0" borderId="5" xfId="0" applyNumberFormat="1" applyFont="1" applyBorder="1"/>
    <xf numFmtId="0" fontId="53" fillId="0" borderId="0" xfId="0" applyFont="1"/>
    <xf numFmtId="3" fontId="58" fillId="0" borderId="0" xfId="0" applyNumberFormat="1" applyFont="1"/>
    <xf numFmtId="1" fontId="0" fillId="0" borderId="0" xfId="0" applyNumberFormat="1"/>
    <xf numFmtId="9" fontId="0" fillId="0" borderId="8" xfId="0" applyNumberFormat="1" applyBorder="1" applyAlignment="1">
      <alignment horizontal="center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9" fontId="0" fillId="0" borderId="8" xfId="0" applyNumberFormat="1" applyBorder="1" applyAlignment="1">
      <alignment vertical="top" wrapText="1"/>
    </xf>
    <xf numFmtId="9" fontId="0" fillId="0" borderId="10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0" xfId="0" applyNumberFormat="1" applyBorder="1" applyAlignment="1">
      <alignment horizontal="center" vertical="top" wrapText="1"/>
    </xf>
    <xf numFmtId="3" fontId="53" fillId="0" borderId="1" xfId="0" applyNumberFormat="1" applyFont="1" applyBorder="1" applyAlignment="1">
      <alignment vertical="top" wrapText="1"/>
    </xf>
    <xf numFmtId="9" fontId="53" fillId="0" borderId="1" xfId="0" applyNumberFormat="1" applyFont="1" applyBorder="1" applyAlignment="1">
      <alignment vertical="top" wrapText="1"/>
    </xf>
    <xf numFmtId="0" fontId="53" fillId="0" borderId="10" xfId="0" applyFont="1" applyBorder="1" applyAlignment="1">
      <alignment vertical="top" wrapText="1"/>
    </xf>
    <xf numFmtId="3" fontId="0" fillId="0" borderId="11" xfId="0" applyNumberForma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3" fontId="0" fillId="0" borderId="0" xfId="0" applyNumberFormat="1" applyBorder="1" applyAlignment="1">
      <alignment vertical="top" wrapText="1"/>
    </xf>
    <xf numFmtId="3" fontId="0" fillId="0" borderId="12" xfId="0" applyNumberFormat="1" applyBorder="1" applyAlignment="1">
      <alignment vertical="top" wrapText="1"/>
    </xf>
    <xf numFmtId="3" fontId="0" fillId="0" borderId="13" xfId="0" applyNumberFormat="1" applyBorder="1" applyAlignment="1">
      <alignment vertical="top" wrapText="1"/>
    </xf>
    <xf numFmtId="3" fontId="0" fillId="0" borderId="14" xfId="0" applyNumberFormat="1" applyBorder="1" applyAlignment="1">
      <alignment vertical="top" wrapText="1"/>
    </xf>
    <xf numFmtId="3" fontId="0" fillId="0" borderId="6" xfId="0" applyNumberFormat="1" applyBorder="1" applyAlignment="1">
      <alignment vertical="top" wrapText="1"/>
    </xf>
    <xf numFmtId="0" fontId="0" fillId="0" borderId="14" xfId="0" applyBorder="1" applyAlignment="1">
      <alignment vertical="top" wrapText="1"/>
    </xf>
    <xf numFmtId="3" fontId="53" fillId="0" borderId="10" xfId="0" applyNumberFormat="1" applyFont="1" applyBorder="1" applyAlignment="1">
      <alignment vertical="top" wrapText="1"/>
    </xf>
    <xf numFmtId="9" fontId="53" fillId="0" borderId="10" xfId="0" applyNumberFormat="1" applyFont="1" applyBorder="1" applyAlignment="1">
      <alignment vertical="top" wrapText="1"/>
    </xf>
    <xf numFmtId="0" fontId="68" fillId="0" borderId="6" xfId="121" applyFont="1" applyBorder="1"/>
    <xf numFmtId="0" fontId="68" fillId="0" borderId="0" xfId="121" applyFont="1"/>
    <xf numFmtId="0" fontId="1" fillId="0" borderId="0" xfId="87"/>
    <xf numFmtId="0" fontId="11" fillId="0" borderId="0" xfId="87" applyFont="1" applyBorder="1" applyAlignment="1">
      <alignment horizontal="center"/>
    </xf>
    <xf numFmtId="0" fontId="1" fillId="0" borderId="15" xfId="87" applyBorder="1"/>
    <xf numFmtId="0" fontId="1" fillId="0" borderId="0" xfId="87" applyBorder="1"/>
    <xf numFmtId="0" fontId="1" fillId="0" borderId="14" xfId="87" applyBorder="1"/>
    <xf numFmtId="3" fontId="1" fillId="0" borderId="15" xfId="87" applyNumberFormat="1" applyBorder="1"/>
    <xf numFmtId="3" fontId="1" fillId="0" borderId="0" xfId="87" applyNumberFormat="1" applyBorder="1"/>
    <xf numFmtId="0" fontId="1" fillId="0" borderId="5" xfId="87" applyBorder="1"/>
    <xf numFmtId="3" fontId="1" fillId="0" borderId="5" xfId="87" applyNumberFormat="1" applyBorder="1"/>
    <xf numFmtId="0" fontId="31" fillId="0" borderId="0" xfId="87" applyFont="1" applyBorder="1"/>
    <xf numFmtId="10" fontId="31" fillId="0" borderId="14" xfId="89" applyNumberFormat="1" applyFont="1" applyFill="1" applyBorder="1" applyAlignment="1" applyProtection="1"/>
    <xf numFmtId="10" fontId="1" fillId="0" borderId="5" xfId="87" applyNumberFormat="1" applyBorder="1"/>
    <xf numFmtId="10" fontId="48" fillId="0" borderId="5" xfId="89" applyNumberFormat="1" applyFont="1" applyFill="1" applyBorder="1" applyAlignment="1" applyProtection="1">
      <alignment horizontal="center"/>
    </xf>
    <xf numFmtId="1" fontId="32" fillId="8" borderId="5" xfId="87" applyNumberFormat="1" applyFont="1" applyFill="1" applyBorder="1"/>
    <xf numFmtId="10" fontId="1" fillId="4" borderId="14" xfId="87" applyNumberFormat="1" applyFill="1" applyBorder="1"/>
    <xf numFmtId="10" fontId="1" fillId="4" borderId="0" xfId="87" applyNumberFormat="1" applyFill="1" applyBorder="1"/>
    <xf numFmtId="1" fontId="1" fillId="0" borderId="5" xfId="87" applyNumberFormat="1" applyBorder="1"/>
    <xf numFmtId="0" fontId="1" fillId="0" borderId="16" xfId="87" applyBorder="1"/>
    <xf numFmtId="0" fontId="1" fillId="0" borderId="6" xfId="87" applyBorder="1"/>
    <xf numFmtId="0" fontId="1" fillId="0" borderId="11" xfId="87" applyBorder="1"/>
    <xf numFmtId="0" fontId="48" fillId="0" borderId="5" xfId="87" applyFont="1" applyBorder="1" applyAlignment="1">
      <alignment horizontal="center"/>
    </xf>
    <xf numFmtId="0" fontId="48" fillId="0" borderId="0" xfId="87" applyFont="1" applyBorder="1" applyAlignment="1">
      <alignment horizontal="center"/>
    </xf>
    <xf numFmtId="3" fontId="1" fillId="13" borderId="5" xfId="87" applyNumberFormat="1" applyFont="1" applyFill="1" applyBorder="1" applyAlignment="1">
      <alignment horizontal="center"/>
    </xf>
    <xf numFmtId="0" fontId="1" fillId="13" borderId="5" xfId="87" applyFont="1" applyFill="1" applyBorder="1" applyAlignment="1">
      <alignment horizontal="center"/>
    </xf>
    <xf numFmtId="0" fontId="48" fillId="0" borderId="17" xfId="87" applyFont="1" applyFill="1" applyBorder="1" applyAlignment="1">
      <alignment horizontal="center"/>
    </xf>
    <xf numFmtId="0" fontId="48" fillId="0" borderId="18" xfId="87" applyFont="1" applyFill="1" applyBorder="1" applyAlignment="1">
      <alignment horizontal="center"/>
    </xf>
    <xf numFmtId="3" fontId="48" fillId="0" borderId="5" xfId="87" applyNumberFormat="1" applyFont="1" applyBorder="1" applyAlignment="1">
      <alignment horizontal="center"/>
    </xf>
    <xf numFmtId="3" fontId="1" fillId="12" borderId="5" xfId="87" applyNumberFormat="1" applyFont="1" applyFill="1" applyBorder="1" applyAlignment="1">
      <alignment horizontal="center"/>
    </xf>
    <xf numFmtId="3" fontId="1" fillId="12" borderId="5" xfId="87" applyNumberFormat="1" applyFont="1" applyFill="1" applyBorder="1" applyAlignment="1">
      <alignment horizontal="right"/>
    </xf>
    <xf numFmtId="0" fontId="1" fillId="12" borderId="5" xfId="87" applyFont="1" applyFill="1" applyBorder="1" applyAlignment="1">
      <alignment horizontal="center"/>
    </xf>
    <xf numFmtId="197" fontId="1" fillId="0" borderId="5" xfId="87" applyNumberFormat="1" applyBorder="1"/>
    <xf numFmtId="197" fontId="1" fillId="0" borderId="0" xfId="87" applyNumberFormat="1" applyBorder="1"/>
    <xf numFmtId="167" fontId="48" fillId="0" borderId="5" xfId="87" applyNumberFormat="1" applyFont="1" applyBorder="1" applyAlignment="1">
      <alignment horizontal="center"/>
    </xf>
    <xf numFmtId="3" fontId="1" fillId="0" borderId="0" xfId="87" applyNumberFormat="1"/>
    <xf numFmtId="167" fontId="1" fillId="12" borderId="5" xfId="87" applyNumberFormat="1" applyFont="1" applyFill="1" applyBorder="1" applyAlignment="1">
      <alignment horizontal="center"/>
    </xf>
    <xf numFmtId="3" fontId="1" fillId="12" borderId="5" xfId="87" applyNumberFormat="1" applyFill="1" applyBorder="1"/>
    <xf numFmtId="0" fontId="1" fillId="0" borderId="5" xfId="87" applyFill="1" applyBorder="1"/>
    <xf numFmtId="3" fontId="1" fillId="0" borderId="5" xfId="87" applyNumberFormat="1" applyFill="1" applyBorder="1"/>
    <xf numFmtId="197" fontId="1" fillId="0" borderId="5" xfId="87" applyNumberFormat="1" applyFill="1" applyBorder="1"/>
    <xf numFmtId="197" fontId="1" fillId="0" borderId="0" xfId="87" applyNumberFormat="1" applyFill="1" applyBorder="1"/>
    <xf numFmtId="3" fontId="1" fillId="0" borderId="0" xfId="87" applyNumberFormat="1" applyFill="1"/>
    <xf numFmtId="3" fontId="1" fillId="10" borderId="5" xfId="87" applyNumberFormat="1" applyFill="1" applyBorder="1"/>
    <xf numFmtId="3" fontId="1" fillId="0" borderId="19" xfId="87" applyNumberFormat="1" applyBorder="1"/>
    <xf numFmtId="3" fontId="1" fillId="4" borderId="0" xfId="87" applyNumberFormat="1" applyFill="1" applyBorder="1"/>
    <xf numFmtId="3" fontId="48" fillId="0" borderId="0" xfId="87" applyNumberFormat="1" applyFont="1" applyBorder="1" applyAlignment="1">
      <alignment horizontal="center"/>
    </xf>
    <xf numFmtId="10" fontId="1" fillId="0" borderId="0" xfId="87" applyNumberFormat="1"/>
    <xf numFmtId="0" fontId="0" fillId="0" borderId="0" xfId="0" applyNumberFormat="1" applyBorder="1"/>
    <xf numFmtId="9" fontId="53" fillId="15" borderId="5" xfId="0" applyNumberFormat="1" applyFont="1" applyFill="1" applyBorder="1"/>
    <xf numFmtId="9" fontId="53" fillId="15" borderId="10" xfId="0" applyNumberFormat="1" applyFont="1" applyFill="1" applyBorder="1" applyAlignment="1">
      <alignment vertical="top" wrapText="1"/>
    </xf>
    <xf numFmtId="3" fontId="0" fillId="0" borderId="8" xfId="0" applyNumberFormat="1" applyBorder="1" applyAlignment="1">
      <alignment vertical="top" wrapText="1"/>
    </xf>
    <xf numFmtId="0" fontId="0" fillId="0" borderId="0" xfId="0" applyFont="1" applyAlignment="1">
      <alignment vertical="center"/>
    </xf>
    <xf numFmtId="0" fontId="53" fillId="0" borderId="0" xfId="0" applyFont="1" applyFill="1" applyBorder="1" applyAlignment="1">
      <alignment horizontal="left" vertical="center"/>
    </xf>
    <xf numFmtId="165" fontId="0" fillId="0" borderId="0" xfId="0" applyNumberFormat="1" applyFont="1" applyBorder="1" applyAlignment="1">
      <alignment horizontal="center"/>
    </xf>
    <xf numFmtId="0" fontId="69" fillId="0" borderId="5" xfId="0" applyFont="1" applyBorder="1" applyAlignment="1">
      <alignment horizontal="center" vertical="center"/>
    </xf>
    <xf numFmtId="0" fontId="69" fillId="0" borderId="5" xfId="0" applyFont="1" applyBorder="1" applyAlignment="1">
      <alignment vertical="center"/>
    </xf>
    <xf numFmtId="0" fontId="69" fillId="0" borderId="5" xfId="0" applyFont="1" applyFill="1" applyBorder="1" applyAlignment="1">
      <alignment vertical="center" wrapText="1"/>
    </xf>
    <xf numFmtId="0" fontId="69" fillId="0" borderId="0" xfId="0" applyFont="1"/>
    <xf numFmtId="0" fontId="69" fillId="0" borderId="0" xfId="0" applyFont="1" applyAlignment="1">
      <alignment horizontal="center"/>
    </xf>
    <xf numFmtId="0" fontId="69" fillId="0" borderId="5" xfId="0" applyFont="1" applyBorder="1"/>
    <xf numFmtId="0" fontId="57" fillId="0" borderId="5" xfId="0" applyFont="1" applyBorder="1"/>
    <xf numFmtId="0" fontId="69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vertical="center"/>
    </xf>
    <xf numFmtId="0" fontId="69" fillId="0" borderId="0" xfId="0" quotePrefix="1" applyFont="1" applyBorder="1" applyAlignment="1">
      <alignment horizontal="left" vertical="center"/>
    </xf>
    <xf numFmtId="0" fontId="69" fillId="0" borderId="0" xfId="0" applyFont="1" applyBorder="1" applyAlignment="1">
      <alignment horizontal="left" vertical="center"/>
    </xf>
    <xf numFmtId="167" fontId="69" fillId="0" borderId="0" xfId="0" applyNumberFormat="1" applyFont="1" applyBorder="1" applyAlignment="1">
      <alignment horizontal="center" vertical="center"/>
    </xf>
    <xf numFmtId="0" fontId="69" fillId="0" borderId="0" xfId="0" applyFont="1" applyFill="1" applyBorder="1" applyAlignment="1">
      <alignment vertical="center" wrapText="1"/>
    </xf>
    <xf numFmtId="165" fontId="69" fillId="0" borderId="0" xfId="0" applyNumberFormat="1" applyFont="1" applyBorder="1" applyAlignment="1">
      <alignment horizontal="center"/>
    </xf>
    <xf numFmtId="167" fontId="69" fillId="0" borderId="0" xfId="0" applyNumberFormat="1" applyFont="1" applyAlignment="1">
      <alignment horizontal="center"/>
    </xf>
    <xf numFmtId="0" fontId="69" fillId="4" borderId="0" xfId="121" applyFont="1" applyFill="1"/>
    <xf numFmtId="166" fontId="69" fillId="4" borderId="0" xfId="49" applyNumberFormat="1" applyFont="1" applyFill="1"/>
    <xf numFmtId="0" fontId="57" fillId="12" borderId="5" xfId="121" applyFont="1" applyFill="1" applyBorder="1" applyAlignment="1">
      <alignment vertical="center"/>
    </xf>
    <xf numFmtId="0" fontId="57" fillId="12" borderId="5" xfId="121" applyFont="1" applyFill="1" applyBorder="1" applyAlignment="1">
      <alignment horizontal="center" vertical="center"/>
    </xf>
    <xf numFmtId="169" fontId="57" fillId="12" borderId="5" xfId="121" applyNumberFormat="1" applyFont="1" applyFill="1" applyBorder="1" applyAlignment="1">
      <alignment vertical="center"/>
    </xf>
    <xf numFmtId="10" fontId="57" fillId="12" borderId="5" xfId="121" applyNumberFormat="1" applyFont="1" applyFill="1" applyBorder="1" applyAlignment="1">
      <alignment horizontal="center" vertical="center"/>
    </xf>
    <xf numFmtId="0" fontId="69" fillId="0" borderId="0" xfId="121" applyFont="1"/>
    <xf numFmtId="0" fontId="55" fillId="12" borderId="8" xfId="121" applyFont="1" applyFill="1" applyBorder="1" applyAlignment="1">
      <alignment horizontal="center" vertical="center"/>
    </xf>
    <xf numFmtId="0" fontId="69" fillId="0" borderId="6" xfId="121" applyFont="1" applyBorder="1"/>
    <xf numFmtId="169" fontId="69" fillId="0" borderId="0" xfId="121" applyNumberFormat="1" applyFont="1" applyFill="1" applyBorder="1" applyAlignment="1">
      <alignment vertical="center"/>
    </xf>
    <xf numFmtId="169" fontId="69" fillId="0" borderId="0" xfId="121" applyNumberFormat="1" applyFont="1"/>
    <xf numFmtId="0" fontId="55" fillId="0" borderId="0" xfId="121" applyFont="1"/>
    <xf numFmtId="0" fontId="55" fillId="14" borderId="5" xfId="121" applyFont="1" applyFill="1" applyBorder="1" applyAlignment="1">
      <alignment horizontal="center" vertical="center"/>
    </xf>
    <xf numFmtId="0" fontId="57" fillId="14" borderId="5" xfId="121" applyFont="1" applyFill="1" applyBorder="1" applyAlignment="1">
      <alignment horizontal="center" vertical="center" wrapText="1"/>
    </xf>
    <xf numFmtId="0" fontId="62" fillId="0" borderId="0" xfId="0" applyFont="1" applyBorder="1" applyAlignment="1">
      <alignment vertical="center"/>
    </xf>
    <xf numFmtId="170" fontId="63" fillId="0" borderId="0" xfId="0" applyNumberFormat="1" applyFont="1" applyBorder="1" applyAlignment="1">
      <alignment vertical="center"/>
    </xf>
    <xf numFmtId="3" fontId="62" fillId="12" borderId="5" xfId="0" applyNumberFormat="1" applyFont="1" applyFill="1" applyBorder="1" applyAlignment="1">
      <alignment horizontal="right" vertical="center"/>
    </xf>
    <xf numFmtId="0" fontId="63" fillId="14" borderId="0" xfId="0" applyFont="1" applyFill="1" applyAlignment="1">
      <alignment vertical="center"/>
    </xf>
    <xf numFmtId="0" fontId="62" fillId="14" borderId="0" xfId="0" applyFont="1" applyFill="1" applyBorder="1" applyAlignment="1">
      <alignment horizontal="center" vertical="center"/>
    </xf>
    <xf numFmtId="3" fontId="62" fillId="14" borderId="0" xfId="0" applyNumberFormat="1" applyFont="1" applyFill="1" applyBorder="1" applyAlignment="1">
      <alignment horizontal="right" vertical="center"/>
    </xf>
    <xf numFmtId="1" fontId="62" fillId="14" borderId="0" xfId="0" applyNumberFormat="1" applyFont="1" applyFill="1" applyBorder="1" applyAlignment="1">
      <alignment horizontal="center" vertical="center"/>
    </xf>
    <xf numFmtId="0" fontId="67" fillId="0" borderId="0" xfId="0" applyFont="1"/>
    <xf numFmtId="0" fontId="67" fillId="0" borderId="5" xfId="0" applyFont="1" applyBorder="1" applyAlignment="1">
      <alignment horizontal="center"/>
    </xf>
    <xf numFmtId="0" fontId="70" fillId="0" borderId="0" xfId="0" applyFont="1"/>
    <xf numFmtId="3" fontId="53" fillId="0" borderId="5" xfId="0" applyNumberFormat="1" applyFont="1" applyBorder="1" applyAlignment="1">
      <alignment horizontal="right"/>
    </xf>
    <xf numFmtId="168" fontId="53" fillId="0" borderId="5" xfId="0" applyNumberFormat="1" applyFont="1" applyBorder="1"/>
    <xf numFmtId="3" fontId="0" fillId="0" borderId="1" xfId="0" applyNumberFormat="1" applyBorder="1" applyAlignment="1">
      <alignment vertical="top" wrapText="1"/>
    </xf>
    <xf numFmtId="3" fontId="53" fillId="0" borderId="16" xfId="0" applyNumberFormat="1" applyFont="1" applyBorder="1" applyAlignment="1">
      <alignment vertical="top" wrapText="1"/>
    </xf>
    <xf numFmtId="0" fontId="0" fillId="14" borderId="8" xfId="0" applyFill="1" applyBorder="1"/>
    <xf numFmtId="0" fontId="0" fillId="14" borderId="10" xfId="0" applyFill="1" applyBorder="1"/>
    <xf numFmtId="0" fontId="53" fillId="14" borderId="1" xfId="0" applyFont="1" applyFill="1" applyBorder="1" applyAlignment="1">
      <alignment vertical="top" wrapText="1"/>
    </xf>
    <xf numFmtId="3" fontId="0" fillId="0" borderId="15" xfId="0" applyNumberForma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53" fillId="0" borderId="1" xfId="0" applyFont="1" applyBorder="1" applyAlignment="1">
      <alignment vertical="top" wrapText="1"/>
    </xf>
    <xf numFmtId="0" fontId="11" fillId="13" borderId="5" xfId="87" applyFont="1" applyFill="1" applyBorder="1" applyAlignment="1">
      <alignment horizontal="center"/>
    </xf>
    <xf numFmtId="0" fontId="57" fillId="12" borderId="5" xfId="0" applyFont="1" applyFill="1" applyBorder="1" applyAlignment="1">
      <alignment horizontal="center"/>
    </xf>
    <xf numFmtId="0" fontId="57" fillId="12" borderId="5" xfId="0" quotePrefix="1" applyFont="1" applyFill="1" applyBorder="1" applyAlignment="1">
      <alignment horizontal="center"/>
    </xf>
    <xf numFmtId="0" fontId="70" fillId="12" borderId="5" xfId="0" applyFont="1" applyFill="1" applyBorder="1" applyAlignment="1">
      <alignment horizontal="center"/>
    </xf>
    <xf numFmtId="3" fontId="70" fillId="12" borderId="5" xfId="0" applyNumberFormat="1" applyFont="1" applyFill="1" applyBorder="1" applyAlignment="1">
      <alignment horizontal="center"/>
    </xf>
    <xf numFmtId="0" fontId="58" fillId="14" borderId="0" xfId="0" applyFont="1" applyFill="1" applyBorder="1"/>
    <xf numFmtId="0" fontId="0" fillId="0" borderId="0" xfId="0" applyBorder="1"/>
    <xf numFmtId="0" fontId="0" fillId="14" borderId="0" xfId="0" applyFill="1" applyBorder="1"/>
    <xf numFmtId="3" fontId="67" fillId="14" borderId="0" xfId="22" applyNumberFormat="1" applyFont="1" applyFill="1" applyBorder="1" applyAlignment="1">
      <alignment horizontal="right"/>
    </xf>
    <xf numFmtId="3" fontId="70" fillId="14" borderId="0" xfId="22" applyNumberFormat="1" applyFont="1" applyFill="1" applyBorder="1" applyAlignment="1">
      <alignment horizontal="right"/>
    </xf>
    <xf numFmtId="0" fontId="61" fillId="14" borderId="0" xfId="0" applyNumberFormat="1" applyFont="1" applyFill="1" applyBorder="1" applyAlignment="1">
      <alignment horizontal="left"/>
    </xf>
    <xf numFmtId="0" fontId="61" fillId="14" borderId="0" xfId="0" applyNumberFormat="1" applyFont="1" applyFill="1" applyBorder="1"/>
    <xf numFmtId="0" fontId="58" fillId="14" borderId="0" xfId="0" applyNumberFormat="1" applyFont="1" applyFill="1" applyBorder="1" applyAlignment="1">
      <alignment horizontal="left"/>
    </xf>
    <xf numFmtId="0" fontId="58" fillId="14" borderId="0" xfId="0" applyFont="1" applyFill="1" applyBorder="1" applyAlignment="1">
      <alignment horizontal="center"/>
    </xf>
    <xf numFmtId="0" fontId="62" fillId="14" borderId="0" xfId="0" applyFont="1" applyFill="1" applyBorder="1"/>
    <xf numFmtId="0" fontId="62" fillId="14" borderId="0" xfId="0" applyNumberFormat="1" applyFont="1" applyFill="1" applyBorder="1" applyAlignment="1">
      <alignment horizontal="left"/>
    </xf>
    <xf numFmtId="3" fontId="70" fillId="16" borderId="24" xfId="22" applyNumberFormat="1" applyFont="1" applyFill="1" applyBorder="1" applyAlignment="1">
      <alignment horizontal="right"/>
    </xf>
    <xf numFmtId="3" fontId="57" fillId="14" borderId="25" xfId="22" applyNumberFormat="1" applyFont="1" applyFill="1" applyBorder="1" applyAlignment="1">
      <alignment horizontal="right"/>
    </xf>
    <xf numFmtId="3" fontId="57" fillId="14" borderId="26" xfId="22" applyNumberFormat="1" applyFont="1" applyFill="1" applyBorder="1" applyAlignment="1">
      <alignment horizontal="right"/>
    </xf>
    <xf numFmtId="3" fontId="69" fillId="14" borderId="0" xfId="22" applyNumberFormat="1" applyFont="1" applyFill="1" applyBorder="1" applyAlignment="1">
      <alignment horizontal="right"/>
    </xf>
    <xf numFmtId="168" fontId="69" fillId="14" borderId="27" xfId="22" applyNumberFormat="1" applyFont="1" applyFill="1" applyBorder="1" applyAlignment="1">
      <alignment horizontal="right"/>
    </xf>
    <xf numFmtId="3" fontId="69" fillId="14" borderId="4" xfId="22" applyNumberFormat="1" applyFont="1" applyFill="1" applyBorder="1" applyAlignment="1">
      <alignment horizontal="right"/>
    </xf>
    <xf numFmtId="168" fontId="69" fillId="14" borderId="28" xfId="22" applyNumberFormat="1" applyFont="1" applyFill="1" applyBorder="1" applyAlignment="1">
      <alignment horizontal="right"/>
    </xf>
    <xf numFmtId="0" fontId="69" fillId="14" borderId="0" xfId="0" applyFont="1" applyFill="1" applyBorder="1"/>
    <xf numFmtId="3" fontId="69" fillId="14" borderId="0" xfId="0" applyNumberFormat="1" applyFont="1" applyFill="1" applyBorder="1" applyAlignment="1">
      <alignment horizontal="right"/>
    </xf>
    <xf numFmtId="41" fontId="69" fillId="14" borderId="0" xfId="0" applyNumberFormat="1" applyFont="1" applyFill="1" applyBorder="1"/>
    <xf numFmtId="3" fontId="57" fillId="16" borderId="4" xfId="0" applyNumberFormat="1" applyFont="1" applyFill="1" applyBorder="1" applyAlignment="1">
      <alignment horizontal="center" vertical="center"/>
    </xf>
    <xf numFmtId="3" fontId="57" fillId="16" borderId="29" xfId="0" applyNumberFormat="1" applyFont="1" applyFill="1" applyBorder="1" applyAlignment="1">
      <alignment horizontal="center" vertical="center"/>
    </xf>
    <xf numFmtId="0" fontId="0" fillId="14" borderId="0" xfId="0" applyFill="1" applyBorder="1" applyAlignment="1">
      <alignment horizontal="right"/>
    </xf>
    <xf numFmtId="0" fontId="58" fillId="14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1" fillId="13" borderId="5" xfId="87" applyFont="1" applyFill="1" applyBorder="1" applyAlignment="1">
      <alignment horizontal="center"/>
    </xf>
    <xf numFmtId="0" fontId="53" fillId="0" borderId="14" xfId="0" applyFont="1" applyBorder="1" applyAlignment="1">
      <alignment horizontal="left" vertical="top" wrapText="1"/>
    </xf>
    <xf numFmtId="0" fontId="53" fillId="0" borderId="11" xfId="0" applyFont="1" applyBorder="1" applyAlignment="1">
      <alignment horizontal="left" vertical="top" wrapText="1"/>
    </xf>
    <xf numFmtId="0" fontId="55" fillId="14" borderId="0" xfId="121" applyFont="1" applyFill="1" applyBorder="1" applyAlignment="1">
      <alignment horizontal="center" vertical="center"/>
    </xf>
    <xf numFmtId="0" fontId="54" fillId="0" borderId="0" xfId="121" applyFont="1" applyBorder="1" applyAlignment="1">
      <alignment horizontal="left"/>
    </xf>
    <xf numFmtId="3" fontId="54" fillId="0" borderId="0" xfId="121" applyNumberFormat="1" applyFont="1" applyBorder="1"/>
    <xf numFmtId="0" fontId="63" fillId="0" borderId="0" xfId="0" applyFont="1" applyBorder="1"/>
    <xf numFmtId="0" fontId="57" fillId="0" borderId="0" xfId="121" applyFont="1" applyFill="1" applyBorder="1" applyAlignment="1">
      <alignment vertical="center"/>
    </xf>
    <xf numFmtId="0" fontId="57" fillId="0" borderId="0" xfId="121" applyFont="1" applyFill="1" applyBorder="1" applyAlignment="1">
      <alignment horizontal="center" vertical="center"/>
    </xf>
    <xf numFmtId="169" fontId="57" fillId="0" borderId="0" xfId="121" applyNumberFormat="1" applyFont="1" applyFill="1" applyBorder="1" applyAlignment="1">
      <alignment vertical="center"/>
    </xf>
    <xf numFmtId="10" fontId="57" fillId="0" borderId="0" xfId="121" applyNumberFormat="1" applyFont="1" applyFill="1" applyBorder="1" applyAlignment="1">
      <alignment horizontal="center" vertical="center"/>
    </xf>
    <xf numFmtId="0" fontId="57" fillId="0" borderId="0" xfId="121" applyFont="1" applyFill="1" applyBorder="1" applyAlignment="1">
      <alignment horizontal="center" vertical="center" wrapText="1"/>
    </xf>
    <xf numFmtId="169" fontId="57" fillId="0" borderId="0" xfId="121" applyNumberFormat="1" applyFont="1" applyFill="1" applyBorder="1" applyAlignment="1">
      <alignment horizontal="center" vertical="center" wrapText="1"/>
    </xf>
    <xf numFmtId="0" fontId="69" fillId="0" borderId="0" xfId="121" applyFont="1" applyFill="1"/>
    <xf numFmtId="0" fontId="55" fillId="12" borderId="8" xfId="121" applyFont="1" applyFill="1" applyBorder="1" applyAlignment="1">
      <alignment horizontal="center" vertical="center" wrapText="1"/>
    </xf>
    <xf numFmtId="1" fontId="72" fillId="8" borderId="5" xfId="87" applyNumberFormat="1" applyFont="1" applyFill="1" applyBorder="1"/>
    <xf numFmtId="0" fontId="67" fillId="0" borderId="0" xfId="0" applyFont="1" applyAlignment="1">
      <alignment vertical="center"/>
    </xf>
    <xf numFmtId="0" fontId="0" fillId="0" borderId="1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9" fontId="0" fillId="0" borderId="12" xfId="0" applyNumberFormat="1" applyBorder="1" applyAlignment="1">
      <alignment horizontal="center" vertical="top" wrapText="1"/>
    </xf>
    <xf numFmtId="9" fontId="0" fillId="0" borderId="6" xfId="0" applyNumberFormat="1" applyBorder="1" applyAlignment="1">
      <alignment horizontal="center" vertical="top" wrapText="1"/>
    </xf>
    <xf numFmtId="10" fontId="58" fillId="0" borderId="0" xfId="0" applyNumberFormat="1" applyFont="1"/>
    <xf numFmtId="10" fontId="60" fillId="0" borderId="0" xfId="0" applyNumberFormat="1" applyFont="1"/>
    <xf numFmtId="3" fontId="72" fillId="8" borderId="5" xfId="87" applyNumberFormat="1" applyFont="1" applyFill="1" applyBorder="1"/>
    <xf numFmtId="195" fontId="48" fillId="13" borderId="5" xfId="87" applyNumberFormat="1" applyFont="1" applyFill="1" applyBorder="1"/>
    <xf numFmtId="0" fontId="0" fillId="0" borderId="1" xfId="0" applyBorder="1"/>
    <xf numFmtId="168" fontId="67" fillId="12" borderId="5" xfId="0" applyNumberFormat="1" applyFont="1" applyFill="1" applyBorder="1" applyAlignment="1" applyProtection="1">
      <alignment horizontal="center"/>
      <protection hidden="1"/>
    </xf>
    <xf numFmtId="3" fontId="67" fillId="0" borderId="5" xfId="0" applyNumberFormat="1" applyFont="1" applyFill="1" applyBorder="1" applyAlignment="1" applyProtection="1">
      <alignment horizontal="right"/>
      <protection hidden="1"/>
    </xf>
    <xf numFmtId="3" fontId="70" fillId="0" borderId="5" xfId="0" applyNumberFormat="1" applyFont="1" applyFill="1" applyBorder="1" applyAlignment="1" applyProtection="1">
      <alignment horizontal="right"/>
      <protection hidden="1"/>
    </xf>
    <xf numFmtId="168" fontId="70" fillId="12" borderId="5" xfId="0" applyNumberFormat="1" applyFont="1" applyFill="1" applyBorder="1" applyAlignment="1" applyProtection="1">
      <alignment horizontal="center"/>
      <protection hidden="1"/>
    </xf>
    <xf numFmtId="3" fontId="70" fillId="0" borderId="5" xfId="0" applyNumberFormat="1" applyFont="1" applyFill="1" applyBorder="1" applyAlignment="1" applyProtection="1">
      <alignment horizontal="right" vertical="center" wrapText="1"/>
      <protection hidden="1"/>
    </xf>
    <xf numFmtId="41" fontId="62" fillId="12" borderId="10" xfId="0" applyNumberFormat="1" applyFont="1" applyFill="1" applyBorder="1" applyAlignment="1">
      <alignment horizontal="center" vertical="center" wrapText="1"/>
    </xf>
    <xf numFmtId="41" fontId="70" fillId="12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3" fillId="0" borderId="5" xfId="0" applyFont="1" applyBorder="1" applyAlignment="1">
      <alignment horizontal="center"/>
    </xf>
    <xf numFmtId="9" fontId="74" fillId="4" borderId="13" xfId="0" applyNumberFormat="1" applyFont="1" applyFill="1" applyBorder="1" applyProtection="1">
      <protection locked="0"/>
    </xf>
    <xf numFmtId="0" fontId="0" fillId="0" borderId="5" xfId="0" applyBorder="1" applyAlignment="1">
      <alignment horizontal="center"/>
    </xf>
    <xf numFmtId="10" fontId="0" fillId="0" borderId="5" xfId="0" applyNumberFormat="1" applyBorder="1"/>
    <xf numFmtId="10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5" xfId="0" quotePrefix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10" fontId="32" fillId="19" borderId="5" xfId="87" applyNumberFormat="1" applyFont="1" applyFill="1" applyBorder="1"/>
    <xf numFmtId="0" fontId="1" fillId="13" borderId="5" xfId="87" applyFill="1" applyBorder="1"/>
    <xf numFmtId="3" fontId="1" fillId="13" borderId="5" xfId="87" applyNumberFormat="1" applyFill="1" applyBorder="1"/>
    <xf numFmtId="10" fontId="1" fillId="13" borderId="5" xfId="87" applyNumberFormat="1" applyFill="1" applyBorder="1"/>
    <xf numFmtId="1" fontId="1" fillId="13" borderId="5" xfId="87" applyNumberFormat="1" applyFill="1" applyBorder="1"/>
    <xf numFmtId="10" fontId="48" fillId="13" borderId="5" xfId="89" applyNumberFormat="1" applyFont="1" applyFill="1" applyBorder="1" applyAlignment="1" applyProtection="1">
      <alignment horizontal="center"/>
    </xf>
    <xf numFmtId="3" fontId="53" fillId="15" borderId="1" xfId="0" applyNumberFormat="1" applyFont="1" applyFill="1" applyBorder="1" applyAlignment="1">
      <alignment horizontal="center"/>
    </xf>
    <xf numFmtId="3" fontId="53" fillId="0" borderId="8" xfId="0" applyNumberFormat="1" applyFont="1" applyBorder="1"/>
    <xf numFmtId="3" fontId="53" fillId="15" borderId="10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vertical="top" wrapText="1"/>
    </xf>
    <xf numFmtId="3" fontId="53" fillId="0" borderId="5" xfId="0" applyNumberFormat="1" applyFont="1" applyBorder="1" applyAlignment="1">
      <alignment vertical="top" wrapText="1"/>
    </xf>
    <xf numFmtId="9" fontId="53" fillId="0" borderId="8" xfId="0" applyNumberFormat="1" applyFont="1" applyBorder="1" applyAlignment="1">
      <alignment vertical="top" wrapText="1"/>
    </xf>
    <xf numFmtId="0" fontId="78" fillId="0" borderId="0" xfId="121" quotePrefix="1" applyFont="1" applyFill="1" applyBorder="1" applyAlignment="1">
      <alignment vertical="center"/>
    </xf>
    <xf numFmtId="169" fontId="54" fillId="12" borderId="5" xfId="121" applyNumberFormat="1" applyFont="1" applyFill="1" applyBorder="1" applyAlignment="1">
      <alignment vertical="center"/>
    </xf>
    <xf numFmtId="169" fontId="54" fillId="12" borderId="5" xfId="121" applyNumberFormat="1" applyFont="1" applyFill="1" applyBorder="1"/>
    <xf numFmtId="3" fontId="54" fillId="12" borderId="5" xfId="121" applyNumberFormat="1" applyFont="1" applyFill="1" applyBorder="1"/>
    <xf numFmtId="3" fontId="57" fillId="12" borderId="5" xfId="0" applyNumberFormat="1" applyFont="1" applyFill="1" applyBorder="1" applyAlignment="1">
      <alignment horizontal="right"/>
    </xf>
    <xf numFmtId="168" fontId="69" fillId="12" borderId="5" xfId="0" applyNumberFormat="1" applyFont="1" applyFill="1" applyBorder="1" applyAlignment="1"/>
    <xf numFmtId="168" fontId="57" fillId="12" borderId="5" xfId="0" applyNumberFormat="1" applyFont="1" applyFill="1" applyBorder="1" applyAlignment="1"/>
    <xf numFmtId="0" fontId="69" fillId="0" borderId="5" xfId="0" quotePrefix="1" applyFont="1" applyBorder="1" applyAlignment="1">
      <alignment vertical="center"/>
    </xf>
    <xf numFmtId="0" fontId="77" fillId="0" borderId="5" xfId="121" applyFont="1" applyFill="1" applyBorder="1" applyAlignment="1" applyProtection="1">
      <alignment horizontal="center" vertical="center"/>
      <protection locked="0"/>
    </xf>
    <xf numFmtId="0" fontId="77" fillId="0" borderId="5" xfId="150" applyFont="1" applyFill="1" applyBorder="1" applyAlignment="1" applyProtection="1">
      <alignment horizontal="left" vertical="center"/>
      <protection locked="0"/>
    </xf>
    <xf numFmtId="169" fontId="77" fillId="0" borderId="5" xfId="121" applyNumberFormat="1" applyFont="1" applyFill="1" applyBorder="1" applyAlignment="1" applyProtection="1">
      <alignment vertical="center"/>
      <protection locked="0"/>
    </xf>
    <xf numFmtId="10" fontId="77" fillId="0" borderId="5" xfId="150" applyNumberFormat="1" applyFont="1" applyFill="1" applyBorder="1" applyAlignment="1" applyProtection="1">
      <alignment horizontal="center" vertical="center"/>
      <protection locked="0"/>
    </xf>
    <xf numFmtId="0" fontId="77" fillId="0" borderId="5" xfId="121" applyFont="1" applyFill="1" applyBorder="1" applyAlignment="1" applyProtection="1">
      <alignment horizontal="center" vertical="center" wrapText="1"/>
      <protection locked="0"/>
    </xf>
    <xf numFmtId="0" fontId="69" fillId="4" borderId="0" xfId="121" applyFont="1" applyFill="1" applyProtection="1">
      <protection locked="0"/>
    </xf>
    <xf numFmtId="166" fontId="69" fillId="4" borderId="0" xfId="49" applyNumberFormat="1" applyFont="1" applyFill="1" applyProtection="1">
      <protection locked="0"/>
    </xf>
    <xf numFmtId="0" fontId="54" fillId="0" borderId="0" xfId="121" applyFont="1" applyProtection="1">
      <protection locked="0"/>
    </xf>
    <xf numFmtId="0" fontId="54" fillId="0" borderId="0" xfId="121" applyFont="1" applyBorder="1" applyProtection="1">
      <protection locked="0"/>
    </xf>
    <xf numFmtId="0" fontId="69" fillId="0" borderId="0" xfId="121" applyFont="1" applyProtection="1">
      <protection locked="0"/>
    </xf>
    <xf numFmtId="169" fontId="69" fillId="12" borderId="5" xfId="121" applyNumberFormat="1" applyFont="1" applyFill="1" applyBorder="1" applyAlignment="1">
      <alignment horizontal="right" vertical="center"/>
    </xf>
    <xf numFmtId="169" fontId="69" fillId="12" borderId="1" xfId="121" applyNumberFormat="1" applyFont="1" applyFill="1" applyBorder="1" applyAlignment="1">
      <alignment horizontal="right" vertical="center"/>
    </xf>
    <xf numFmtId="169" fontId="69" fillId="12" borderId="5" xfId="121" applyNumberFormat="1" applyFont="1" applyFill="1" applyBorder="1" applyAlignment="1" applyProtection="1">
      <alignment horizontal="right" vertical="center"/>
      <protection locked="0"/>
    </xf>
    <xf numFmtId="169" fontId="69" fillId="12" borderId="1" xfId="121" applyNumberFormat="1" applyFont="1" applyFill="1" applyBorder="1" applyAlignment="1" applyProtection="1">
      <alignment horizontal="right" vertical="center"/>
      <protection locked="0"/>
    </xf>
    <xf numFmtId="169" fontId="57" fillId="12" borderId="5" xfId="121" applyNumberFormat="1" applyFont="1" applyFill="1" applyBorder="1" applyAlignment="1">
      <alignment horizontal="right" vertical="center"/>
    </xf>
    <xf numFmtId="3" fontId="70" fillId="12" borderId="5" xfId="0" applyNumberFormat="1" applyFont="1" applyFill="1" applyBorder="1"/>
    <xf numFmtId="3" fontId="70" fillId="12" borderId="5" xfId="0" applyNumberFormat="1" applyFont="1" applyFill="1" applyBorder="1" applyAlignment="1">
      <alignment horizontal="right"/>
    </xf>
    <xf numFmtId="41" fontId="58" fillId="0" borderId="5" xfId="0" applyNumberFormat="1" applyFont="1" applyFill="1" applyBorder="1" applyProtection="1">
      <protection locked="0"/>
    </xf>
    <xf numFmtId="41" fontId="63" fillId="0" borderId="5" xfId="0" applyNumberFormat="1" applyFont="1" applyFill="1" applyBorder="1" applyAlignment="1" applyProtection="1">
      <alignment horizontal="left"/>
      <protection locked="0"/>
    </xf>
    <xf numFmtId="168" fontId="67" fillId="12" borderId="1" xfId="0" applyNumberFormat="1" applyFont="1" applyFill="1" applyBorder="1" applyAlignment="1" applyProtection="1">
      <alignment horizontal="center"/>
      <protection hidden="1"/>
    </xf>
    <xf numFmtId="3" fontId="67" fillId="0" borderId="1" xfId="0" applyNumberFormat="1" applyFont="1" applyFill="1" applyBorder="1" applyAlignment="1" applyProtection="1">
      <alignment horizontal="right"/>
      <protection hidden="1"/>
    </xf>
    <xf numFmtId="3" fontId="67" fillId="12" borderId="1" xfId="0" applyNumberFormat="1" applyFont="1" applyFill="1" applyBorder="1" applyAlignment="1" applyProtection="1">
      <alignment horizontal="right"/>
      <protection hidden="1"/>
    </xf>
    <xf numFmtId="10" fontId="67" fillId="12" borderId="1" xfId="155" applyNumberFormat="1" applyFont="1" applyFill="1" applyBorder="1" applyAlignment="1" applyProtection="1">
      <alignment horizontal="center"/>
      <protection hidden="1"/>
    </xf>
    <xf numFmtId="3" fontId="70" fillId="12" borderId="1" xfId="0" applyNumberFormat="1" applyFont="1" applyFill="1" applyBorder="1" applyAlignment="1" applyProtection="1">
      <alignment horizontal="right"/>
      <protection hidden="1"/>
    </xf>
    <xf numFmtId="10" fontId="70" fillId="12" borderId="1" xfId="155" applyNumberFormat="1" applyFont="1" applyFill="1" applyBorder="1" applyAlignment="1" applyProtection="1">
      <alignment horizontal="center"/>
      <protection hidden="1"/>
    </xf>
    <xf numFmtId="3" fontId="58" fillId="18" borderId="5" xfId="0" applyNumberFormat="1" applyFont="1" applyFill="1" applyBorder="1"/>
    <xf numFmtId="41" fontId="70" fillId="0" borderId="33" xfId="0" applyNumberFormat="1" applyFont="1" applyFill="1" applyBorder="1" applyAlignment="1" applyProtection="1">
      <protection locked="0"/>
    </xf>
    <xf numFmtId="41" fontId="70" fillId="0" borderId="3" xfId="0" applyNumberFormat="1" applyFont="1" applyFill="1" applyBorder="1" applyAlignment="1" applyProtection="1">
      <protection locked="0"/>
    </xf>
    <xf numFmtId="3" fontId="58" fillId="15" borderId="5" xfId="0" applyNumberFormat="1" applyFont="1" applyFill="1" applyBorder="1"/>
    <xf numFmtId="3" fontId="61" fillId="15" borderId="5" xfId="0" applyNumberFormat="1" applyFont="1" applyFill="1" applyBorder="1"/>
    <xf numFmtId="3" fontId="58" fillId="0" borderId="0" xfId="0" applyNumberFormat="1" applyFont="1" applyFill="1"/>
    <xf numFmtId="0" fontId="61" fillId="15" borderId="5" xfId="0" applyFont="1" applyFill="1" applyBorder="1" applyAlignment="1">
      <alignment horizontal="center"/>
    </xf>
    <xf numFmtId="3" fontId="61" fillId="15" borderId="5" xfId="0" applyNumberFormat="1" applyFont="1" applyFill="1" applyBorder="1" applyAlignment="1">
      <alignment horizontal="center"/>
    </xf>
    <xf numFmtId="0" fontId="58" fillId="15" borderId="5" xfId="0" applyFont="1" applyFill="1" applyBorder="1"/>
    <xf numFmtId="0" fontId="61" fillId="15" borderId="5" xfId="0" applyFont="1" applyFill="1" applyBorder="1"/>
    <xf numFmtId="0" fontId="61" fillId="15" borderId="33" xfId="0" applyFont="1" applyFill="1" applyBorder="1"/>
    <xf numFmtId="0" fontId="61" fillId="15" borderId="23" xfId="0" applyFont="1" applyFill="1" applyBorder="1"/>
    <xf numFmtId="3" fontId="61" fillId="15" borderId="23" xfId="0" applyNumberFormat="1" applyFont="1" applyFill="1" applyBorder="1" applyAlignment="1">
      <alignment horizontal="center"/>
    </xf>
    <xf numFmtId="3" fontId="61" fillId="15" borderId="33" xfId="0" applyNumberFormat="1" applyFont="1" applyFill="1" applyBorder="1" applyAlignment="1">
      <alignment horizontal="right"/>
    </xf>
    <xf numFmtId="3" fontId="61" fillId="15" borderId="23" xfId="0" applyNumberFormat="1" applyFont="1" applyFill="1" applyBorder="1"/>
    <xf numFmtId="0" fontId="58" fillId="15" borderId="5" xfId="0" applyFont="1" applyFill="1" applyBorder="1" applyAlignment="1">
      <alignment horizontal="center"/>
    </xf>
    <xf numFmtId="41" fontId="70" fillId="12" borderId="42" xfId="0" applyNumberFormat="1" applyFont="1" applyFill="1" applyBorder="1" applyAlignment="1">
      <alignment horizontal="center" vertical="center" wrapText="1"/>
    </xf>
    <xf numFmtId="41" fontId="58" fillId="0" borderId="20" xfId="0" applyNumberFormat="1" applyFont="1" applyFill="1" applyBorder="1" applyProtection="1">
      <protection hidden="1"/>
    </xf>
    <xf numFmtId="2" fontId="67" fillId="12" borderId="31" xfId="0" applyNumberFormat="1" applyFont="1" applyFill="1" applyBorder="1" applyAlignment="1" applyProtection="1">
      <alignment horizontal="center"/>
      <protection hidden="1"/>
    </xf>
    <xf numFmtId="41" fontId="61" fillId="0" borderId="20" xfId="0" applyNumberFormat="1" applyFont="1" applyFill="1" applyBorder="1" applyProtection="1">
      <protection hidden="1"/>
    </xf>
    <xf numFmtId="2" fontId="70" fillId="12" borderId="31" xfId="0" applyNumberFormat="1" applyFont="1" applyFill="1" applyBorder="1" applyAlignment="1" applyProtection="1">
      <alignment horizontal="center"/>
      <protection hidden="1"/>
    </xf>
    <xf numFmtId="41" fontId="58" fillId="0" borderId="20" xfId="0" quotePrefix="1" applyNumberFormat="1" applyFont="1" applyFill="1" applyBorder="1" applyProtection="1">
      <protection hidden="1"/>
    </xf>
    <xf numFmtId="41" fontId="61" fillId="0" borderId="20" xfId="0" applyNumberFormat="1" applyFont="1" applyFill="1" applyBorder="1" applyAlignment="1" applyProtection="1">
      <alignment vertical="top" wrapText="1"/>
      <protection hidden="1"/>
    </xf>
    <xf numFmtId="41" fontId="58" fillId="0" borderId="30" xfId="0" applyNumberFormat="1" applyFont="1" applyFill="1" applyBorder="1" applyProtection="1">
      <protection hidden="1"/>
    </xf>
    <xf numFmtId="41" fontId="58" fillId="0" borderId="57" xfId="0" applyNumberFormat="1" applyFont="1" applyFill="1" applyBorder="1" applyProtection="1">
      <protection hidden="1"/>
    </xf>
    <xf numFmtId="3" fontId="67" fillId="0" borderId="8" xfId="0" applyNumberFormat="1" applyFont="1" applyFill="1" applyBorder="1" applyAlignment="1" applyProtection="1">
      <alignment horizontal="right"/>
      <protection hidden="1"/>
    </xf>
    <xf numFmtId="168" fontId="67" fillId="12" borderId="8" xfId="0" applyNumberFormat="1" applyFont="1" applyFill="1" applyBorder="1" applyAlignment="1" applyProtection="1">
      <alignment horizontal="center"/>
      <protection hidden="1"/>
    </xf>
    <xf numFmtId="3" fontId="67" fillId="12" borderId="10" xfId="0" applyNumberFormat="1" applyFont="1" applyFill="1" applyBorder="1" applyAlignment="1" applyProtection="1">
      <alignment horizontal="right"/>
      <protection hidden="1"/>
    </xf>
    <xf numFmtId="10" fontId="67" fillId="12" borderId="10" xfId="155" applyNumberFormat="1" applyFont="1" applyFill="1" applyBorder="1" applyAlignment="1" applyProtection="1">
      <alignment horizontal="center"/>
      <protection hidden="1"/>
    </xf>
    <xf numFmtId="2" fontId="67" fillId="12" borderId="35" xfId="0" applyNumberFormat="1" applyFont="1" applyFill="1" applyBorder="1" applyAlignment="1" applyProtection="1">
      <alignment horizontal="center"/>
      <protection hidden="1"/>
    </xf>
    <xf numFmtId="41" fontId="61" fillId="0" borderId="9" xfId="0" applyNumberFormat="1" applyFont="1" applyFill="1" applyBorder="1" applyProtection="1">
      <protection hidden="1"/>
    </xf>
    <xf numFmtId="3" fontId="70" fillId="0" borderId="21" xfId="0" applyNumberFormat="1" applyFont="1" applyFill="1" applyBorder="1" applyAlignment="1" applyProtection="1">
      <alignment horizontal="right"/>
      <protection hidden="1"/>
    </xf>
    <xf numFmtId="168" fontId="70" fillId="12" borderId="21" xfId="0" applyNumberFormat="1" applyFont="1" applyFill="1" applyBorder="1" applyAlignment="1" applyProtection="1">
      <alignment horizontal="center"/>
      <protection hidden="1"/>
    </xf>
    <xf numFmtId="3" fontId="70" fillId="12" borderId="21" xfId="0" applyNumberFormat="1" applyFont="1" applyFill="1" applyBorder="1" applyAlignment="1" applyProtection="1">
      <alignment horizontal="right"/>
      <protection hidden="1"/>
    </xf>
    <xf numFmtId="10" fontId="70" fillId="12" borderId="21" xfId="155" applyNumberFormat="1" applyFont="1" applyFill="1" applyBorder="1" applyAlignment="1" applyProtection="1">
      <alignment horizontal="center"/>
      <protection hidden="1"/>
    </xf>
    <xf numFmtId="2" fontId="70" fillId="12" borderId="24" xfId="0" applyNumberFormat="1" applyFont="1" applyFill="1" applyBorder="1" applyAlignment="1" applyProtection="1">
      <alignment horizontal="center"/>
      <protection hidden="1"/>
    </xf>
    <xf numFmtId="3" fontId="61" fillId="15" borderId="5" xfId="0" applyNumberFormat="1" applyFont="1" applyFill="1" applyBorder="1" applyAlignment="1">
      <alignment horizontal="right"/>
    </xf>
    <xf numFmtId="0" fontId="0" fillId="0" borderId="0" xfId="0" applyProtection="1"/>
    <xf numFmtId="0" fontId="58" fillId="0" borderId="0" xfId="0" applyFont="1" applyProtection="1"/>
    <xf numFmtId="41" fontId="61" fillId="0" borderId="0" xfId="0" applyNumberFormat="1" applyFont="1" applyBorder="1" applyAlignment="1" applyProtection="1"/>
    <xf numFmtId="41" fontId="61" fillId="0" borderId="0" xfId="0" applyNumberFormat="1" applyFont="1" applyFill="1" applyBorder="1" applyAlignment="1" applyProtection="1"/>
    <xf numFmtId="168" fontId="58" fillId="0" borderId="0" xfId="0" applyNumberFormat="1" applyFont="1" applyFill="1" applyBorder="1" applyAlignment="1" applyProtection="1">
      <alignment horizontal="center"/>
    </xf>
    <xf numFmtId="41" fontId="70" fillId="0" borderId="0" xfId="0" applyNumberFormat="1" applyFont="1" applyFill="1" applyBorder="1" applyAlignment="1" applyProtection="1"/>
    <xf numFmtId="41" fontId="70" fillId="0" borderId="0" xfId="0" applyNumberFormat="1" applyFont="1" applyFill="1" applyBorder="1" applyAlignment="1" applyProtection="1">
      <alignment horizontal="center"/>
    </xf>
    <xf numFmtId="2" fontId="70" fillId="0" borderId="0" xfId="0" applyNumberFormat="1" applyFont="1" applyFill="1" applyBorder="1" applyAlignment="1" applyProtection="1">
      <alignment horizontal="center"/>
    </xf>
    <xf numFmtId="0" fontId="67" fillId="0" borderId="0" xfId="0" applyFont="1" applyProtection="1"/>
    <xf numFmtId="3" fontId="67" fillId="0" borderId="0" xfId="0" applyNumberFormat="1" applyFont="1" applyProtection="1"/>
    <xf numFmtId="0" fontId="62" fillId="12" borderId="34" xfId="0" applyFont="1" applyFill="1" applyBorder="1" applyAlignment="1" applyProtection="1">
      <alignment horizontal="center" vertical="center" wrapText="1"/>
    </xf>
    <xf numFmtId="41" fontId="62" fillId="12" borderId="34" xfId="0" applyNumberFormat="1" applyFont="1" applyFill="1" applyBorder="1" applyAlignment="1" applyProtection="1">
      <alignment horizontal="center" vertical="center" wrapText="1"/>
    </xf>
    <xf numFmtId="0" fontId="61" fillId="0" borderId="0" xfId="0" applyFont="1" applyProtection="1"/>
    <xf numFmtId="0" fontId="70" fillId="15" borderId="5" xfId="0" applyFont="1" applyFill="1" applyBorder="1" applyAlignment="1" applyProtection="1">
      <alignment horizontal="center"/>
    </xf>
    <xf numFmtId="0" fontId="62" fillId="12" borderId="56" xfId="0" applyFont="1" applyFill="1" applyBorder="1" applyAlignment="1" applyProtection="1">
      <alignment horizontal="center" vertical="center" wrapText="1"/>
    </xf>
    <xf numFmtId="0" fontId="70" fillId="12" borderId="34" xfId="0" applyFont="1" applyFill="1" applyBorder="1" applyAlignment="1" applyProtection="1">
      <alignment horizontal="center" vertical="center" wrapText="1"/>
    </xf>
    <xf numFmtId="0" fontId="70" fillId="12" borderId="34" xfId="0" quotePrefix="1" applyFont="1" applyFill="1" applyBorder="1" applyAlignment="1" applyProtection="1">
      <alignment horizontal="center" vertical="center" wrapText="1"/>
    </xf>
    <xf numFmtId="0" fontId="70" fillId="15" borderId="5" xfId="0" applyFont="1" applyFill="1" applyBorder="1" applyProtection="1"/>
    <xf numFmtId="3" fontId="70" fillId="15" borderId="5" xfId="0" applyNumberFormat="1" applyFont="1" applyFill="1" applyBorder="1" applyProtection="1"/>
    <xf numFmtId="0" fontId="67" fillId="15" borderId="5" xfId="0" applyFont="1" applyFill="1" applyBorder="1" applyProtection="1"/>
    <xf numFmtId="3" fontId="67" fillId="15" borderId="5" xfId="0" applyNumberFormat="1" applyFont="1" applyFill="1" applyBorder="1" applyProtection="1"/>
    <xf numFmtId="0" fontId="63" fillId="0" borderId="20" xfId="0" applyFont="1" applyBorder="1" applyProtection="1"/>
    <xf numFmtId="168" fontId="63" fillId="12" borderId="5" xfId="44" applyNumberFormat="1" applyFont="1" applyFill="1" applyBorder="1" applyAlignment="1" applyProtection="1">
      <alignment horizontal="center"/>
    </xf>
    <xf numFmtId="37" fontId="67" fillId="12" borderId="5" xfId="45" applyNumberFormat="1" applyFont="1" applyFill="1" applyBorder="1" applyAlignment="1" applyProtection="1">
      <alignment horizontal="right"/>
    </xf>
    <xf numFmtId="10" fontId="67" fillId="12" borderId="5" xfId="175" applyNumberFormat="1" applyFont="1" applyFill="1" applyBorder="1" applyAlignment="1" applyProtection="1">
      <alignment horizontal="center"/>
    </xf>
    <xf numFmtId="2" fontId="67" fillId="12" borderId="32" xfId="45" applyNumberFormat="1" applyFont="1" applyFill="1" applyBorder="1" applyAlignment="1" applyProtection="1">
      <alignment horizontal="center"/>
    </xf>
    <xf numFmtId="0" fontId="61" fillId="15" borderId="5" xfId="0" applyFont="1" applyFill="1" applyBorder="1" applyProtection="1"/>
    <xf numFmtId="3" fontId="61" fillId="15" borderId="5" xfId="0" applyNumberFormat="1" applyFont="1" applyFill="1" applyBorder="1" applyProtection="1"/>
    <xf numFmtId="0" fontId="62" fillId="0" borderId="20" xfId="0" applyFont="1" applyBorder="1" applyProtection="1"/>
    <xf numFmtId="37" fontId="62" fillId="0" borderId="5" xfId="44" applyNumberFormat="1" applyFont="1" applyFill="1" applyBorder="1" applyAlignment="1" applyProtection="1">
      <alignment horizontal="right"/>
    </xf>
    <xf numFmtId="168" fontId="62" fillId="12" borderId="5" xfId="44" applyNumberFormat="1" applyFont="1" applyFill="1" applyBorder="1" applyAlignment="1" applyProtection="1">
      <alignment horizontal="center"/>
    </xf>
    <xf numFmtId="37" fontId="70" fillId="12" borderId="5" xfId="45" applyNumberFormat="1" applyFont="1" applyFill="1" applyBorder="1" applyAlignment="1" applyProtection="1">
      <alignment horizontal="right"/>
    </xf>
    <xf numFmtId="10" fontId="70" fillId="12" borderId="5" xfId="175" applyNumberFormat="1" applyFont="1" applyFill="1" applyBorder="1" applyAlignment="1" applyProtection="1">
      <alignment horizontal="center"/>
    </xf>
    <xf numFmtId="2" fontId="70" fillId="12" borderId="32" xfId="45" applyNumberFormat="1" applyFont="1" applyFill="1" applyBorder="1" applyAlignment="1" applyProtection="1">
      <alignment horizontal="center"/>
    </xf>
    <xf numFmtId="37" fontId="63" fillId="0" borderId="5" xfId="44" applyNumberFormat="1" applyFont="1" applyFill="1" applyBorder="1" applyAlignment="1" applyProtection="1">
      <alignment horizontal="right"/>
    </xf>
    <xf numFmtId="0" fontId="63" fillId="0" borderId="20" xfId="0" applyFont="1" applyFill="1" applyBorder="1" applyProtection="1"/>
    <xf numFmtId="0" fontId="58" fillId="0" borderId="0" xfId="0" applyFont="1" applyFill="1" applyProtection="1"/>
    <xf numFmtId="0" fontId="67" fillId="0" borderId="20" xfId="0" applyFont="1" applyBorder="1" applyProtection="1"/>
    <xf numFmtId="37" fontId="67" fillId="0" borderId="5" xfId="44" applyNumberFormat="1" applyFont="1" applyFill="1" applyBorder="1" applyAlignment="1" applyProtection="1">
      <alignment horizontal="right"/>
    </xf>
    <xf numFmtId="0" fontId="63" fillId="0" borderId="57" xfId="0" applyFont="1" applyBorder="1" applyProtection="1"/>
    <xf numFmtId="37" fontId="63" fillId="0" borderId="8" xfId="44" applyNumberFormat="1" applyFont="1" applyFill="1" applyBorder="1" applyAlignment="1" applyProtection="1">
      <alignment horizontal="right"/>
    </xf>
    <xf numFmtId="168" fontId="63" fillId="12" borderId="8" xfId="44" applyNumberFormat="1" applyFont="1" applyFill="1" applyBorder="1" applyAlignment="1" applyProtection="1">
      <alignment horizontal="center"/>
    </xf>
    <xf numFmtId="37" fontId="67" fillId="12" borderId="8" xfId="45" applyNumberFormat="1" applyFont="1" applyFill="1" applyBorder="1" applyAlignment="1" applyProtection="1">
      <alignment horizontal="right"/>
    </xf>
    <xf numFmtId="10" fontId="67" fillId="12" borderId="8" xfId="175" applyNumberFormat="1" applyFont="1" applyFill="1" applyBorder="1" applyAlignment="1" applyProtection="1">
      <alignment horizontal="center"/>
    </xf>
    <xf numFmtId="2" fontId="67" fillId="12" borderId="36" xfId="45" applyNumberFormat="1" applyFont="1" applyFill="1" applyBorder="1" applyAlignment="1" applyProtection="1">
      <alignment horizontal="center"/>
    </xf>
    <xf numFmtId="0" fontId="62" fillId="12" borderId="9" xfId="0" applyFont="1" applyFill="1" applyBorder="1" applyProtection="1"/>
    <xf numFmtId="37" fontId="62" fillId="0" borderId="21" xfId="44" applyNumberFormat="1" applyFont="1" applyFill="1" applyBorder="1" applyAlignment="1" applyProtection="1">
      <alignment horizontal="right"/>
    </xf>
    <xf numFmtId="168" fontId="62" fillId="12" borderId="21" xfId="44" applyNumberFormat="1" applyFont="1" applyFill="1" applyBorder="1" applyAlignment="1" applyProtection="1">
      <alignment horizontal="center"/>
    </xf>
    <xf numFmtId="37" fontId="70" fillId="12" borderId="21" xfId="45" applyNumberFormat="1" applyFont="1" applyFill="1" applyBorder="1" applyAlignment="1" applyProtection="1">
      <alignment horizontal="right"/>
    </xf>
    <xf numFmtId="10" fontId="70" fillId="12" borderId="21" xfId="175" applyNumberFormat="1" applyFont="1" applyFill="1" applyBorder="1" applyAlignment="1" applyProtection="1">
      <alignment horizontal="center"/>
    </xf>
    <xf numFmtId="2" fontId="70" fillId="12" borderId="24" xfId="45" applyNumberFormat="1" applyFont="1" applyFill="1" applyBorder="1" applyAlignment="1" applyProtection="1">
      <alignment horizontal="center"/>
    </xf>
    <xf numFmtId="0" fontId="62" fillId="0" borderId="57" xfId="0" applyFont="1" applyBorder="1" applyProtection="1"/>
    <xf numFmtId="37" fontId="62" fillId="0" borderId="8" xfId="44" applyNumberFormat="1" applyFont="1" applyFill="1" applyBorder="1" applyAlignment="1" applyProtection="1">
      <alignment horizontal="right"/>
    </xf>
    <xf numFmtId="168" fontId="62" fillId="12" borderId="8" xfId="44" applyNumberFormat="1" applyFont="1" applyFill="1" applyBorder="1" applyAlignment="1" applyProtection="1">
      <alignment horizontal="center"/>
    </xf>
    <xf numFmtId="37" fontId="70" fillId="12" borderId="8" xfId="45" applyNumberFormat="1" applyFont="1" applyFill="1" applyBorder="1" applyAlignment="1" applyProtection="1">
      <alignment horizontal="right"/>
    </xf>
    <xf numFmtId="10" fontId="70" fillId="12" borderId="8" xfId="175" applyNumberFormat="1" applyFont="1" applyFill="1" applyBorder="1" applyAlignment="1" applyProtection="1">
      <alignment horizontal="center"/>
    </xf>
    <xf numFmtId="2" fontId="70" fillId="12" borderId="36" xfId="45" applyNumberFormat="1" applyFont="1" applyFill="1" applyBorder="1" applyAlignment="1" applyProtection="1">
      <alignment horizontal="center"/>
    </xf>
    <xf numFmtId="0" fontId="64" fillId="0" borderId="0" xfId="0" applyFont="1" applyBorder="1" applyProtection="1"/>
    <xf numFmtId="41" fontId="64" fillId="0" borderId="0" xfId="0" applyNumberFormat="1" applyFont="1" applyFill="1" applyBorder="1" applyProtection="1"/>
    <xf numFmtId="168" fontId="64" fillId="0" borderId="0" xfId="0" applyNumberFormat="1" applyFont="1" applyFill="1" applyBorder="1" applyAlignment="1" applyProtection="1">
      <alignment horizontal="center"/>
    </xf>
    <xf numFmtId="41" fontId="67" fillId="0" borderId="0" xfId="0" applyNumberFormat="1" applyFont="1" applyFill="1" applyBorder="1" applyProtection="1"/>
    <xf numFmtId="41" fontId="67" fillId="0" borderId="0" xfId="0" applyNumberFormat="1" applyFont="1" applyFill="1" applyBorder="1" applyAlignment="1" applyProtection="1">
      <alignment horizontal="center"/>
    </xf>
    <xf numFmtId="2" fontId="67" fillId="0" borderId="0" xfId="0" applyNumberFormat="1" applyFont="1" applyFill="1" applyBorder="1" applyAlignment="1" applyProtection="1">
      <alignment horizontal="center"/>
    </xf>
    <xf numFmtId="0" fontId="64" fillId="0" borderId="0" xfId="0" applyFont="1" applyProtection="1"/>
    <xf numFmtId="0" fontId="67" fillId="15" borderId="44" xfId="0" applyFont="1" applyFill="1" applyBorder="1" applyProtection="1"/>
    <xf numFmtId="37" fontId="67" fillId="15" borderId="2" xfId="155" applyNumberFormat="1" applyFont="1" applyFill="1" applyBorder="1" applyProtection="1"/>
    <xf numFmtId="168" fontId="67" fillId="15" borderId="2" xfId="155" applyNumberFormat="1" applyFont="1" applyFill="1" applyBorder="1" applyAlignment="1" applyProtection="1">
      <alignment horizontal="center"/>
    </xf>
    <xf numFmtId="37" fontId="67" fillId="15" borderId="45" xfId="155" applyNumberFormat="1" applyFont="1" applyFill="1" applyBorder="1" applyProtection="1"/>
    <xf numFmtId="168" fontId="71" fillId="0" borderId="0" xfId="155" applyNumberFormat="1" applyFont="1" applyFill="1" applyBorder="1" applyAlignment="1" applyProtection="1">
      <alignment horizontal="center"/>
    </xf>
    <xf numFmtId="10" fontId="67" fillId="0" borderId="0" xfId="175" applyNumberFormat="1" applyFont="1" applyFill="1" applyBorder="1" applyProtection="1"/>
    <xf numFmtId="10" fontId="67" fillId="0" borderId="0" xfId="175" applyNumberFormat="1" applyFont="1" applyFill="1" applyBorder="1" applyAlignment="1" applyProtection="1">
      <alignment horizontal="center"/>
    </xf>
    <xf numFmtId="2" fontId="67" fillId="0" borderId="0" xfId="175" applyNumberFormat="1" applyFont="1" applyFill="1" applyBorder="1" applyAlignment="1" applyProtection="1">
      <alignment horizontal="center"/>
    </xf>
    <xf numFmtId="0" fontId="58" fillId="0" borderId="0" xfId="0" applyFont="1" applyBorder="1" applyProtection="1"/>
    <xf numFmtId="0" fontId="58" fillId="0" borderId="0" xfId="0" applyFont="1" applyFill="1" applyBorder="1" applyProtection="1"/>
    <xf numFmtId="0" fontId="67" fillId="0" borderId="0" xfId="0" applyFont="1" applyFill="1" applyBorder="1" applyProtection="1"/>
    <xf numFmtId="0" fontId="67" fillId="0" borderId="0" xfId="0" applyFont="1" applyFill="1" applyBorder="1" applyAlignment="1" applyProtection="1">
      <alignment horizontal="center"/>
    </xf>
    <xf numFmtId="171" fontId="74" fillId="4" borderId="15" xfId="0" applyNumberFormat="1" applyFont="1" applyFill="1" applyBorder="1" applyAlignment="1" applyProtection="1">
      <alignment horizontal="right"/>
      <protection locked="0"/>
    </xf>
    <xf numFmtId="41" fontId="38" fillId="13" borderId="5" xfId="0" applyNumberFormat="1" applyFont="1" applyFill="1" applyBorder="1" applyAlignment="1" applyProtection="1">
      <alignment horizontal="center"/>
    </xf>
    <xf numFmtId="10" fontId="27" fillId="0" borderId="0" xfId="0" applyNumberFormat="1" applyFont="1" applyAlignment="1" applyProtection="1">
      <alignment horizontal="center"/>
    </xf>
    <xf numFmtId="0" fontId="27" fillId="0" borderId="0" xfId="0" applyFont="1" applyProtection="1"/>
    <xf numFmtId="0" fontId="27" fillId="0" borderId="0" xfId="0" applyFont="1" applyAlignment="1" applyProtection="1"/>
    <xf numFmtId="41" fontId="73" fillId="13" borderId="5" xfId="0" applyNumberFormat="1" applyFont="1" applyFill="1" applyBorder="1" applyAlignment="1" applyProtection="1">
      <alignment horizontal="center"/>
    </xf>
    <xf numFmtId="0" fontId="38" fillId="0" borderId="0" xfId="0" applyFont="1" applyBorder="1" applyAlignment="1" applyProtection="1">
      <alignment horizontal="left"/>
    </xf>
    <xf numFmtId="0" fontId="38" fillId="20" borderId="0" xfId="0" applyFont="1" applyFill="1" applyBorder="1" applyAlignment="1" applyProtection="1">
      <alignment horizontal="left"/>
    </xf>
    <xf numFmtId="41" fontId="38" fillId="20" borderId="0" xfId="0" applyNumberFormat="1" applyFont="1" applyFill="1" applyBorder="1" applyAlignment="1" applyProtection="1">
      <alignment horizontal="center"/>
    </xf>
    <xf numFmtId="10" fontId="27" fillId="20" borderId="0" xfId="0" applyNumberFormat="1" applyFont="1" applyFill="1" applyAlignment="1" applyProtection="1">
      <alignment horizontal="center"/>
    </xf>
    <xf numFmtId="0" fontId="27" fillId="20" borderId="0" xfId="0" applyFont="1" applyFill="1" applyProtection="1"/>
    <xf numFmtId="0" fontId="27" fillId="20" borderId="0" xfId="0" applyFont="1" applyFill="1" applyAlignment="1" applyProtection="1"/>
    <xf numFmtId="0" fontId="27" fillId="0" borderId="0" xfId="0" applyFont="1" applyBorder="1" applyProtection="1"/>
    <xf numFmtId="0" fontId="27" fillId="0" borderId="0" xfId="0" applyFont="1" applyBorder="1" applyAlignment="1" applyProtection="1"/>
    <xf numFmtId="15" fontId="28" fillId="14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Protection="1"/>
    <xf numFmtId="10" fontId="27" fillId="4" borderId="0" xfId="0" applyNumberFormat="1" applyFont="1" applyFill="1" applyBorder="1" applyAlignment="1" applyProtection="1">
      <alignment horizontal="center"/>
    </xf>
    <xf numFmtId="0" fontId="45" fillId="11" borderId="33" xfId="0" applyFont="1" applyFill="1" applyBorder="1" applyAlignment="1" applyProtection="1">
      <alignment vertical="center" wrapText="1"/>
    </xf>
    <xf numFmtId="41" fontId="45" fillId="11" borderId="23" xfId="0" applyNumberFormat="1" applyFont="1" applyFill="1" applyBorder="1" applyAlignment="1" applyProtection="1">
      <alignment vertical="center" wrapText="1"/>
    </xf>
    <xf numFmtId="0" fontId="40" fillId="14" borderId="0" xfId="0" applyFont="1" applyFill="1" applyBorder="1" applyAlignment="1" applyProtection="1">
      <alignment horizontal="center" vertical="center" wrapText="1"/>
    </xf>
    <xf numFmtId="43" fontId="37" fillId="4" borderId="22" xfId="0" applyNumberFormat="1" applyFont="1" applyFill="1" applyBorder="1" applyProtection="1"/>
    <xf numFmtId="0" fontId="37" fillId="4" borderId="13" xfId="0" applyFont="1" applyFill="1" applyBorder="1" applyProtection="1"/>
    <xf numFmtId="0" fontId="1" fillId="4" borderId="15" xfId="0" applyFont="1" applyFill="1" applyBorder="1" applyAlignment="1" applyProtection="1">
      <alignment horizontal="center"/>
    </xf>
    <xf numFmtId="0" fontId="1" fillId="4" borderId="0" xfId="0" applyFont="1" applyFill="1" applyBorder="1" applyProtection="1"/>
    <xf numFmtId="196" fontId="41" fillId="4" borderId="0" xfId="0" applyNumberFormat="1" applyFont="1" applyFill="1" applyBorder="1" applyAlignment="1" applyProtection="1">
      <alignment horizontal="center"/>
    </xf>
    <xf numFmtId="2" fontId="37" fillId="4" borderId="15" xfId="0" applyNumberFormat="1" applyFont="1" applyFill="1" applyBorder="1" applyAlignment="1" applyProtection="1">
      <alignment horizontal="right"/>
    </xf>
    <xf numFmtId="0" fontId="37" fillId="4" borderId="14" xfId="0" applyFont="1" applyFill="1" applyBorder="1" applyProtection="1"/>
    <xf numFmtId="0" fontId="44" fillId="4" borderId="16" xfId="0" applyFont="1" applyFill="1" applyBorder="1" applyAlignment="1" applyProtection="1">
      <alignment horizontal="center"/>
    </xf>
    <xf numFmtId="0" fontId="44" fillId="4" borderId="6" xfId="0" applyFont="1" applyFill="1" applyBorder="1" applyProtection="1"/>
    <xf numFmtId="41" fontId="27" fillId="4" borderId="0" xfId="0" applyNumberFormat="1" applyFont="1" applyFill="1" applyBorder="1" applyAlignment="1" applyProtection="1">
      <alignment horizontal="left"/>
    </xf>
    <xf numFmtId="0" fontId="36" fillId="4" borderId="5" xfId="0" applyFont="1" applyFill="1" applyBorder="1" applyAlignment="1" applyProtection="1">
      <alignment horizontal="left"/>
    </xf>
    <xf numFmtId="41" fontId="36" fillId="4" borderId="5" xfId="0" applyNumberFormat="1" applyFont="1" applyFill="1" applyBorder="1" applyAlignment="1" applyProtection="1">
      <alignment horizontal="right"/>
    </xf>
    <xf numFmtId="41" fontId="13" fillId="4" borderId="0" xfId="0" applyNumberFormat="1" applyFont="1" applyFill="1" applyBorder="1" applyProtection="1"/>
    <xf numFmtId="0" fontId="1" fillId="0" borderId="0" xfId="0" applyFont="1" applyBorder="1" applyProtection="1"/>
    <xf numFmtId="0" fontId="35" fillId="4" borderId="5" xfId="0" applyFont="1" applyFill="1" applyBorder="1" applyAlignment="1" applyProtection="1">
      <alignment horizontal="left"/>
    </xf>
    <xf numFmtId="41" fontId="35" fillId="4" borderId="5" xfId="0" applyNumberFormat="1" applyFont="1" applyFill="1" applyBorder="1" applyAlignment="1" applyProtection="1">
      <alignment horizontal="right"/>
    </xf>
    <xf numFmtId="2" fontId="37" fillId="4" borderId="16" xfId="0" applyNumberFormat="1" applyFont="1" applyFill="1" applyBorder="1" applyAlignment="1" applyProtection="1">
      <alignment horizontal="right"/>
    </xf>
    <xf numFmtId="0" fontId="37" fillId="4" borderId="11" xfId="0" applyFont="1" applyFill="1" applyBorder="1" applyProtection="1"/>
    <xf numFmtId="171" fontId="37" fillId="4" borderId="3" xfId="0" applyNumberFormat="1" applyFont="1" applyFill="1" applyBorder="1" applyAlignment="1" applyProtection="1">
      <alignment horizontal="right"/>
    </xf>
    <xf numFmtId="0" fontId="37" fillId="4" borderId="23" xfId="0" applyFont="1" applyFill="1" applyBorder="1" applyProtection="1"/>
    <xf numFmtId="0" fontId="37" fillId="4" borderId="6" xfId="0" applyFont="1" applyFill="1" applyBorder="1" applyProtection="1"/>
    <xf numFmtId="0" fontId="44" fillId="4" borderId="15" xfId="0" applyFont="1" applyFill="1" applyBorder="1" applyAlignment="1" applyProtection="1">
      <alignment horizontal="center"/>
    </xf>
    <xf numFmtId="0" fontId="44" fillId="4" borderId="0" xfId="0" applyFont="1" applyFill="1" applyBorder="1" applyProtection="1"/>
    <xf numFmtId="39" fontId="1" fillId="4" borderId="15" xfId="0" applyNumberFormat="1" applyFont="1" applyFill="1" applyBorder="1" applyAlignment="1" applyProtection="1">
      <alignment horizontal="right"/>
    </xf>
    <xf numFmtId="39" fontId="1" fillId="4" borderId="14" xfId="0" applyNumberFormat="1" applyFont="1" applyFill="1" applyBorder="1" applyAlignment="1" applyProtection="1">
      <alignment horizontal="center"/>
    </xf>
    <xf numFmtId="39" fontId="1" fillId="4" borderId="14" xfId="0" applyNumberFormat="1" applyFont="1" applyFill="1" applyBorder="1" applyAlignment="1" applyProtection="1"/>
    <xf numFmtId="39" fontId="27" fillId="4" borderId="0" xfId="0" applyNumberFormat="1" applyFont="1" applyFill="1" applyBorder="1" applyAlignment="1" applyProtection="1"/>
    <xf numFmtId="0" fontId="36" fillId="4" borderId="5" xfId="0" applyFont="1" applyFill="1" applyBorder="1" applyProtection="1"/>
    <xf numFmtId="0" fontId="44" fillId="4" borderId="11" xfId="0" applyFont="1" applyFill="1" applyBorder="1" applyProtection="1"/>
    <xf numFmtId="2" fontId="1" fillId="4" borderId="16" xfId="0" applyNumberFormat="1" applyFont="1" applyFill="1" applyBorder="1" applyAlignment="1" applyProtection="1">
      <alignment horizontal="right"/>
    </xf>
    <xf numFmtId="39" fontId="1" fillId="4" borderId="11" xfId="0" applyNumberFormat="1" applyFont="1" applyFill="1" applyBorder="1" applyAlignment="1" applyProtection="1">
      <alignment horizontal="center"/>
    </xf>
    <xf numFmtId="39" fontId="1" fillId="4" borderId="11" xfId="0" applyNumberFormat="1" applyFont="1" applyFill="1" applyBorder="1" applyAlignment="1" applyProtection="1"/>
    <xf numFmtId="0" fontId="35" fillId="4" borderId="5" xfId="0" applyFont="1" applyFill="1" applyBorder="1" applyProtection="1"/>
    <xf numFmtId="0" fontId="37" fillId="4" borderId="22" xfId="0" applyFont="1" applyFill="1" applyBorder="1" applyProtection="1"/>
    <xf numFmtId="0" fontId="44" fillId="4" borderId="14" xfId="0" applyFont="1" applyFill="1" applyBorder="1" applyProtection="1"/>
    <xf numFmtId="2" fontId="1" fillId="4" borderId="15" xfId="0" applyNumberFormat="1" applyFont="1" applyFill="1" applyBorder="1" applyAlignment="1" applyProtection="1">
      <alignment horizontal="right"/>
    </xf>
    <xf numFmtId="1" fontId="1" fillId="4" borderId="14" xfId="0" applyNumberFormat="1" applyFont="1" applyFill="1" applyBorder="1" applyAlignment="1" applyProtection="1">
      <alignment horizontal="center"/>
    </xf>
    <xf numFmtId="1" fontId="27" fillId="4" borderId="0" xfId="0" applyNumberFormat="1" applyFont="1" applyFill="1" applyBorder="1" applyAlignment="1" applyProtection="1">
      <alignment horizontal="center"/>
    </xf>
    <xf numFmtId="9" fontId="37" fillId="4" borderId="16" xfId="0" applyNumberFormat="1" applyFont="1" applyFill="1" applyBorder="1" applyAlignment="1" applyProtection="1"/>
    <xf numFmtId="9" fontId="39" fillId="4" borderId="11" xfId="0" applyNumberFormat="1" applyFont="1" applyFill="1" applyBorder="1" applyAlignment="1" applyProtection="1"/>
    <xf numFmtId="1" fontId="37" fillId="4" borderId="14" xfId="0" applyNumberFormat="1" applyFont="1" applyFill="1" applyBorder="1" applyAlignment="1" applyProtection="1">
      <alignment horizontal="center"/>
    </xf>
    <xf numFmtId="0" fontId="37" fillId="4" borderId="12" xfId="0" applyFont="1" applyFill="1" applyBorder="1" applyProtection="1"/>
    <xf numFmtId="171" fontId="37" fillId="4" borderId="15" xfId="0" applyNumberFormat="1" applyFont="1" applyFill="1" applyBorder="1" applyAlignment="1" applyProtection="1">
      <alignment horizontal="right"/>
    </xf>
    <xf numFmtId="0" fontId="36" fillId="4" borderId="8" xfId="0" applyFont="1" applyFill="1" applyBorder="1" applyAlignment="1" applyProtection="1">
      <alignment horizontal="left" indent="9"/>
    </xf>
    <xf numFmtId="0" fontId="36" fillId="4" borderId="10" xfId="0" applyFont="1" applyFill="1" applyBorder="1" applyProtection="1"/>
    <xf numFmtId="39" fontId="13" fillId="4" borderId="0" xfId="45" applyNumberFormat="1" applyFont="1" applyFill="1" applyBorder="1" applyAlignment="1" applyProtection="1">
      <alignment horizontal="right"/>
    </xf>
    <xf numFmtId="171" fontId="37" fillId="4" borderId="16" xfId="0" applyNumberFormat="1" applyFont="1" applyFill="1" applyBorder="1" applyAlignment="1" applyProtection="1">
      <alignment horizontal="right"/>
    </xf>
    <xf numFmtId="0" fontId="36" fillId="4" borderId="1" xfId="0" applyFont="1" applyFill="1" applyBorder="1" applyAlignment="1" applyProtection="1">
      <alignment horizontal="left" vertical="top" indent="9"/>
    </xf>
    <xf numFmtId="0" fontId="34" fillId="4" borderId="5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6" xfId="0" applyFont="1" applyFill="1" applyBorder="1" applyProtection="1"/>
    <xf numFmtId="0" fontId="12" fillId="0" borderId="0" xfId="0" quotePrefix="1" applyFont="1" applyProtection="1"/>
    <xf numFmtId="0" fontId="29" fillId="0" borderId="0" xfId="0" applyFont="1" applyProtection="1"/>
    <xf numFmtId="0" fontId="30" fillId="0" borderId="0" xfId="0" applyFont="1" applyProtection="1"/>
    <xf numFmtId="10" fontId="30" fillId="0" borderId="0" xfId="0" applyNumberFormat="1" applyFont="1" applyAlignment="1" applyProtection="1">
      <alignment horizontal="center"/>
    </xf>
    <xf numFmtId="41" fontId="27" fillId="0" borderId="0" xfId="0" applyNumberFormat="1" applyFont="1" applyProtection="1"/>
    <xf numFmtId="166" fontId="30" fillId="0" borderId="0" xfId="11" applyNumberFormat="1" applyFont="1" applyProtection="1"/>
    <xf numFmtId="166" fontId="27" fillId="0" borderId="0" xfId="11" applyNumberFormat="1" applyFont="1" applyProtection="1"/>
    <xf numFmtId="37" fontId="71" fillId="0" borderId="5" xfId="44" applyNumberFormat="1" applyFont="1" applyFill="1" applyBorder="1" applyAlignment="1" applyProtection="1">
      <alignment horizontal="right"/>
      <protection locked="0"/>
    </xf>
    <xf numFmtId="37" fontId="71" fillId="0" borderId="8" xfId="44" applyNumberFormat="1" applyFont="1" applyFill="1" applyBorder="1" applyAlignment="1" applyProtection="1">
      <alignment horizontal="right"/>
    </xf>
    <xf numFmtId="3" fontId="71" fillId="0" borderId="5" xfId="0" applyNumberFormat="1" applyFont="1" applyBorder="1" applyProtection="1">
      <protection locked="0"/>
    </xf>
    <xf numFmtId="3" fontId="80" fillId="0" borderId="5" xfId="0" applyNumberFormat="1" applyFont="1" applyBorder="1" applyProtection="1">
      <protection locked="0"/>
    </xf>
    <xf numFmtId="3" fontId="48" fillId="0" borderId="5" xfId="87" applyNumberFormat="1" applyFont="1" applyBorder="1" applyAlignment="1">
      <alignment horizontal="right"/>
    </xf>
    <xf numFmtId="0" fontId="67" fillId="12" borderId="8" xfId="0" applyFont="1" applyFill="1" applyBorder="1" applyAlignment="1">
      <alignment horizontal="center" vertical="center"/>
    </xf>
    <xf numFmtId="17" fontId="67" fillId="12" borderId="5" xfId="0" quotePrefix="1" applyNumberFormat="1" applyFont="1" applyFill="1" applyBorder="1" applyAlignment="1">
      <alignment horizontal="center" vertical="center"/>
    </xf>
    <xf numFmtId="3" fontId="67" fillId="12" borderId="5" xfId="121" applyNumberFormat="1" applyFont="1" applyFill="1" applyBorder="1" applyAlignment="1">
      <alignment horizontal="right" vertical="center"/>
    </xf>
    <xf numFmtId="3" fontId="67" fillId="12" borderId="5" xfId="121" applyNumberFormat="1" applyFont="1" applyFill="1" applyBorder="1" applyAlignment="1">
      <alignment horizontal="center" vertical="center"/>
    </xf>
    <xf numFmtId="168" fontId="67" fillId="16" borderId="5" xfId="0" applyNumberFormat="1" applyFont="1" applyFill="1" applyBorder="1" applyProtection="1"/>
    <xf numFmtId="3" fontId="67" fillId="16" borderId="5" xfId="0" applyNumberFormat="1" applyFont="1" applyFill="1" applyBorder="1" applyProtection="1"/>
    <xf numFmtId="167" fontId="77" fillId="12" borderId="5" xfId="121" applyNumberFormat="1" applyFont="1" applyFill="1" applyBorder="1" applyAlignment="1" applyProtection="1">
      <alignment vertical="center"/>
      <protection locked="0"/>
    </xf>
    <xf numFmtId="167" fontId="77" fillId="12" borderId="5" xfId="150" applyNumberFormat="1" applyFont="1" applyFill="1" applyBorder="1" applyAlignment="1" applyProtection="1">
      <alignment horizontal="center" vertical="center"/>
      <protection locked="0"/>
    </xf>
    <xf numFmtId="1" fontId="77" fillId="12" borderId="5" xfId="150" applyNumberFormat="1" applyFont="1" applyFill="1" applyBorder="1" applyAlignment="1" applyProtection="1">
      <alignment horizontal="center" vertical="center"/>
      <protection locked="0"/>
    </xf>
    <xf numFmtId="0" fontId="79" fillId="14" borderId="0" xfId="0" applyFont="1" applyFill="1" applyBorder="1"/>
    <xf numFmtId="0" fontId="79" fillId="14" borderId="0" xfId="0" applyFont="1" applyFill="1" applyBorder="1" applyAlignment="1">
      <alignment horizontal="right"/>
    </xf>
    <xf numFmtId="0" fontId="79" fillId="0" borderId="0" xfId="0" applyFont="1"/>
    <xf numFmtId="41" fontId="38" fillId="0" borderId="0" xfId="0" applyNumberFormat="1" applyFont="1" applyFill="1" applyBorder="1" applyAlignment="1" applyProtection="1">
      <alignment horizontal="center"/>
    </xf>
    <xf numFmtId="10" fontId="72" fillId="8" borderId="23" xfId="87" applyNumberFormat="1" applyFont="1" applyFill="1" applyBorder="1"/>
    <xf numFmtId="10" fontId="72" fillId="8" borderId="5" xfId="87" applyNumberFormat="1" applyFont="1" applyFill="1" applyBorder="1"/>
    <xf numFmtId="10" fontId="1" fillId="4" borderId="15" xfId="0" applyNumberFormat="1" applyFont="1" applyFill="1" applyBorder="1" applyAlignment="1" applyProtection="1">
      <alignment horizontal="center"/>
    </xf>
    <xf numFmtId="10" fontId="1" fillId="4" borderId="14" xfId="0" applyNumberFormat="1" applyFont="1" applyFill="1" applyBorder="1" applyAlignment="1" applyProtection="1">
      <alignment horizontal="center"/>
    </xf>
    <xf numFmtId="37" fontId="71" fillId="0" borderId="5" xfId="44" applyNumberFormat="1" applyFont="1" applyFill="1" applyBorder="1" applyAlignment="1" applyProtection="1">
      <alignment horizontal="right"/>
    </xf>
    <xf numFmtId="0" fontId="81" fillId="0" borderId="5" xfId="0" applyFont="1" applyBorder="1" applyAlignment="1">
      <alignment horizontal="center"/>
    </xf>
    <xf numFmtId="0" fontId="82" fillId="0" borderId="5" xfId="0" applyFont="1" applyBorder="1" applyAlignment="1">
      <alignment horizontal="left" vertical="center"/>
    </xf>
    <xf numFmtId="167" fontId="82" fillId="0" borderId="5" xfId="0" applyNumberFormat="1" applyFont="1" applyBorder="1" applyAlignment="1">
      <alignment horizontal="center" vertical="center"/>
    </xf>
    <xf numFmtId="165" fontId="82" fillId="0" borderId="5" xfId="0" applyNumberFormat="1" applyFont="1" applyBorder="1" applyAlignment="1">
      <alignment horizontal="center"/>
    </xf>
    <xf numFmtId="3" fontId="82" fillId="0" borderId="5" xfId="0" applyNumberFormat="1" applyFont="1" applyBorder="1" applyAlignment="1">
      <alignment horizontal="right"/>
    </xf>
    <xf numFmtId="0" fontId="82" fillId="0" borderId="5" xfId="150" applyFont="1" applyFill="1" applyBorder="1" applyAlignment="1" applyProtection="1">
      <alignment horizontal="left" vertical="center"/>
      <protection locked="0"/>
    </xf>
    <xf numFmtId="169" fontId="82" fillId="0" borderId="5" xfId="121" applyNumberFormat="1" applyFont="1" applyFill="1" applyBorder="1" applyAlignment="1" applyProtection="1">
      <alignment vertical="center"/>
      <protection locked="0"/>
    </xf>
    <xf numFmtId="10" fontId="82" fillId="0" borderId="5" xfId="150" applyNumberFormat="1" applyFont="1" applyFill="1" applyBorder="1" applyAlignment="1" applyProtection="1">
      <alignment horizontal="center" vertical="center"/>
      <protection locked="0"/>
    </xf>
    <xf numFmtId="167" fontId="82" fillId="0" borderId="5" xfId="121" applyNumberFormat="1" applyFont="1" applyFill="1" applyBorder="1" applyAlignment="1" applyProtection="1">
      <alignment vertical="center"/>
      <protection locked="0"/>
    </xf>
    <xf numFmtId="167" fontId="82" fillId="0" borderId="5" xfId="150" applyNumberFormat="1" applyFont="1" applyFill="1" applyBorder="1" applyAlignment="1" applyProtection="1">
      <alignment horizontal="center" vertical="center"/>
      <protection locked="0"/>
    </xf>
    <xf numFmtId="1" fontId="82" fillId="0" borderId="5" xfId="150" applyNumberFormat="1" applyFont="1" applyFill="1" applyBorder="1" applyAlignment="1" applyProtection="1">
      <alignment horizontal="center" vertical="center"/>
      <protection locked="0"/>
    </xf>
    <xf numFmtId="0" fontId="82" fillId="0" borderId="5" xfId="150" applyFont="1" applyFill="1" applyBorder="1" applyAlignment="1" applyProtection="1">
      <alignment horizontal="center" vertical="center"/>
      <protection locked="0"/>
    </xf>
    <xf numFmtId="0" fontId="82" fillId="0" borderId="5" xfId="121" applyFont="1" applyFill="1" applyBorder="1" applyAlignment="1" applyProtection="1">
      <alignment horizontal="center" vertical="center"/>
      <protection locked="0"/>
    </xf>
    <xf numFmtId="41" fontId="82" fillId="0" borderId="5" xfId="121" applyNumberFormat="1" applyFont="1" applyFill="1" applyBorder="1" applyAlignment="1" applyProtection="1">
      <alignment horizontal="center" vertical="center"/>
      <protection locked="0"/>
    </xf>
    <xf numFmtId="41" fontId="82" fillId="0" borderId="23" xfId="121" applyNumberFormat="1" applyFont="1" applyFill="1" applyBorder="1" applyAlignment="1" applyProtection="1">
      <alignment horizontal="center" vertical="center"/>
      <protection locked="0"/>
    </xf>
    <xf numFmtId="169" fontId="82" fillId="4" borderId="5" xfId="121" applyNumberFormat="1" applyFont="1" applyFill="1" applyBorder="1" applyAlignment="1" applyProtection="1">
      <alignment horizontal="center" vertical="center"/>
      <protection locked="0"/>
    </xf>
    <xf numFmtId="169" fontId="82" fillId="4" borderId="5" xfId="121" applyNumberFormat="1" applyFont="1" applyFill="1" applyBorder="1" applyAlignment="1" applyProtection="1">
      <alignment vertical="center"/>
      <protection locked="0"/>
    </xf>
    <xf numFmtId="3" fontId="82" fillId="0" borderId="5" xfId="121" applyNumberFormat="1" applyFont="1" applyBorder="1" applyAlignment="1" applyProtection="1">
      <alignment horizontal="center"/>
      <protection locked="0"/>
    </xf>
    <xf numFmtId="3" fontId="82" fillId="0" borderId="5" xfId="121" applyNumberFormat="1" applyFont="1" applyBorder="1" applyProtection="1">
      <protection locked="0"/>
    </xf>
    <xf numFmtId="0" fontId="82" fillId="0" borderId="5" xfId="121" applyFont="1" applyBorder="1" applyProtection="1">
      <protection locked="0"/>
    </xf>
    <xf numFmtId="17" fontId="71" fillId="0" borderId="5" xfId="0" quotePrefix="1" applyNumberFormat="1" applyFont="1" applyBorder="1" applyAlignment="1">
      <alignment horizontal="center" vertical="center"/>
    </xf>
    <xf numFmtId="3" fontId="71" fillId="4" borderId="5" xfId="121" applyNumberFormat="1" applyFont="1" applyFill="1" applyBorder="1" applyAlignment="1">
      <alignment horizontal="right" vertical="center"/>
    </xf>
    <xf numFmtId="1" fontId="71" fillId="0" borderId="5" xfId="0" applyNumberFormat="1" applyFont="1" applyBorder="1" applyAlignment="1">
      <alignment horizontal="center" vertical="center"/>
    </xf>
    <xf numFmtId="3" fontId="71" fillId="0" borderId="5" xfId="73" applyNumberFormat="1" applyFont="1" applyBorder="1" applyAlignment="1">
      <alignment horizontal="right" vertical="center"/>
    </xf>
    <xf numFmtId="170" fontId="71" fillId="0" borderId="0" xfId="0" applyNumberFormat="1" applyFont="1" applyAlignment="1">
      <alignment horizontal="left" vertical="center"/>
    </xf>
    <xf numFmtId="0" fontId="71" fillId="0" borderId="0" xfId="0" applyNumberFormat="1" applyFont="1" applyAlignment="1">
      <alignment horizontal="left" vertical="center"/>
    </xf>
    <xf numFmtId="0" fontId="71" fillId="0" borderId="5" xfId="0" quotePrefix="1" applyFont="1" applyBorder="1"/>
    <xf numFmtId="3" fontId="71" fillId="0" borderId="5" xfId="0" applyNumberFormat="1" applyFont="1" applyBorder="1"/>
    <xf numFmtId="41" fontId="71" fillId="0" borderId="5" xfId="0" applyNumberFormat="1" applyFont="1" applyFill="1" applyBorder="1" applyProtection="1">
      <protection locked="0"/>
    </xf>
    <xf numFmtId="168" fontId="71" fillId="0" borderId="5" xfId="0" applyNumberFormat="1" applyFont="1" applyFill="1" applyBorder="1" applyProtection="1">
      <protection locked="0"/>
    </xf>
    <xf numFmtId="3" fontId="71" fillId="0" borderId="5" xfId="0" applyNumberFormat="1" applyFont="1" applyFill="1" applyBorder="1" applyProtection="1">
      <protection locked="0"/>
    </xf>
    <xf numFmtId="41" fontId="80" fillId="0" borderId="23" xfId="0" quotePrefix="1" applyNumberFormat="1" applyFont="1" applyFill="1" applyBorder="1" applyAlignment="1" applyProtection="1">
      <protection locked="0"/>
    </xf>
    <xf numFmtId="0" fontId="1" fillId="4" borderId="15" xfId="0" applyFont="1" applyFill="1" applyBorder="1" applyAlignment="1" applyProtection="1">
      <alignment horizontal="left"/>
    </xf>
    <xf numFmtId="0" fontId="1" fillId="4" borderId="0" xfId="0" applyFont="1" applyFill="1" applyBorder="1" applyAlignment="1" applyProtection="1">
      <alignment horizontal="left"/>
    </xf>
    <xf numFmtId="0" fontId="82" fillId="14" borderId="30" xfId="22" applyNumberFormat="1" applyFont="1" applyFill="1" applyBorder="1" applyAlignment="1">
      <alignment horizontal="center"/>
    </xf>
    <xf numFmtId="3" fontId="82" fillId="14" borderId="1" xfId="22" applyNumberFormat="1" applyFont="1" applyFill="1" applyBorder="1" applyAlignment="1">
      <alignment horizontal="center"/>
    </xf>
    <xf numFmtId="3" fontId="82" fillId="14" borderId="1" xfId="22" applyNumberFormat="1" applyFont="1" applyFill="1" applyBorder="1" applyAlignment="1">
      <alignment horizontal="right"/>
    </xf>
    <xf numFmtId="3" fontId="82" fillId="14" borderId="31" xfId="22" applyNumberFormat="1" applyFont="1" applyFill="1" applyBorder="1" applyAlignment="1">
      <alignment horizontal="right"/>
    </xf>
    <xf numFmtId="0" fontId="82" fillId="14" borderId="20" xfId="22" applyNumberFormat="1" applyFont="1" applyFill="1" applyBorder="1" applyAlignment="1">
      <alignment horizontal="center"/>
    </xf>
    <xf numFmtId="3" fontId="82" fillId="14" borderId="5" xfId="22" applyNumberFormat="1" applyFont="1" applyFill="1" applyBorder="1" applyAlignment="1">
      <alignment horizontal="center"/>
    </xf>
    <xf numFmtId="3" fontId="82" fillId="14" borderId="5" xfId="22" applyNumberFormat="1" applyFont="1" applyFill="1" applyBorder="1" applyAlignment="1">
      <alignment horizontal="right"/>
    </xf>
    <xf numFmtId="3" fontId="82" fillId="14" borderId="32" xfId="22" applyNumberFormat="1" applyFont="1" applyFill="1" applyBorder="1" applyAlignment="1">
      <alignment horizontal="right"/>
    </xf>
    <xf numFmtId="3" fontId="82" fillId="14" borderId="6" xfId="22" applyNumberFormat="1" applyFont="1" applyFill="1" applyBorder="1" applyAlignment="1">
      <alignment horizontal="right"/>
    </xf>
    <xf numFmtId="3" fontId="81" fillId="0" borderId="8" xfId="0" applyNumberFormat="1" applyFont="1" applyBorder="1" applyAlignment="1">
      <alignment vertical="top" wrapText="1"/>
    </xf>
    <xf numFmtId="3" fontId="81" fillId="0" borderId="22" xfId="0" applyNumberFormat="1" applyFont="1" applyBorder="1" applyAlignment="1">
      <alignment vertical="top" wrapText="1"/>
    </xf>
    <xf numFmtId="0" fontId="81" fillId="0" borderId="13" xfId="0" applyFont="1" applyBorder="1" applyAlignment="1">
      <alignment horizontal="left" vertical="top" wrapText="1"/>
    </xf>
    <xf numFmtId="0" fontId="81" fillId="0" borderId="11" xfId="0" applyFont="1" applyBorder="1" applyAlignment="1">
      <alignment horizontal="left" vertical="top" wrapText="1"/>
    </xf>
    <xf numFmtId="3" fontId="81" fillId="0" borderId="22" xfId="0" applyNumberFormat="1" applyFont="1" applyBorder="1" applyAlignment="1">
      <alignment horizontal="right" vertical="top" wrapText="1"/>
    </xf>
    <xf numFmtId="3" fontId="81" fillId="0" borderId="16" xfId="0" applyNumberFormat="1" applyFont="1" applyBorder="1" applyAlignment="1">
      <alignment horizontal="right" vertical="top" wrapText="1"/>
    </xf>
    <xf numFmtId="3" fontId="81" fillId="0" borderId="8" xfId="0" applyNumberFormat="1" applyFont="1" applyBorder="1" applyAlignment="1">
      <alignment horizontal="right" vertical="top" wrapText="1"/>
    </xf>
    <xf numFmtId="0" fontId="53" fillId="12" borderId="5" xfId="0" applyFont="1" applyFill="1" applyBorder="1" applyAlignment="1">
      <alignment horizontal="center" vertical="center"/>
    </xf>
    <xf numFmtId="0" fontId="53" fillId="0" borderId="5" xfId="0" applyFont="1" applyBorder="1" applyAlignment="1">
      <alignment horizontal="center"/>
    </xf>
    <xf numFmtId="0" fontId="81" fillId="0" borderId="5" xfId="0" applyFont="1" applyBorder="1" applyAlignment="1">
      <alignment horizontal="left"/>
    </xf>
    <xf numFmtId="0" fontId="75" fillId="0" borderId="5" xfId="0" applyFont="1" applyBorder="1" applyAlignment="1">
      <alignment horizontal="left"/>
    </xf>
    <xf numFmtId="0" fontId="53" fillId="0" borderId="6" xfId="0" applyFont="1" applyBorder="1" applyAlignment="1">
      <alignment horizontal="left"/>
    </xf>
    <xf numFmtId="0" fontId="53" fillId="12" borderId="22" xfId="0" applyFont="1" applyFill="1" applyBorder="1" applyAlignment="1">
      <alignment horizontal="center" vertical="center"/>
    </xf>
    <xf numFmtId="0" fontId="53" fillId="12" borderId="13" xfId="0" applyFont="1" applyFill="1" applyBorder="1" applyAlignment="1">
      <alignment horizontal="center" vertical="center"/>
    </xf>
    <xf numFmtId="0" fontId="53" fillId="12" borderId="16" xfId="0" applyFont="1" applyFill="1" applyBorder="1" applyAlignment="1">
      <alignment horizontal="center" vertical="center"/>
    </xf>
    <xf numFmtId="0" fontId="53" fillId="12" borderId="11" xfId="0" applyFont="1" applyFill="1" applyBorder="1" applyAlignment="1">
      <alignment horizontal="center" vertical="center"/>
    </xf>
    <xf numFmtId="167" fontId="53" fillId="12" borderId="5" xfId="0" applyNumberFormat="1" applyFont="1" applyFill="1" applyBorder="1" applyAlignment="1">
      <alignment horizontal="center" vertical="center"/>
    </xf>
    <xf numFmtId="0" fontId="82" fillId="0" borderId="33" xfId="0" quotePrefix="1" applyFont="1" applyBorder="1" applyAlignment="1">
      <alignment horizontal="center" vertical="center"/>
    </xf>
    <xf numFmtId="0" fontId="82" fillId="0" borderId="23" xfId="0" quotePrefix="1" applyFont="1" applyBorder="1" applyAlignment="1">
      <alignment horizontal="center" vertical="center"/>
    </xf>
    <xf numFmtId="0" fontId="69" fillId="0" borderId="5" xfId="0" applyFont="1" applyBorder="1" applyAlignment="1">
      <alignment horizontal="left"/>
    </xf>
    <xf numFmtId="0" fontId="57" fillId="12" borderId="5" xfId="0" applyFont="1" applyFill="1" applyBorder="1" applyAlignment="1">
      <alignment horizontal="center" vertical="center"/>
    </xf>
    <xf numFmtId="0" fontId="57" fillId="12" borderId="5" xfId="0" applyFont="1" applyFill="1" applyBorder="1" applyAlignment="1">
      <alignment horizontal="center"/>
    </xf>
    <xf numFmtId="0" fontId="53" fillId="0" borderId="6" xfId="0" applyFont="1" applyFill="1" applyBorder="1" applyAlignment="1">
      <alignment horizontal="left" vertical="center"/>
    </xf>
    <xf numFmtId="0" fontId="82" fillId="0" borderId="5" xfId="121" applyFont="1" applyBorder="1" applyAlignment="1" applyProtection="1">
      <alignment horizontal="center"/>
      <protection locked="0"/>
    </xf>
    <xf numFmtId="0" fontId="54" fillId="0" borderId="0" xfId="121" applyFont="1" applyBorder="1" applyAlignment="1">
      <alignment horizontal="center"/>
    </xf>
    <xf numFmtId="169" fontId="57" fillId="12" borderId="33" xfId="121" applyNumberFormat="1" applyFont="1" applyFill="1" applyBorder="1" applyAlignment="1">
      <alignment horizontal="center" vertical="center" wrapText="1"/>
    </xf>
    <xf numFmtId="169" fontId="57" fillId="12" borderId="3" xfId="121" applyNumberFormat="1" applyFont="1" applyFill="1" applyBorder="1" applyAlignment="1">
      <alignment horizontal="center" vertical="center" wrapText="1"/>
    </xf>
    <xf numFmtId="169" fontId="57" fillId="12" borderId="23" xfId="121" applyNumberFormat="1" applyFont="1" applyFill="1" applyBorder="1" applyAlignment="1">
      <alignment horizontal="center" vertical="center" wrapText="1"/>
    </xf>
    <xf numFmtId="0" fontId="54" fillId="0" borderId="5" xfId="121" applyFont="1" applyBorder="1" applyAlignment="1">
      <alignment horizontal="left"/>
    </xf>
    <xf numFmtId="0" fontId="55" fillId="14" borderId="5" xfId="121" applyFont="1" applyFill="1" applyBorder="1" applyAlignment="1">
      <alignment horizontal="center" vertical="center"/>
    </xf>
    <xf numFmtId="0" fontId="63" fillId="0" borderId="5" xfId="0" applyFont="1" applyBorder="1" applyAlignment="1">
      <alignment horizontal="left"/>
    </xf>
    <xf numFmtId="0" fontId="62" fillId="12" borderId="33" xfId="0" applyFont="1" applyFill="1" applyBorder="1" applyAlignment="1">
      <alignment horizontal="center" vertical="center"/>
    </xf>
    <xf numFmtId="0" fontId="62" fillId="12" borderId="23" xfId="0" applyFont="1" applyFill="1" applyBorder="1" applyAlignment="1">
      <alignment horizontal="center" vertical="center"/>
    </xf>
    <xf numFmtId="3" fontId="62" fillId="12" borderId="8" xfId="0" applyNumberFormat="1" applyFont="1" applyFill="1" applyBorder="1" applyAlignment="1">
      <alignment horizontal="right" vertical="center"/>
    </xf>
    <xf numFmtId="3" fontId="62" fillId="12" borderId="1" xfId="0" applyNumberFormat="1" applyFont="1" applyFill="1" applyBorder="1" applyAlignment="1">
      <alignment horizontal="right" vertical="center"/>
    </xf>
    <xf numFmtId="0" fontId="62" fillId="12" borderId="8" xfId="0" applyFont="1" applyFill="1" applyBorder="1" applyAlignment="1">
      <alignment horizontal="center" vertical="center"/>
    </xf>
    <xf numFmtId="0" fontId="62" fillId="12" borderId="1" xfId="0" applyFont="1" applyFill="1" applyBorder="1" applyAlignment="1">
      <alignment horizontal="center" vertical="center"/>
    </xf>
    <xf numFmtId="170" fontId="62" fillId="12" borderId="8" xfId="0" applyNumberFormat="1" applyFont="1" applyFill="1" applyBorder="1" applyAlignment="1">
      <alignment horizontal="center" vertical="center"/>
    </xf>
    <xf numFmtId="170" fontId="62" fillId="12" borderId="1" xfId="0" applyNumberFormat="1" applyFont="1" applyFill="1" applyBorder="1" applyAlignment="1">
      <alignment horizontal="center" vertical="center"/>
    </xf>
    <xf numFmtId="0" fontId="62" fillId="12" borderId="5" xfId="0" applyFont="1" applyFill="1" applyBorder="1" applyAlignment="1">
      <alignment horizontal="center" vertical="center"/>
    </xf>
    <xf numFmtId="0" fontId="70" fillId="0" borderId="5" xfId="0" applyFont="1" applyBorder="1" applyAlignment="1">
      <alignment horizontal="left"/>
    </xf>
    <xf numFmtId="41" fontId="58" fillId="0" borderId="5" xfId="0" applyNumberFormat="1" applyFont="1" applyFill="1" applyBorder="1" applyAlignment="1" applyProtection="1">
      <alignment horizontal="center"/>
      <protection locked="0"/>
    </xf>
    <xf numFmtId="41" fontId="61" fillId="0" borderId="5" xfId="0" applyNumberFormat="1" applyFont="1" applyFill="1" applyBorder="1" applyAlignment="1" applyProtection="1">
      <alignment horizontal="left"/>
      <protection locked="0"/>
    </xf>
    <xf numFmtId="41" fontId="70" fillId="0" borderId="33" xfId="0" applyNumberFormat="1" applyFont="1" applyFill="1" applyBorder="1" applyAlignment="1" applyProtection="1">
      <alignment horizontal="center"/>
      <protection locked="0"/>
    </xf>
    <xf numFmtId="41" fontId="70" fillId="0" borderId="3" xfId="0" applyNumberFormat="1" applyFont="1" applyFill="1" applyBorder="1" applyAlignment="1" applyProtection="1">
      <alignment horizontal="center"/>
      <protection locked="0"/>
    </xf>
    <xf numFmtId="41" fontId="70" fillId="0" borderId="23" xfId="0" applyNumberFormat="1" applyFont="1" applyFill="1" applyBorder="1" applyAlignment="1" applyProtection="1">
      <alignment horizontal="center"/>
      <protection locked="0"/>
    </xf>
    <xf numFmtId="171" fontId="70" fillId="12" borderId="25" xfId="0" applyNumberFormat="1" applyFont="1" applyFill="1" applyBorder="1" applyAlignment="1">
      <alignment horizontal="center" vertical="center"/>
    </xf>
    <xf numFmtId="171" fontId="70" fillId="12" borderId="58" xfId="0" applyNumberFormat="1" applyFont="1" applyFill="1" applyBorder="1" applyAlignment="1">
      <alignment horizontal="center" vertical="center"/>
    </xf>
    <xf numFmtId="171" fontId="70" fillId="12" borderId="6" xfId="0" applyNumberFormat="1" applyFont="1" applyFill="1" applyBorder="1" applyAlignment="1">
      <alignment horizontal="center" vertical="center"/>
    </xf>
    <xf numFmtId="171" fontId="70" fillId="12" borderId="11" xfId="0" applyNumberFormat="1" applyFont="1" applyFill="1" applyBorder="1" applyAlignment="1">
      <alignment horizontal="center" vertical="center"/>
    </xf>
    <xf numFmtId="41" fontId="61" fillId="12" borderId="48" xfId="0" applyNumberFormat="1" applyFont="1" applyFill="1" applyBorder="1" applyAlignment="1">
      <alignment horizontal="center" vertical="center"/>
    </xf>
    <xf numFmtId="41" fontId="61" fillId="12" borderId="7" xfId="0" applyNumberFormat="1" applyFont="1" applyFill="1" applyBorder="1" applyAlignment="1">
      <alignment horizontal="center" vertical="center"/>
    </xf>
    <xf numFmtId="41" fontId="61" fillId="12" borderId="49" xfId="0" applyNumberFormat="1" applyFont="1" applyFill="1" applyBorder="1" applyAlignment="1">
      <alignment horizontal="center" vertical="center"/>
    </xf>
    <xf numFmtId="41" fontId="62" fillId="12" borderId="10" xfId="0" quotePrefix="1" applyNumberFormat="1" applyFont="1" applyFill="1" applyBorder="1" applyAlignment="1">
      <alignment horizontal="center" vertical="center" wrapText="1"/>
    </xf>
    <xf numFmtId="41" fontId="62" fillId="12" borderId="43" xfId="0" quotePrefix="1" applyNumberFormat="1" applyFont="1" applyFill="1" applyBorder="1" applyAlignment="1">
      <alignment horizontal="center" vertical="center" wrapText="1"/>
    </xf>
    <xf numFmtId="2" fontId="70" fillId="12" borderId="40" xfId="0" applyNumberFormat="1" applyFont="1" applyFill="1" applyBorder="1" applyAlignment="1">
      <alignment horizontal="center" vertical="center"/>
    </xf>
    <xf numFmtId="2" fontId="70" fillId="12" borderId="35" xfId="0" applyNumberFormat="1" applyFont="1" applyFill="1" applyBorder="1" applyAlignment="1">
      <alignment horizontal="center" vertical="center"/>
    </xf>
    <xf numFmtId="2" fontId="70" fillId="12" borderId="41" xfId="0" applyNumberFormat="1" applyFont="1" applyFill="1" applyBorder="1" applyAlignment="1">
      <alignment horizontal="center" vertical="center"/>
    </xf>
    <xf numFmtId="10" fontId="70" fillId="12" borderId="42" xfId="155" applyNumberFormat="1" applyFont="1" applyFill="1" applyBorder="1" applyAlignment="1">
      <alignment horizontal="center" vertical="center" wrapText="1"/>
    </xf>
    <xf numFmtId="10" fontId="70" fillId="12" borderId="10" xfId="155" applyNumberFormat="1" applyFont="1" applyFill="1" applyBorder="1" applyAlignment="1">
      <alignment horizontal="center" vertical="center" wrapText="1"/>
    </xf>
    <xf numFmtId="10" fontId="70" fillId="12" borderId="43" xfId="155" applyNumberFormat="1" applyFont="1" applyFill="1" applyBorder="1" applyAlignment="1">
      <alignment horizontal="center" vertical="center" wrapText="1"/>
    </xf>
    <xf numFmtId="41" fontId="70" fillId="12" borderId="8" xfId="0" applyNumberFormat="1" applyFont="1" applyFill="1" applyBorder="1" applyAlignment="1">
      <alignment horizontal="center" vertical="center"/>
    </xf>
    <xf numFmtId="41" fontId="70" fillId="12" borderId="43" xfId="0" applyNumberFormat="1" applyFont="1" applyFill="1" applyBorder="1" applyAlignment="1">
      <alignment horizontal="center" vertical="center"/>
    </xf>
    <xf numFmtId="10" fontId="70" fillId="12" borderId="8" xfId="155" applyNumberFormat="1" applyFont="1" applyFill="1" applyBorder="1" applyAlignment="1">
      <alignment horizontal="center" vertical="center"/>
    </xf>
    <xf numFmtId="10" fontId="70" fillId="12" borderId="43" xfId="155" applyNumberFormat="1" applyFont="1" applyFill="1" applyBorder="1" applyAlignment="1">
      <alignment horizontal="center" vertical="center"/>
    </xf>
    <xf numFmtId="0" fontId="61" fillId="15" borderId="5" xfId="0" applyFont="1" applyFill="1" applyBorder="1" applyAlignment="1">
      <alignment horizontal="center"/>
    </xf>
    <xf numFmtId="0" fontId="61" fillId="13" borderId="33" xfId="0" applyFont="1" applyFill="1" applyBorder="1" applyAlignment="1">
      <alignment horizontal="center"/>
    </xf>
    <xf numFmtId="0" fontId="61" fillId="13" borderId="3" xfId="0" applyFont="1" applyFill="1" applyBorder="1" applyAlignment="1">
      <alignment horizontal="center"/>
    </xf>
    <xf numFmtId="0" fontId="61" fillId="13" borderId="23" xfId="0" applyFont="1" applyFill="1" applyBorder="1" applyAlignment="1">
      <alignment horizontal="center"/>
    </xf>
    <xf numFmtId="3" fontId="61" fillId="15" borderId="33" xfId="0" applyNumberFormat="1" applyFont="1" applyFill="1" applyBorder="1" applyAlignment="1">
      <alignment horizontal="center"/>
    </xf>
    <xf numFmtId="3" fontId="61" fillId="15" borderId="23" xfId="0" applyNumberFormat="1" applyFont="1" applyFill="1" applyBorder="1" applyAlignment="1">
      <alignment horizontal="center"/>
    </xf>
    <xf numFmtId="3" fontId="71" fillId="0" borderId="33" xfId="0" applyNumberFormat="1" applyFont="1" applyFill="1" applyBorder="1" applyAlignment="1" applyProtection="1">
      <alignment horizontal="right"/>
      <protection locked="0"/>
    </xf>
    <xf numFmtId="3" fontId="71" fillId="0" borderId="23" xfId="0" applyNumberFormat="1" applyFont="1" applyFill="1" applyBorder="1" applyAlignment="1" applyProtection="1">
      <alignment horizontal="right"/>
      <protection locked="0"/>
    </xf>
    <xf numFmtId="3" fontId="61" fillId="15" borderId="33" xfId="0" applyNumberFormat="1" applyFont="1" applyFill="1" applyBorder="1" applyAlignment="1">
      <alignment horizontal="right"/>
    </xf>
    <xf numFmtId="3" fontId="61" fillId="15" borderId="23" xfId="0" applyNumberFormat="1" applyFont="1" applyFill="1" applyBorder="1" applyAlignment="1">
      <alignment horizontal="right"/>
    </xf>
    <xf numFmtId="0" fontId="61" fillId="18" borderId="33" xfId="0" applyFont="1" applyFill="1" applyBorder="1" applyAlignment="1">
      <alignment horizontal="center"/>
    </xf>
    <xf numFmtId="0" fontId="61" fillId="18" borderId="3" xfId="0" applyFont="1" applyFill="1" applyBorder="1" applyAlignment="1">
      <alignment horizontal="center"/>
    </xf>
    <xf numFmtId="0" fontId="61" fillId="18" borderId="23" xfId="0" applyFont="1" applyFill="1" applyBorder="1" applyAlignment="1">
      <alignment horizontal="center"/>
    </xf>
    <xf numFmtId="0" fontId="58" fillId="15" borderId="16" xfId="0" applyFont="1" applyFill="1" applyBorder="1" applyAlignment="1">
      <alignment horizontal="left"/>
    </xf>
    <xf numFmtId="0" fontId="58" fillId="15" borderId="11" xfId="0" applyFont="1" applyFill="1" applyBorder="1" applyAlignment="1">
      <alignment horizontal="left"/>
    </xf>
    <xf numFmtId="3" fontId="58" fillId="15" borderId="33" xfId="0" applyNumberFormat="1" applyFont="1" applyFill="1" applyBorder="1" applyAlignment="1">
      <alignment horizontal="right"/>
    </xf>
    <xf numFmtId="3" fontId="58" fillId="15" borderId="23" xfId="0" applyNumberFormat="1" applyFont="1" applyFill="1" applyBorder="1" applyAlignment="1">
      <alignment horizontal="right"/>
    </xf>
    <xf numFmtId="3" fontId="58" fillId="15" borderId="5" xfId="0" applyNumberFormat="1" applyFont="1" applyFill="1" applyBorder="1" applyAlignment="1">
      <alignment horizontal="right"/>
    </xf>
    <xf numFmtId="0" fontId="58" fillId="15" borderId="33" xfId="0" applyFont="1" applyFill="1" applyBorder="1" applyAlignment="1">
      <alignment horizontal="left"/>
    </xf>
    <xf numFmtId="0" fontId="58" fillId="15" borderId="23" xfId="0" applyFont="1" applyFill="1" applyBorder="1" applyAlignment="1">
      <alignment horizontal="left"/>
    </xf>
    <xf numFmtId="0" fontId="61" fillId="15" borderId="33" xfId="0" applyFont="1" applyFill="1" applyBorder="1" applyAlignment="1">
      <alignment horizontal="left"/>
    </xf>
    <xf numFmtId="0" fontId="61" fillId="15" borderId="23" xfId="0" applyFont="1" applyFill="1" applyBorder="1" applyAlignment="1">
      <alignment horizontal="left"/>
    </xf>
    <xf numFmtId="3" fontId="61" fillId="15" borderId="5" xfId="0" applyNumberFormat="1" applyFont="1" applyFill="1" applyBorder="1" applyAlignment="1">
      <alignment horizontal="right"/>
    </xf>
    <xf numFmtId="0" fontId="61" fillId="15" borderId="5" xfId="0" applyFont="1" applyFill="1" applyBorder="1" applyAlignment="1">
      <alignment horizontal="left"/>
    </xf>
    <xf numFmtId="0" fontId="62" fillId="0" borderId="46" xfId="0" applyFont="1" applyBorder="1" applyAlignment="1" applyProtection="1">
      <alignment horizontal="left"/>
    </xf>
    <xf numFmtId="0" fontId="62" fillId="0" borderId="52" xfId="0" applyFont="1" applyBorder="1" applyAlignment="1" applyProtection="1">
      <alignment horizontal="left"/>
    </xf>
    <xf numFmtId="0" fontId="62" fillId="0" borderId="59" xfId="0" applyFont="1" applyBorder="1" applyAlignment="1" applyProtection="1">
      <alignment horizontal="left"/>
    </xf>
    <xf numFmtId="3" fontId="70" fillId="15" borderId="5" xfId="0" applyNumberFormat="1" applyFont="1" applyFill="1" applyBorder="1" applyAlignment="1" applyProtection="1">
      <alignment horizontal="center"/>
    </xf>
    <xf numFmtId="168" fontId="70" fillId="12" borderId="40" xfId="155" applyNumberFormat="1" applyFont="1" applyFill="1" applyBorder="1" applyAlignment="1" applyProtection="1">
      <alignment horizontal="center" vertical="center" wrapText="1"/>
    </xf>
    <xf numFmtId="168" fontId="70" fillId="12" borderId="35" xfId="155" applyNumberFormat="1" applyFont="1" applyFill="1" applyBorder="1" applyAlignment="1" applyProtection="1">
      <alignment horizontal="center" vertical="center" wrapText="1"/>
    </xf>
    <xf numFmtId="168" fontId="70" fillId="12" borderId="42" xfId="155" applyNumberFormat="1" applyFont="1" applyFill="1" applyBorder="1" applyAlignment="1" applyProtection="1">
      <alignment horizontal="center" vertical="center" wrapText="1"/>
    </xf>
    <xf numFmtId="168" fontId="70" fillId="12" borderId="10" xfId="155" applyNumberFormat="1" applyFont="1" applyFill="1" applyBorder="1" applyAlignment="1" applyProtection="1">
      <alignment horizontal="center" vertical="center" wrapText="1"/>
    </xf>
    <xf numFmtId="0" fontId="62" fillId="12" borderId="46" xfId="0" applyFont="1" applyFill="1" applyBorder="1" applyAlignment="1" applyProtection="1">
      <alignment horizontal="center" vertical="center" wrapText="1"/>
    </xf>
    <xf numFmtId="0" fontId="62" fillId="12" borderId="55" xfId="0" applyFont="1" applyFill="1" applyBorder="1" applyAlignment="1" applyProtection="1">
      <alignment horizontal="center" vertical="center" wrapText="1"/>
    </xf>
    <xf numFmtId="0" fontId="70" fillId="12" borderId="44" xfId="0" applyFont="1" applyFill="1" applyBorder="1" applyAlignment="1" applyProtection="1">
      <alignment horizontal="center" vertical="center" wrapText="1"/>
    </xf>
    <xf numFmtId="0" fontId="70" fillId="12" borderId="45" xfId="0" applyFont="1" applyFill="1" applyBorder="1" applyAlignment="1" applyProtection="1">
      <alignment horizontal="center" vertical="center" wrapText="1"/>
    </xf>
    <xf numFmtId="2" fontId="70" fillId="12" borderId="26" xfId="0" applyNumberFormat="1" applyFont="1" applyFill="1" applyBorder="1" applyAlignment="1" applyProtection="1">
      <alignment horizontal="center" vertical="center" wrapText="1"/>
    </xf>
    <xf numFmtId="2" fontId="70" fillId="12" borderId="27" xfId="0" applyNumberFormat="1" applyFont="1" applyFill="1" applyBorder="1" applyAlignment="1" applyProtection="1">
      <alignment horizontal="center" vertical="center" wrapText="1"/>
    </xf>
    <xf numFmtId="0" fontId="70" fillId="0" borderId="44" xfId="0" applyFont="1" applyBorder="1" applyAlignment="1" applyProtection="1">
      <alignment horizontal="center"/>
    </xf>
    <xf numFmtId="0" fontId="70" fillId="0" borderId="2" xfId="0" applyFont="1" applyBorder="1" applyAlignment="1" applyProtection="1">
      <alignment horizontal="center"/>
    </xf>
    <xf numFmtId="0" fontId="70" fillId="0" borderId="45" xfId="0" applyFont="1" applyBorder="1" applyAlignment="1" applyProtection="1">
      <alignment horizontal="center"/>
    </xf>
    <xf numFmtId="0" fontId="61" fillId="0" borderId="44" xfId="0" applyFont="1" applyBorder="1" applyAlignment="1" applyProtection="1">
      <alignment horizontal="center"/>
    </xf>
    <xf numFmtId="0" fontId="61" fillId="0" borderId="2" xfId="0" applyFont="1" applyBorder="1" applyAlignment="1" applyProtection="1">
      <alignment horizontal="center"/>
    </xf>
    <xf numFmtId="0" fontId="61" fillId="0" borderId="45" xfId="0" applyFont="1" applyBorder="1" applyAlignment="1" applyProtection="1">
      <alignment horizontal="center"/>
    </xf>
    <xf numFmtId="0" fontId="12" fillId="0" borderId="0" xfId="0" applyFont="1" applyAlignment="1" applyProtection="1">
      <alignment horizontal="left"/>
    </xf>
    <xf numFmtId="10" fontId="1" fillId="4" borderId="16" xfId="0" applyNumberFormat="1" applyFont="1" applyFill="1" applyBorder="1" applyAlignment="1" applyProtection="1">
      <alignment horizontal="center"/>
    </xf>
    <xf numFmtId="10" fontId="1" fillId="4" borderId="11" xfId="0" applyNumberFormat="1" applyFont="1" applyFill="1" applyBorder="1" applyAlignment="1" applyProtection="1">
      <alignment horizontal="center"/>
    </xf>
    <xf numFmtId="0" fontId="1" fillId="4" borderId="22" xfId="0" applyFont="1" applyFill="1" applyBorder="1" applyAlignment="1" applyProtection="1">
      <alignment horizontal="left"/>
    </xf>
    <xf numFmtId="0" fontId="1" fillId="4" borderId="13" xfId="0" applyFont="1" applyFill="1" applyBorder="1" applyAlignment="1" applyProtection="1">
      <alignment horizontal="left"/>
    </xf>
    <xf numFmtId="10" fontId="1" fillId="15" borderId="22" xfId="0" applyNumberFormat="1" applyFont="1" applyFill="1" applyBorder="1" applyAlignment="1" applyProtection="1">
      <alignment horizontal="center"/>
    </xf>
    <xf numFmtId="10" fontId="1" fillId="15" borderId="13" xfId="0" applyNumberFormat="1" applyFont="1" applyFill="1" applyBorder="1" applyAlignment="1" applyProtection="1">
      <alignment horizontal="center"/>
    </xf>
    <xf numFmtId="10" fontId="1" fillId="15" borderId="15" xfId="0" applyNumberFormat="1" applyFont="1" applyFill="1" applyBorder="1" applyAlignment="1" applyProtection="1">
      <alignment horizontal="center"/>
    </xf>
    <xf numFmtId="10" fontId="1" fillId="15" borderId="14" xfId="0" applyNumberFormat="1" applyFont="1" applyFill="1" applyBorder="1" applyAlignment="1" applyProtection="1">
      <alignment horizontal="center"/>
    </xf>
    <xf numFmtId="10" fontId="1" fillId="15" borderId="16" xfId="0" applyNumberFormat="1" applyFont="1" applyFill="1" applyBorder="1" applyAlignment="1" applyProtection="1">
      <alignment horizontal="center"/>
    </xf>
    <xf numFmtId="10" fontId="1" fillId="15" borderId="11" xfId="0" applyNumberFormat="1" applyFont="1" applyFill="1" applyBorder="1" applyAlignment="1" applyProtection="1">
      <alignment horizontal="center"/>
    </xf>
    <xf numFmtId="10" fontId="1" fillId="4" borderId="22" xfId="0" applyNumberFormat="1" applyFont="1" applyFill="1" applyBorder="1" applyAlignment="1" applyProtection="1">
      <alignment horizontal="center"/>
    </xf>
    <xf numFmtId="10" fontId="1" fillId="4" borderId="13" xfId="0" applyNumberFormat="1" applyFont="1" applyFill="1" applyBorder="1" applyAlignment="1" applyProtection="1">
      <alignment horizontal="center"/>
    </xf>
    <xf numFmtId="0" fontId="37" fillId="4" borderId="16" xfId="0" applyFont="1" applyFill="1" applyBorder="1" applyAlignment="1" applyProtection="1">
      <alignment horizontal="left"/>
    </xf>
    <xf numFmtId="0" fontId="37" fillId="4" borderId="11" xfId="0" applyFont="1" applyFill="1" applyBorder="1" applyAlignment="1" applyProtection="1">
      <alignment horizontal="left"/>
    </xf>
    <xf numFmtId="37" fontId="37" fillId="4" borderId="33" xfId="0" applyNumberFormat="1" applyFont="1" applyFill="1" applyBorder="1" applyAlignment="1" applyProtection="1">
      <alignment horizontal="right"/>
    </xf>
    <xf numFmtId="37" fontId="37" fillId="4" borderId="23" xfId="0" applyNumberFormat="1" applyFont="1" applyFill="1" applyBorder="1" applyAlignment="1" applyProtection="1">
      <alignment horizontal="right"/>
    </xf>
    <xf numFmtId="10" fontId="1" fillId="4" borderId="15" xfId="0" applyNumberFormat="1" applyFont="1" applyFill="1" applyBorder="1" applyAlignment="1" applyProtection="1">
      <alignment horizontal="center"/>
    </xf>
    <xf numFmtId="10" fontId="1" fillId="4" borderId="14" xfId="0" applyNumberFormat="1" applyFont="1" applyFill="1" applyBorder="1" applyAlignment="1" applyProtection="1">
      <alignment horizontal="center"/>
    </xf>
    <xf numFmtId="0" fontId="34" fillId="12" borderId="33" xfId="0" applyFont="1" applyFill="1" applyBorder="1" applyAlignment="1" applyProtection="1">
      <alignment horizontal="left"/>
    </xf>
    <xf numFmtId="0" fontId="34" fillId="12" borderId="23" xfId="0" applyFont="1" applyFill="1" applyBorder="1" applyAlignment="1" applyProtection="1">
      <alignment horizontal="left"/>
    </xf>
    <xf numFmtId="37" fontId="74" fillId="4" borderId="33" xfId="0" applyNumberFormat="1" applyFont="1" applyFill="1" applyBorder="1" applyAlignment="1" applyProtection="1">
      <alignment horizontal="right"/>
    </xf>
    <xf numFmtId="37" fontId="74" fillId="4" borderId="23" xfId="0" applyNumberFormat="1" applyFont="1" applyFill="1" applyBorder="1" applyAlignment="1" applyProtection="1">
      <alignment horizontal="right"/>
    </xf>
    <xf numFmtId="0" fontId="44" fillId="0" borderId="0" xfId="0" applyFont="1" applyBorder="1" applyAlignment="1" applyProtection="1">
      <alignment horizontal="left"/>
    </xf>
    <xf numFmtId="0" fontId="37" fillId="4" borderId="33" xfId="0" applyFont="1" applyFill="1" applyBorder="1" applyAlignment="1" applyProtection="1">
      <alignment horizontal="left"/>
    </xf>
    <xf numFmtId="0" fontId="37" fillId="4" borderId="23" xfId="0" applyFont="1" applyFill="1" applyBorder="1" applyAlignment="1" applyProtection="1">
      <alignment horizontal="left"/>
    </xf>
    <xf numFmtId="43" fontId="36" fillId="4" borderId="8" xfId="0" applyNumberFormat="1" applyFont="1" applyFill="1" applyBorder="1" applyAlignment="1" applyProtection="1">
      <alignment horizontal="center"/>
    </xf>
    <xf numFmtId="0" fontId="0" fillId="0" borderId="10" xfId="0" applyBorder="1" applyProtection="1"/>
    <xf numFmtId="0" fontId="0" fillId="0" borderId="1" xfId="0" applyBorder="1" applyProtection="1"/>
    <xf numFmtId="0" fontId="37" fillId="4" borderId="15" xfId="0" applyFont="1" applyFill="1" applyBorder="1" applyAlignment="1" applyProtection="1">
      <alignment horizontal="left"/>
    </xf>
    <xf numFmtId="0" fontId="37" fillId="4" borderId="14" xfId="0" applyFont="1" applyFill="1" applyBorder="1" applyAlignment="1" applyProtection="1">
      <alignment horizontal="left"/>
    </xf>
    <xf numFmtId="9" fontId="37" fillId="4" borderId="33" xfId="0" applyNumberFormat="1" applyFont="1" applyFill="1" applyBorder="1" applyAlignment="1" applyProtection="1">
      <alignment horizontal="left"/>
    </xf>
    <xf numFmtId="9" fontId="37" fillId="4" borderId="23" xfId="0" applyNumberFormat="1" applyFont="1" applyFill="1" applyBorder="1" applyAlignment="1" applyProtection="1">
      <alignment horizontal="left"/>
    </xf>
    <xf numFmtId="9" fontId="34" fillId="4" borderId="22" xfId="0" applyNumberFormat="1" applyFont="1" applyFill="1" applyBorder="1" applyAlignment="1" applyProtection="1">
      <alignment horizontal="left"/>
    </xf>
    <xf numFmtId="9" fontId="34" fillId="4" borderId="13" xfId="0" applyNumberFormat="1" applyFont="1" applyFill="1" applyBorder="1" applyAlignment="1" applyProtection="1">
      <alignment horizontal="left"/>
    </xf>
    <xf numFmtId="0" fontId="35" fillId="15" borderId="33" xfId="0" applyFont="1" applyFill="1" applyBorder="1" applyAlignment="1" applyProtection="1">
      <alignment horizontal="center"/>
    </xf>
    <xf numFmtId="0" fontId="35" fillId="15" borderId="23" xfId="0" applyFont="1" applyFill="1" applyBorder="1" applyAlignment="1" applyProtection="1">
      <alignment horizontal="center"/>
    </xf>
    <xf numFmtId="0" fontId="37" fillId="4" borderId="22" xfId="0" applyFont="1" applyFill="1" applyBorder="1" applyAlignment="1" applyProtection="1">
      <alignment horizontal="left"/>
    </xf>
    <xf numFmtId="0" fontId="37" fillId="4" borderId="13" xfId="0" applyFont="1" applyFill="1" applyBorder="1" applyAlignment="1" applyProtection="1">
      <alignment horizontal="left"/>
    </xf>
    <xf numFmtId="37" fontId="37" fillId="4" borderId="22" xfId="0" applyNumberFormat="1" applyFont="1" applyFill="1" applyBorder="1" applyAlignment="1" applyProtection="1">
      <alignment horizontal="right"/>
    </xf>
    <xf numFmtId="37" fontId="37" fillId="4" borderId="13" xfId="0" applyNumberFormat="1" applyFont="1" applyFill="1" applyBorder="1" applyAlignment="1" applyProtection="1">
      <alignment horizontal="right"/>
    </xf>
    <xf numFmtId="166" fontId="37" fillId="0" borderId="15" xfId="11" applyNumberFormat="1" applyFont="1" applyBorder="1" applyAlignment="1" applyProtection="1">
      <alignment horizontal="center"/>
    </xf>
    <xf numFmtId="166" fontId="37" fillId="0" borderId="0" xfId="11" applyNumberFormat="1" applyFont="1" applyBorder="1" applyAlignment="1" applyProtection="1">
      <alignment horizontal="center"/>
    </xf>
    <xf numFmtId="166" fontId="37" fillId="0" borderId="12" xfId="11" applyNumberFormat="1" applyFont="1" applyBorder="1" applyAlignment="1" applyProtection="1">
      <alignment horizontal="center"/>
    </xf>
    <xf numFmtId="166" fontId="37" fillId="0" borderId="13" xfId="11" applyNumberFormat="1" applyFont="1" applyBorder="1" applyAlignment="1" applyProtection="1">
      <alignment horizontal="center"/>
    </xf>
    <xf numFmtId="0" fontId="34" fillId="11" borderId="15" xfId="0" applyFont="1" applyFill="1" applyBorder="1" applyAlignment="1" applyProtection="1">
      <alignment horizontal="center" vertical="center"/>
    </xf>
    <xf numFmtId="0" fontId="34" fillId="11" borderId="0" xfId="0" applyFont="1" applyFill="1" applyBorder="1" applyAlignment="1" applyProtection="1">
      <alignment horizontal="center" vertical="center"/>
    </xf>
    <xf numFmtId="0" fontId="34" fillId="11" borderId="6" xfId="0" applyFont="1" applyFill="1" applyBorder="1" applyAlignment="1" applyProtection="1">
      <alignment horizontal="center" vertical="center"/>
    </xf>
    <xf numFmtId="0" fontId="34" fillId="11" borderId="11" xfId="0" applyFont="1" applyFill="1" applyBorder="1" applyAlignment="1" applyProtection="1">
      <alignment horizontal="center" vertical="center"/>
    </xf>
    <xf numFmtId="37" fontId="1" fillId="4" borderId="16" xfId="0" applyNumberFormat="1" applyFont="1" applyFill="1" applyBorder="1" applyAlignment="1" applyProtection="1">
      <alignment horizontal="right"/>
    </xf>
    <xf numFmtId="37" fontId="1" fillId="4" borderId="11" xfId="0" applyNumberFormat="1" applyFont="1" applyFill="1" applyBorder="1" applyAlignment="1" applyProtection="1">
      <alignment horizontal="right"/>
    </xf>
    <xf numFmtId="0" fontId="11" fillId="12" borderId="33" xfId="0" applyFont="1" applyFill="1" applyBorder="1" applyAlignment="1" applyProtection="1">
      <alignment horizontal="center"/>
    </xf>
    <xf numFmtId="0" fontId="11" fillId="12" borderId="3" xfId="0" applyFont="1" applyFill="1" applyBorder="1" applyAlignment="1" applyProtection="1">
      <alignment horizontal="center"/>
    </xf>
    <xf numFmtId="15" fontId="11" fillId="12" borderId="33" xfId="0" applyNumberFormat="1" applyFont="1" applyFill="1" applyBorder="1" applyAlignment="1" applyProtection="1">
      <alignment horizontal="center"/>
    </xf>
    <xf numFmtId="15" fontId="11" fillId="12" borderId="23" xfId="0" applyNumberFormat="1" applyFont="1" applyFill="1" applyBorder="1" applyAlignment="1" applyProtection="1">
      <alignment horizontal="center"/>
    </xf>
    <xf numFmtId="41" fontId="11" fillId="12" borderId="5" xfId="0" applyNumberFormat="1" applyFont="1" applyFill="1" applyBorder="1" applyAlignment="1" applyProtection="1">
      <alignment horizontal="center" vertical="center"/>
    </xf>
    <xf numFmtId="15" fontId="11" fillId="12" borderId="5" xfId="0" applyNumberFormat="1" applyFont="1" applyFill="1" applyBorder="1" applyAlignment="1" applyProtection="1">
      <alignment horizontal="center" vertical="center"/>
    </xf>
    <xf numFmtId="0" fontId="27" fillId="0" borderId="0" xfId="0" applyFont="1" applyBorder="1" applyAlignment="1" applyProtection="1">
      <alignment horizontal="center"/>
    </xf>
    <xf numFmtId="0" fontId="34" fillId="11" borderId="22" xfId="0" applyFont="1" applyFill="1" applyBorder="1" applyAlignment="1" applyProtection="1">
      <alignment horizontal="center" vertical="center"/>
    </xf>
    <xf numFmtId="0" fontId="34" fillId="11" borderId="12" xfId="0" applyFont="1" applyFill="1" applyBorder="1" applyAlignment="1" applyProtection="1">
      <alignment horizontal="center" vertical="center"/>
    </xf>
    <xf numFmtId="0" fontId="0" fillId="11" borderId="3" xfId="0" applyFont="1" applyFill="1" applyBorder="1" applyAlignment="1" applyProtection="1">
      <alignment vertical="center"/>
    </xf>
    <xf numFmtId="0" fontId="0" fillId="11" borderId="23" xfId="0" applyFont="1" applyFill="1" applyBorder="1" applyAlignment="1" applyProtection="1">
      <alignment vertical="center"/>
    </xf>
    <xf numFmtId="0" fontId="46" fillId="4" borderId="33" xfId="0" applyFont="1" applyFill="1" applyBorder="1" applyAlignment="1" applyProtection="1">
      <alignment horizontal="center"/>
    </xf>
    <xf numFmtId="0" fontId="46" fillId="4" borderId="23" xfId="0" applyFont="1" applyFill="1" applyBorder="1" applyAlignment="1" applyProtection="1">
      <alignment horizontal="center"/>
    </xf>
    <xf numFmtId="0" fontId="38" fillId="0" borderId="5" xfId="0" applyFont="1" applyBorder="1" applyAlignment="1" applyProtection="1">
      <alignment horizontal="left"/>
    </xf>
    <xf numFmtId="0" fontId="29" fillId="0" borderId="0" xfId="0" applyFont="1" applyBorder="1" applyAlignment="1" applyProtection="1">
      <alignment horizontal="right"/>
    </xf>
    <xf numFmtId="0" fontId="54" fillId="14" borderId="7" xfId="0" applyFont="1" applyFill="1" applyBorder="1" applyAlignment="1">
      <alignment horizontal="left"/>
    </xf>
    <xf numFmtId="0" fontId="54" fillId="14" borderId="0" xfId="0" applyFont="1" applyFill="1" applyBorder="1" applyAlignment="1">
      <alignment horizontal="left"/>
    </xf>
    <xf numFmtId="0" fontId="76" fillId="14" borderId="48" xfId="0" applyNumberFormat="1" applyFont="1" applyFill="1" applyBorder="1" applyAlignment="1">
      <alignment horizontal="left"/>
    </xf>
    <xf numFmtId="0" fontId="76" fillId="14" borderId="25" xfId="0" applyNumberFormat="1" applyFont="1" applyFill="1" applyBorder="1" applyAlignment="1">
      <alignment horizontal="left"/>
    </xf>
    <xf numFmtId="0" fontId="55" fillId="14" borderId="49" xfId="0" applyFont="1" applyFill="1" applyBorder="1" applyAlignment="1">
      <alignment horizontal="left"/>
    </xf>
    <xf numFmtId="0" fontId="55" fillId="14" borderId="4" xfId="0" applyFont="1" applyFill="1" applyBorder="1" applyAlignment="1">
      <alignment horizontal="left"/>
    </xf>
    <xf numFmtId="0" fontId="57" fillId="14" borderId="44" xfId="0" applyFont="1" applyFill="1" applyBorder="1" applyAlignment="1">
      <alignment horizontal="left"/>
    </xf>
    <xf numFmtId="0" fontId="57" fillId="14" borderId="2" xfId="0" applyFont="1" applyFill="1" applyBorder="1" applyAlignment="1">
      <alignment horizontal="left"/>
    </xf>
    <xf numFmtId="0" fontId="57" fillId="14" borderId="45" xfId="0" applyFont="1" applyFill="1" applyBorder="1" applyAlignment="1">
      <alignment horizontal="left"/>
    </xf>
    <xf numFmtId="41" fontId="82" fillId="14" borderId="16" xfId="22" applyFont="1" applyFill="1" applyBorder="1" applyAlignment="1">
      <alignment horizontal="left"/>
    </xf>
    <xf numFmtId="41" fontId="82" fillId="14" borderId="11" xfId="22" applyFont="1" applyFill="1" applyBorder="1" applyAlignment="1">
      <alignment horizontal="left"/>
    </xf>
    <xf numFmtId="41" fontId="82" fillId="14" borderId="33" xfId="22" applyFont="1" applyFill="1" applyBorder="1" applyAlignment="1">
      <alignment horizontal="left"/>
    </xf>
    <xf numFmtId="41" fontId="82" fillId="14" borderId="23" xfId="22" applyFont="1" applyFill="1" applyBorder="1" applyAlignment="1">
      <alignment horizontal="left"/>
    </xf>
    <xf numFmtId="3" fontId="57" fillId="16" borderId="9" xfId="0" applyNumberFormat="1" applyFont="1" applyFill="1" applyBorder="1" applyAlignment="1">
      <alignment horizontal="center" vertical="center"/>
    </xf>
    <xf numFmtId="3" fontId="57" fillId="16" borderId="24" xfId="0" applyNumberFormat="1" applyFont="1" applyFill="1" applyBorder="1" applyAlignment="1">
      <alignment horizontal="center" vertical="center"/>
    </xf>
    <xf numFmtId="41" fontId="76" fillId="16" borderId="46" xfId="22" applyFont="1" applyFill="1" applyBorder="1" applyAlignment="1">
      <alignment horizontal="center" vertical="center"/>
    </xf>
    <xf numFmtId="41" fontId="76" fillId="16" borderId="47" xfId="22" applyFont="1" applyFill="1" applyBorder="1" applyAlignment="1">
      <alignment horizontal="center" vertical="center"/>
    </xf>
    <xf numFmtId="41" fontId="76" fillId="16" borderId="50" xfId="22" applyFont="1" applyFill="1" applyBorder="1" applyAlignment="1">
      <alignment horizontal="center" vertical="center"/>
    </xf>
    <xf numFmtId="41" fontId="76" fillId="16" borderId="51" xfId="22" applyFont="1" applyFill="1" applyBorder="1" applyAlignment="1">
      <alignment horizontal="center" vertical="center"/>
    </xf>
    <xf numFmtId="41" fontId="76" fillId="16" borderId="37" xfId="22" applyFont="1" applyFill="1" applyBorder="1" applyAlignment="1">
      <alignment horizontal="center" vertical="center"/>
    </xf>
    <xf numFmtId="41" fontId="76" fillId="16" borderId="39" xfId="22" applyFont="1" applyFill="1" applyBorder="1" applyAlignment="1">
      <alignment horizontal="center" vertical="center"/>
    </xf>
    <xf numFmtId="3" fontId="57" fillId="16" borderId="52" xfId="0" applyNumberFormat="1" applyFont="1" applyFill="1" applyBorder="1" applyAlignment="1">
      <alignment horizontal="center" vertical="center"/>
    </xf>
    <xf numFmtId="3" fontId="57" fillId="16" borderId="38" xfId="0" applyNumberFormat="1" applyFont="1" applyFill="1" applyBorder="1" applyAlignment="1">
      <alignment horizontal="center" vertical="center"/>
    </xf>
    <xf numFmtId="3" fontId="57" fillId="16" borderId="53" xfId="0" applyNumberFormat="1" applyFont="1" applyFill="1" applyBorder="1" applyAlignment="1">
      <alignment horizontal="center" vertical="center"/>
    </xf>
    <xf numFmtId="3" fontId="57" fillId="16" borderId="54" xfId="0" applyNumberFormat="1" applyFont="1" applyFill="1" applyBorder="1" applyAlignment="1">
      <alignment horizontal="center" vertical="center"/>
    </xf>
    <xf numFmtId="0" fontId="61" fillId="16" borderId="9" xfId="0" applyFont="1" applyFill="1" applyBorder="1" applyAlignment="1">
      <alignment horizontal="left"/>
    </xf>
    <xf numFmtId="0" fontId="61" fillId="16" borderId="21" xfId="0" applyFont="1" applyFill="1" applyBorder="1" applyAlignment="1">
      <alignment horizontal="left"/>
    </xf>
    <xf numFmtId="0" fontId="53" fillId="0" borderId="5" xfId="0" applyFont="1" applyBorder="1" applyAlignment="1">
      <alignment horizontal="left"/>
    </xf>
    <xf numFmtId="0" fontId="0" fillId="15" borderId="8" xfId="0" applyFill="1" applyBorder="1" applyAlignment="1">
      <alignment horizontal="center" vertical="top" wrapText="1"/>
    </xf>
    <xf numFmtId="0" fontId="0" fillId="15" borderId="10" xfId="0" applyFill="1" applyBorder="1" applyAlignment="1">
      <alignment horizontal="center" vertical="top" wrapText="1"/>
    </xf>
    <xf numFmtId="0" fontId="0" fillId="15" borderId="1" xfId="0" applyFill="1" applyBorder="1" applyAlignment="1">
      <alignment horizontal="center" vertical="top" wrapText="1"/>
    </xf>
    <xf numFmtId="3" fontId="53" fillId="15" borderId="8" xfId="0" applyNumberFormat="1" applyFont="1" applyFill="1" applyBorder="1" applyAlignment="1">
      <alignment horizontal="center"/>
    </xf>
    <xf numFmtId="3" fontId="53" fillId="15" borderId="1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justify" vertical="top" wrapText="1"/>
    </xf>
    <xf numFmtId="0" fontId="0" fillId="0" borderId="15" xfId="0" applyFont="1" applyBorder="1" applyAlignment="1">
      <alignment horizontal="justify" vertical="top" wrapText="1"/>
    </xf>
    <xf numFmtId="0" fontId="0" fillId="0" borderId="16" xfId="0" applyFont="1" applyBorder="1" applyAlignment="1">
      <alignment horizontal="justify" vertical="top" wrapText="1"/>
    </xf>
    <xf numFmtId="0" fontId="53" fillId="0" borderId="15" xfId="0" applyFont="1" applyBorder="1" applyAlignment="1">
      <alignment horizontal="left" vertical="top" wrapText="1"/>
    </xf>
    <xf numFmtId="0" fontId="53" fillId="0" borderId="14" xfId="0" applyFont="1" applyBorder="1" applyAlignment="1">
      <alignment horizontal="left" vertical="top" wrapText="1"/>
    </xf>
    <xf numFmtId="0" fontId="0" fillId="0" borderId="22" xfId="0" applyBorder="1" applyAlignment="1">
      <alignment horizontal="justify" vertical="top" wrapText="1"/>
    </xf>
    <xf numFmtId="0" fontId="0" fillId="0" borderId="15" xfId="0" applyBorder="1" applyAlignment="1">
      <alignment horizontal="justify" vertical="top" wrapText="1"/>
    </xf>
    <xf numFmtId="0" fontId="0" fillId="0" borderId="16" xfId="0" applyBorder="1" applyAlignment="1">
      <alignment horizontal="justify" vertical="top" wrapText="1"/>
    </xf>
    <xf numFmtId="0" fontId="0" fillId="16" borderId="33" xfId="0" applyFill="1" applyBorder="1" applyAlignment="1">
      <alignment horizontal="center" vertical="top"/>
    </xf>
    <xf numFmtId="0" fontId="0" fillId="16" borderId="3" xfId="0" applyFill="1" applyBorder="1" applyAlignment="1">
      <alignment horizontal="center" vertical="top"/>
    </xf>
    <xf numFmtId="0" fontId="0" fillId="16" borderId="23" xfId="0" applyFill="1" applyBorder="1" applyAlignment="1">
      <alignment horizontal="center" vertical="top"/>
    </xf>
    <xf numFmtId="0" fontId="81" fillId="0" borderId="22" xfId="0" applyFont="1" applyBorder="1" applyAlignment="1">
      <alignment horizontal="justify" vertical="top" wrapText="1"/>
    </xf>
    <xf numFmtId="0" fontId="81" fillId="0" borderId="16" xfId="0" applyFont="1" applyBorder="1" applyAlignment="1">
      <alignment horizontal="justify" vertical="top" wrapText="1"/>
    </xf>
    <xf numFmtId="9" fontId="53" fillId="12" borderId="5" xfId="0" quotePrefix="1" applyNumberFormat="1" applyFont="1" applyFill="1" applyBorder="1" applyAlignment="1">
      <alignment horizontal="center" vertical="center" wrapText="1"/>
    </xf>
    <xf numFmtId="9" fontId="53" fillId="12" borderId="8" xfId="0" quotePrefix="1" applyNumberFormat="1" applyFont="1" applyFill="1" applyBorder="1" applyAlignment="1">
      <alignment horizontal="center" vertical="center" wrapText="1"/>
    </xf>
    <xf numFmtId="9" fontId="53" fillId="12" borderId="5" xfId="0" applyNumberFormat="1" applyFont="1" applyFill="1" applyBorder="1" applyAlignment="1">
      <alignment horizontal="center" vertical="center" wrapText="1"/>
    </xf>
    <xf numFmtId="0" fontId="53" fillId="0" borderId="33" xfId="0" applyFont="1" applyBorder="1" applyAlignment="1">
      <alignment horizontal="left" vertical="top" wrapText="1"/>
    </xf>
    <xf numFmtId="0" fontId="53" fillId="0" borderId="6" xfId="0" applyFont="1" applyBorder="1" applyAlignment="1">
      <alignment horizontal="left" vertical="top" wrapText="1"/>
    </xf>
    <xf numFmtId="0" fontId="53" fillId="0" borderId="23" xfId="0" applyFont="1" applyBorder="1" applyAlignment="1">
      <alignment horizontal="left" vertical="top" wrapText="1"/>
    </xf>
    <xf numFmtId="0" fontId="53" fillId="0" borderId="3" xfId="0" applyFont="1" applyBorder="1" applyAlignment="1">
      <alignment horizontal="left" vertical="top" wrapText="1"/>
    </xf>
    <xf numFmtId="0" fontId="53" fillId="0" borderId="33" xfId="0" applyFont="1" applyBorder="1" applyAlignment="1">
      <alignment horizontal="left"/>
    </xf>
    <xf numFmtId="0" fontId="53" fillId="0" borderId="3" xfId="0" applyFont="1" applyBorder="1" applyAlignment="1">
      <alignment horizontal="left"/>
    </xf>
    <xf numFmtId="0" fontId="53" fillId="0" borderId="23" xfId="0" applyFont="1" applyBorder="1" applyAlignment="1">
      <alignment horizontal="left"/>
    </xf>
    <xf numFmtId="9" fontId="53" fillId="12" borderId="22" xfId="0" quotePrefix="1" applyNumberFormat="1" applyFont="1" applyFill="1" applyBorder="1" applyAlignment="1">
      <alignment horizontal="center" vertical="center" wrapText="1"/>
    </xf>
    <xf numFmtId="9" fontId="53" fillId="12" borderId="13" xfId="0" quotePrefix="1" applyNumberFormat="1" applyFont="1" applyFill="1" applyBorder="1" applyAlignment="1">
      <alignment horizontal="center" vertical="center" wrapText="1"/>
    </xf>
    <xf numFmtId="9" fontId="53" fillId="12" borderId="15" xfId="0" quotePrefix="1" applyNumberFormat="1" applyFont="1" applyFill="1" applyBorder="1" applyAlignment="1">
      <alignment horizontal="center" vertical="center" wrapText="1"/>
    </xf>
    <xf numFmtId="9" fontId="53" fillId="12" borderId="14" xfId="0" quotePrefix="1" applyNumberFormat="1" applyFont="1" applyFill="1" applyBorder="1" applyAlignment="1">
      <alignment horizontal="center" vertical="center" wrapText="1"/>
    </xf>
    <xf numFmtId="0" fontId="53" fillId="0" borderId="16" xfId="0" applyFont="1" applyBorder="1" applyAlignment="1">
      <alignment horizontal="left" vertical="top" wrapText="1"/>
    </xf>
    <xf numFmtId="0" fontId="53" fillId="0" borderId="11" xfId="0" applyFont="1" applyBorder="1" applyAlignment="1">
      <alignment horizontal="left" vertical="top" wrapText="1"/>
    </xf>
    <xf numFmtId="0" fontId="0" fillId="0" borderId="1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16" borderId="12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0" xfId="0" applyFill="1" applyBorder="1" applyAlignment="1">
      <alignment horizontal="center" vertical="top"/>
    </xf>
    <xf numFmtId="0" fontId="0" fillId="16" borderId="14" xfId="0" applyFill="1" applyBorder="1" applyAlignment="1">
      <alignment horizontal="center" vertical="top"/>
    </xf>
    <xf numFmtId="0" fontId="0" fillId="16" borderId="11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13" borderId="5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11" fillId="13" borderId="5" xfId="87" applyFont="1" applyFill="1" applyBorder="1" applyAlignment="1">
      <alignment horizontal="center"/>
    </xf>
    <xf numFmtId="0" fontId="11" fillId="9" borderId="33" xfId="87" applyFont="1" applyFill="1" applyBorder="1" applyAlignment="1">
      <alignment horizontal="center"/>
    </xf>
    <xf numFmtId="0" fontId="11" fillId="9" borderId="3" xfId="87" applyFont="1" applyFill="1" applyBorder="1" applyAlignment="1">
      <alignment horizontal="center"/>
    </xf>
    <xf numFmtId="0" fontId="11" fillId="9" borderId="23" xfId="87" applyFont="1" applyFill="1" applyBorder="1" applyAlignment="1">
      <alignment horizontal="center"/>
    </xf>
    <xf numFmtId="0" fontId="48" fillId="0" borderId="19" xfId="87" applyFont="1" applyBorder="1" applyAlignment="1">
      <alignment horizontal="center" vertical="center"/>
    </xf>
    <xf numFmtId="0" fontId="48" fillId="0" borderId="18" xfId="87" applyFont="1" applyBorder="1" applyAlignment="1">
      <alignment horizontal="center" vertical="center"/>
    </xf>
    <xf numFmtId="37" fontId="67" fillId="0" borderId="5" xfId="44" applyNumberFormat="1" applyFont="1" applyFill="1" applyBorder="1" applyAlignment="1" applyProtection="1">
      <alignment horizontal="right"/>
      <protection locked="0"/>
    </xf>
    <xf numFmtId="37" fontId="83" fillId="12" borderId="33" xfId="0" applyNumberFormat="1" applyFont="1" applyFill="1" applyBorder="1" applyAlignment="1" applyProtection="1">
      <alignment horizontal="right"/>
    </xf>
    <xf numFmtId="37" fontId="83" fillId="12" borderId="23" xfId="0" applyNumberFormat="1" applyFont="1" applyFill="1" applyBorder="1" applyAlignment="1" applyProtection="1">
      <alignment horizontal="right"/>
    </xf>
  </cellXfs>
  <cellStyles count="205">
    <cellStyle name="args.style" xfId="1"/>
    <cellStyle name="Arial10" xfId="2"/>
    <cellStyle name="Calc Currency (0)" xfId="3"/>
    <cellStyle name="Calc Currency (2)" xfId="4"/>
    <cellStyle name="Calc Percent (0)" xfId="5"/>
    <cellStyle name="Calc Percent (1)" xfId="6"/>
    <cellStyle name="Calc Percent (2)" xfId="7"/>
    <cellStyle name="Calc Units (0)" xfId="8"/>
    <cellStyle name="Calc Units (1)" xfId="9"/>
    <cellStyle name="Calc Units (2)" xfId="10"/>
    <cellStyle name="Comma" xfId="11" builtinId="3"/>
    <cellStyle name="Comma [0] 10" xfId="12"/>
    <cellStyle name="Comma [0] 2" xfId="13"/>
    <cellStyle name="Comma [0] 2 11" xfId="14"/>
    <cellStyle name="Comma [0] 2 2" xfId="15"/>
    <cellStyle name="Comma [0] 2 3" xfId="16"/>
    <cellStyle name="Comma [0] 3" xfId="17"/>
    <cellStyle name="Comma [0] 3 2" xfId="18"/>
    <cellStyle name="Comma [0] 3 3" xfId="19"/>
    <cellStyle name="Comma [0] 3 4" xfId="20"/>
    <cellStyle name="Comma [0] 4" xfId="21"/>
    <cellStyle name="Comma [0] 4 2" xfId="22"/>
    <cellStyle name="Comma [0] 4 2 2" xfId="23"/>
    <cellStyle name="Comma [0] 4 3" xfId="24"/>
    <cellStyle name="Comma [0] 5" xfId="25"/>
    <cellStyle name="Comma [0] 5 2" xfId="26"/>
    <cellStyle name="Comma [0] 6" xfId="27"/>
    <cellStyle name="Comma [0] 6 2" xfId="28"/>
    <cellStyle name="Comma [0] 7" xfId="29"/>
    <cellStyle name="Comma [0] 8" xfId="30"/>
    <cellStyle name="Comma [0] 8 2" xfId="31"/>
    <cellStyle name="Comma [0] 9" xfId="32"/>
    <cellStyle name="Comma [00]" xfId="33"/>
    <cellStyle name="Comma 10" xfId="34"/>
    <cellStyle name="Comma 10 2" xfId="35"/>
    <cellStyle name="Comma 11" xfId="36"/>
    <cellStyle name="Comma 11 2" xfId="37"/>
    <cellStyle name="Comma 12" xfId="38"/>
    <cellStyle name="Comma 13" xfId="39"/>
    <cellStyle name="Comma 14" xfId="40"/>
    <cellStyle name="Comma 15" xfId="41"/>
    <cellStyle name="Comma 16" xfId="42"/>
    <cellStyle name="Comma 17" xfId="43"/>
    <cellStyle name="Comma 2 2" xfId="44"/>
    <cellStyle name="Comma 2 2 2" xfId="45"/>
    <cellStyle name="Comma 2 2 2 2" xfId="46"/>
    <cellStyle name="Comma 2 2 3" xfId="47"/>
    <cellStyle name="Comma 2 2 4" xfId="48"/>
    <cellStyle name="Comma 2 3" xfId="49"/>
    <cellStyle name="Comma 2 3 2" xfId="50"/>
    <cellStyle name="Comma 2 4" xfId="51"/>
    <cellStyle name="Comma 2 5" xfId="52"/>
    <cellStyle name="Comma 3" xfId="53"/>
    <cellStyle name="Comma 3 2" xfId="54"/>
    <cellStyle name="Comma 3 3" xfId="55"/>
    <cellStyle name="Comma 3 4" xfId="56"/>
    <cellStyle name="Comma 4" xfId="57"/>
    <cellStyle name="Comma 4 2" xfId="58"/>
    <cellStyle name="Comma 5" xfId="59"/>
    <cellStyle name="Comma 5 2" xfId="60"/>
    <cellStyle name="Comma 6" xfId="61"/>
    <cellStyle name="Comma 6 2" xfId="62"/>
    <cellStyle name="Comma 7" xfId="63"/>
    <cellStyle name="Comma 7 2" xfId="64"/>
    <cellStyle name="Comma 8" xfId="65"/>
    <cellStyle name="Comma 8 2" xfId="66"/>
    <cellStyle name="Comma 9" xfId="67"/>
    <cellStyle name="Comma 9 2" xfId="68"/>
    <cellStyle name="Copied" xfId="69"/>
    <cellStyle name="Currency [00]" xfId="70"/>
    <cellStyle name="Currency [1]" xfId="71"/>
    <cellStyle name="Currency [2]" xfId="72"/>
    <cellStyle name="Currency 2" xfId="73"/>
    <cellStyle name="Date [d-mmm-yy]" xfId="74"/>
    <cellStyle name="Date [mm-d-yy]" xfId="75"/>
    <cellStyle name="Date [mm-d-yyyy]" xfId="76"/>
    <cellStyle name="Date [mmm-yy]" xfId="77"/>
    <cellStyle name="Date Short" xfId="78"/>
    <cellStyle name="Enter Currency (0)" xfId="79"/>
    <cellStyle name="Enter Currency (2)" xfId="80"/>
    <cellStyle name="Enter Units (0)" xfId="81"/>
    <cellStyle name="Enter Units (1)" xfId="82"/>
    <cellStyle name="Enter Units (2)" xfId="83"/>
    <cellStyle name="Entered" xfId="84"/>
    <cellStyle name="Excel Built-in Comma" xfId="85"/>
    <cellStyle name="Excel Built-in Comma [0]" xfId="86"/>
    <cellStyle name="Excel Built-in Normal" xfId="87"/>
    <cellStyle name="Excel Built-in Normal 1" xfId="88"/>
    <cellStyle name="Excel Built-in Percent" xfId="89"/>
    <cellStyle name="Excel Built-in Percent 1" xfId="90"/>
    <cellStyle name="Fixed [0]" xfId="91"/>
    <cellStyle name="Grey" xfId="92"/>
    <cellStyle name="Header1" xfId="93"/>
    <cellStyle name="Header2" xfId="94"/>
    <cellStyle name="HEADINGS" xfId="95"/>
    <cellStyle name="HEADINGSTOP" xfId="96"/>
    <cellStyle name="Hyperlink 2" xfId="97"/>
    <cellStyle name="Input [yellow]" xfId="98"/>
    <cellStyle name="Input Currency" xfId="99"/>
    <cellStyle name="Input Date" xfId="100"/>
    <cellStyle name="Input Fixed [0]" xfId="101"/>
    <cellStyle name="Input Normal" xfId="102"/>
    <cellStyle name="Input Percent" xfId="103"/>
    <cellStyle name="Input Percent [2]" xfId="104"/>
    <cellStyle name="Input Titles" xfId="105"/>
    <cellStyle name="Link Currency (0)" xfId="106"/>
    <cellStyle name="Link Currency (2)" xfId="107"/>
    <cellStyle name="Link Units (0)" xfId="108"/>
    <cellStyle name="Link Units (1)" xfId="109"/>
    <cellStyle name="Link Units (2)" xfId="110"/>
    <cellStyle name="NA is zero" xfId="111"/>
    <cellStyle name="Normal" xfId="0" builtinId="0"/>
    <cellStyle name="Normal - Style1" xfId="112"/>
    <cellStyle name="Normal [0]" xfId="113"/>
    <cellStyle name="Normal [1]" xfId="114"/>
    <cellStyle name="Normal [2]" xfId="115"/>
    <cellStyle name="Normal [3]" xfId="116"/>
    <cellStyle name="Normal 10" xfId="117"/>
    <cellStyle name="Normal 10 2" xfId="118"/>
    <cellStyle name="Normal 11" xfId="119"/>
    <cellStyle name="Normal 12" xfId="120"/>
    <cellStyle name="Normal 2" xfId="121"/>
    <cellStyle name="Normal 2 2" xfId="122"/>
    <cellStyle name="Normal 2 2 2" xfId="123"/>
    <cellStyle name="Normal 2 3" xfId="124"/>
    <cellStyle name="Normal 3" xfId="125"/>
    <cellStyle name="Normal 3 2" xfId="126"/>
    <cellStyle name="Normal 3 3" xfId="127"/>
    <cellStyle name="Normal 3_Copy of Kertas Kerja PT Rjawali Mandiri Conveyor 2013 - REVISI 1" xfId="128"/>
    <cellStyle name="Normal 4 2" xfId="129"/>
    <cellStyle name="Normal 4 3" xfId="130"/>
    <cellStyle name="Normal 5" xfId="131"/>
    <cellStyle name="Normal 5 2" xfId="132"/>
    <cellStyle name="Normal 5_Copy of Kertas Kerja PT Rjawali Mandiri Conveyor 2013 - REVISI 1" xfId="133"/>
    <cellStyle name="Normal 6" xfId="134"/>
    <cellStyle name="Normal 6 2" xfId="135"/>
    <cellStyle name="Normal 6 2 2" xfId="136"/>
    <cellStyle name="Normal 6 3" xfId="137"/>
    <cellStyle name="Normal 6_Copy of Kertas Kerja PT Rjawali Mandiri Conveyor 2013 - REVISI 1" xfId="138"/>
    <cellStyle name="Normal 7" xfId="139"/>
    <cellStyle name="Normal 7 2" xfId="140"/>
    <cellStyle name="Normal 7 3" xfId="141"/>
    <cellStyle name="Normal 8" xfId="142"/>
    <cellStyle name="Normal 8 2" xfId="143"/>
    <cellStyle name="Normal 8 3" xfId="144"/>
    <cellStyle name="Normal 9" xfId="145"/>
    <cellStyle name="Normal 9 2" xfId="146"/>
    <cellStyle name="Normal 9 3" xfId="147"/>
    <cellStyle name="Normal Bold" xfId="148"/>
    <cellStyle name="Normal Pct" xfId="149"/>
    <cellStyle name="Normal_SS Brown &amp; RPDPK - Doddy Chandra Baktinadi - Final" xfId="150"/>
    <cellStyle name="NPPESalesPct" xfId="151"/>
    <cellStyle name="NWI%S" xfId="152"/>
    <cellStyle name="pc1" xfId="153"/>
    <cellStyle name="per.style" xfId="154"/>
    <cellStyle name="Percent" xfId="155" builtinId="5"/>
    <cellStyle name="Percent [0]" xfId="156"/>
    <cellStyle name="Percent [00]" xfId="157"/>
    <cellStyle name="Percent [1]" xfId="158"/>
    <cellStyle name="Percent [2]" xfId="159"/>
    <cellStyle name="Percent 10" xfId="160"/>
    <cellStyle name="Percent 11" xfId="161"/>
    <cellStyle name="Percent 12" xfId="162"/>
    <cellStyle name="Percent 13" xfId="163"/>
    <cellStyle name="Percent 14" xfId="164"/>
    <cellStyle name="Percent 2 2" xfId="165"/>
    <cellStyle name="Percent 2 2 2" xfId="166"/>
    <cellStyle name="Percent 2 2 3" xfId="167"/>
    <cellStyle name="Percent 2 3" xfId="168"/>
    <cellStyle name="Percent 3" xfId="169"/>
    <cellStyle name="Percent 3 2" xfId="170"/>
    <cellStyle name="Percent 3 3" xfId="171"/>
    <cellStyle name="Percent 4" xfId="172"/>
    <cellStyle name="Percent 4 2" xfId="173"/>
    <cellStyle name="Percent 4 3" xfId="174"/>
    <cellStyle name="Percent 5" xfId="175"/>
    <cellStyle name="Percent 5 2" xfId="176"/>
    <cellStyle name="Percent 5 3" xfId="177"/>
    <cellStyle name="Percent 6" xfId="178"/>
    <cellStyle name="Percent 6 2" xfId="179"/>
    <cellStyle name="Percent 7" xfId="180"/>
    <cellStyle name="Percent 7 2" xfId="181"/>
    <cellStyle name="Percent 8" xfId="182"/>
    <cellStyle name="Percent 8 2" xfId="183"/>
    <cellStyle name="Percent 9" xfId="184"/>
    <cellStyle name="Percent 9 2" xfId="185"/>
    <cellStyle name="PercentSales" xfId="186"/>
    <cellStyle name="PrePop Currency (0)" xfId="187"/>
    <cellStyle name="PrePop Currency (2)" xfId="188"/>
    <cellStyle name="PrePop Units (0)" xfId="189"/>
    <cellStyle name="PrePop Units (1)" xfId="190"/>
    <cellStyle name="PrePop Units (2)" xfId="191"/>
    <cellStyle name="Red font" xfId="192"/>
    <cellStyle name="regstoresfromspecstores" xfId="193"/>
    <cellStyle name="RevList" xfId="194"/>
    <cellStyle name="SHADEDSTORES" xfId="195"/>
    <cellStyle name="specstores" xfId="196"/>
    <cellStyle name="Strange" xfId="197"/>
    <cellStyle name="Subtotal" xfId="198"/>
    <cellStyle name="Test [green]" xfId="199"/>
    <cellStyle name="Text Indent A" xfId="200"/>
    <cellStyle name="Text Indent B" xfId="201"/>
    <cellStyle name="Text Indent C" xfId="202"/>
    <cellStyle name="TFCF" xfId="203"/>
    <cellStyle name="White" xfId="20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PTINA/BAHASAN%20MIKRO%20-%20BSD/ANIMATE/SECURE/Production/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LEH%20OLEH\pendidikan%20AO%202007\Hari%208%20-%2010\Arsilius\Documents%20and%20Settings\Compaq%20dc%207100\My%20Documents\BAB05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JB/MIKRO/ANALISA%20KREDIT%20MIKRO/BANK%20JABAR%20BANTEN/RATING/BRD/LIVE/Worksheet%20Simulasi%20RATING%20SM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EPTINA/BAHASAN%20MIKRO%20-%20BSD/MARYADI%20-%20SEWA%20ALAT%20PES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JB/MIKRO/ANALISA%20KREDIT%20MIKRO/DSA/Data/UMKM/PENOLAKAN/Kredit%20Mikro%20Individu%20-%20Modal%20Kerja/Realisasi/02-Februari/DISK/BAB05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PTINA/Administrative%20Mikro/Contingency%20WEB%20SCORING%20KMU%20WARMIK%20v2%20JAN20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gus%201\My%20Documents\Bagus%20Mulyadi\Akuntansi,%20Perbankan,%20dan%20Manajemen%20Resiko\Laporan%20Keuang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GUS%201\My%20Documents\Bagus%20Mulyadi\Akuntansi,%20Perbankan,%20dan%20Manajemen%20Resiko\Penyusutan%20Aktiv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642\Local%20Settings\Temporary%20Internet%20Files\Content.Outlook\AF15MZSB\Contingency%20WEB%20SCORING%20KCR%20v6%20DEC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8"/>
      <sheetName val="KASUS9"/>
      <sheetName val="KASUS10"/>
      <sheetName val="KASUS11"/>
      <sheetName val="KASUS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">
          <cell r="B15">
            <v>1</v>
          </cell>
          <cell r="C15">
            <v>39228</v>
          </cell>
          <cell r="D15">
            <v>30000000</v>
          </cell>
          <cell r="E15">
            <v>500000</v>
          </cell>
          <cell r="F15">
            <v>275000</v>
          </cell>
          <cell r="G15">
            <v>775000</v>
          </cell>
          <cell r="H15">
            <v>29500000</v>
          </cell>
        </row>
        <row r="16">
          <cell r="B16">
            <v>2</v>
          </cell>
          <cell r="C16">
            <v>39258</v>
          </cell>
          <cell r="D16">
            <v>29500000</v>
          </cell>
          <cell r="E16">
            <v>500000</v>
          </cell>
          <cell r="F16">
            <v>270416.66666666669</v>
          </cell>
          <cell r="G16">
            <v>770416.66666666674</v>
          </cell>
          <cell r="H16">
            <v>29000000</v>
          </cell>
        </row>
        <row r="17">
          <cell r="B17">
            <v>3</v>
          </cell>
          <cell r="C17">
            <v>39288</v>
          </cell>
          <cell r="D17">
            <v>29000000</v>
          </cell>
          <cell r="E17">
            <v>500000</v>
          </cell>
          <cell r="F17">
            <v>265833.33333333331</v>
          </cell>
          <cell r="G17">
            <v>765833.33333333326</v>
          </cell>
          <cell r="H17">
            <v>28500000</v>
          </cell>
        </row>
        <row r="18">
          <cell r="B18">
            <v>4</v>
          </cell>
          <cell r="C18">
            <v>39318</v>
          </cell>
          <cell r="D18">
            <v>28500000</v>
          </cell>
          <cell r="E18">
            <v>500000</v>
          </cell>
          <cell r="F18">
            <v>261250</v>
          </cell>
          <cell r="G18">
            <v>761250</v>
          </cell>
          <cell r="H18">
            <v>28000000</v>
          </cell>
        </row>
        <row r="19">
          <cell r="B19">
            <v>5</v>
          </cell>
          <cell r="C19">
            <v>39348</v>
          </cell>
          <cell r="D19">
            <v>28000000</v>
          </cell>
          <cell r="E19">
            <v>500000</v>
          </cell>
          <cell r="F19">
            <v>256666.66666666666</v>
          </cell>
          <cell r="G19">
            <v>756666.66666666663</v>
          </cell>
          <cell r="H19">
            <v>27500000</v>
          </cell>
        </row>
        <row r="20">
          <cell r="B20">
            <v>6</v>
          </cell>
          <cell r="C20">
            <v>39378</v>
          </cell>
          <cell r="D20">
            <v>27500000</v>
          </cell>
          <cell r="E20">
            <v>500000</v>
          </cell>
          <cell r="F20">
            <v>252083.33333333334</v>
          </cell>
          <cell r="G20">
            <v>752083.33333333337</v>
          </cell>
          <cell r="H20">
            <v>27000000</v>
          </cell>
        </row>
        <row r="21">
          <cell r="B21">
            <v>7</v>
          </cell>
          <cell r="C21">
            <v>39408</v>
          </cell>
          <cell r="D21">
            <v>27000000</v>
          </cell>
          <cell r="E21">
            <v>500000</v>
          </cell>
          <cell r="F21">
            <v>247500</v>
          </cell>
          <cell r="G21">
            <v>747500</v>
          </cell>
          <cell r="H21">
            <v>26500000</v>
          </cell>
        </row>
        <row r="22">
          <cell r="B22">
            <v>8</v>
          </cell>
          <cell r="C22">
            <v>39438</v>
          </cell>
          <cell r="D22">
            <v>26500000</v>
          </cell>
          <cell r="E22">
            <v>500000</v>
          </cell>
          <cell r="F22">
            <v>242916.66666666666</v>
          </cell>
          <cell r="G22">
            <v>742916.66666666663</v>
          </cell>
          <cell r="H22">
            <v>26000000</v>
          </cell>
        </row>
        <row r="23">
          <cell r="B23">
            <v>9</v>
          </cell>
          <cell r="C23">
            <v>39468</v>
          </cell>
          <cell r="D23">
            <v>26000000</v>
          </cell>
          <cell r="E23">
            <v>500000</v>
          </cell>
          <cell r="F23">
            <v>238333.33333333334</v>
          </cell>
          <cell r="G23">
            <v>738333.33333333337</v>
          </cell>
          <cell r="H23">
            <v>25500000</v>
          </cell>
        </row>
        <row r="24">
          <cell r="B24">
            <v>10</v>
          </cell>
          <cell r="C24">
            <v>39498</v>
          </cell>
          <cell r="D24">
            <v>25500000</v>
          </cell>
          <cell r="E24">
            <v>500000</v>
          </cell>
          <cell r="F24">
            <v>233750</v>
          </cell>
          <cell r="G24">
            <v>733750</v>
          </cell>
          <cell r="H24">
            <v>25000000</v>
          </cell>
        </row>
        <row r="25">
          <cell r="B25">
            <v>11</v>
          </cell>
          <cell r="C25">
            <v>39528</v>
          </cell>
          <cell r="D25">
            <v>25000000</v>
          </cell>
          <cell r="E25">
            <v>500000</v>
          </cell>
          <cell r="F25">
            <v>229166.66666666666</v>
          </cell>
          <cell r="G25">
            <v>729166.66666666663</v>
          </cell>
          <cell r="H25">
            <v>24500000</v>
          </cell>
        </row>
        <row r="26">
          <cell r="B26">
            <v>12</v>
          </cell>
          <cell r="C26">
            <v>39558</v>
          </cell>
          <cell r="D26">
            <v>24500000</v>
          </cell>
          <cell r="E26">
            <v>500000</v>
          </cell>
          <cell r="F26">
            <v>224583.33333333334</v>
          </cell>
          <cell r="G26">
            <v>724583.33333333337</v>
          </cell>
          <cell r="H26">
            <v>24000000</v>
          </cell>
        </row>
        <row r="27">
          <cell r="B27">
            <v>13</v>
          </cell>
          <cell r="C27">
            <v>39588</v>
          </cell>
          <cell r="D27">
            <v>24000000</v>
          </cell>
          <cell r="E27">
            <v>500000</v>
          </cell>
          <cell r="F27">
            <v>220000</v>
          </cell>
          <cell r="G27">
            <v>720000</v>
          </cell>
          <cell r="H27">
            <v>23500000</v>
          </cell>
        </row>
        <row r="28">
          <cell r="B28">
            <v>14</v>
          </cell>
          <cell r="C28">
            <v>39618</v>
          </cell>
          <cell r="D28">
            <v>23500000</v>
          </cell>
          <cell r="E28">
            <v>500000</v>
          </cell>
          <cell r="F28">
            <v>215416.66666666666</v>
          </cell>
          <cell r="G28">
            <v>715416.66666666663</v>
          </cell>
          <cell r="H28">
            <v>23000000</v>
          </cell>
        </row>
        <row r="29">
          <cell r="B29">
            <v>15</v>
          </cell>
          <cell r="C29">
            <v>39648</v>
          </cell>
          <cell r="D29">
            <v>23000000</v>
          </cell>
          <cell r="E29">
            <v>500000</v>
          </cell>
          <cell r="F29">
            <v>210833.33333333334</v>
          </cell>
          <cell r="G29">
            <v>710833.33333333337</v>
          </cell>
          <cell r="H29">
            <v>22500000</v>
          </cell>
        </row>
        <row r="30">
          <cell r="B30">
            <v>16</v>
          </cell>
          <cell r="C30">
            <v>39678</v>
          </cell>
          <cell r="D30">
            <v>22500000</v>
          </cell>
          <cell r="E30">
            <v>500000</v>
          </cell>
          <cell r="F30">
            <v>206250</v>
          </cell>
          <cell r="G30">
            <v>706250</v>
          </cell>
          <cell r="H30">
            <v>22000000</v>
          </cell>
        </row>
        <row r="31">
          <cell r="B31">
            <v>17</v>
          </cell>
          <cell r="C31">
            <v>39708</v>
          </cell>
          <cell r="D31">
            <v>22000000</v>
          </cell>
          <cell r="E31">
            <v>500000</v>
          </cell>
          <cell r="F31">
            <v>201666.66666666666</v>
          </cell>
          <cell r="G31">
            <v>701666.66666666663</v>
          </cell>
          <cell r="H31">
            <v>21500000</v>
          </cell>
        </row>
        <row r="32">
          <cell r="B32">
            <v>18</v>
          </cell>
          <cell r="C32">
            <v>39738</v>
          </cell>
          <cell r="D32">
            <v>21500000</v>
          </cell>
          <cell r="E32">
            <v>500000</v>
          </cell>
          <cell r="F32">
            <v>197083.33333333334</v>
          </cell>
          <cell r="G32">
            <v>697083.33333333337</v>
          </cell>
          <cell r="H32">
            <v>21000000</v>
          </cell>
        </row>
        <row r="33">
          <cell r="B33">
            <v>19</v>
          </cell>
          <cell r="C33">
            <v>39768</v>
          </cell>
          <cell r="D33">
            <v>21000000</v>
          </cell>
          <cell r="E33">
            <v>500000</v>
          </cell>
          <cell r="F33">
            <v>192500</v>
          </cell>
          <cell r="G33">
            <v>692500</v>
          </cell>
          <cell r="H33">
            <v>20500000</v>
          </cell>
        </row>
        <row r="34">
          <cell r="B34">
            <v>20</v>
          </cell>
          <cell r="C34">
            <v>39798</v>
          </cell>
          <cell r="D34">
            <v>20500000</v>
          </cell>
          <cell r="E34">
            <v>500000</v>
          </cell>
          <cell r="F34">
            <v>187916.66666666666</v>
          </cell>
          <cell r="G34">
            <v>687916.66666666663</v>
          </cell>
          <cell r="H34">
            <v>20000000</v>
          </cell>
        </row>
        <row r="35">
          <cell r="B35">
            <v>21</v>
          </cell>
          <cell r="C35">
            <v>39828</v>
          </cell>
          <cell r="D35">
            <v>20000000</v>
          </cell>
          <cell r="E35">
            <v>500000</v>
          </cell>
          <cell r="F35">
            <v>183333.33333333334</v>
          </cell>
          <cell r="G35">
            <v>683333.33333333337</v>
          </cell>
          <cell r="H35">
            <v>19500000</v>
          </cell>
        </row>
        <row r="36">
          <cell r="B36">
            <v>22</v>
          </cell>
          <cell r="C36">
            <v>39858</v>
          </cell>
          <cell r="D36">
            <v>19500000</v>
          </cell>
          <cell r="E36">
            <v>500000</v>
          </cell>
          <cell r="F36">
            <v>178750</v>
          </cell>
          <cell r="G36">
            <v>678750</v>
          </cell>
          <cell r="H36">
            <v>19000000</v>
          </cell>
        </row>
        <row r="37">
          <cell r="B37">
            <v>23</v>
          </cell>
          <cell r="C37">
            <v>39888</v>
          </cell>
          <cell r="D37">
            <v>19000000</v>
          </cell>
          <cell r="E37">
            <v>500000</v>
          </cell>
          <cell r="F37">
            <v>174166.66666666666</v>
          </cell>
          <cell r="G37">
            <v>674166.66666666663</v>
          </cell>
          <cell r="H37">
            <v>18500000</v>
          </cell>
        </row>
        <row r="38">
          <cell r="B38">
            <v>24</v>
          </cell>
          <cell r="C38">
            <v>39918</v>
          </cell>
          <cell r="D38">
            <v>18500000</v>
          </cell>
          <cell r="E38">
            <v>500000</v>
          </cell>
          <cell r="F38">
            <v>169583.33333333334</v>
          </cell>
          <cell r="G38">
            <v>669583.33333333337</v>
          </cell>
          <cell r="H38">
            <v>18000000</v>
          </cell>
        </row>
        <row r="39">
          <cell r="B39">
            <v>25</v>
          </cell>
          <cell r="C39">
            <v>39948</v>
          </cell>
          <cell r="D39">
            <v>18000000</v>
          </cell>
          <cell r="E39">
            <v>500000</v>
          </cell>
          <cell r="F39">
            <v>165000</v>
          </cell>
          <cell r="G39">
            <v>665000</v>
          </cell>
          <cell r="H39">
            <v>17500000</v>
          </cell>
        </row>
        <row r="40">
          <cell r="B40">
            <v>26</v>
          </cell>
          <cell r="C40">
            <v>39978</v>
          </cell>
          <cell r="D40">
            <v>17500000</v>
          </cell>
          <cell r="E40">
            <v>500000</v>
          </cell>
          <cell r="F40">
            <v>160416.66666666666</v>
          </cell>
          <cell r="G40">
            <v>660416.66666666663</v>
          </cell>
          <cell r="H40">
            <v>17000000</v>
          </cell>
        </row>
        <row r="41">
          <cell r="B41">
            <v>27</v>
          </cell>
          <cell r="C41">
            <v>40008</v>
          </cell>
          <cell r="D41">
            <v>17000000</v>
          </cell>
          <cell r="E41">
            <v>500000</v>
          </cell>
          <cell r="F41">
            <v>155833.33333333334</v>
          </cell>
          <cell r="G41">
            <v>655833.33333333337</v>
          </cell>
          <cell r="H41">
            <v>16500000</v>
          </cell>
        </row>
        <row r="42">
          <cell r="B42">
            <v>28</v>
          </cell>
          <cell r="C42">
            <v>40038</v>
          </cell>
          <cell r="D42">
            <v>16500000</v>
          </cell>
          <cell r="E42">
            <v>500000</v>
          </cell>
          <cell r="F42">
            <v>151250</v>
          </cell>
          <cell r="G42">
            <v>651250</v>
          </cell>
          <cell r="H42">
            <v>16000000</v>
          </cell>
        </row>
        <row r="43">
          <cell r="B43">
            <v>29</v>
          </cell>
          <cell r="C43">
            <v>40068</v>
          </cell>
          <cell r="D43">
            <v>16000000</v>
          </cell>
          <cell r="E43">
            <v>500000</v>
          </cell>
          <cell r="F43">
            <v>146666.66666666666</v>
          </cell>
          <cell r="G43">
            <v>646666.66666666663</v>
          </cell>
          <cell r="H43">
            <v>15500000</v>
          </cell>
        </row>
        <row r="44">
          <cell r="B44">
            <v>30</v>
          </cell>
          <cell r="C44">
            <v>40098</v>
          </cell>
          <cell r="D44">
            <v>15500000</v>
          </cell>
          <cell r="E44">
            <v>500000</v>
          </cell>
          <cell r="F44">
            <v>142083.33333333334</v>
          </cell>
          <cell r="G44">
            <v>642083.33333333337</v>
          </cell>
          <cell r="H44">
            <v>15000000</v>
          </cell>
        </row>
        <row r="45">
          <cell r="B45">
            <v>31</v>
          </cell>
          <cell r="C45">
            <v>40128</v>
          </cell>
          <cell r="D45">
            <v>15000000</v>
          </cell>
          <cell r="E45">
            <v>500000</v>
          </cell>
          <cell r="F45">
            <v>137500</v>
          </cell>
          <cell r="G45">
            <v>637500</v>
          </cell>
          <cell r="H45">
            <v>14500000</v>
          </cell>
        </row>
        <row r="46">
          <cell r="B46">
            <v>32</v>
          </cell>
          <cell r="C46">
            <v>40158</v>
          </cell>
          <cell r="D46">
            <v>14500000</v>
          </cell>
          <cell r="E46">
            <v>500000</v>
          </cell>
          <cell r="F46">
            <v>132916.66666666666</v>
          </cell>
          <cell r="G46">
            <v>632916.66666666663</v>
          </cell>
          <cell r="H46">
            <v>14000000</v>
          </cell>
        </row>
        <row r="47">
          <cell r="B47">
            <v>33</v>
          </cell>
          <cell r="C47">
            <v>40188</v>
          </cell>
          <cell r="D47">
            <v>14000000</v>
          </cell>
          <cell r="E47">
            <v>500000</v>
          </cell>
          <cell r="F47">
            <v>128333.33333333333</v>
          </cell>
          <cell r="G47">
            <v>628333.33333333337</v>
          </cell>
          <cell r="H47">
            <v>13500000</v>
          </cell>
        </row>
        <row r="48">
          <cell r="B48">
            <v>34</v>
          </cell>
          <cell r="C48">
            <v>40218</v>
          </cell>
          <cell r="D48">
            <v>13500000</v>
          </cell>
          <cell r="E48">
            <v>500000</v>
          </cell>
          <cell r="F48">
            <v>123750</v>
          </cell>
          <cell r="G48">
            <v>623750</v>
          </cell>
          <cell r="H48">
            <v>13000000</v>
          </cell>
        </row>
        <row r="49">
          <cell r="B49">
            <v>35</v>
          </cell>
          <cell r="C49">
            <v>40248</v>
          </cell>
          <cell r="D49">
            <v>13000000</v>
          </cell>
          <cell r="E49">
            <v>500000</v>
          </cell>
          <cell r="F49">
            <v>119166.66666666667</v>
          </cell>
          <cell r="G49">
            <v>619166.66666666663</v>
          </cell>
          <cell r="H49">
            <v>12500000</v>
          </cell>
        </row>
        <row r="50">
          <cell r="B50">
            <v>36</v>
          </cell>
          <cell r="C50">
            <v>40278</v>
          </cell>
          <cell r="D50">
            <v>12500000</v>
          </cell>
          <cell r="E50">
            <v>500000</v>
          </cell>
          <cell r="F50">
            <v>114583.33333333333</v>
          </cell>
          <cell r="G50">
            <v>614583.33333333337</v>
          </cell>
          <cell r="H50">
            <v>12000000</v>
          </cell>
        </row>
        <row r="51">
          <cell r="B51">
            <v>37</v>
          </cell>
          <cell r="C51">
            <v>40308</v>
          </cell>
          <cell r="D51">
            <v>12000000</v>
          </cell>
          <cell r="E51">
            <v>500000</v>
          </cell>
          <cell r="F51">
            <v>110000</v>
          </cell>
          <cell r="G51">
            <v>610000</v>
          </cell>
          <cell r="H51">
            <v>11500000</v>
          </cell>
        </row>
        <row r="52">
          <cell r="B52">
            <v>38</v>
          </cell>
          <cell r="C52">
            <v>40338</v>
          </cell>
          <cell r="D52">
            <v>11500000</v>
          </cell>
          <cell r="E52">
            <v>500000</v>
          </cell>
          <cell r="F52">
            <v>105416.66666666667</v>
          </cell>
          <cell r="G52">
            <v>605416.66666666663</v>
          </cell>
          <cell r="H52">
            <v>11000000</v>
          </cell>
        </row>
        <row r="53">
          <cell r="B53">
            <v>39</v>
          </cell>
          <cell r="C53">
            <v>40368</v>
          </cell>
          <cell r="D53">
            <v>11000000</v>
          </cell>
          <cell r="E53">
            <v>500000</v>
          </cell>
          <cell r="F53">
            <v>100833.33333333333</v>
          </cell>
          <cell r="G53">
            <v>600833.33333333337</v>
          </cell>
          <cell r="H53">
            <v>10500000</v>
          </cell>
        </row>
        <row r="54">
          <cell r="B54">
            <v>40</v>
          </cell>
          <cell r="C54">
            <v>40398</v>
          </cell>
          <cell r="D54">
            <v>10500000</v>
          </cell>
          <cell r="E54">
            <v>500000</v>
          </cell>
          <cell r="F54">
            <v>96250</v>
          </cell>
          <cell r="G54">
            <v>596250</v>
          </cell>
          <cell r="H54">
            <v>10000000</v>
          </cell>
        </row>
        <row r="55">
          <cell r="B55">
            <v>41</v>
          </cell>
          <cell r="C55">
            <v>40428</v>
          </cell>
          <cell r="D55">
            <v>10000000</v>
          </cell>
          <cell r="E55">
            <v>500000</v>
          </cell>
          <cell r="F55">
            <v>91666.666666666672</v>
          </cell>
          <cell r="G55">
            <v>591666.66666666663</v>
          </cell>
          <cell r="H55">
            <v>9500000</v>
          </cell>
        </row>
        <row r="56">
          <cell r="B56">
            <v>42</v>
          </cell>
          <cell r="C56">
            <v>40458</v>
          </cell>
          <cell r="D56">
            <v>9500000</v>
          </cell>
          <cell r="E56">
            <v>500000</v>
          </cell>
          <cell r="F56">
            <v>87083.333333333328</v>
          </cell>
          <cell r="G56">
            <v>587083.33333333337</v>
          </cell>
          <cell r="H56">
            <v>9000000</v>
          </cell>
        </row>
        <row r="57">
          <cell r="B57">
            <v>43</v>
          </cell>
          <cell r="C57">
            <v>40488</v>
          </cell>
          <cell r="D57">
            <v>9000000</v>
          </cell>
          <cell r="E57">
            <v>500000</v>
          </cell>
          <cell r="F57">
            <v>82500</v>
          </cell>
          <cell r="G57">
            <v>582500</v>
          </cell>
          <cell r="H57">
            <v>8500000</v>
          </cell>
        </row>
        <row r="58">
          <cell r="B58">
            <v>44</v>
          </cell>
          <cell r="C58">
            <v>40518</v>
          </cell>
          <cell r="D58">
            <v>8500000</v>
          </cell>
          <cell r="E58">
            <v>500000</v>
          </cell>
          <cell r="F58">
            <v>77916.666666666672</v>
          </cell>
          <cell r="G58">
            <v>577916.66666666663</v>
          </cell>
          <cell r="H58">
            <v>8000000</v>
          </cell>
        </row>
        <row r="59">
          <cell r="B59">
            <v>45</v>
          </cell>
          <cell r="C59">
            <v>40548</v>
          </cell>
          <cell r="D59">
            <v>8000000</v>
          </cell>
          <cell r="E59">
            <v>500000</v>
          </cell>
          <cell r="F59">
            <v>73333.333333333328</v>
          </cell>
          <cell r="G59">
            <v>573333.33333333337</v>
          </cell>
          <cell r="H59">
            <v>7500000</v>
          </cell>
        </row>
        <row r="60">
          <cell r="B60">
            <v>46</v>
          </cell>
          <cell r="C60">
            <v>40578</v>
          </cell>
          <cell r="D60">
            <v>7500000</v>
          </cell>
          <cell r="E60">
            <v>500000</v>
          </cell>
          <cell r="F60">
            <v>68750</v>
          </cell>
          <cell r="G60">
            <v>568750</v>
          </cell>
          <cell r="H60">
            <v>7000000</v>
          </cell>
        </row>
        <row r="61">
          <cell r="B61">
            <v>47</v>
          </cell>
          <cell r="C61">
            <v>40608</v>
          </cell>
          <cell r="D61">
            <v>7000000</v>
          </cell>
          <cell r="E61">
            <v>500000</v>
          </cell>
          <cell r="F61">
            <v>64166.666666666664</v>
          </cell>
          <cell r="G61">
            <v>564166.66666666663</v>
          </cell>
          <cell r="H61">
            <v>6500000</v>
          </cell>
        </row>
        <row r="62">
          <cell r="B62">
            <v>48</v>
          </cell>
          <cell r="C62">
            <v>40638</v>
          </cell>
          <cell r="D62">
            <v>6500000</v>
          </cell>
          <cell r="E62">
            <v>500000</v>
          </cell>
          <cell r="F62">
            <v>59583.333333333336</v>
          </cell>
          <cell r="G62">
            <v>559583.33333333337</v>
          </cell>
          <cell r="H62">
            <v>6000000</v>
          </cell>
        </row>
        <row r="63">
          <cell r="B63">
            <v>49</v>
          </cell>
          <cell r="C63">
            <v>40668</v>
          </cell>
          <cell r="D63">
            <v>6000000</v>
          </cell>
          <cell r="E63">
            <v>500000</v>
          </cell>
          <cell r="F63">
            <v>55000</v>
          </cell>
          <cell r="G63">
            <v>555000</v>
          </cell>
          <cell r="H63">
            <v>5500000</v>
          </cell>
        </row>
        <row r="64">
          <cell r="B64">
            <v>50</v>
          </cell>
          <cell r="C64">
            <v>40698</v>
          </cell>
          <cell r="D64">
            <v>5500000</v>
          </cell>
          <cell r="E64">
            <v>500000</v>
          </cell>
          <cell r="F64">
            <v>50416.666666666664</v>
          </cell>
          <cell r="G64">
            <v>550416.66666666663</v>
          </cell>
          <cell r="H64">
            <v>5000000</v>
          </cell>
        </row>
        <row r="65">
          <cell r="B65">
            <v>51</v>
          </cell>
          <cell r="C65">
            <v>40728</v>
          </cell>
          <cell r="D65">
            <v>5000000</v>
          </cell>
          <cell r="E65">
            <v>500000</v>
          </cell>
          <cell r="F65">
            <v>45833.333333333336</v>
          </cell>
          <cell r="G65">
            <v>545833.33333333337</v>
          </cell>
          <cell r="H65">
            <v>4500000</v>
          </cell>
        </row>
        <row r="66">
          <cell r="B66">
            <v>52</v>
          </cell>
          <cell r="C66">
            <v>40758</v>
          </cell>
          <cell r="D66">
            <v>4500000</v>
          </cell>
          <cell r="E66">
            <v>500000</v>
          </cell>
          <cell r="F66">
            <v>41250</v>
          </cell>
          <cell r="G66">
            <v>541250</v>
          </cell>
          <cell r="H66">
            <v>4000000</v>
          </cell>
        </row>
        <row r="67">
          <cell r="B67">
            <v>53</v>
          </cell>
          <cell r="C67">
            <v>40788</v>
          </cell>
          <cell r="D67">
            <v>4000000</v>
          </cell>
          <cell r="E67">
            <v>500000</v>
          </cell>
          <cell r="F67">
            <v>36666.666666666664</v>
          </cell>
          <cell r="G67">
            <v>536666.66666666663</v>
          </cell>
          <cell r="H67">
            <v>3500000</v>
          </cell>
        </row>
        <row r="68">
          <cell r="B68">
            <v>54</v>
          </cell>
          <cell r="C68">
            <v>40818</v>
          </cell>
          <cell r="D68">
            <v>3500000</v>
          </cell>
          <cell r="E68">
            <v>500000</v>
          </cell>
          <cell r="F68">
            <v>32083.333333333332</v>
          </cell>
          <cell r="G68">
            <v>532083.33333333337</v>
          </cell>
          <cell r="H68">
            <v>3000000</v>
          </cell>
        </row>
        <row r="69">
          <cell r="B69">
            <v>55</v>
          </cell>
          <cell r="C69">
            <v>40848</v>
          </cell>
          <cell r="D69">
            <v>3000000</v>
          </cell>
          <cell r="E69">
            <v>500000</v>
          </cell>
          <cell r="F69">
            <v>27500</v>
          </cell>
          <cell r="G69">
            <v>527500</v>
          </cell>
          <cell r="H69">
            <v>2500000</v>
          </cell>
        </row>
        <row r="70">
          <cell r="B70">
            <v>56</v>
          </cell>
          <cell r="C70">
            <v>40878</v>
          </cell>
          <cell r="D70">
            <v>2500000</v>
          </cell>
          <cell r="E70">
            <v>500000</v>
          </cell>
          <cell r="F70">
            <v>22916.666666666668</v>
          </cell>
          <cell r="G70">
            <v>522916.66666666669</v>
          </cell>
          <cell r="H70">
            <v>2000000</v>
          </cell>
        </row>
        <row r="71">
          <cell r="B71">
            <v>57</v>
          </cell>
          <cell r="C71">
            <v>40908</v>
          </cell>
          <cell r="D71">
            <v>2000000</v>
          </cell>
          <cell r="E71">
            <v>500000</v>
          </cell>
          <cell r="F71">
            <v>18333.333333333332</v>
          </cell>
          <cell r="G71">
            <v>518333.33333333331</v>
          </cell>
          <cell r="H71">
            <v>1500000</v>
          </cell>
        </row>
        <row r="72">
          <cell r="B72">
            <v>58</v>
          </cell>
          <cell r="C72">
            <v>40938</v>
          </cell>
          <cell r="D72">
            <v>1500000</v>
          </cell>
          <cell r="E72">
            <v>500000</v>
          </cell>
          <cell r="F72">
            <v>13750</v>
          </cell>
          <cell r="G72">
            <v>513750</v>
          </cell>
          <cell r="H72">
            <v>1000000</v>
          </cell>
        </row>
        <row r="73">
          <cell r="B73">
            <v>59</v>
          </cell>
          <cell r="C73">
            <v>40968</v>
          </cell>
          <cell r="D73">
            <v>1000000</v>
          </cell>
          <cell r="E73">
            <v>500000</v>
          </cell>
          <cell r="F73">
            <v>9166.6666666666661</v>
          </cell>
          <cell r="G73">
            <v>509166.66666666669</v>
          </cell>
          <cell r="H73">
            <v>500000</v>
          </cell>
        </row>
        <row r="74">
          <cell r="B74">
            <v>60</v>
          </cell>
          <cell r="C74">
            <v>40998</v>
          </cell>
          <cell r="D74">
            <v>500000</v>
          </cell>
          <cell r="E74">
            <v>500000</v>
          </cell>
          <cell r="F74">
            <v>4583.333333333333</v>
          </cell>
          <cell r="G74">
            <v>504583.33333333331</v>
          </cell>
          <cell r="H74">
            <v>0</v>
          </cell>
        </row>
        <row r="75"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</row>
        <row r="76"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</row>
        <row r="77"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</row>
        <row r="78"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</row>
        <row r="79"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</row>
        <row r="80"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</row>
        <row r="81"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</row>
        <row r="82"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</row>
        <row r="83"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</row>
        <row r="84"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</row>
        <row r="85"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</row>
        <row r="86"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</row>
        <row r="87"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</row>
        <row r="88"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</row>
        <row r="89"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</row>
        <row r="90"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</row>
        <row r="91"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</row>
        <row r="92"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</row>
        <row r="93"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</row>
        <row r="94"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</row>
        <row r="95"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</row>
        <row r="96"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</row>
        <row r="97"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</row>
        <row r="98"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</row>
        <row r="99"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</row>
        <row r="100"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</row>
        <row r="101"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</row>
        <row r="102"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</row>
        <row r="103"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</row>
        <row r="104"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</row>
        <row r="105"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</row>
        <row r="106"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</row>
        <row r="107"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</row>
        <row r="108"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</row>
        <row r="109"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</row>
        <row r="110"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</row>
        <row r="111"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</row>
        <row r="112"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</row>
        <row r="113"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</row>
        <row r="114"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</row>
        <row r="115"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</row>
        <row r="116"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</row>
        <row r="117"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</row>
        <row r="118"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</row>
        <row r="119"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</row>
        <row r="120"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</row>
        <row r="121"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</row>
        <row r="124"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</row>
        <row r="125"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</row>
        <row r="126"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</row>
        <row r="127"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</row>
        <row r="128"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</row>
        <row r="129"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</row>
        <row r="130"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</row>
        <row r="131"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</row>
        <row r="132"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</row>
        <row r="133"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</row>
        <row r="134"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</row>
        <row r="135"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</row>
        <row r="136"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</row>
        <row r="137"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</row>
        <row r="138"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</row>
        <row r="139"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</row>
        <row r="140"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</row>
        <row r="141"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</row>
        <row r="142"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</row>
        <row r="143"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</row>
        <row r="144"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</row>
        <row r="145"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</row>
        <row r="146"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</row>
        <row r="147"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</row>
        <row r="148"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</row>
        <row r="149"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</row>
        <row r="150"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  <cell r="G150" t="str">
            <v/>
          </cell>
          <cell r="H150" t="str">
            <v/>
          </cell>
        </row>
        <row r="151"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</row>
        <row r="152"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</row>
        <row r="153"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</row>
        <row r="154"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 t="str">
            <v/>
          </cell>
          <cell r="H154" t="str">
            <v/>
          </cell>
        </row>
        <row r="155"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</row>
        <row r="156"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</row>
        <row r="157"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</row>
        <row r="158"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  <cell r="G158" t="str">
            <v/>
          </cell>
          <cell r="H158" t="str">
            <v/>
          </cell>
        </row>
        <row r="159"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</row>
        <row r="160"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  <cell r="G160" t="str">
            <v/>
          </cell>
          <cell r="H160" t="str">
            <v/>
          </cell>
        </row>
        <row r="161"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</row>
        <row r="162"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  <cell r="G162" t="str">
            <v/>
          </cell>
          <cell r="H162" t="str">
            <v/>
          </cell>
        </row>
        <row r="163"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</row>
        <row r="164"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</row>
        <row r="165"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</row>
        <row r="166"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  <cell r="G166" t="str">
            <v/>
          </cell>
          <cell r="H166" t="str">
            <v/>
          </cell>
        </row>
        <row r="167"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  <cell r="G167" t="str">
            <v/>
          </cell>
          <cell r="H167" t="str">
            <v/>
          </cell>
        </row>
        <row r="168"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</row>
        <row r="169"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</row>
        <row r="170"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</row>
        <row r="171"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</row>
        <row r="172"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</row>
        <row r="173"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  <cell r="G173" t="str">
            <v/>
          </cell>
          <cell r="H173" t="str">
            <v/>
          </cell>
        </row>
        <row r="174"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  <cell r="G174" t="str">
            <v/>
          </cell>
          <cell r="H174" t="str">
            <v/>
          </cell>
        </row>
        <row r="175"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  <cell r="G175" t="str">
            <v/>
          </cell>
          <cell r="H175" t="str">
            <v/>
          </cell>
        </row>
        <row r="176"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  <cell r="G176" t="str">
            <v/>
          </cell>
          <cell r="H176" t="str">
            <v/>
          </cell>
        </row>
        <row r="177"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  <cell r="G177" t="str">
            <v/>
          </cell>
          <cell r="H177" t="str">
            <v/>
          </cell>
        </row>
        <row r="178"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 t="str">
            <v/>
          </cell>
          <cell r="H178" t="str">
            <v/>
          </cell>
        </row>
        <row r="179"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  <cell r="G179" t="str">
            <v/>
          </cell>
          <cell r="H179" t="str">
            <v/>
          </cell>
        </row>
        <row r="180"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 t="str">
            <v/>
          </cell>
          <cell r="H180" t="str">
            <v/>
          </cell>
        </row>
        <row r="181"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  <cell r="G181" t="str">
            <v/>
          </cell>
          <cell r="H181" t="str">
            <v/>
          </cell>
        </row>
        <row r="182"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  <cell r="G182" t="str">
            <v/>
          </cell>
          <cell r="H182" t="str">
            <v/>
          </cell>
        </row>
        <row r="183"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  <cell r="G183" t="str">
            <v/>
          </cell>
          <cell r="H183" t="str">
            <v/>
          </cell>
        </row>
        <row r="184"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  <cell r="G184" t="str">
            <v/>
          </cell>
          <cell r="H184" t="str">
            <v/>
          </cell>
        </row>
        <row r="185"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  <cell r="G185" t="str">
            <v/>
          </cell>
          <cell r="H185" t="str">
            <v/>
          </cell>
        </row>
        <row r="186">
          <cell r="B186" t="str">
            <v/>
          </cell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  <cell r="G186" t="str">
            <v/>
          </cell>
          <cell r="H186" t="str">
            <v/>
          </cell>
        </row>
        <row r="187"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  <cell r="G187" t="str">
            <v/>
          </cell>
          <cell r="H187" t="str">
            <v/>
          </cell>
        </row>
        <row r="188"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  <cell r="G188" t="str">
            <v/>
          </cell>
          <cell r="H188" t="str">
            <v/>
          </cell>
        </row>
        <row r="189"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  <cell r="G189" t="str">
            <v/>
          </cell>
          <cell r="H189" t="str">
            <v/>
          </cell>
        </row>
        <row r="190"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  <cell r="G190" t="str">
            <v/>
          </cell>
          <cell r="H190" t="str">
            <v/>
          </cell>
        </row>
        <row r="191"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  <cell r="G191" t="str">
            <v/>
          </cell>
          <cell r="H191" t="str">
            <v/>
          </cell>
        </row>
        <row r="192"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</row>
        <row r="193"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</row>
        <row r="194"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  <cell r="G194" t="str">
            <v/>
          </cell>
          <cell r="H194" t="str">
            <v/>
          </cell>
        </row>
      </sheetData>
      <sheetData sheetId="9"/>
      <sheetData sheetId="10">
        <row r="23">
          <cell r="J23">
            <v>1</v>
          </cell>
        </row>
        <row r="24">
          <cell r="J24">
            <v>2</v>
          </cell>
        </row>
        <row r="25">
          <cell r="J25">
            <v>3</v>
          </cell>
        </row>
        <row r="26">
          <cell r="J26">
            <v>4</v>
          </cell>
        </row>
        <row r="27">
          <cell r="J27">
            <v>5</v>
          </cell>
        </row>
        <row r="28">
          <cell r="J28">
            <v>6</v>
          </cell>
        </row>
        <row r="29">
          <cell r="J29">
            <v>7</v>
          </cell>
        </row>
        <row r="30">
          <cell r="J30">
            <v>8</v>
          </cell>
        </row>
        <row r="31">
          <cell r="J31">
            <v>9</v>
          </cell>
        </row>
        <row r="32">
          <cell r="J32">
            <v>10</v>
          </cell>
        </row>
        <row r="33">
          <cell r="J33">
            <v>11</v>
          </cell>
        </row>
        <row r="34">
          <cell r="J34">
            <v>12</v>
          </cell>
        </row>
        <row r="35">
          <cell r="J35">
            <v>13</v>
          </cell>
        </row>
        <row r="36">
          <cell r="J36">
            <v>14</v>
          </cell>
        </row>
        <row r="37">
          <cell r="J37">
            <v>15</v>
          </cell>
        </row>
        <row r="38">
          <cell r="J38">
            <v>16</v>
          </cell>
        </row>
        <row r="39">
          <cell r="J39">
            <v>17</v>
          </cell>
        </row>
        <row r="40">
          <cell r="J40">
            <v>18</v>
          </cell>
        </row>
        <row r="41">
          <cell r="J41">
            <v>19</v>
          </cell>
        </row>
        <row r="42">
          <cell r="J42">
            <v>20</v>
          </cell>
        </row>
        <row r="43">
          <cell r="J43">
            <v>21</v>
          </cell>
        </row>
        <row r="44">
          <cell r="J44">
            <v>22</v>
          </cell>
        </row>
        <row r="45">
          <cell r="J45">
            <v>23</v>
          </cell>
        </row>
        <row r="46">
          <cell r="J46">
            <v>24</v>
          </cell>
        </row>
        <row r="47">
          <cell r="J47">
            <v>25</v>
          </cell>
        </row>
        <row r="48">
          <cell r="J48">
            <v>26</v>
          </cell>
        </row>
        <row r="49">
          <cell r="J49">
            <v>27</v>
          </cell>
        </row>
        <row r="50">
          <cell r="J50">
            <v>28</v>
          </cell>
        </row>
        <row r="51">
          <cell r="J51">
            <v>29</v>
          </cell>
        </row>
        <row r="52">
          <cell r="J52">
            <v>30</v>
          </cell>
        </row>
        <row r="53">
          <cell r="J53">
            <v>31</v>
          </cell>
        </row>
        <row r="54">
          <cell r="J54">
            <v>32</v>
          </cell>
        </row>
        <row r="55">
          <cell r="J55">
            <v>33</v>
          </cell>
        </row>
        <row r="56">
          <cell r="J56">
            <v>34</v>
          </cell>
        </row>
        <row r="57">
          <cell r="J57">
            <v>35</v>
          </cell>
        </row>
        <row r="58">
          <cell r="J58">
            <v>36</v>
          </cell>
        </row>
        <row r="59">
          <cell r="J59">
            <v>37</v>
          </cell>
        </row>
        <row r="60">
          <cell r="J60">
            <v>38</v>
          </cell>
        </row>
        <row r="61">
          <cell r="J61">
            <v>39</v>
          </cell>
        </row>
        <row r="62">
          <cell r="J62">
            <v>40</v>
          </cell>
        </row>
        <row r="63">
          <cell r="J63">
            <v>41</v>
          </cell>
        </row>
        <row r="64">
          <cell r="J64">
            <v>42</v>
          </cell>
        </row>
        <row r="65">
          <cell r="J65">
            <v>43</v>
          </cell>
        </row>
        <row r="66">
          <cell r="J66">
            <v>44</v>
          </cell>
        </row>
        <row r="67">
          <cell r="J67">
            <v>45</v>
          </cell>
        </row>
        <row r="68">
          <cell r="J68">
            <v>46</v>
          </cell>
        </row>
        <row r="69">
          <cell r="J69">
            <v>47</v>
          </cell>
        </row>
        <row r="70">
          <cell r="J70">
            <v>48</v>
          </cell>
        </row>
        <row r="71">
          <cell r="J71">
            <v>49</v>
          </cell>
        </row>
        <row r="72">
          <cell r="J72">
            <v>50</v>
          </cell>
        </row>
        <row r="73">
          <cell r="J73">
            <v>51</v>
          </cell>
        </row>
        <row r="74">
          <cell r="J74">
            <v>52</v>
          </cell>
        </row>
        <row r="75">
          <cell r="J75">
            <v>53</v>
          </cell>
        </row>
        <row r="76">
          <cell r="J76">
            <v>54</v>
          </cell>
        </row>
        <row r="77">
          <cell r="J77">
            <v>55</v>
          </cell>
        </row>
        <row r="78">
          <cell r="J78">
            <v>56</v>
          </cell>
        </row>
        <row r="79">
          <cell r="J79">
            <v>57</v>
          </cell>
        </row>
        <row r="80">
          <cell r="J80">
            <v>58</v>
          </cell>
        </row>
        <row r="81">
          <cell r="J81">
            <v>59</v>
          </cell>
        </row>
        <row r="82">
          <cell r="J82">
            <v>60</v>
          </cell>
        </row>
        <row r="83">
          <cell r="J83">
            <v>61</v>
          </cell>
        </row>
        <row r="84">
          <cell r="J84">
            <v>62</v>
          </cell>
        </row>
        <row r="85">
          <cell r="J85">
            <v>63</v>
          </cell>
        </row>
        <row r="86">
          <cell r="J86">
            <v>64</v>
          </cell>
        </row>
        <row r="87">
          <cell r="J87">
            <v>65</v>
          </cell>
        </row>
        <row r="88">
          <cell r="J88">
            <v>66</v>
          </cell>
        </row>
        <row r="89">
          <cell r="J89">
            <v>67</v>
          </cell>
        </row>
        <row r="90">
          <cell r="J90">
            <v>68</v>
          </cell>
        </row>
        <row r="91">
          <cell r="J91">
            <v>69</v>
          </cell>
        </row>
        <row r="92">
          <cell r="J92">
            <v>70</v>
          </cell>
        </row>
        <row r="93">
          <cell r="J93">
            <v>71</v>
          </cell>
        </row>
        <row r="94">
          <cell r="J94">
            <v>72</v>
          </cell>
        </row>
        <row r="95">
          <cell r="J95">
            <v>73</v>
          </cell>
        </row>
        <row r="96">
          <cell r="J96">
            <v>74</v>
          </cell>
        </row>
        <row r="97">
          <cell r="J97">
            <v>75</v>
          </cell>
        </row>
        <row r="98">
          <cell r="J98">
            <v>76</v>
          </cell>
        </row>
        <row r="99">
          <cell r="J99">
            <v>77</v>
          </cell>
        </row>
        <row r="100">
          <cell r="J100">
            <v>78</v>
          </cell>
        </row>
        <row r="101">
          <cell r="J101">
            <v>79</v>
          </cell>
        </row>
        <row r="102">
          <cell r="J102">
            <v>80</v>
          </cell>
        </row>
        <row r="103">
          <cell r="J103">
            <v>81</v>
          </cell>
        </row>
        <row r="104">
          <cell r="J104">
            <v>82</v>
          </cell>
        </row>
        <row r="105">
          <cell r="J105">
            <v>83</v>
          </cell>
        </row>
        <row r="106">
          <cell r="J106">
            <v>84</v>
          </cell>
        </row>
        <row r="107">
          <cell r="J107">
            <v>85</v>
          </cell>
        </row>
        <row r="108">
          <cell r="J108">
            <v>86</v>
          </cell>
        </row>
        <row r="109">
          <cell r="J109">
            <v>87</v>
          </cell>
        </row>
        <row r="110">
          <cell r="J110">
            <v>88</v>
          </cell>
        </row>
        <row r="111">
          <cell r="J111">
            <v>89</v>
          </cell>
        </row>
        <row r="112">
          <cell r="J112">
            <v>90</v>
          </cell>
        </row>
        <row r="113">
          <cell r="J113">
            <v>91</v>
          </cell>
        </row>
        <row r="114">
          <cell r="J114">
            <v>92</v>
          </cell>
        </row>
        <row r="115">
          <cell r="J115">
            <v>93</v>
          </cell>
        </row>
        <row r="116">
          <cell r="J116">
            <v>94</v>
          </cell>
        </row>
        <row r="117">
          <cell r="J117">
            <v>95</v>
          </cell>
        </row>
        <row r="118">
          <cell r="J118">
            <v>96</v>
          </cell>
        </row>
        <row r="119">
          <cell r="J119">
            <v>97</v>
          </cell>
        </row>
        <row r="120">
          <cell r="J120">
            <v>98</v>
          </cell>
        </row>
        <row r="121">
          <cell r="J121">
            <v>99</v>
          </cell>
        </row>
        <row r="122">
          <cell r="J122">
            <v>100</v>
          </cell>
        </row>
        <row r="123">
          <cell r="J123">
            <v>101</v>
          </cell>
        </row>
        <row r="124">
          <cell r="J124">
            <v>102</v>
          </cell>
        </row>
        <row r="125">
          <cell r="J125">
            <v>103</v>
          </cell>
        </row>
        <row r="126">
          <cell r="J126">
            <v>104</v>
          </cell>
        </row>
        <row r="127">
          <cell r="J127">
            <v>105</v>
          </cell>
        </row>
        <row r="128">
          <cell r="J128">
            <v>106</v>
          </cell>
        </row>
        <row r="129">
          <cell r="J129">
            <v>107</v>
          </cell>
        </row>
        <row r="130">
          <cell r="J130">
            <v>108</v>
          </cell>
        </row>
        <row r="131">
          <cell r="J131">
            <v>109</v>
          </cell>
        </row>
        <row r="132">
          <cell r="J132">
            <v>110</v>
          </cell>
        </row>
        <row r="133">
          <cell r="J133">
            <v>111</v>
          </cell>
        </row>
        <row r="134">
          <cell r="J134">
            <v>112</v>
          </cell>
        </row>
        <row r="135">
          <cell r="J135">
            <v>113</v>
          </cell>
        </row>
        <row r="136">
          <cell r="J136">
            <v>114</v>
          </cell>
        </row>
        <row r="137">
          <cell r="J137">
            <v>115</v>
          </cell>
        </row>
        <row r="138">
          <cell r="J138">
            <v>116</v>
          </cell>
        </row>
        <row r="139">
          <cell r="J139">
            <v>117</v>
          </cell>
        </row>
        <row r="140">
          <cell r="J140">
            <v>118</v>
          </cell>
        </row>
        <row r="141">
          <cell r="J141">
            <v>119</v>
          </cell>
        </row>
        <row r="142">
          <cell r="J142">
            <v>120</v>
          </cell>
        </row>
        <row r="143">
          <cell r="J143">
            <v>121</v>
          </cell>
        </row>
        <row r="144">
          <cell r="J144">
            <v>122</v>
          </cell>
        </row>
        <row r="145">
          <cell r="J145">
            <v>123</v>
          </cell>
        </row>
        <row r="146">
          <cell r="J146">
            <v>124</v>
          </cell>
        </row>
        <row r="147">
          <cell r="J147">
            <v>125</v>
          </cell>
        </row>
        <row r="148">
          <cell r="J148">
            <v>126</v>
          </cell>
        </row>
        <row r="149">
          <cell r="J149">
            <v>127</v>
          </cell>
        </row>
        <row r="150">
          <cell r="J150">
            <v>128</v>
          </cell>
        </row>
        <row r="151">
          <cell r="J151">
            <v>129</v>
          </cell>
        </row>
        <row r="152">
          <cell r="J152">
            <v>130</v>
          </cell>
        </row>
        <row r="153">
          <cell r="J153">
            <v>131</v>
          </cell>
        </row>
        <row r="154">
          <cell r="J154">
            <v>132</v>
          </cell>
        </row>
        <row r="155">
          <cell r="J155">
            <v>133</v>
          </cell>
        </row>
        <row r="156">
          <cell r="J156">
            <v>134</v>
          </cell>
        </row>
        <row r="157">
          <cell r="J157">
            <v>135</v>
          </cell>
        </row>
        <row r="158">
          <cell r="J158">
            <v>136</v>
          </cell>
        </row>
        <row r="159">
          <cell r="J159">
            <v>137</v>
          </cell>
        </row>
        <row r="160">
          <cell r="J160">
            <v>138</v>
          </cell>
        </row>
        <row r="161">
          <cell r="J161">
            <v>139</v>
          </cell>
        </row>
        <row r="162">
          <cell r="J162">
            <v>140</v>
          </cell>
        </row>
        <row r="163">
          <cell r="J163">
            <v>141</v>
          </cell>
        </row>
        <row r="164">
          <cell r="J164">
            <v>142</v>
          </cell>
        </row>
        <row r="165">
          <cell r="J165">
            <v>143</v>
          </cell>
        </row>
        <row r="166">
          <cell r="J166">
            <v>144</v>
          </cell>
        </row>
        <row r="167">
          <cell r="J167">
            <v>145</v>
          </cell>
        </row>
        <row r="168">
          <cell r="J168">
            <v>146</v>
          </cell>
        </row>
        <row r="169">
          <cell r="J169">
            <v>147</v>
          </cell>
        </row>
        <row r="170">
          <cell r="J170">
            <v>148</v>
          </cell>
        </row>
        <row r="171">
          <cell r="J171">
            <v>149</v>
          </cell>
        </row>
        <row r="172">
          <cell r="J172">
            <v>150</v>
          </cell>
        </row>
        <row r="173">
          <cell r="J173">
            <v>151</v>
          </cell>
        </row>
        <row r="174">
          <cell r="J174">
            <v>152</v>
          </cell>
        </row>
        <row r="175">
          <cell r="J175">
            <v>153</v>
          </cell>
        </row>
        <row r="176">
          <cell r="J176">
            <v>154</v>
          </cell>
        </row>
        <row r="177">
          <cell r="J177">
            <v>155</v>
          </cell>
        </row>
        <row r="178">
          <cell r="J178">
            <v>156</v>
          </cell>
        </row>
        <row r="179">
          <cell r="J179">
            <v>157</v>
          </cell>
        </row>
        <row r="180">
          <cell r="J180">
            <v>158</v>
          </cell>
        </row>
        <row r="181">
          <cell r="J181">
            <v>159</v>
          </cell>
        </row>
        <row r="182">
          <cell r="J182">
            <v>160</v>
          </cell>
        </row>
        <row r="183">
          <cell r="J183">
            <v>161</v>
          </cell>
        </row>
        <row r="184">
          <cell r="J184">
            <v>162</v>
          </cell>
        </row>
        <row r="185">
          <cell r="J185">
            <v>163</v>
          </cell>
        </row>
        <row r="186">
          <cell r="J186">
            <v>164</v>
          </cell>
        </row>
        <row r="187">
          <cell r="J187">
            <v>165</v>
          </cell>
        </row>
        <row r="188">
          <cell r="J188">
            <v>166</v>
          </cell>
        </row>
        <row r="189">
          <cell r="J189">
            <v>167</v>
          </cell>
        </row>
        <row r="190">
          <cell r="J190">
            <v>168</v>
          </cell>
        </row>
        <row r="191">
          <cell r="J191">
            <v>169</v>
          </cell>
        </row>
        <row r="192">
          <cell r="J192">
            <v>170</v>
          </cell>
        </row>
        <row r="193">
          <cell r="J193">
            <v>171</v>
          </cell>
        </row>
        <row r="194">
          <cell r="J194">
            <v>172</v>
          </cell>
        </row>
        <row r="195">
          <cell r="J195">
            <v>173</v>
          </cell>
        </row>
        <row r="196">
          <cell r="J196">
            <v>174</v>
          </cell>
        </row>
        <row r="197">
          <cell r="J197">
            <v>175</v>
          </cell>
        </row>
        <row r="198">
          <cell r="J198">
            <v>176</v>
          </cell>
        </row>
        <row r="199">
          <cell r="J199">
            <v>177</v>
          </cell>
        </row>
        <row r="200">
          <cell r="J200">
            <v>178</v>
          </cell>
        </row>
        <row r="201">
          <cell r="J201">
            <v>179</v>
          </cell>
        </row>
        <row r="202">
          <cell r="J202">
            <v>180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ating"/>
      <sheetName val="formula"/>
      <sheetName val="score"/>
      <sheetName val="Nasabah"/>
      <sheetName val="weight"/>
      <sheetName val="result"/>
      <sheetName val="Neraca"/>
      <sheetName val="LR"/>
      <sheetName val="Laporan"/>
      <sheetName val="kocab"/>
    </sheetNames>
    <sheetDataSet>
      <sheetData sheetId="0" refreshError="1"/>
      <sheetData sheetId="1" refreshError="1"/>
      <sheetData sheetId="2">
        <row r="119">
          <cell r="F119" t="str">
            <v>Terdaftar dalam black list Informasi Bank (SID, dll) dan ada tunggakan besar yang sudah lama tidak terbayar.</v>
          </cell>
        </row>
        <row r="120">
          <cell r="F120" t="str">
            <v>Terdaftar dalam black list Informasi Bank, tapi kredit sudah direstrukturisasi (kondisi telah kembali lancar).</v>
          </cell>
        </row>
        <row r="121">
          <cell r="F121" t="str">
            <v>Pernah terdaftar 1 kali dalam black list Informasi Bank, tapi sudah diselesaikan dan tidak ada tunggakan kewajiban saat ini</v>
          </cell>
        </row>
        <row r="122">
          <cell r="F122" t="str">
            <v>Tidak ada dalam black list, Informasi Bank, dan tidak ada tunggakan kewajiban saat ini</v>
          </cell>
        </row>
        <row r="123">
          <cell r="F123" t="str">
            <v>Tidak Pernah tercatat dalam black list Informasi bank dan tidak pernah ada tunggakan dalam 5 tahun terakhir atau target pasar</v>
          </cell>
        </row>
        <row r="125">
          <cell r="F125" t="str">
            <v xml:space="preserve">Kewajiban kepada pihak / bank lain lebih besar dari  kredit yang diminta </v>
          </cell>
        </row>
        <row r="126">
          <cell r="F126" t="str">
            <v xml:space="preserve">Kewajiban kepada pihak / bank lain &gt; 50 % dari kredit yang diminta </v>
          </cell>
        </row>
        <row r="127">
          <cell r="F127" t="str">
            <v xml:space="preserve">Kewajiban kepada pihak / bank lain antara  25 % s.d. 50 % dari kredit yang diminta </v>
          </cell>
        </row>
        <row r="128">
          <cell r="F128" t="str">
            <v>Kewajiban kepada pihak / bank lain antara 15 %  s.d 25 % dari kredit yang diminta / Take Over</v>
          </cell>
        </row>
        <row r="129">
          <cell r="F129" t="str">
            <v>Kewajiban kepada pihak / bank lain &lt; 15 % dari kredit yang diminta ( diluar rencana take over)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ating"/>
      <sheetName val="kocab"/>
      <sheetName val="parameter"/>
      <sheetName val="angsuran"/>
      <sheetName val="Taksasi"/>
      <sheetName val="Formulir"/>
      <sheetName val="Cetak Laporan"/>
      <sheetName val="Scoring"/>
      <sheetName val="MEMO"/>
      <sheetName val="INFORMASI POKOK"/>
      <sheetName val="ASPEK NON KEU"/>
      <sheetName val="ASPEK KEU"/>
      <sheetName val="KEBUTUHAN KREDIT"/>
      <sheetName val="REKOMENDASI"/>
      <sheetName val="BOTS"/>
      <sheetName val="PHOTO OTS"/>
      <sheetName val="BATJ"/>
      <sheetName val="KEPUTUSAN"/>
      <sheetName val="Sheet10"/>
      <sheetName val="Tarif"/>
      <sheetName val="Input Data"/>
      <sheetName val="Tanggal"/>
      <sheetName val="SP3K"/>
      <sheetName val="PK"/>
      <sheetName val="Lamp PK"/>
      <sheetName val="SPPA"/>
      <sheetName val="PPA"/>
      <sheetName val="Kuitansi"/>
      <sheetName val="Perincian"/>
      <sheetName val="Jadwal Angs"/>
      <sheetName val="Pernyataan"/>
      <sheetName val="Sheet5"/>
    </sheetNames>
    <sheetDataSet>
      <sheetData sheetId="0" refreshError="1"/>
      <sheetData sheetId="1" refreshError="1"/>
      <sheetData sheetId="2" refreshError="1">
        <row r="113">
          <cell r="E113" t="str">
            <v>&gt; 3 tahun</v>
          </cell>
        </row>
        <row r="114">
          <cell r="E114" t="str">
            <v>2 - 3 tahun</v>
          </cell>
        </row>
        <row r="115">
          <cell r="E115" t="str">
            <v>1 -  2 tahun</v>
          </cell>
        </row>
        <row r="116">
          <cell r="E116" t="str">
            <v>&lt;= 1 tahun</v>
          </cell>
        </row>
        <row r="126">
          <cell r="E126" t="str">
            <v>Belum Pernah bertugas sebagai Analis dan diberikan pelatihan analisa kredit</v>
          </cell>
        </row>
        <row r="127">
          <cell r="E127" t="str">
            <v>Belum Pernah bertugas sebagai Analis namun telah mengikuti pelatihan analisa kredit</v>
          </cell>
        </row>
        <row r="128">
          <cell r="E128" t="str">
            <v>Tidak ada skor penyesuaian</v>
          </cell>
        </row>
        <row r="129">
          <cell r="E129" t="str">
            <v>Pernah bertugas sebagai analis kredit &lt;= 2 tahun</v>
          </cell>
        </row>
        <row r="130">
          <cell r="E130" t="str">
            <v>Pernah bertugas sebagai analis kredit &gt; 2 tahun</v>
          </cell>
        </row>
        <row r="140">
          <cell r="E140" t="str">
            <v>Ekspor</v>
          </cell>
        </row>
        <row r="141">
          <cell r="E141" t="str">
            <v>Kabupaten/Kotamadya</v>
          </cell>
        </row>
        <row r="142">
          <cell r="E142" t="str">
            <v>Kelurahan/Kecamatam</v>
          </cell>
        </row>
        <row r="143">
          <cell r="E143" t="str">
            <v>Nasional</v>
          </cell>
        </row>
        <row r="144">
          <cell r="E144" t="str">
            <v>Regional/Provinsi</v>
          </cell>
        </row>
        <row r="145">
          <cell r="E145" t="str">
            <v>Sekitar Lokasi Usaha</v>
          </cell>
        </row>
        <row r="149">
          <cell r="E149" t="str">
            <v>Individu</v>
          </cell>
        </row>
        <row r="150">
          <cell r="E150" t="str">
            <v>Jabar Banten</v>
          </cell>
        </row>
        <row r="151">
          <cell r="E151" t="str">
            <v>Kelompok (Pasar)</v>
          </cell>
        </row>
        <row r="163">
          <cell r="E163" t="str">
            <v>Perguruan Tinggi</v>
          </cell>
        </row>
        <row r="164">
          <cell r="E164" t="str">
            <v>SMU</v>
          </cell>
        </row>
        <row r="165">
          <cell r="E165" t="str">
            <v>SMP</v>
          </cell>
        </row>
        <row r="166">
          <cell r="E166" t="str">
            <v>SD</v>
          </cell>
        </row>
        <row r="167">
          <cell r="E167" t="str">
            <v>Lainnya</v>
          </cell>
        </row>
        <row r="210">
          <cell r="E210" t="str">
            <v>Harian</v>
          </cell>
        </row>
        <row r="211">
          <cell r="E211" t="str">
            <v>Mingguan</v>
          </cell>
        </row>
        <row r="212">
          <cell r="E212" t="str">
            <v>Bulanan</v>
          </cell>
        </row>
        <row r="215">
          <cell r="E215" t="str">
            <v>Efektif</v>
          </cell>
        </row>
        <row r="216">
          <cell r="E216" t="str">
            <v>Flat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8"/>
      <sheetName val="KASUS9"/>
      <sheetName val="KASUS10"/>
      <sheetName val="KASUS11"/>
      <sheetName val="KASUS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3">
          <cell r="I23">
            <v>1</v>
          </cell>
        </row>
        <row r="24">
          <cell r="I24">
            <v>2</v>
          </cell>
        </row>
        <row r="25">
          <cell r="I25">
            <v>3</v>
          </cell>
        </row>
        <row r="26">
          <cell r="I26">
            <v>4</v>
          </cell>
        </row>
        <row r="27">
          <cell r="I27">
            <v>5</v>
          </cell>
        </row>
        <row r="28">
          <cell r="I28">
            <v>6</v>
          </cell>
        </row>
        <row r="29">
          <cell r="I29">
            <v>7</v>
          </cell>
        </row>
        <row r="30">
          <cell r="I30">
            <v>8</v>
          </cell>
        </row>
        <row r="31">
          <cell r="I31">
            <v>9</v>
          </cell>
        </row>
        <row r="32">
          <cell r="I32">
            <v>10</v>
          </cell>
        </row>
        <row r="33">
          <cell r="I33">
            <v>11</v>
          </cell>
        </row>
        <row r="34">
          <cell r="I34">
            <v>12</v>
          </cell>
        </row>
        <row r="35">
          <cell r="I35">
            <v>13</v>
          </cell>
        </row>
        <row r="36">
          <cell r="I36">
            <v>14</v>
          </cell>
        </row>
        <row r="37">
          <cell r="I37">
            <v>15</v>
          </cell>
        </row>
        <row r="38">
          <cell r="I38">
            <v>16</v>
          </cell>
        </row>
        <row r="39">
          <cell r="I39">
            <v>17</v>
          </cell>
        </row>
        <row r="40">
          <cell r="I40">
            <v>18</v>
          </cell>
        </row>
        <row r="41">
          <cell r="I41">
            <v>19</v>
          </cell>
        </row>
        <row r="42">
          <cell r="I42">
            <v>20</v>
          </cell>
        </row>
        <row r="43">
          <cell r="I43">
            <v>21</v>
          </cell>
        </row>
        <row r="44">
          <cell r="I44">
            <v>22</v>
          </cell>
        </row>
        <row r="45">
          <cell r="I45">
            <v>23</v>
          </cell>
        </row>
        <row r="46">
          <cell r="I46">
            <v>24</v>
          </cell>
        </row>
        <row r="47">
          <cell r="I47">
            <v>25</v>
          </cell>
        </row>
        <row r="48">
          <cell r="I48">
            <v>26</v>
          </cell>
        </row>
        <row r="49">
          <cell r="I49">
            <v>27</v>
          </cell>
        </row>
        <row r="50">
          <cell r="I50">
            <v>28</v>
          </cell>
        </row>
        <row r="51">
          <cell r="I51">
            <v>29</v>
          </cell>
        </row>
        <row r="52">
          <cell r="I52">
            <v>30</v>
          </cell>
        </row>
        <row r="53">
          <cell r="I53">
            <v>31</v>
          </cell>
        </row>
        <row r="54">
          <cell r="I54">
            <v>32</v>
          </cell>
        </row>
        <row r="55">
          <cell r="I55">
            <v>33</v>
          </cell>
        </row>
        <row r="56">
          <cell r="I56">
            <v>34</v>
          </cell>
        </row>
        <row r="57">
          <cell r="I57">
            <v>35</v>
          </cell>
        </row>
        <row r="58">
          <cell r="I58">
            <v>36</v>
          </cell>
        </row>
        <row r="59">
          <cell r="I59">
            <v>37</v>
          </cell>
        </row>
        <row r="60">
          <cell r="I60">
            <v>38</v>
          </cell>
        </row>
        <row r="61">
          <cell r="I61">
            <v>39</v>
          </cell>
        </row>
        <row r="62">
          <cell r="I62">
            <v>40</v>
          </cell>
        </row>
        <row r="63">
          <cell r="I63">
            <v>41</v>
          </cell>
        </row>
        <row r="64">
          <cell r="I64">
            <v>42</v>
          </cell>
        </row>
        <row r="65">
          <cell r="I65">
            <v>43</v>
          </cell>
        </row>
        <row r="66">
          <cell r="I66">
            <v>44</v>
          </cell>
        </row>
        <row r="67">
          <cell r="I67">
            <v>45</v>
          </cell>
        </row>
        <row r="68">
          <cell r="I68">
            <v>46</v>
          </cell>
        </row>
        <row r="69">
          <cell r="I69">
            <v>47</v>
          </cell>
        </row>
        <row r="70">
          <cell r="I70">
            <v>48</v>
          </cell>
        </row>
        <row r="71">
          <cell r="I71">
            <v>49</v>
          </cell>
        </row>
        <row r="72">
          <cell r="I72">
            <v>50</v>
          </cell>
        </row>
        <row r="73">
          <cell r="I73">
            <v>51</v>
          </cell>
        </row>
        <row r="74">
          <cell r="I74">
            <v>52</v>
          </cell>
        </row>
        <row r="75">
          <cell r="I75">
            <v>53</v>
          </cell>
        </row>
        <row r="76">
          <cell r="I76">
            <v>54</v>
          </cell>
        </row>
        <row r="77">
          <cell r="I77">
            <v>55</v>
          </cell>
        </row>
        <row r="78">
          <cell r="I78">
            <v>56</v>
          </cell>
        </row>
        <row r="79">
          <cell r="I79">
            <v>57</v>
          </cell>
        </row>
        <row r="80">
          <cell r="I80">
            <v>58</v>
          </cell>
        </row>
        <row r="81">
          <cell r="I81">
            <v>59</v>
          </cell>
        </row>
        <row r="82">
          <cell r="I82">
            <v>60</v>
          </cell>
        </row>
        <row r="83">
          <cell r="I83">
            <v>61</v>
          </cell>
        </row>
        <row r="84">
          <cell r="I84">
            <v>62</v>
          </cell>
        </row>
        <row r="85">
          <cell r="I85">
            <v>63</v>
          </cell>
        </row>
        <row r="86">
          <cell r="I86">
            <v>64</v>
          </cell>
        </row>
        <row r="87">
          <cell r="I87">
            <v>65</v>
          </cell>
        </row>
        <row r="88">
          <cell r="I88">
            <v>66</v>
          </cell>
        </row>
        <row r="89">
          <cell r="I89">
            <v>67</v>
          </cell>
        </row>
        <row r="90">
          <cell r="I90">
            <v>68</v>
          </cell>
        </row>
        <row r="91">
          <cell r="I91">
            <v>69</v>
          </cell>
        </row>
        <row r="92">
          <cell r="I92">
            <v>70</v>
          </cell>
        </row>
        <row r="93">
          <cell r="I93">
            <v>71</v>
          </cell>
        </row>
        <row r="94">
          <cell r="I94">
            <v>72</v>
          </cell>
        </row>
        <row r="95">
          <cell r="I95">
            <v>73</v>
          </cell>
        </row>
        <row r="96">
          <cell r="I96">
            <v>74</v>
          </cell>
        </row>
        <row r="97">
          <cell r="I97">
            <v>75</v>
          </cell>
        </row>
        <row r="98">
          <cell r="I98">
            <v>76</v>
          </cell>
        </row>
        <row r="99">
          <cell r="I99">
            <v>77</v>
          </cell>
        </row>
        <row r="100">
          <cell r="I100">
            <v>78</v>
          </cell>
        </row>
        <row r="101">
          <cell r="I101">
            <v>79</v>
          </cell>
        </row>
        <row r="102">
          <cell r="I102">
            <v>80</v>
          </cell>
        </row>
        <row r="103">
          <cell r="I103">
            <v>81</v>
          </cell>
        </row>
        <row r="104">
          <cell r="I104">
            <v>82</v>
          </cell>
        </row>
        <row r="105">
          <cell r="I105">
            <v>83</v>
          </cell>
        </row>
        <row r="106">
          <cell r="I106">
            <v>84</v>
          </cell>
        </row>
        <row r="107">
          <cell r="I107">
            <v>85</v>
          </cell>
        </row>
        <row r="108">
          <cell r="I108">
            <v>86</v>
          </cell>
        </row>
        <row r="109">
          <cell r="I109">
            <v>87</v>
          </cell>
        </row>
        <row r="110">
          <cell r="I110">
            <v>88</v>
          </cell>
        </row>
        <row r="111">
          <cell r="I111">
            <v>89</v>
          </cell>
        </row>
        <row r="112">
          <cell r="I112">
            <v>90</v>
          </cell>
        </row>
        <row r="113">
          <cell r="I113">
            <v>91</v>
          </cell>
        </row>
        <row r="114">
          <cell r="I114">
            <v>92</v>
          </cell>
        </row>
        <row r="115">
          <cell r="I115">
            <v>93</v>
          </cell>
        </row>
        <row r="116">
          <cell r="I116">
            <v>94</v>
          </cell>
        </row>
        <row r="117">
          <cell r="I117">
            <v>95</v>
          </cell>
        </row>
        <row r="118">
          <cell r="I118">
            <v>96</v>
          </cell>
        </row>
        <row r="119">
          <cell r="I119">
            <v>97</v>
          </cell>
        </row>
        <row r="120">
          <cell r="I120">
            <v>98</v>
          </cell>
        </row>
        <row r="121">
          <cell r="I121">
            <v>99</v>
          </cell>
        </row>
        <row r="122">
          <cell r="I122">
            <v>100</v>
          </cell>
        </row>
        <row r="123">
          <cell r="I123">
            <v>101</v>
          </cell>
        </row>
        <row r="124">
          <cell r="I124">
            <v>102</v>
          </cell>
        </row>
        <row r="125">
          <cell r="I125">
            <v>103</v>
          </cell>
        </row>
        <row r="126">
          <cell r="I126">
            <v>104</v>
          </cell>
        </row>
        <row r="127">
          <cell r="I127">
            <v>105</v>
          </cell>
        </row>
        <row r="128">
          <cell r="I128">
            <v>106</v>
          </cell>
        </row>
        <row r="129">
          <cell r="I129">
            <v>107</v>
          </cell>
        </row>
        <row r="130">
          <cell r="I130">
            <v>108</v>
          </cell>
        </row>
        <row r="131">
          <cell r="I131">
            <v>109</v>
          </cell>
        </row>
        <row r="132">
          <cell r="I132">
            <v>110</v>
          </cell>
        </row>
        <row r="133">
          <cell r="I133">
            <v>111</v>
          </cell>
        </row>
        <row r="134">
          <cell r="I134">
            <v>112</v>
          </cell>
        </row>
        <row r="135">
          <cell r="I135">
            <v>113</v>
          </cell>
        </row>
        <row r="136">
          <cell r="I136">
            <v>114</v>
          </cell>
        </row>
        <row r="137">
          <cell r="I137">
            <v>115</v>
          </cell>
        </row>
        <row r="138">
          <cell r="I138">
            <v>116</v>
          </cell>
        </row>
        <row r="139">
          <cell r="I139">
            <v>117</v>
          </cell>
        </row>
        <row r="140">
          <cell r="I140">
            <v>118</v>
          </cell>
        </row>
        <row r="141">
          <cell r="I141">
            <v>119</v>
          </cell>
        </row>
        <row r="142">
          <cell r="I142">
            <v>120</v>
          </cell>
        </row>
        <row r="143">
          <cell r="I143">
            <v>121</v>
          </cell>
        </row>
        <row r="144">
          <cell r="I144">
            <v>122</v>
          </cell>
        </row>
        <row r="145">
          <cell r="I145">
            <v>123</v>
          </cell>
        </row>
        <row r="146">
          <cell r="I146">
            <v>124</v>
          </cell>
        </row>
        <row r="147">
          <cell r="I147">
            <v>125</v>
          </cell>
        </row>
        <row r="148">
          <cell r="I148">
            <v>126</v>
          </cell>
        </row>
        <row r="149">
          <cell r="I149">
            <v>127</v>
          </cell>
        </row>
        <row r="150">
          <cell r="I150">
            <v>128</v>
          </cell>
        </row>
        <row r="151">
          <cell r="I151">
            <v>129</v>
          </cell>
        </row>
        <row r="152">
          <cell r="I152">
            <v>130</v>
          </cell>
        </row>
        <row r="153">
          <cell r="I153">
            <v>131</v>
          </cell>
        </row>
        <row r="154">
          <cell r="I154">
            <v>132</v>
          </cell>
        </row>
        <row r="155">
          <cell r="I155">
            <v>133</v>
          </cell>
        </row>
        <row r="156">
          <cell r="I156">
            <v>134</v>
          </cell>
        </row>
        <row r="157">
          <cell r="I157">
            <v>135</v>
          </cell>
        </row>
        <row r="158">
          <cell r="I158">
            <v>136</v>
          </cell>
        </row>
        <row r="159">
          <cell r="I159">
            <v>137</v>
          </cell>
        </row>
        <row r="160">
          <cell r="I160">
            <v>138</v>
          </cell>
        </row>
        <row r="161">
          <cell r="I161">
            <v>139</v>
          </cell>
        </row>
        <row r="162">
          <cell r="I162">
            <v>140</v>
          </cell>
        </row>
        <row r="163">
          <cell r="I163">
            <v>141</v>
          </cell>
        </row>
        <row r="164">
          <cell r="I164">
            <v>142</v>
          </cell>
        </row>
        <row r="165">
          <cell r="I165">
            <v>143</v>
          </cell>
        </row>
        <row r="166">
          <cell r="I166">
            <v>144</v>
          </cell>
        </row>
        <row r="167">
          <cell r="I167">
            <v>145</v>
          </cell>
        </row>
        <row r="168">
          <cell r="I168">
            <v>146</v>
          </cell>
        </row>
        <row r="169">
          <cell r="I169">
            <v>147</v>
          </cell>
        </row>
        <row r="170">
          <cell r="I170">
            <v>148</v>
          </cell>
        </row>
        <row r="171">
          <cell r="I171">
            <v>149</v>
          </cell>
        </row>
        <row r="172">
          <cell r="I172">
            <v>150</v>
          </cell>
        </row>
        <row r="173">
          <cell r="I173">
            <v>151</v>
          </cell>
        </row>
        <row r="174">
          <cell r="I174">
            <v>152</v>
          </cell>
        </row>
        <row r="175">
          <cell r="I175">
            <v>153</v>
          </cell>
        </row>
        <row r="176">
          <cell r="I176">
            <v>154</v>
          </cell>
        </row>
        <row r="177">
          <cell r="I177">
            <v>155</v>
          </cell>
        </row>
        <row r="178">
          <cell r="I178">
            <v>156</v>
          </cell>
        </row>
        <row r="179">
          <cell r="I179">
            <v>157</v>
          </cell>
        </row>
        <row r="180">
          <cell r="I180">
            <v>158</v>
          </cell>
        </row>
        <row r="181">
          <cell r="I181">
            <v>159</v>
          </cell>
        </row>
        <row r="182">
          <cell r="I182">
            <v>160</v>
          </cell>
        </row>
        <row r="183">
          <cell r="I183">
            <v>161</v>
          </cell>
        </row>
        <row r="184">
          <cell r="I184">
            <v>162</v>
          </cell>
        </row>
        <row r="185">
          <cell r="I185">
            <v>163</v>
          </cell>
        </row>
        <row r="186">
          <cell r="I186">
            <v>164</v>
          </cell>
        </row>
        <row r="187">
          <cell r="I187">
            <v>165</v>
          </cell>
        </row>
        <row r="188">
          <cell r="I188">
            <v>166</v>
          </cell>
        </row>
        <row r="189">
          <cell r="I189">
            <v>167</v>
          </cell>
        </row>
        <row r="190">
          <cell r="I190">
            <v>168</v>
          </cell>
        </row>
        <row r="191">
          <cell r="I191">
            <v>169</v>
          </cell>
        </row>
        <row r="192">
          <cell r="I192">
            <v>170</v>
          </cell>
        </row>
        <row r="193">
          <cell r="I193">
            <v>171</v>
          </cell>
        </row>
        <row r="194">
          <cell r="I194">
            <v>172</v>
          </cell>
        </row>
        <row r="195">
          <cell r="I195">
            <v>173</v>
          </cell>
        </row>
        <row r="196">
          <cell r="I196">
            <v>174</v>
          </cell>
        </row>
        <row r="197">
          <cell r="I197">
            <v>175</v>
          </cell>
        </row>
        <row r="198">
          <cell r="I198">
            <v>176</v>
          </cell>
        </row>
        <row r="199">
          <cell r="I199">
            <v>177</v>
          </cell>
        </row>
        <row r="200">
          <cell r="I200">
            <v>178</v>
          </cell>
        </row>
        <row r="201">
          <cell r="I201">
            <v>179</v>
          </cell>
        </row>
        <row r="202">
          <cell r="I202">
            <v>180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ating"/>
      <sheetName val="kocab"/>
      <sheetName val="parameter"/>
      <sheetName val="parameter_tier"/>
      <sheetName val="Formulir"/>
      <sheetName val="Cetak Laporan"/>
    </sheetNames>
    <sheetDataSet>
      <sheetData sheetId="0"/>
      <sheetData sheetId="1"/>
      <sheetData sheetId="2">
        <row r="6">
          <cell r="E6" t="str">
            <v>21 - 30 tahun</v>
          </cell>
        </row>
        <row r="7">
          <cell r="E7" t="str">
            <v>31 - 40 tahun</v>
          </cell>
        </row>
        <row r="8">
          <cell r="E8" t="str">
            <v>41 - 55 tahun</v>
          </cell>
        </row>
        <row r="9">
          <cell r="E9" t="str">
            <v>56 - 60 tahun</v>
          </cell>
        </row>
        <row r="11">
          <cell r="E11" t="str">
            <v>Menikah</v>
          </cell>
        </row>
        <row r="12">
          <cell r="E12" t="str">
            <v>Lajang</v>
          </cell>
        </row>
        <row r="14">
          <cell r="E14" t="str">
            <v>Tanggungan &gt; 5 Orang</v>
          </cell>
        </row>
        <row r="15">
          <cell r="E15" t="str">
            <v>Tanggungan 3 - 5 Orang</v>
          </cell>
        </row>
        <row r="16">
          <cell r="E16" t="str">
            <v>tanggungan 1 - 2 Orang</v>
          </cell>
        </row>
        <row r="17">
          <cell r="E17" t="str">
            <v>Tidak Mempunyai Tanggungan</v>
          </cell>
        </row>
        <row r="19">
          <cell r="E19" t="str">
            <v>Sekolah Dasar/Sekolah Menengah Pertama</v>
          </cell>
        </row>
        <row r="20">
          <cell r="E20" t="str">
            <v>Sekolah Menengah Umum</v>
          </cell>
        </row>
        <row r="21">
          <cell r="E21" t="str">
            <v>Akademi</v>
          </cell>
        </row>
        <row r="22">
          <cell r="E22" t="str">
            <v>Universitas</v>
          </cell>
        </row>
        <row r="26">
          <cell r="E26" t="str">
            <v>Sewa</v>
          </cell>
        </row>
        <row r="27">
          <cell r="E27" t="str">
            <v>Lain-lain (Menumpang)</v>
          </cell>
        </row>
        <row r="28">
          <cell r="E28" t="str">
            <v>Mencicil</v>
          </cell>
        </row>
        <row r="29">
          <cell r="E29" t="str">
            <v>Milik sendiri</v>
          </cell>
        </row>
        <row r="31">
          <cell r="E31" t="str">
            <v>0 - 2 tahun</v>
          </cell>
        </row>
        <row r="32">
          <cell r="E32" t="str">
            <v>&gt; 2 - 5 tahun</v>
          </cell>
        </row>
        <row r="33">
          <cell r="E33" t="str">
            <v>&gt; 5 - 8 tahun</v>
          </cell>
        </row>
        <row r="34">
          <cell r="E34" t="str">
            <v>&gt; 8 tahun</v>
          </cell>
        </row>
        <row r="36">
          <cell r="E36" t="str">
            <v>Tidak Bagus</v>
          </cell>
        </row>
        <row r="37">
          <cell r="E37" t="str">
            <v>Tidak dikenal</v>
          </cell>
        </row>
        <row r="38">
          <cell r="E38" t="str">
            <v>Dikenal namum kurang bersosialisasi</v>
          </cell>
        </row>
        <row r="39">
          <cell r="E39" t="str">
            <v>Dikenal memiliki reputasi baik/tokoh masyarakat</v>
          </cell>
        </row>
        <row r="43">
          <cell r="E43" t="str">
            <v>&lt;= 1 tahun</v>
          </cell>
        </row>
        <row r="44">
          <cell r="E44" t="str">
            <v>&gt;1 - 5 tahun</v>
          </cell>
        </row>
        <row r="45">
          <cell r="E45" t="str">
            <v>&gt;5 - 10 tahun</v>
          </cell>
        </row>
        <row r="46">
          <cell r="E46" t="str">
            <v>&gt;10 tahun</v>
          </cell>
        </row>
        <row r="48">
          <cell r="E48" t="str">
            <v>Sektor Pertanian</v>
          </cell>
        </row>
        <row r="49">
          <cell r="E49" t="str">
            <v>Sektor Jasa</v>
          </cell>
        </row>
        <row r="50">
          <cell r="E50" t="str">
            <v>Sektor Industri</v>
          </cell>
        </row>
        <row r="51">
          <cell r="E51" t="str">
            <v>Sektor Perdagangan</v>
          </cell>
        </row>
        <row r="53">
          <cell r="E53" t="str">
            <v>Kebutuhan Tersier</v>
          </cell>
        </row>
        <row r="54">
          <cell r="E54" t="str">
            <v>Kebutuhan Sekunder</v>
          </cell>
        </row>
        <row r="55">
          <cell r="E55" t="str">
            <v>Kebutuhan Primer</v>
          </cell>
        </row>
        <row r="57">
          <cell r="E57" t="str">
            <v>Konsinyasi &amp; Bagi Hasil</v>
          </cell>
        </row>
        <row r="58">
          <cell r="E58" t="str">
            <v>Kredit</v>
          </cell>
        </row>
        <row r="59">
          <cell r="E59" t="str">
            <v>Kredit &amp; Tunai</v>
          </cell>
        </row>
        <row r="60">
          <cell r="E60" t="str">
            <v>Tunai</v>
          </cell>
        </row>
        <row r="62">
          <cell r="E62" t="str">
            <v>Lain-lain</v>
          </cell>
        </row>
        <row r="63">
          <cell r="E63" t="str">
            <v>Sewa</v>
          </cell>
        </row>
        <row r="64">
          <cell r="E64" t="str">
            <v>Mencicil</v>
          </cell>
        </row>
        <row r="65">
          <cell r="E65" t="str">
            <v>Milik sendiri</v>
          </cell>
        </row>
        <row r="67">
          <cell r="E67" t="str">
            <v>Lain-lain</v>
          </cell>
        </row>
        <row r="68">
          <cell r="E68" t="str">
            <v>Berpindah</v>
          </cell>
        </row>
        <row r="69">
          <cell r="E69" t="str">
            <v>Mangkal/Non Permanen</v>
          </cell>
        </row>
        <row r="70">
          <cell r="E70" t="str">
            <v>Menetap/Permanen</v>
          </cell>
        </row>
        <row r="86">
          <cell r="E86" t="str">
            <v>TK &lt;= 2 Orang</v>
          </cell>
        </row>
        <row r="87">
          <cell r="E87" t="str">
            <v>2 &lt; TK &lt;= 5 Orang</v>
          </cell>
        </row>
        <row r="88">
          <cell r="E88" t="str">
            <v>5 &lt; TK &lt;= 10 Orang</v>
          </cell>
        </row>
        <row r="89">
          <cell r="E89" t="str">
            <v>TK &gt; 10 Orang</v>
          </cell>
        </row>
        <row r="91">
          <cell r="E91" t="str">
            <v>Tidak terdapat pencatatan dan pemisahan pengelolaan keuangan usaha</v>
          </cell>
        </row>
        <row r="92">
          <cell r="E92" t="str">
            <v>Terdapat pemisahan pengelolaan usaha namun tidak terdapat pencatatan</v>
          </cell>
        </row>
        <row r="93">
          <cell r="E93" t="str">
            <v>Terdapat pemisahan dan pencatatan keuangan dilakukan sederhana namun belum memiliki laporan keuangan sendiri</v>
          </cell>
        </row>
        <row r="94">
          <cell r="E94" t="str">
            <v>Terdapat pemisahan dan memiliki pencatatan yang baik serta mampu membuat laporan keuangan sendiri</v>
          </cell>
        </row>
        <row r="96">
          <cell r="E96" t="str">
            <v>Lebih besar dari kredit yang dimohon</v>
          </cell>
        </row>
        <row r="97">
          <cell r="E97" t="str">
            <v>sampai dengan 50 % dari Kredit yang dimohon</v>
          </cell>
        </row>
        <row r="98">
          <cell r="E98" t="str">
            <v>sampai dengan 25 % dari Kredit yang dimohon</v>
          </cell>
        </row>
        <row r="99">
          <cell r="E99" t="str">
            <v>tidak ada / sebagian kecil dari kredit yang dimohon</v>
          </cell>
        </row>
        <row r="103">
          <cell r="E103" t="str">
            <v>Belum Pernah</v>
          </cell>
        </row>
        <row r="104">
          <cell r="E104" t="str">
            <v>Nasabah/debitur bank &lt; 1 tahun</v>
          </cell>
        </row>
        <row r="105">
          <cell r="E105" t="str">
            <v>Nasabah/debitur bank 1 - 3 tahun</v>
          </cell>
        </row>
        <row r="106">
          <cell r="E106" t="str">
            <v>Nasabah/debitur bank &gt; 3 tahun</v>
          </cell>
        </row>
        <row r="108">
          <cell r="E108" t="str">
            <v>Tidak ada</v>
          </cell>
        </row>
        <row r="109">
          <cell r="E109" t="str">
            <v>&lt; 5 Juta</v>
          </cell>
        </row>
        <row r="110">
          <cell r="E110" t="str">
            <v>5 - 10 juta</v>
          </cell>
        </row>
        <row r="111">
          <cell r="E111" t="str">
            <v>&gt; 10 juta</v>
          </cell>
        </row>
        <row r="113">
          <cell r="E113" t="str">
            <v>Tidak ada</v>
          </cell>
        </row>
        <row r="114">
          <cell r="E114" t="str">
            <v>Pasif atau kurang dari 3 kali perbulan</v>
          </cell>
        </row>
        <row r="115">
          <cell r="E115" t="str">
            <v>Mutasi 3 - 8 kali perbulan</v>
          </cell>
        </row>
        <row r="116">
          <cell r="E116" t="str">
            <v>Lebih dari 8 Kali perbulan</v>
          </cell>
        </row>
        <row r="118">
          <cell r="E118" t="str">
            <v>Kurang baik / Sering Menunggak</v>
          </cell>
        </row>
        <row r="119">
          <cell r="E119" t="str">
            <v>Belum Pernah</v>
          </cell>
        </row>
        <row r="120">
          <cell r="E120" t="str">
            <v>1 - 2 Tahun Berjalan baik</v>
          </cell>
        </row>
        <row r="121">
          <cell r="E121" t="str">
            <v>Lebih dari 2 Tahun dan berjalan baik</v>
          </cell>
        </row>
        <row r="132">
          <cell r="E132" t="str">
            <v>Ada agunan, CEV &lt; 100%</v>
          </cell>
        </row>
        <row r="133">
          <cell r="E133" t="str">
            <v>Ada agunan, CEV  &gt;=  100%</v>
          </cell>
        </row>
        <row r="159">
          <cell r="E159" t="str">
            <v>Modal Kerja</v>
          </cell>
        </row>
        <row r="160">
          <cell r="E160" t="str">
            <v>Investasi</v>
          </cell>
        </row>
        <row r="163">
          <cell r="E163" t="str">
            <v>Laki-laki</v>
          </cell>
        </row>
        <row r="164">
          <cell r="E164" t="str">
            <v>Perempuan</v>
          </cell>
        </row>
        <row r="174">
          <cell r="E174" t="str">
            <v>Pedagang</v>
          </cell>
        </row>
        <row r="175">
          <cell r="E175" t="str">
            <v>Petani</v>
          </cell>
        </row>
        <row r="176">
          <cell r="E176" t="str">
            <v>Swasta</v>
          </cell>
        </row>
        <row r="177">
          <cell r="E177" t="str">
            <v>Lainnya</v>
          </cell>
        </row>
        <row r="180">
          <cell r="E180" t="str">
            <v>Menikah</v>
          </cell>
        </row>
        <row r="181">
          <cell r="E181" t="str">
            <v>Lajang (termasuk janda/duda)</v>
          </cell>
        </row>
        <row r="184">
          <cell r="E184" t="str">
            <v>Pedagang</v>
          </cell>
        </row>
        <row r="185">
          <cell r="E185" t="str">
            <v>Petani</v>
          </cell>
        </row>
        <row r="186">
          <cell r="E186" t="str">
            <v>Swasta</v>
          </cell>
        </row>
        <row r="187">
          <cell r="E187" t="str">
            <v>Lainnya</v>
          </cell>
        </row>
        <row r="190">
          <cell r="E190" t="str">
            <v>01 Bulan</v>
          </cell>
        </row>
        <row r="191">
          <cell r="E191" t="str">
            <v>02 Bulan</v>
          </cell>
        </row>
        <row r="192">
          <cell r="E192" t="str">
            <v>03 Bulan</v>
          </cell>
        </row>
        <row r="193">
          <cell r="E193" t="str">
            <v>04 Bulan</v>
          </cell>
        </row>
        <row r="194">
          <cell r="E194" t="str">
            <v>05 Bulan</v>
          </cell>
        </row>
        <row r="195">
          <cell r="E195" t="str">
            <v>06 Bulan</v>
          </cell>
        </row>
        <row r="196">
          <cell r="E196" t="str">
            <v>10 Bulan</v>
          </cell>
        </row>
        <row r="197">
          <cell r="E197" t="str">
            <v>12 Bulan</v>
          </cell>
        </row>
        <row r="198">
          <cell r="E198" t="str">
            <v>13 Bulan</v>
          </cell>
        </row>
        <row r="199">
          <cell r="E199" t="str">
            <v>14 Bulan</v>
          </cell>
        </row>
        <row r="200">
          <cell r="E200" t="str">
            <v>15 Bulan</v>
          </cell>
        </row>
        <row r="201">
          <cell r="E201" t="str">
            <v>16 Bulan</v>
          </cell>
        </row>
        <row r="202">
          <cell r="E202" t="str">
            <v>17 Bulan</v>
          </cell>
        </row>
        <row r="203">
          <cell r="E203" t="str">
            <v>18 Bulan</v>
          </cell>
        </row>
        <row r="204">
          <cell r="E204" t="str">
            <v>19 Bulan</v>
          </cell>
        </row>
        <row r="205">
          <cell r="E205" t="str">
            <v>20 Bulan</v>
          </cell>
        </row>
        <row r="206">
          <cell r="E206" t="str">
            <v>24 Bulan</v>
          </cell>
        </row>
        <row r="207">
          <cell r="E207" t="str">
            <v>36 Bulan</v>
          </cell>
        </row>
        <row r="208">
          <cell r="E208" t="str">
            <v>48 Bulan</v>
          </cell>
        </row>
        <row r="209">
          <cell r="E209" t="str">
            <v>50 Bulan</v>
          </cell>
        </row>
        <row r="210">
          <cell r="E210" t="str">
            <v>52 Bulan</v>
          </cell>
        </row>
        <row r="211">
          <cell r="E211" t="str">
            <v>60 Bulan</v>
          </cell>
        </row>
      </sheetData>
      <sheetData sheetId="3">
        <row r="137">
          <cell r="E137">
            <v>-10</v>
          </cell>
        </row>
        <row r="138">
          <cell r="E138">
            <v>-9</v>
          </cell>
        </row>
        <row r="139">
          <cell r="E139">
            <v>-8</v>
          </cell>
        </row>
        <row r="140">
          <cell r="E140">
            <v>-7</v>
          </cell>
        </row>
        <row r="141">
          <cell r="E141">
            <v>-6</v>
          </cell>
        </row>
        <row r="142">
          <cell r="E142">
            <v>-5</v>
          </cell>
        </row>
        <row r="143">
          <cell r="E143">
            <v>-4</v>
          </cell>
        </row>
        <row r="144">
          <cell r="E144">
            <v>-3</v>
          </cell>
        </row>
        <row r="145">
          <cell r="E145">
            <v>-2</v>
          </cell>
        </row>
        <row r="146">
          <cell r="E146">
            <v>-1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2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5</v>
          </cell>
        </row>
        <row r="153">
          <cell r="E153">
            <v>6</v>
          </cell>
        </row>
        <row r="154">
          <cell r="E154">
            <v>7</v>
          </cell>
        </row>
        <row r="155">
          <cell r="E155">
            <v>8</v>
          </cell>
        </row>
        <row r="156">
          <cell r="E156">
            <v>9</v>
          </cell>
        </row>
        <row r="157">
          <cell r="E157">
            <v>10</v>
          </cell>
        </row>
      </sheetData>
      <sheetData sheetId="4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SAA"/>
      <sheetName val="JU"/>
      <sheetName val="BB"/>
      <sheetName val="NR"/>
      <sheetName val="LR"/>
    </sheetNames>
    <sheetDataSet>
      <sheetData sheetId="0"/>
      <sheetData sheetId="1">
        <row r="11">
          <cell r="C11" t="str">
            <v>1-0000</v>
          </cell>
          <cell r="D11" t="str">
            <v>AKTIVA</v>
          </cell>
          <cell r="E11" t="str">
            <v>Harta</v>
          </cell>
          <cell r="F11" t="str">
            <v>Debit</v>
          </cell>
          <cell r="G11">
            <v>1</v>
          </cell>
          <cell r="H11">
            <v>324630000</v>
          </cell>
        </row>
        <row r="12">
          <cell r="C12" t="str">
            <v>1-1000</v>
          </cell>
          <cell r="D12" t="str">
            <v>Aktiva Lancar</v>
          </cell>
          <cell r="E12" t="str">
            <v>Harta</v>
          </cell>
          <cell r="F12" t="str">
            <v>Debit</v>
          </cell>
          <cell r="G12">
            <v>2</v>
          </cell>
          <cell r="H12">
            <v>287130000</v>
          </cell>
        </row>
        <row r="13">
          <cell r="C13" t="str">
            <v>1-1100</v>
          </cell>
          <cell r="D13" t="str">
            <v>Kas</v>
          </cell>
          <cell r="E13" t="str">
            <v>Harta</v>
          </cell>
          <cell r="F13" t="str">
            <v>Debit</v>
          </cell>
          <cell r="G13">
            <v>3</v>
          </cell>
          <cell r="H13">
            <v>2500000</v>
          </cell>
        </row>
        <row r="14">
          <cell r="C14" t="str">
            <v>1-1105</v>
          </cell>
          <cell r="D14" t="str">
            <v>Kas Kecil</v>
          </cell>
          <cell r="E14" t="str">
            <v>Harta</v>
          </cell>
          <cell r="F14" t="str">
            <v>Debit</v>
          </cell>
          <cell r="G14">
            <v>3</v>
          </cell>
          <cell r="H14">
            <v>750000</v>
          </cell>
        </row>
        <row r="15">
          <cell r="C15" t="str">
            <v>1-1110</v>
          </cell>
          <cell r="D15" t="str">
            <v>Bank</v>
          </cell>
          <cell r="E15" t="str">
            <v>Harta</v>
          </cell>
          <cell r="F15" t="str">
            <v>Debit</v>
          </cell>
          <cell r="G15">
            <v>3</v>
          </cell>
          <cell r="H15">
            <v>70000000</v>
          </cell>
        </row>
        <row r="16">
          <cell r="C16" t="str">
            <v>1-1111</v>
          </cell>
          <cell r="D16" t="str">
            <v>Bank BCA</v>
          </cell>
          <cell r="E16" t="str">
            <v>Harta</v>
          </cell>
          <cell r="F16" t="str">
            <v>Debit</v>
          </cell>
          <cell r="G16">
            <v>4</v>
          </cell>
          <cell r="H16">
            <v>45000000</v>
          </cell>
        </row>
        <row r="17">
          <cell r="C17" t="str">
            <v>1-1112</v>
          </cell>
          <cell r="D17" t="str">
            <v>Bank BNI</v>
          </cell>
          <cell r="E17" t="str">
            <v>Harta</v>
          </cell>
          <cell r="F17" t="str">
            <v>Debit</v>
          </cell>
          <cell r="G17">
            <v>4</v>
          </cell>
          <cell r="H17">
            <v>25000000</v>
          </cell>
        </row>
        <row r="18">
          <cell r="C18" t="str">
            <v>1-1120</v>
          </cell>
          <cell r="D18" t="str">
            <v>Piutang Usaha</v>
          </cell>
          <cell r="E18" t="str">
            <v>Harta</v>
          </cell>
          <cell r="F18" t="str">
            <v>Debit</v>
          </cell>
          <cell r="G18">
            <v>3</v>
          </cell>
          <cell r="H18">
            <v>47500000</v>
          </cell>
        </row>
        <row r="19">
          <cell r="C19" t="str">
            <v>1-1121</v>
          </cell>
          <cell r="D19" t="str">
            <v>PT. SURYA HP</v>
          </cell>
          <cell r="E19" t="str">
            <v>Harta</v>
          </cell>
          <cell r="F19" t="str">
            <v>Debit</v>
          </cell>
          <cell r="G19">
            <v>4</v>
          </cell>
          <cell r="H19">
            <v>10000000</v>
          </cell>
        </row>
        <row r="20">
          <cell r="C20" t="str">
            <v>1-1122</v>
          </cell>
          <cell r="D20" t="str">
            <v>PT. CAHAYA HP</v>
          </cell>
          <cell r="E20" t="str">
            <v>Harta</v>
          </cell>
          <cell r="F20" t="str">
            <v>Debit</v>
          </cell>
          <cell r="G20">
            <v>4</v>
          </cell>
          <cell r="H20">
            <v>15000000</v>
          </cell>
        </row>
        <row r="21">
          <cell r="C21" t="str">
            <v>1-1123</v>
          </cell>
          <cell r="D21" t="str">
            <v>PT. SAKTI SELULAR</v>
          </cell>
          <cell r="E21" t="str">
            <v>Harta</v>
          </cell>
          <cell r="F21" t="str">
            <v>Debit</v>
          </cell>
          <cell r="G21">
            <v>4</v>
          </cell>
          <cell r="H21">
            <v>7500000</v>
          </cell>
        </row>
        <row r="22">
          <cell r="C22" t="str">
            <v>1-1124</v>
          </cell>
          <cell r="D22" t="str">
            <v>PT. SARANA DIGITAL</v>
          </cell>
          <cell r="E22" t="str">
            <v>Harta</v>
          </cell>
          <cell r="F22" t="str">
            <v>Debit</v>
          </cell>
          <cell r="G22">
            <v>4</v>
          </cell>
          <cell r="H22">
            <v>15000000</v>
          </cell>
        </row>
        <row r="23">
          <cell r="C23" t="str">
            <v>1-1125</v>
          </cell>
          <cell r="D23" t="str">
            <v>PELANGGAN LAIN</v>
          </cell>
          <cell r="E23" t="str">
            <v>Harta</v>
          </cell>
          <cell r="F23" t="str">
            <v>Debit</v>
          </cell>
          <cell r="G23">
            <v>4</v>
          </cell>
          <cell r="H23">
            <v>0</v>
          </cell>
        </row>
        <row r="24">
          <cell r="C24" t="str">
            <v>1-1130</v>
          </cell>
          <cell r="D24" t="str">
            <v>Piutang Karyawan</v>
          </cell>
          <cell r="E24" t="str">
            <v>Harta</v>
          </cell>
          <cell r="F24" t="str">
            <v>Debit</v>
          </cell>
          <cell r="G24">
            <v>3</v>
          </cell>
          <cell r="H24">
            <v>0</v>
          </cell>
        </row>
        <row r="25">
          <cell r="C25" t="str">
            <v>1-1140</v>
          </cell>
          <cell r="D25" t="str">
            <v>Uang Muka Pemasok</v>
          </cell>
          <cell r="E25" t="str">
            <v>Harta</v>
          </cell>
          <cell r="F25" t="str">
            <v>Debit</v>
          </cell>
          <cell r="G25">
            <v>3</v>
          </cell>
          <cell r="H25">
            <v>0</v>
          </cell>
        </row>
        <row r="26">
          <cell r="C26" t="str">
            <v>1-1150</v>
          </cell>
          <cell r="D26" t="str">
            <v>Persediaan Barang Dagangan</v>
          </cell>
          <cell r="E26" t="str">
            <v>Harta</v>
          </cell>
          <cell r="F26" t="str">
            <v>Debit</v>
          </cell>
          <cell r="G26">
            <v>3</v>
          </cell>
          <cell r="H26">
            <v>166380000</v>
          </cell>
        </row>
        <row r="27">
          <cell r="C27" t="str">
            <v>1-2000</v>
          </cell>
          <cell r="D27" t="str">
            <v>Aktiva Tetap</v>
          </cell>
          <cell r="E27" t="str">
            <v>Harta</v>
          </cell>
          <cell r="F27" t="str">
            <v>Debit</v>
          </cell>
          <cell r="G27">
            <v>2</v>
          </cell>
          <cell r="H27">
            <v>37500000</v>
          </cell>
        </row>
        <row r="28">
          <cell r="C28" t="str">
            <v>1-2100</v>
          </cell>
          <cell r="D28" t="str">
            <v>Peralatan Kantor</v>
          </cell>
          <cell r="E28" t="str">
            <v>Harta</v>
          </cell>
          <cell r="F28" t="str">
            <v>Debit</v>
          </cell>
          <cell r="G28">
            <v>3</v>
          </cell>
          <cell r="H28">
            <v>17500000</v>
          </cell>
        </row>
        <row r="29">
          <cell r="C29" t="str">
            <v>1-2110</v>
          </cell>
          <cell r="D29" t="str">
            <v>HP Peralatan Kantor</v>
          </cell>
          <cell r="E29" t="str">
            <v>Harta</v>
          </cell>
          <cell r="F29" t="str">
            <v>Debit</v>
          </cell>
          <cell r="G29">
            <v>4</v>
          </cell>
          <cell r="H29">
            <v>25000000</v>
          </cell>
        </row>
        <row r="30">
          <cell r="C30" t="str">
            <v>1-2115</v>
          </cell>
          <cell r="D30" t="str">
            <v>Akum. Peny. Peralatan kantor</v>
          </cell>
          <cell r="E30" t="str">
            <v>Harta</v>
          </cell>
          <cell r="F30" t="str">
            <v>Debit</v>
          </cell>
          <cell r="G30">
            <v>4</v>
          </cell>
          <cell r="H30">
            <v>-7500000</v>
          </cell>
        </row>
        <row r="31">
          <cell r="C31" t="str">
            <v>1-2200</v>
          </cell>
          <cell r="D31" t="str">
            <v>Kendaraan</v>
          </cell>
          <cell r="E31" t="str">
            <v>Harta</v>
          </cell>
          <cell r="F31" t="str">
            <v>Debit</v>
          </cell>
          <cell r="G31">
            <v>3</v>
          </cell>
          <cell r="H31">
            <v>20000000</v>
          </cell>
        </row>
        <row r="32">
          <cell r="C32" t="str">
            <v>1-2210</v>
          </cell>
          <cell r="D32" t="str">
            <v>HP Kendaraan</v>
          </cell>
          <cell r="E32" t="str">
            <v>Harta</v>
          </cell>
          <cell r="F32" t="str">
            <v>Debit</v>
          </cell>
          <cell r="G32">
            <v>4</v>
          </cell>
          <cell r="H32">
            <v>45000000</v>
          </cell>
        </row>
        <row r="33">
          <cell r="C33" t="str">
            <v>1-2215</v>
          </cell>
          <cell r="D33" t="str">
            <v>Akum. Peny. Kendaraan</v>
          </cell>
          <cell r="E33" t="str">
            <v>Harta</v>
          </cell>
          <cell r="F33" t="str">
            <v>Debit</v>
          </cell>
          <cell r="G33">
            <v>4</v>
          </cell>
          <cell r="H33">
            <v>-25000000</v>
          </cell>
        </row>
        <row r="34">
          <cell r="C34" t="str">
            <v>2-0000</v>
          </cell>
          <cell r="D34" t="str">
            <v>KEWAJIBAN</v>
          </cell>
          <cell r="E34" t="str">
            <v>Kewajiban</v>
          </cell>
          <cell r="F34" t="str">
            <v>Kredit</v>
          </cell>
          <cell r="G34">
            <v>1</v>
          </cell>
          <cell r="H34">
            <v>150000000</v>
          </cell>
        </row>
        <row r="35">
          <cell r="C35" t="str">
            <v>2-1000</v>
          </cell>
          <cell r="D35" t="str">
            <v>Kewajiban Lancar</v>
          </cell>
          <cell r="E35" t="str">
            <v>Kewajiban</v>
          </cell>
          <cell r="F35" t="str">
            <v>Kredit</v>
          </cell>
          <cell r="G35">
            <v>2</v>
          </cell>
          <cell r="H35">
            <v>75000000</v>
          </cell>
        </row>
        <row r="36">
          <cell r="C36" t="str">
            <v>2-1100</v>
          </cell>
          <cell r="D36" t="str">
            <v>Hutang Gaji</v>
          </cell>
          <cell r="E36" t="str">
            <v>Kewajiban</v>
          </cell>
          <cell r="F36" t="str">
            <v>Kredit</v>
          </cell>
          <cell r="G36">
            <v>3</v>
          </cell>
          <cell r="H36">
            <v>0</v>
          </cell>
        </row>
        <row r="37">
          <cell r="C37" t="str">
            <v>2-1110</v>
          </cell>
          <cell r="D37" t="str">
            <v>Pendapatan Diterima Dimuka</v>
          </cell>
          <cell r="E37" t="str">
            <v>Kewajiban</v>
          </cell>
          <cell r="F37" t="str">
            <v>Kredit</v>
          </cell>
          <cell r="G37">
            <v>3</v>
          </cell>
          <cell r="H37">
            <v>0</v>
          </cell>
        </row>
        <row r="38">
          <cell r="C38" t="str">
            <v>2-1120</v>
          </cell>
          <cell r="D38" t="str">
            <v>Hutang Usaha</v>
          </cell>
          <cell r="E38" t="str">
            <v>Kewajiban</v>
          </cell>
          <cell r="F38" t="str">
            <v>Kredit</v>
          </cell>
          <cell r="G38">
            <v>3</v>
          </cell>
          <cell r="H38">
            <v>75000000</v>
          </cell>
        </row>
        <row r="39">
          <cell r="C39" t="str">
            <v>2-1121</v>
          </cell>
          <cell r="D39" t="str">
            <v>PT. TRIAS</v>
          </cell>
          <cell r="E39" t="str">
            <v>Kewajiban</v>
          </cell>
          <cell r="F39" t="str">
            <v>Kredit</v>
          </cell>
          <cell r="G39">
            <v>4</v>
          </cell>
          <cell r="H39">
            <v>24000000</v>
          </cell>
        </row>
        <row r="40">
          <cell r="C40" t="str">
            <v>2-1122</v>
          </cell>
          <cell r="D40" t="str">
            <v>PT. DELASKO</v>
          </cell>
          <cell r="E40" t="str">
            <v>Kewajiban</v>
          </cell>
          <cell r="F40" t="str">
            <v>Kredit</v>
          </cell>
          <cell r="G40">
            <v>4</v>
          </cell>
          <cell r="H40">
            <v>16000000</v>
          </cell>
        </row>
        <row r="41">
          <cell r="C41" t="str">
            <v>2-1123</v>
          </cell>
          <cell r="D41" t="str">
            <v>PT. CIPTA MEDIA</v>
          </cell>
          <cell r="E41" t="str">
            <v>Kewajiban</v>
          </cell>
          <cell r="F41" t="str">
            <v>Kredit</v>
          </cell>
          <cell r="G41">
            <v>4</v>
          </cell>
          <cell r="H41">
            <v>35000000</v>
          </cell>
        </row>
        <row r="42">
          <cell r="C42" t="str">
            <v>2-1200</v>
          </cell>
          <cell r="D42" t="str">
            <v>Hutang PPN</v>
          </cell>
          <cell r="E42" t="str">
            <v>Kewajiban</v>
          </cell>
          <cell r="F42" t="str">
            <v>Kredit</v>
          </cell>
          <cell r="G42">
            <v>3</v>
          </cell>
          <cell r="H42">
            <v>0</v>
          </cell>
        </row>
        <row r="43">
          <cell r="C43" t="str">
            <v>2-1210</v>
          </cell>
          <cell r="D43" t="str">
            <v>PPN Keluaran</v>
          </cell>
          <cell r="E43" t="str">
            <v>Kewajiban</v>
          </cell>
          <cell r="F43" t="str">
            <v>Kredit</v>
          </cell>
          <cell r="G43">
            <v>4</v>
          </cell>
          <cell r="H43">
            <v>0</v>
          </cell>
        </row>
        <row r="44">
          <cell r="C44" t="str">
            <v>2-1220</v>
          </cell>
          <cell r="D44" t="str">
            <v>PPN Masukan</v>
          </cell>
          <cell r="E44" t="str">
            <v>Kewajiban</v>
          </cell>
          <cell r="F44" t="str">
            <v>Kredit</v>
          </cell>
          <cell r="G44">
            <v>4</v>
          </cell>
          <cell r="H44">
            <v>0</v>
          </cell>
        </row>
        <row r="45">
          <cell r="C45" t="str">
            <v>2-1300</v>
          </cell>
          <cell r="D45" t="str">
            <v>Hutang Pajak Penjualan</v>
          </cell>
          <cell r="E45" t="str">
            <v>Kewajiban</v>
          </cell>
          <cell r="F45" t="str">
            <v>Kredit</v>
          </cell>
          <cell r="G45">
            <v>3</v>
          </cell>
          <cell r="H45">
            <v>0</v>
          </cell>
        </row>
        <row r="46">
          <cell r="C46" t="str">
            <v>2-2000</v>
          </cell>
          <cell r="D46" t="str">
            <v>Kewajiban Jangka Panjang</v>
          </cell>
          <cell r="E46" t="str">
            <v>Kewajiban</v>
          </cell>
          <cell r="F46" t="str">
            <v>Kredit</v>
          </cell>
          <cell r="G46">
            <v>2</v>
          </cell>
          <cell r="H46">
            <v>75000000</v>
          </cell>
        </row>
        <row r="47">
          <cell r="C47" t="str">
            <v>2-2100</v>
          </cell>
          <cell r="D47" t="str">
            <v>Hutang Bank BRI</v>
          </cell>
          <cell r="E47" t="str">
            <v>Kewajiban</v>
          </cell>
          <cell r="F47" t="str">
            <v>Kredit</v>
          </cell>
          <cell r="G47">
            <v>3</v>
          </cell>
          <cell r="H47">
            <v>75000000</v>
          </cell>
        </row>
        <row r="48">
          <cell r="C48" t="str">
            <v>2-2200</v>
          </cell>
          <cell r="D48" t="str">
            <v>Hutang Jangka Panjang Lain</v>
          </cell>
          <cell r="E48" t="str">
            <v>Kewajiban</v>
          </cell>
          <cell r="F48" t="str">
            <v>Kredit</v>
          </cell>
          <cell r="G48">
            <v>3</v>
          </cell>
          <cell r="H48">
            <v>0</v>
          </cell>
        </row>
        <row r="49">
          <cell r="C49" t="str">
            <v>3-0000</v>
          </cell>
          <cell r="D49" t="str">
            <v>EKUITAS</v>
          </cell>
          <cell r="E49" t="str">
            <v>Modal</v>
          </cell>
          <cell r="F49" t="str">
            <v>Kredit</v>
          </cell>
          <cell r="G49">
            <v>1</v>
          </cell>
          <cell r="H49">
            <v>174630000</v>
          </cell>
        </row>
        <row r="50">
          <cell r="C50" t="str">
            <v>3-1000</v>
          </cell>
          <cell r="D50" t="str">
            <v>Modal Saham</v>
          </cell>
          <cell r="E50" t="str">
            <v>Modal</v>
          </cell>
          <cell r="F50" t="str">
            <v>Kredit</v>
          </cell>
          <cell r="G50">
            <v>2</v>
          </cell>
          <cell r="H50">
            <v>150000000</v>
          </cell>
        </row>
        <row r="51">
          <cell r="C51" t="str">
            <v>3-2000</v>
          </cell>
          <cell r="D51" t="str">
            <v>Laba Ditahan</v>
          </cell>
          <cell r="E51" t="str">
            <v>Modal</v>
          </cell>
          <cell r="F51" t="str">
            <v>Kredit</v>
          </cell>
          <cell r="G51">
            <v>2</v>
          </cell>
          <cell r="H51">
            <v>24630000</v>
          </cell>
        </row>
        <row r="52">
          <cell r="C52" t="str">
            <v>3-3000</v>
          </cell>
          <cell r="D52" t="str">
            <v>Laba Periode Berjalan</v>
          </cell>
          <cell r="E52" t="str">
            <v>Modal</v>
          </cell>
          <cell r="F52" t="str">
            <v>Kredit</v>
          </cell>
          <cell r="G52">
            <v>2</v>
          </cell>
          <cell r="H52">
            <v>0</v>
          </cell>
        </row>
        <row r="53">
          <cell r="C53" t="str">
            <v>4-0000</v>
          </cell>
          <cell r="D53" t="str">
            <v>PENDAPATAN</v>
          </cell>
          <cell r="E53" t="str">
            <v>Pendapatan</v>
          </cell>
          <cell r="F53" t="str">
            <v>Kredit</v>
          </cell>
          <cell r="G53">
            <v>1</v>
          </cell>
          <cell r="H53">
            <v>0</v>
          </cell>
        </row>
        <row r="54">
          <cell r="C54" t="str">
            <v>4-1000</v>
          </cell>
          <cell r="D54" t="str">
            <v>Penjualan Peralatan Multimedia</v>
          </cell>
          <cell r="E54" t="str">
            <v>Pendapatan</v>
          </cell>
          <cell r="F54" t="str">
            <v>Kredit</v>
          </cell>
          <cell r="G54">
            <v>2</v>
          </cell>
          <cell r="H54">
            <v>0</v>
          </cell>
        </row>
        <row r="55">
          <cell r="C55" t="str">
            <v>4-2000</v>
          </cell>
          <cell r="D55" t="str">
            <v>Pendapatan Jasa Kirim Barang</v>
          </cell>
          <cell r="E55" t="str">
            <v>Pendapatan</v>
          </cell>
          <cell r="F55" t="str">
            <v>Kredit</v>
          </cell>
          <cell r="G55">
            <v>2</v>
          </cell>
          <cell r="H55">
            <v>0</v>
          </cell>
        </row>
        <row r="56">
          <cell r="C56" t="str">
            <v>5-0000</v>
          </cell>
          <cell r="D56" t="str">
            <v>HARGA POKOK PENJUALAN</v>
          </cell>
          <cell r="E56" t="str">
            <v>HPP</v>
          </cell>
          <cell r="F56" t="str">
            <v>Debit</v>
          </cell>
          <cell r="G56">
            <v>1</v>
          </cell>
          <cell r="H56">
            <v>0</v>
          </cell>
        </row>
        <row r="57">
          <cell r="C57" t="str">
            <v>5-1000</v>
          </cell>
          <cell r="D57" t="str">
            <v>HPP Peralatan Multimedia</v>
          </cell>
          <cell r="E57" t="str">
            <v>HPP</v>
          </cell>
          <cell r="F57" t="str">
            <v>Debit</v>
          </cell>
          <cell r="G57">
            <v>2</v>
          </cell>
          <cell r="H57">
            <v>0</v>
          </cell>
        </row>
        <row r="58">
          <cell r="C58" t="str">
            <v>6-0000</v>
          </cell>
          <cell r="D58" t="str">
            <v>BIAYA</v>
          </cell>
          <cell r="E58" t="str">
            <v>Biaya</v>
          </cell>
          <cell r="F58" t="str">
            <v>Debit</v>
          </cell>
          <cell r="G58">
            <v>1</v>
          </cell>
          <cell r="H58">
            <v>0</v>
          </cell>
        </row>
        <row r="59">
          <cell r="C59" t="str">
            <v>6-1000</v>
          </cell>
          <cell r="D59" t="str">
            <v>Gaji Karyawan</v>
          </cell>
          <cell r="E59" t="str">
            <v>Biaya</v>
          </cell>
          <cell r="F59" t="str">
            <v>Debit</v>
          </cell>
          <cell r="G59">
            <v>2</v>
          </cell>
          <cell r="H59">
            <v>0</v>
          </cell>
        </row>
        <row r="60">
          <cell r="C60" t="str">
            <v>6-1100</v>
          </cell>
          <cell r="D60" t="str">
            <v>Biaya Pemasaran</v>
          </cell>
          <cell r="E60" t="str">
            <v>Biaya</v>
          </cell>
          <cell r="F60" t="str">
            <v>Debit</v>
          </cell>
          <cell r="G60">
            <v>2</v>
          </cell>
          <cell r="H60">
            <v>0</v>
          </cell>
        </row>
        <row r="61">
          <cell r="C61" t="str">
            <v>6-1200</v>
          </cell>
          <cell r="D61" t="str">
            <v>Biaya Transportasi</v>
          </cell>
          <cell r="E61" t="str">
            <v>Biaya</v>
          </cell>
          <cell r="F61" t="str">
            <v>Debit</v>
          </cell>
          <cell r="G61">
            <v>2</v>
          </cell>
          <cell r="H61">
            <v>0</v>
          </cell>
        </row>
        <row r="62">
          <cell r="C62" t="str">
            <v>6-1300</v>
          </cell>
          <cell r="D62" t="str">
            <v>Perawatan Aktiva</v>
          </cell>
          <cell r="E62" t="str">
            <v>Biaya</v>
          </cell>
          <cell r="F62" t="str">
            <v>Debit</v>
          </cell>
          <cell r="G62">
            <v>2</v>
          </cell>
          <cell r="H62">
            <v>0</v>
          </cell>
        </row>
        <row r="63">
          <cell r="C63" t="str">
            <v>6-1400</v>
          </cell>
          <cell r="D63" t="str">
            <v>Penyusutan Aktiva</v>
          </cell>
          <cell r="E63" t="str">
            <v>Biaya</v>
          </cell>
          <cell r="F63" t="str">
            <v>Debit</v>
          </cell>
          <cell r="G63">
            <v>2</v>
          </cell>
          <cell r="H63">
            <v>0</v>
          </cell>
        </row>
        <row r="64">
          <cell r="C64" t="str">
            <v>6-1500</v>
          </cell>
          <cell r="D64" t="str">
            <v>Potongan Pembelian</v>
          </cell>
          <cell r="E64" t="str">
            <v>Biaya</v>
          </cell>
          <cell r="F64" t="str">
            <v>Debit</v>
          </cell>
          <cell r="G64">
            <v>2</v>
          </cell>
          <cell r="H64">
            <v>0</v>
          </cell>
        </row>
        <row r="65">
          <cell r="C65" t="str">
            <v>6-1550</v>
          </cell>
          <cell r="D65" t="str">
            <v>Potongan Penjualan</v>
          </cell>
          <cell r="E65" t="str">
            <v>Biaya</v>
          </cell>
          <cell r="F65" t="str">
            <v>Debit</v>
          </cell>
          <cell r="G65">
            <v>2</v>
          </cell>
          <cell r="H65">
            <v>0</v>
          </cell>
        </row>
        <row r="66">
          <cell r="C66" t="str">
            <v>6-1600</v>
          </cell>
          <cell r="D66" t="str">
            <v>Biaya Listrik</v>
          </cell>
          <cell r="E66" t="str">
            <v>Biaya</v>
          </cell>
          <cell r="F66" t="str">
            <v>Debit</v>
          </cell>
          <cell r="G66">
            <v>2</v>
          </cell>
          <cell r="H66">
            <v>0</v>
          </cell>
        </row>
        <row r="67">
          <cell r="C67" t="str">
            <v>6-1700</v>
          </cell>
          <cell r="D67" t="str">
            <v>Biaya Telpon</v>
          </cell>
          <cell r="E67" t="str">
            <v>Biaya</v>
          </cell>
          <cell r="F67" t="str">
            <v>Debit</v>
          </cell>
          <cell r="G67">
            <v>2</v>
          </cell>
          <cell r="H67">
            <v>0</v>
          </cell>
        </row>
        <row r="68">
          <cell r="C68" t="str">
            <v>6-1800</v>
          </cell>
          <cell r="D68" t="str">
            <v>Biaya Sewa Ruang</v>
          </cell>
          <cell r="E68" t="str">
            <v>Biaya</v>
          </cell>
          <cell r="F68" t="str">
            <v>Debit</v>
          </cell>
          <cell r="G68">
            <v>2</v>
          </cell>
          <cell r="H68">
            <v>0</v>
          </cell>
        </row>
        <row r="69">
          <cell r="C69" t="str">
            <v>6-1900</v>
          </cell>
          <cell r="D69" t="str">
            <v>Perlengkapan kantor</v>
          </cell>
          <cell r="E69" t="str">
            <v>Biaya</v>
          </cell>
          <cell r="F69" t="str">
            <v>Debit</v>
          </cell>
          <cell r="G69">
            <v>2</v>
          </cell>
          <cell r="H69">
            <v>0</v>
          </cell>
        </row>
        <row r="70">
          <cell r="C70" t="str">
            <v>8-0000</v>
          </cell>
          <cell r="D70" t="str">
            <v>PENDAPATAN LAIN-LAIN</v>
          </cell>
          <cell r="E70" t="str">
            <v>Pendapatan Lainnya</v>
          </cell>
          <cell r="F70" t="str">
            <v>Kredit</v>
          </cell>
          <cell r="G70">
            <v>1</v>
          </cell>
          <cell r="H70">
            <v>0</v>
          </cell>
        </row>
        <row r="71">
          <cell r="C71" t="str">
            <v>8-1000</v>
          </cell>
          <cell r="D71" t="str">
            <v>Bunga Bank</v>
          </cell>
          <cell r="E71" t="str">
            <v>Pendapatan Lainnya</v>
          </cell>
          <cell r="F71" t="str">
            <v>Kredit</v>
          </cell>
          <cell r="G71">
            <v>2</v>
          </cell>
          <cell r="H71">
            <v>0</v>
          </cell>
        </row>
        <row r="72">
          <cell r="C72" t="str">
            <v>8-2000</v>
          </cell>
          <cell r="D72" t="str">
            <v>Laba Penjualan Aktiva</v>
          </cell>
          <cell r="E72" t="str">
            <v>Pendapatan Lainnya</v>
          </cell>
          <cell r="F72" t="str">
            <v>Kredit</v>
          </cell>
          <cell r="G72">
            <v>2</v>
          </cell>
          <cell r="H72">
            <v>0</v>
          </cell>
        </row>
        <row r="73">
          <cell r="C73" t="str">
            <v>9-0000</v>
          </cell>
          <cell r="D73" t="str">
            <v>BIAYA LAIN-LAIN</v>
          </cell>
          <cell r="E73" t="str">
            <v>Biaya Lainnya</v>
          </cell>
          <cell r="F73" t="str">
            <v>Debit</v>
          </cell>
          <cell r="G73">
            <v>1</v>
          </cell>
          <cell r="H73">
            <v>0</v>
          </cell>
        </row>
        <row r="74">
          <cell r="C74" t="str">
            <v>9-1000</v>
          </cell>
          <cell r="D74" t="str">
            <v>Bunga Pinjaman Bank</v>
          </cell>
          <cell r="E74" t="str">
            <v>Biaya Lainnya</v>
          </cell>
          <cell r="F74" t="str">
            <v>Debit</v>
          </cell>
          <cell r="G74">
            <v>2</v>
          </cell>
          <cell r="H74">
            <v>0</v>
          </cell>
        </row>
        <row r="75">
          <cell r="C75" t="str">
            <v>9-2000</v>
          </cell>
          <cell r="D75" t="str">
            <v>Pajak Atas Pendapatan Bunga</v>
          </cell>
          <cell r="E75" t="str">
            <v>Biaya Lainnya</v>
          </cell>
          <cell r="F75" t="str">
            <v>Debit</v>
          </cell>
          <cell r="G75">
            <v>2</v>
          </cell>
          <cell r="H75">
            <v>0</v>
          </cell>
        </row>
        <row r="76">
          <cell r="C76" t="str">
            <v>9-3000</v>
          </cell>
          <cell r="D76" t="str">
            <v>Rugi Penjualan Aktiva</v>
          </cell>
          <cell r="E76" t="str">
            <v>Biaya Lainnya</v>
          </cell>
          <cell r="F76" t="str">
            <v>Debit</v>
          </cell>
          <cell r="G76">
            <v>2</v>
          </cell>
          <cell r="H76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KASUS1"/>
      <sheetName val="LATIH1"/>
      <sheetName val="KASUS2"/>
      <sheetName val="LATIH2"/>
      <sheetName val="KASUS3"/>
      <sheetName val="LATIH3"/>
      <sheetName val="KASUS4"/>
      <sheetName val="LATIH4"/>
      <sheetName val="KASUS5"/>
      <sheetName val="LATIH5"/>
      <sheetName val="KASUS6"/>
      <sheetName val="LATIH6"/>
      <sheetName val="KASUS7"/>
      <sheetName val="LATIH7"/>
      <sheetName val="DB2"/>
      <sheetName val="SK1226"/>
      <sheetName val="SK1227"/>
    </sheetNames>
    <sheetDataSet>
      <sheetData sheetId="0">
        <row r="9">
          <cell r="P9">
            <v>1</v>
          </cell>
        </row>
        <row r="10">
          <cell r="P10">
            <v>2</v>
          </cell>
        </row>
        <row r="11">
          <cell r="P11">
            <v>3</v>
          </cell>
        </row>
        <row r="12">
          <cell r="P12">
            <v>4</v>
          </cell>
        </row>
        <row r="13">
          <cell r="P13">
            <v>5</v>
          </cell>
        </row>
        <row r="14">
          <cell r="P14">
            <v>6</v>
          </cell>
        </row>
        <row r="15">
          <cell r="P15">
            <v>7</v>
          </cell>
        </row>
        <row r="16">
          <cell r="P16">
            <v>8</v>
          </cell>
        </row>
        <row r="17">
          <cell r="P17">
            <v>9</v>
          </cell>
        </row>
        <row r="18">
          <cell r="P18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ating"/>
      <sheetName val="kocab"/>
      <sheetName val="parameter"/>
      <sheetName val="parameter_tier"/>
      <sheetName val="Formulir"/>
      <sheetName val="Cetak Laporan"/>
    </sheetNames>
    <sheetDataSet>
      <sheetData sheetId="0"/>
      <sheetData sheetId="1"/>
      <sheetData sheetId="2"/>
      <sheetData sheetId="3">
        <row r="141">
          <cell r="E141">
            <v>-10</v>
          </cell>
        </row>
        <row r="142">
          <cell r="E142">
            <v>-9</v>
          </cell>
        </row>
        <row r="143">
          <cell r="E143">
            <v>-8</v>
          </cell>
        </row>
        <row r="144">
          <cell r="E144">
            <v>-7</v>
          </cell>
        </row>
        <row r="145">
          <cell r="E145">
            <v>-6</v>
          </cell>
        </row>
        <row r="146">
          <cell r="E146">
            <v>-5</v>
          </cell>
        </row>
        <row r="147">
          <cell r="E147">
            <v>-4</v>
          </cell>
        </row>
        <row r="148">
          <cell r="E148">
            <v>-3</v>
          </cell>
        </row>
        <row r="149">
          <cell r="E149">
            <v>-2</v>
          </cell>
        </row>
        <row r="150">
          <cell r="E150">
            <v>-1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2</v>
          </cell>
        </row>
        <row r="154">
          <cell r="E154">
            <v>3</v>
          </cell>
        </row>
        <row r="155">
          <cell r="E155">
            <v>4</v>
          </cell>
        </row>
        <row r="156">
          <cell r="E156">
            <v>5</v>
          </cell>
        </row>
        <row r="157">
          <cell r="E157">
            <v>6</v>
          </cell>
        </row>
        <row r="158">
          <cell r="E158">
            <v>7</v>
          </cell>
        </row>
        <row r="159">
          <cell r="E159">
            <v>8</v>
          </cell>
        </row>
        <row r="160">
          <cell r="E160">
            <v>9</v>
          </cell>
        </row>
        <row r="161">
          <cell r="E161">
            <v>10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59"/>
  <sheetViews>
    <sheetView topLeftCell="A34" workbookViewId="0">
      <selection activeCell="C65" sqref="C65"/>
    </sheetView>
  </sheetViews>
  <sheetFormatPr defaultRowHeight="15"/>
  <cols>
    <col min="1" max="1" width="3.28515625" style="46" customWidth="1"/>
    <col min="2" max="2" width="3.5703125" style="45" bestFit="1" customWidth="1"/>
    <col min="3" max="3" width="19.7109375" style="46" customWidth="1"/>
    <col min="4" max="4" width="23" style="45" customWidth="1"/>
    <col min="5" max="5" width="9.28515625" style="45" customWidth="1"/>
    <col min="6" max="6" width="27.85546875" style="46" customWidth="1"/>
    <col min="7" max="8" width="13.42578125" style="47" customWidth="1"/>
    <col min="9" max="16384" width="9.140625" style="46"/>
  </cols>
  <sheetData>
    <row r="2" spans="2:8">
      <c r="B2" s="246" t="s">
        <v>302</v>
      </c>
    </row>
    <row r="3" spans="2:8">
      <c r="B3" s="565" t="s">
        <v>303</v>
      </c>
      <c r="C3" s="565"/>
      <c r="D3" s="247" t="s">
        <v>304</v>
      </c>
      <c r="E3" s="247" t="s">
        <v>305</v>
      </c>
    </row>
    <row r="4" spans="2:8">
      <c r="B4" s="566" t="s">
        <v>306</v>
      </c>
      <c r="C4" s="566"/>
      <c r="D4" s="514" t="s">
        <v>307</v>
      </c>
      <c r="E4" s="514">
        <v>41</v>
      </c>
    </row>
    <row r="5" spans="2:8">
      <c r="B5" s="567" t="s">
        <v>308</v>
      </c>
      <c r="C5" s="567"/>
      <c r="D5" s="567"/>
      <c r="E5" s="567"/>
    </row>
    <row r="6" spans="2:8">
      <c r="B6" s="566" t="s">
        <v>309</v>
      </c>
      <c r="C6" s="566"/>
      <c r="D6" s="514" t="s">
        <v>310</v>
      </c>
      <c r="E6" s="514">
        <v>22</v>
      </c>
    </row>
    <row r="10" spans="2:8">
      <c r="B10" s="568" t="s">
        <v>166</v>
      </c>
      <c r="C10" s="568"/>
      <c r="D10" s="568"/>
      <c r="E10" s="568"/>
      <c r="F10" s="568"/>
      <c r="G10" s="568"/>
      <c r="H10" s="568"/>
    </row>
    <row r="11" spans="2:8" s="43" customFormat="1">
      <c r="B11" s="564" t="s">
        <v>18</v>
      </c>
      <c r="C11" s="564" t="s">
        <v>62</v>
      </c>
      <c r="D11" s="569" t="s">
        <v>45</v>
      </c>
      <c r="E11" s="570"/>
      <c r="F11" s="564" t="s">
        <v>63</v>
      </c>
      <c r="G11" s="573" t="s">
        <v>13</v>
      </c>
      <c r="H11" s="573"/>
    </row>
    <row r="12" spans="2:8" s="43" customFormat="1">
      <c r="B12" s="564"/>
      <c r="C12" s="564"/>
      <c r="D12" s="571"/>
      <c r="E12" s="572"/>
      <c r="F12" s="564"/>
      <c r="G12" s="44" t="s">
        <v>64</v>
      </c>
      <c r="H12" s="44" t="s">
        <v>65</v>
      </c>
    </row>
    <row r="13" spans="2:8" s="125" customFormat="1" ht="15.75" customHeight="1">
      <c r="B13" s="128">
        <v>1</v>
      </c>
      <c r="C13" s="129" t="s">
        <v>162</v>
      </c>
      <c r="D13" s="574">
        <v>12345</v>
      </c>
      <c r="E13" s="575"/>
      <c r="F13" s="515" t="s">
        <v>270</v>
      </c>
      <c r="G13" s="516">
        <v>41255</v>
      </c>
      <c r="H13" s="516">
        <v>43081</v>
      </c>
    </row>
    <row r="14" spans="2:8" s="125" customFormat="1" ht="15.75" customHeight="1">
      <c r="B14" s="128">
        <v>2</v>
      </c>
      <c r="C14" s="129" t="s">
        <v>163</v>
      </c>
      <c r="D14" s="574">
        <v>258786</v>
      </c>
      <c r="E14" s="575"/>
      <c r="F14" s="515" t="s">
        <v>269</v>
      </c>
      <c r="G14" s="516">
        <v>42289</v>
      </c>
      <c r="H14" s="516">
        <v>44116</v>
      </c>
    </row>
    <row r="15" spans="2:8" s="125" customFormat="1" ht="15.75" customHeight="1">
      <c r="B15" s="128">
        <v>3</v>
      </c>
      <c r="C15" s="129" t="s">
        <v>66</v>
      </c>
      <c r="D15" s="574">
        <v>24512</v>
      </c>
      <c r="E15" s="575"/>
      <c r="F15" s="515" t="s">
        <v>269</v>
      </c>
      <c r="G15" s="516">
        <v>42289</v>
      </c>
      <c r="H15" s="516">
        <v>44116</v>
      </c>
    </row>
    <row r="16" spans="2:8" s="125" customFormat="1" ht="15.75" customHeight="1">
      <c r="B16" s="128">
        <v>4</v>
      </c>
      <c r="C16" s="129" t="s">
        <v>67</v>
      </c>
      <c r="D16" s="574">
        <v>11111</v>
      </c>
      <c r="E16" s="575"/>
      <c r="F16" s="515" t="s">
        <v>271</v>
      </c>
      <c r="G16" s="516">
        <v>40912</v>
      </c>
      <c r="H16" s="516"/>
    </row>
    <row r="17" spans="2:8" s="125" customFormat="1" ht="15.75" customHeight="1">
      <c r="B17" s="128">
        <v>5</v>
      </c>
      <c r="C17" s="129" t="s">
        <v>323</v>
      </c>
      <c r="D17" s="574"/>
      <c r="E17" s="575"/>
      <c r="F17" s="515"/>
      <c r="G17" s="516"/>
      <c r="H17" s="516"/>
    </row>
    <row r="18" spans="2:8" s="125" customFormat="1" ht="15.75" customHeight="1">
      <c r="B18" s="128"/>
      <c r="C18" s="274" t="s">
        <v>324</v>
      </c>
      <c r="D18" s="574"/>
      <c r="E18" s="575"/>
      <c r="F18" s="515"/>
      <c r="G18" s="516"/>
      <c r="H18" s="516"/>
    </row>
    <row r="19" spans="2:8" s="125" customFormat="1" ht="15.75" customHeight="1">
      <c r="B19" s="128"/>
      <c r="C19" s="274" t="s">
        <v>324</v>
      </c>
      <c r="D19" s="574"/>
      <c r="E19" s="575"/>
      <c r="F19" s="515"/>
      <c r="G19" s="516"/>
      <c r="H19" s="516"/>
    </row>
    <row r="20" spans="2:8" s="125" customFormat="1" ht="15.75" customHeight="1">
      <c r="B20" s="135"/>
      <c r="C20" s="136"/>
      <c r="D20" s="137"/>
      <c r="E20" s="137"/>
      <c r="F20" s="138"/>
      <c r="G20" s="139"/>
      <c r="H20" s="139"/>
    </row>
    <row r="21" spans="2:8" ht="15.75" customHeight="1"/>
    <row r="22" spans="2:8">
      <c r="C22" s="579" t="s">
        <v>164</v>
      </c>
      <c r="D22" s="579"/>
      <c r="E22" s="126"/>
    </row>
    <row r="23" spans="2:8">
      <c r="C23" s="130" t="s">
        <v>165</v>
      </c>
      <c r="D23" s="517">
        <v>500000000</v>
      </c>
      <c r="E23" s="127"/>
    </row>
    <row r="24" spans="2:8">
      <c r="C24" s="130" t="s">
        <v>17</v>
      </c>
      <c r="D24" s="517">
        <v>100000000</v>
      </c>
      <c r="E24" s="127"/>
    </row>
    <row r="25" spans="2:8">
      <c r="C25" s="140"/>
      <c r="D25" s="141"/>
      <c r="E25" s="127"/>
    </row>
    <row r="27" spans="2:8">
      <c r="C27" s="50" t="s">
        <v>167</v>
      </c>
    </row>
    <row r="28" spans="2:8">
      <c r="C28" s="577" t="s">
        <v>168</v>
      </c>
      <c r="D28" s="578" t="s">
        <v>169</v>
      </c>
      <c r="E28" s="578"/>
      <c r="F28" s="577" t="s">
        <v>47</v>
      </c>
    </row>
    <row r="29" spans="2:8">
      <c r="C29" s="577"/>
      <c r="D29" s="179" t="s">
        <v>170</v>
      </c>
      <c r="E29" s="180" t="s">
        <v>0</v>
      </c>
      <c r="F29" s="577"/>
    </row>
    <row r="30" spans="2:8">
      <c r="C30" s="133" t="s">
        <v>261</v>
      </c>
      <c r="D30" s="518">
        <v>25000000</v>
      </c>
      <c r="E30" s="272">
        <f>D30/$D$34</f>
        <v>0.25</v>
      </c>
      <c r="F30" s="133" t="s">
        <v>265</v>
      </c>
    </row>
    <row r="31" spans="2:8">
      <c r="C31" s="133" t="s">
        <v>262</v>
      </c>
      <c r="D31" s="518">
        <v>20000000</v>
      </c>
      <c r="E31" s="272">
        <f>D31/$D$34</f>
        <v>0.2</v>
      </c>
      <c r="F31" s="133" t="s">
        <v>266</v>
      </c>
    </row>
    <row r="32" spans="2:8">
      <c r="C32" s="133" t="s">
        <v>263</v>
      </c>
      <c r="D32" s="518">
        <v>50000000</v>
      </c>
      <c r="E32" s="272">
        <f>D32/$D$34</f>
        <v>0.5</v>
      </c>
      <c r="F32" s="133" t="s">
        <v>267</v>
      </c>
    </row>
    <row r="33" spans="2:8">
      <c r="C33" s="133" t="s">
        <v>264</v>
      </c>
      <c r="D33" s="518">
        <v>5000000</v>
      </c>
      <c r="E33" s="272">
        <f>D33/$D$34</f>
        <v>0.05</v>
      </c>
      <c r="F33" s="133" t="s">
        <v>268</v>
      </c>
    </row>
    <row r="34" spans="2:8">
      <c r="C34" s="134" t="s">
        <v>20</v>
      </c>
      <c r="D34" s="271">
        <f>SUM(D30:D33)</f>
        <v>100000000</v>
      </c>
      <c r="E34" s="273">
        <f>SUM(E30:E33)</f>
        <v>1</v>
      </c>
      <c r="F34" s="133"/>
    </row>
    <row r="37" spans="2:8">
      <c r="C37" s="50" t="s">
        <v>228</v>
      </c>
    </row>
    <row r="38" spans="2:8" s="131" customFormat="1" ht="12.75">
      <c r="B38" s="132"/>
      <c r="C38" s="133" t="s">
        <v>168</v>
      </c>
      <c r="D38" s="576"/>
      <c r="E38" s="576"/>
      <c r="F38" s="576"/>
      <c r="G38" s="142"/>
      <c r="H38" s="142"/>
    </row>
    <row r="39" spans="2:8" s="131" customFormat="1" ht="12.75">
      <c r="B39" s="132"/>
      <c r="C39" s="133" t="s">
        <v>47</v>
      </c>
      <c r="D39" s="576"/>
      <c r="E39" s="576"/>
      <c r="F39" s="576"/>
      <c r="G39" s="142"/>
      <c r="H39" s="142"/>
    </row>
    <row r="40" spans="2:8" s="131" customFormat="1" ht="12.75">
      <c r="B40" s="132"/>
      <c r="C40" s="133" t="s">
        <v>172</v>
      </c>
      <c r="D40" s="576"/>
      <c r="E40" s="576"/>
      <c r="F40" s="576"/>
      <c r="G40" s="142"/>
      <c r="H40" s="142"/>
    </row>
    <row r="41" spans="2:8" s="131" customFormat="1" ht="12.75">
      <c r="B41" s="132"/>
      <c r="C41" s="133" t="s">
        <v>171</v>
      </c>
      <c r="D41" s="576"/>
      <c r="E41" s="576"/>
      <c r="F41" s="576"/>
      <c r="G41" s="142"/>
      <c r="H41" s="142"/>
    </row>
    <row r="43" spans="2:8" s="131" customFormat="1" ht="12.75">
      <c r="B43" s="132"/>
      <c r="C43" s="133" t="s">
        <v>168</v>
      </c>
      <c r="D43" s="576"/>
      <c r="E43" s="576"/>
      <c r="F43" s="576"/>
      <c r="G43" s="142"/>
      <c r="H43" s="142"/>
    </row>
    <row r="44" spans="2:8" s="131" customFormat="1" ht="12.75">
      <c r="B44" s="132"/>
      <c r="C44" s="133" t="s">
        <v>47</v>
      </c>
      <c r="D44" s="576"/>
      <c r="E44" s="576"/>
      <c r="F44" s="576"/>
      <c r="G44" s="142"/>
      <c r="H44" s="142"/>
    </row>
    <row r="45" spans="2:8" s="131" customFormat="1" ht="12.75">
      <c r="B45" s="132"/>
      <c r="C45" s="133" t="s">
        <v>172</v>
      </c>
      <c r="D45" s="576"/>
      <c r="E45" s="576"/>
      <c r="F45" s="576"/>
      <c r="G45" s="142"/>
      <c r="H45" s="142"/>
    </row>
    <row r="46" spans="2:8" s="131" customFormat="1" ht="12.75">
      <c r="B46" s="132"/>
      <c r="C46" s="133" t="s">
        <v>171</v>
      </c>
      <c r="D46" s="576"/>
      <c r="E46" s="576"/>
      <c r="F46" s="576"/>
      <c r="G46" s="142"/>
      <c r="H46" s="142"/>
    </row>
    <row r="48" spans="2:8" s="131" customFormat="1" ht="12.75">
      <c r="B48" s="132"/>
      <c r="C48" s="133" t="s">
        <v>168</v>
      </c>
      <c r="D48" s="576"/>
      <c r="E48" s="576"/>
      <c r="F48" s="576"/>
      <c r="G48" s="142"/>
      <c r="H48" s="142"/>
    </row>
    <row r="49" spans="2:8" s="131" customFormat="1" ht="12.75">
      <c r="B49" s="132"/>
      <c r="C49" s="133" t="s">
        <v>47</v>
      </c>
      <c r="D49" s="576"/>
      <c r="E49" s="576"/>
      <c r="F49" s="576"/>
      <c r="G49" s="142"/>
      <c r="H49" s="142"/>
    </row>
    <row r="50" spans="2:8" s="131" customFormat="1" ht="12.75">
      <c r="B50" s="132"/>
      <c r="C50" s="133" t="s">
        <v>172</v>
      </c>
      <c r="D50" s="576"/>
      <c r="E50" s="576"/>
      <c r="F50" s="576"/>
      <c r="G50" s="142"/>
      <c r="H50" s="142"/>
    </row>
    <row r="51" spans="2:8" s="131" customFormat="1" ht="12.75">
      <c r="B51" s="132"/>
      <c r="C51" s="133" t="s">
        <v>171</v>
      </c>
      <c r="D51" s="576"/>
      <c r="E51" s="576"/>
      <c r="F51" s="576"/>
      <c r="G51" s="142"/>
      <c r="H51" s="142"/>
    </row>
    <row r="53" spans="2:8" s="131" customFormat="1" ht="12.75">
      <c r="B53" s="132"/>
      <c r="C53" s="133" t="s">
        <v>168</v>
      </c>
      <c r="D53" s="576"/>
      <c r="E53" s="576"/>
      <c r="F53" s="576"/>
      <c r="G53" s="142"/>
      <c r="H53" s="142"/>
    </row>
    <row r="54" spans="2:8" s="131" customFormat="1" ht="12.75">
      <c r="B54" s="132"/>
      <c r="C54" s="133" t="s">
        <v>47</v>
      </c>
      <c r="D54" s="576"/>
      <c r="E54" s="576"/>
      <c r="F54" s="576"/>
      <c r="G54" s="142"/>
      <c r="H54" s="142"/>
    </row>
    <row r="55" spans="2:8" s="131" customFormat="1" ht="12.75">
      <c r="B55" s="132"/>
      <c r="C55" s="133" t="s">
        <v>172</v>
      </c>
      <c r="D55" s="576"/>
      <c r="E55" s="576"/>
      <c r="F55" s="576"/>
      <c r="G55" s="142"/>
      <c r="H55" s="142"/>
    </row>
    <row r="56" spans="2:8" s="131" customFormat="1" ht="12.75">
      <c r="B56" s="132"/>
      <c r="C56" s="133" t="s">
        <v>171</v>
      </c>
      <c r="D56" s="576"/>
      <c r="E56" s="576"/>
      <c r="F56" s="576"/>
      <c r="G56" s="142"/>
      <c r="H56" s="142"/>
    </row>
    <row r="58" spans="2:8">
      <c r="C58" s="267" t="s">
        <v>325</v>
      </c>
    </row>
    <row r="59" spans="2:8">
      <c r="C59" s="267" t="s">
        <v>327</v>
      </c>
    </row>
  </sheetData>
  <customSheetViews>
    <customSheetView guid="{EB924B51-01F3-412F-ABF4-73B7E6F19BA6}">
      <selection activeCell="B3" sqref="B3:E6"/>
      <pageMargins left="0.7" right="0.7" top="0.75" bottom="0.75" header="0.3" footer="0.3"/>
      <pageSetup orientation="portrait" horizontalDpi="4294967292" verticalDpi="0" r:id="rId1"/>
    </customSheetView>
  </customSheetViews>
  <mergeCells count="37">
    <mergeCell ref="D17:E17"/>
    <mergeCell ref="D18:E18"/>
    <mergeCell ref="D19:E19"/>
    <mergeCell ref="D56:F56"/>
    <mergeCell ref="D43:F43"/>
    <mergeCell ref="D44:F44"/>
    <mergeCell ref="D45:F45"/>
    <mergeCell ref="D46:F46"/>
    <mergeCell ref="D48:F48"/>
    <mergeCell ref="D49:F49"/>
    <mergeCell ref="D50:F50"/>
    <mergeCell ref="D51:F51"/>
    <mergeCell ref="D53:F53"/>
    <mergeCell ref="D54:F54"/>
    <mergeCell ref="D55:F55"/>
    <mergeCell ref="C22:D22"/>
    <mergeCell ref="D41:F41"/>
    <mergeCell ref="C28:C29"/>
    <mergeCell ref="F28:F29"/>
    <mergeCell ref="D28:E28"/>
    <mergeCell ref="D38:F38"/>
    <mergeCell ref="D39:F39"/>
    <mergeCell ref="D40:F40"/>
    <mergeCell ref="D13:E13"/>
    <mergeCell ref="D14:E14"/>
    <mergeCell ref="D15:E15"/>
    <mergeCell ref="D16:E16"/>
    <mergeCell ref="B11:B12"/>
    <mergeCell ref="F11:F12"/>
    <mergeCell ref="C11:C12"/>
    <mergeCell ref="B3:C3"/>
    <mergeCell ref="B4:C4"/>
    <mergeCell ref="B5:E5"/>
    <mergeCell ref="B6:C6"/>
    <mergeCell ref="B10:H10"/>
    <mergeCell ref="D11:E12"/>
    <mergeCell ref="G11:H11"/>
  </mergeCells>
  <pageMargins left="0.7" right="0.7" top="0.75" bottom="0.75" header="0.3" footer="0.3"/>
  <pageSetup orientation="portrait" horizontalDpi="4294967292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6"/>
  <sheetViews>
    <sheetView workbookViewId="0">
      <selection activeCell="D15" activeCellId="1" sqref="B6:H10 D15"/>
    </sheetView>
  </sheetViews>
  <sheetFormatPr defaultRowHeight="15"/>
  <cols>
    <col min="1" max="1" width="3.28515625" customWidth="1"/>
    <col min="2" max="2" width="4.140625" customWidth="1"/>
    <col min="3" max="3" width="21.140625" customWidth="1"/>
    <col min="4" max="4" width="17.85546875" customWidth="1"/>
    <col min="5" max="5" width="13" customWidth="1"/>
    <col min="6" max="6" width="17.85546875" customWidth="1"/>
    <col min="7" max="7" width="13" customWidth="1"/>
    <col min="8" max="8" width="18.7109375" customWidth="1"/>
    <col min="9" max="9" width="3.140625" style="208" customWidth="1"/>
  </cols>
  <sheetData>
    <row r="1" spans="1:9" ht="15.75" thickBot="1">
      <c r="A1" s="185"/>
      <c r="B1" s="185"/>
      <c r="C1" s="185"/>
      <c r="D1" s="185"/>
      <c r="E1" s="185"/>
      <c r="F1" s="185"/>
      <c r="G1" s="185"/>
      <c r="H1" s="185"/>
      <c r="I1" s="206"/>
    </row>
    <row r="2" spans="1:9" s="11" customFormat="1" ht="13.5" thickBot="1">
      <c r="A2" s="183"/>
      <c r="B2" s="738" t="s">
        <v>217</v>
      </c>
      <c r="C2" s="739"/>
      <c r="D2" s="739"/>
      <c r="E2" s="739"/>
      <c r="F2" s="739"/>
      <c r="G2" s="739"/>
      <c r="H2" s="740"/>
      <c r="I2" s="207"/>
    </row>
    <row r="3" spans="1:9" s="11" customFormat="1" ht="4.5" customHeight="1" thickBot="1">
      <c r="A3" s="183"/>
      <c r="B3" s="201"/>
      <c r="C3" s="201"/>
      <c r="D3" s="202"/>
      <c r="E3" s="202"/>
      <c r="F3" s="203"/>
      <c r="G3" s="203"/>
      <c r="H3" s="203"/>
      <c r="I3" s="207"/>
    </row>
    <row r="4" spans="1:9" s="11" customFormat="1" ht="13.5" thickBot="1">
      <c r="A4" s="183"/>
      <c r="B4" s="747" t="s">
        <v>18</v>
      </c>
      <c r="C4" s="749" t="s">
        <v>94</v>
      </c>
      <c r="D4" s="750"/>
      <c r="E4" s="745" t="s">
        <v>218</v>
      </c>
      <c r="F4" s="746"/>
      <c r="G4" s="753" t="s">
        <v>219</v>
      </c>
      <c r="H4" s="755" t="s">
        <v>20</v>
      </c>
      <c r="I4" s="207"/>
    </row>
    <row r="5" spans="1:9" s="11" customFormat="1" ht="15.75" customHeight="1" thickBot="1">
      <c r="A5" s="183"/>
      <c r="B5" s="748"/>
      <c r="C5" s="751"/>
      <c r="D5" s="752"/>
      <c r="E5" s="204" t="s">
        <v>30</v>
      </c>
      <c r="F5" s="205" t="s">
        <v>220</v>
      </c>
      <c r="G5" s="754"/>
      <c r="H5" s="756"/>
      <c r="I5" s="207"/>
    </row>
    <row r="6" spans="1:9" s="507" customFormat="1" ht="12.75">
      <c r="A6" s="505"/>
      <c r="B6" s="548">
        <v>1</v>
      </c>
      <c r="C6" s="741" t="s">
        <v>205</v>
      </c>
      <c r="D6" s="742"/>
      <c r="E6" s="549">
        <v>2</v>
      </c>
      <c r="F6" s="549" t="s">
        <v>222</v>
      </c>
      <c r="G6" s="550">
        <v>250000000</v>
      </c>
      <c r="H6" s="551">
        <f>E6*G6</f>
        <v>500000000</v>
      </c>
      <c r="I6" s="506"/>
    </row>
    <row r="7" spans="1:9" s="507" customFormat="1" ht="12.75">
      <c r="A7" s="505"/>
      <c r="B7" s="552">
        <v>2</v>
      </c>
      <c r="C7" s="743" t="s">
        <v>60</v>
      </c>
      <c r="D7" s="744"/>
      <c r="E7" s="553">
        <v>1</v>
      </c>
      <c r="F7" s="553" t="s">
        <v>223</v>
      </c>
      <c r="G7" s="554">
        <v>50000000</v>
      </c>
      <c r="H7" s="555">
        <f>E7*G7</f>
        <v>50000000</v>
      </c>
      <c r="I7" s="506"/>
    </row>
    <row r="8" spans="1:9" s="507" customFormat="1" ht="12.75">
      <c r="A8" s="505"/>
      <c r="B8" s="552">
        <v>3</v>
      </c>
      <c r="C8" s="743" t="s">
        <v>221</v>
      </c>
      <c r="D8" s="744"/>
      <c r="E8" s="553">
        <v>1</v>
      </c>
      <c r="F8" s="553" t="s">
        <v>223</v>
      </c>
      <c r="G8" s="554">
        <v>50000000</v>
      </c>
      <c r="H8" s="555">
        <f>E8*G8</f>
        <v>50000000</v>
      </c>
      <c r="I8" s="506"/>
    </row>
    <row r="9" spans="1:9" s="507" customFormat="1" ht="12.75">
      <c r="A9" s="505"/>
      <c r="B9" s="552"/>
      <c r="C9" s="743"/>
      <c r="D9" s="744"/>
      <c r="E9" s="554"/>
      <c r="F9" s="554"/>
      <c r="G9" s="554"/>
      <c r="H9" s="555">
        <f>E9*G9</f>
        <v>0</v>
      </c>
      <c r="I9" s="506"/>
    </row>
    <row r="10" spans="1:9" s="507" customFormat="1" ht="13.5" thickBot="1">
      <c r="A10" s="505"/>
      <c r="B10" s="552"/>
      <c r="C10" s="743"/>
      <c r="D10" s="744"/>
      <c r="E10" s="554"/>
      <c r="F10" s="554"/>
      <c r="G10" s="554"/>
      <c r="H10" s="555">
        <f>E10*G10</f>
        <v>0</v>
      </c>
      <c r="I10" s="506"/>
    </row>
    <row r="11" spans="1:9" s="11" customFormat="1" ht="12.75" thickBot="1">
      <c r="A11" s="183"/>
      <c r="B11" s="757" t="s">
        <v>20</v>
      </c>
      <c r="C11" s="758"/>
      <c r="D11" s="758"/>
      <c r="E11" s="758"/>
      <c r="F11" s="758"/>
      <c r="G11" s="758"/>
      <c r="H11" s="194">
        <f>SUM(H6:H10)</f>
        <v>600000000</v>
      </c>
      <c r="I11" s="207"/>
    </row>
    <row r="12" spans="1:9" s="11" customFormat="1" ht="12.75" thickBot="1">
      <c r="A12" s="183"/>
      <c r="B12" s="189"/>
      <c r="C12" s="188"/>
      <c r="D12" s="187"/>
      <c r="E12" s="187"/>
      <c r="F12" s="187"/>
      <c r="G12" s="187"/>
      <c r="H12" s="187"/>
      <c r="I12" s="207"/>
    </row>
    <row r="13" spans="1:9" s="11" customFormat="1" ht="12.75">
      <c r="A13" s="183"/>
      <c r="B13" s="734" t="s">
        <v>224</v>
      </c>
      <c r="C13" s="735"/>
      <c r="D13" s="195"/>
      <c r="E13" s="196"/>
      <c r="F13" s="187"/>
      <c r="G13" s="187"/>
      <c r="H13" s="187"/>
      <c r="I13" s="207"/>
    </row>
    <row r="14" spans="1:9" s="11" customFormat="1" ht="12.75">
      <c r="A14" s="183"/>
      <c r="B14" s="732" t="s">
        <v>226</v>
      </c>
      <c r="C14" s="733"/>
      <c r="D14" s="197">
        <f>H11</f>
        <v>600000000</v>
      </c>
      <c r="E14" s="198">
        <f>D14/$D$14</f>
        <v>1</v>
      </c>
      <c r="F14" s="186"/>
      <c r="G14" s="186"/>
      <c r="H14" s="186"/>
      <c r="I14" s="207"/>
    </row>
    <row r="15" spans="1:9" s="11" customFormat="1" ht="12.75">
      <c r="A15" s="183"/>
      <c r="B15" s="732" t="s">
        <v>225</v>
      </c>
      <c r="C15" s="733"/>
      <c r="D15" s="556">
        <v>150000000</v>
      </c>
      <c r="E15" s="198">
        <f>D15/$D$14</f>
        <v>0.25</v>
      </c>
      <c r="F15" s="186"/>
      <c r="G15" s="186"/>
      <c r="H15" s="186"/>
      <c r="I15" s="207"/>
    </row>
    <row r="16" spans="1:9" s="11" customFormat="1" ht="13.5" thickBot="1">
      <c r="A16" s="183"/>
      <c r="B16" s="736" t="s">
        <v>227</v>
      </c>
      <c r="C16" s="737"/>
      <c r="D16" s="199">
        <f>D14-D15</f>
        <v>450000000</v>
      </c>
      <c r="E16" s="200">
        <f>D16/$D$14</f>
        <v>0.75</v>
      </c>
      <c r="F16" s="186"/>
      <c r="G16" s="186"/>
      <c r="H16" s="186"/>
      <c r="I16" s="207"/>
    </row>
    <row r="17" spans="1:11" s="11" customFormat="1" ht="12">
      <c r="A17" s="183"/>
      <c r="B17" s="191"/>
      <c r="C17" s="190"/>
      <c r="D17" s="186"/>
      <c r="E17" s="186"/>
      <c r="F17" s="186"/>
      <c r="G17" s="186"/>
      <c r="H17" s="186"/>
      <c r="I17" s="207"/>
    </row>
    <row r="18" spans="1:11" s="11" customFormat="1" ht="12">
      <c r="A18" s="183"/>
      <c r="B18" s="192"/>
      <c r="C18" s="193"/>
      <c r="D18" s="187"/>
      <c r="E18" s="187"/>
      <c r="F18" s="187"/>
      <c r="G18" s="187"/>
      <c r="H18" s="187"/>
      <c r="I18" s="207"/>
    </row>
    <row r="19" spans="1:11">
      <c r="B19" s="267" t="s">
        <v>325</v>
      </c>
      <c r="J19" s="184"/>
      <c r="K19" s="184"/>
    </row>
    <row r="20" spans="1:11">
      <c r="B20" s="267" t="s">
        <v>361</v>
      </c>
      <c r="J20" s="184"/>
      <c r="K20" s="184"/>
    </row>
    <row r="21" spans="1:11">
      <c r="J21" s="184"/>
      <c r="K21" s="184"/>
    </row>
    <row r="22" spans="1:11">
      <c r="J22" s="184"/>
      <c r="K22" s="184"/>
    </row>
    <row r="23" spans="1:11">
      <c r="J23" s="184"/>
      <c r="K23" s="184"/>
    </row>
    <row r="24" spans="1:11">
      <c r="J24" s="184"/>
      <c r="K24" s="184"/>
    </row>
    <row r="25" spans="1:11">
      <c r="J25" s="184"/>
      <c r="K25" s="184"/>
    </row>
    <row r="26" spans="1:11">
      <c r="J26" s="184"/>
      <c r="K26" s="184"/>
    </row>
    <row r="27" spans="1:11">
      <c r="J27" s="184"/>
      <c r="K27" s="184"/>
    </row>
    <row r="28" spans="1:11">
      <c r="J28" s="184"/>
      <c r="K28" s="184"/>
    </row>
    <row r="29" spans="1:11">
      <c r="J29" s="184"/>
      <c r="K29" s="184"/>
    </row>
    <row r="30" spans="1:11">
      <c r="J30" s="184"/>
      <c r="K30" s="184"/>
    </row>
    <row r="31" spans="1:11">
      <c r="J31" s="184"/>
      <c r="K31" s="184"/>
    </row>
    <row r="32" spans="1:11">
      <c r="J32" s="184"/>
      <c r="K32" s="184"/>
    </row>
    <row r="33" spans="10:11">
      <c r="J33" s="184"/>
      <c r="K33" s="184"/>
    </row>
    <row r="34" spans="10:11">
      <c r="J34" s="184"/>
      <c r="K34" s="184"/>
    </row>
    <row r="35" spans="10:11">
      <c r="J35" s="184"/>
      <c r="K35" s="184"/>
    </row>
    <row r="36" spans="10:11">
      <c r="J36" s="184"/>
      <c r="K36" s="184"/>
    </row>
    <row r="37" spans="10:11">
      <c r="J37" s="184"/>
      <c r="K37" s="184"/>
    </row>
    <row r="38" spans="10:11">
      <c r="J38" s="184"/>
      <c r="K38" s="184"/>
    </row>
    <row r="39" spans="10:11">
      <c r="J39" s="184"/>
      <c r="K39" s="184"/>
    </row>
    <row r="40" spans="10:11">
      <c r="J40" s="184"/>
      <c r="K40" s="184"/>
    </row>
    <row r="41" spans="10:11">
      <c r="J41" s="184"/>
      <c r="K41" s="184"/>
    </row>
    <row r="42" spans="10:11">
      <c r="J42" s="184"/>
      <c r="K42" s="184"/>
    </row>
    <row r="43" spans="10:11">
      <c r="J43" s="184"/>
      <c r="K43" s="184"/>
    </row>
    <row r="44" spans="10:11">
      <c r="J44" s="184"/>
      <c r="K44" s="184"/>
    </row>
    <row r="45" spans="10:11">
      <c r="J45" s="184"/>
      <c r="K45" s="184"/>
    </row>
    <row r="46" spans="10:11">
      <c r="J46" s="184"/>
      <c r="K46" s="184"/>
    </row>
    <row r="47" spans="10:11">
      <c r="J47" s="184"/>
      <c r="K47" s="184"/>
    </row>
    <row r="48" spans="10:11">
      <c r="J48" s="184"/>
      <c r="K48" s="184"/>
    </row>
    <row r="49" spans="10:11">
      <c r="J49" s="184"/>
      <c r="K49" s="184"/>
    </row>
    <row r="50" spans="10:11">
      <c r="J50" s="184"/>
      <c r="K50" s="184"/>
    </row>
    <row r="51" spans="10:11">
      <c r="J51" s="184"/>
      <c r="K51" s="184"/>
    </row>
    <row r="52" spans="10:11">
      <c r="J52" s="184"/>
      <c r="K52" s="184"/>
    </row>
    <row r="53" spans="10:11">
      <c r="J53" s="184"/>
      <c r="K53" s="184"/>
    </row>
    <row r="54" spans="10:11">
      <c r="J54" s="184"/>
      <c r="K54" s="184"/>
    </row>
    <row r="55" spans="10:11">
      <c r="J55" s="184"/>
      <c r="K55" s="184"/>
    </row>
    <row r="56" spans="10:11">
      <c r="J56" s="184"/>
      <c r="K56" s="184"/>
    </row>
    <row r="57" spans="10:11">
      <c r="J57" s="184"/>
      <c r="K57" s="184"/>
    </row>
    <row r="58" spans="10:11">
      <c r="J58" s="184"/>
      <c r="K58" s="184"/>
    </row>
    <row r="59" spans="10:11">
      <c r="J59" s="184"/>
      <c r="K59" s="184"/>
    </row>
    <row r="60" spans="10:11">
      <c r="J60" s="184"/>
      <c r="K60" s="184"/>
    </row>
    <row r="61" spans="10:11">
      <c r="J61" s="184"/>
      <c r="K61" s="184"/>
    </row>
    <row r="62" spans="10:11">
      <c r="J62" s="184"/>
      <c r="K62" s="184"/>
    </row>
    <row r="63" spans="10:11">
      <c r="J63" s="184"/>
      <c r="K63" s="184"/>
    </row>
    <row r="64" spans="10:11">
      <c r="J64" s="184"/>
      <c r="K64" s="184"/>
    </row>
    <row r="65" spans="10:11">
      <c r="J65" s="184"/>
      <c r="K65" s="184"/>
    </row>
    <row r="66" spans="10:11">
      <c r="J66" s="184"/>
      <c r="K66" s="184"/>
    </row>
    <row r="67" spans="10:11">
      <c r="J67" s="184"/>
      <c r="K67" s="184"/>
    </row>
    <row r="68" spans="10:11">
      <c r="J68" s="184"/>
      <c r="K68" s="184"/>
    </row>
    <row r="69" spans="10:11">
      <c r="J69" s="184"/>
      <c r="K69" s="184"/>
    </row>
    <row r="70" spans="10:11">
      <c r="J70" s="184"/>
      <c r="K70" s="184"/>
    </row>
    <row r="71" spans="10:11">
      <c r="J71" s="184"/>
      <c r="K71" s="184"/>
    </row>
    <row r="72" spans="10:11">
      <c r="J72" s="184"/>
      <c r="K72" s="184"/>
    </row>
    <row r="73" spans="10:11">
      <c r="J73" s="184"/>
      <c r="K73" s="184"/>
    </row>
    <row r="74" spans="10:11">
      <c r="J74" s="184"/>
      <c r="K74" s="184"/>
    </row>
    <row r="75" spans="10:11">
      <c r="J75" s="184"/>
      <c r="K75" s="184"/>
    </row>
    <row r="76" spans="10:11">
      <c r="J76" s="184"/>
      <c r="K76" s="184"/>
    </row>
    <row r="77" spans="10:11">
      <c r="J77" s="184"/>
      <c r="K77" s="184"/>
    </row>
    <row r="78" spans="10:11">
      <c r="J78" s="184"/>
      <c r="K78" s="184"/>
    </row>
    <row r="79" spans="10:11">
      <c r="J79" s="184"/>
      <c r="K79" s="184"/>
    </row>
    <row r="80" spans="10:11">
      <c r="J80" s="184"/>
      <c r="K80" s="184"/>
    </row>
    <row r="81" spans="10:11">
      <c r="J81" s="184"/>
      <c r="K81" s="184"/>
    </row>
    <row r="82" spans="10:11">
      <c r="J82" s="184"/>
      <c r="K82" s="184"/>
    </row>
    <row r="83" spans="10:11">
      <c r="J83" s="184"/>
      <c r="K83" s="184"/>
    </row>
    <row r="84" spans="10:11">
      <c r="J84" s="184"/>
      <c r="K84" s="184"/>
    </row>
    <row r="85" spans="10:11">
      <c r="J85" s="184"/>
      <c r="K85" s="184"/>
    </row>
    <row r="86" spans="10:11">
      <c r="J86" s="184"/>
      <c r="K86" s="184"/>
    </row>
  </sheetData>
  <customSheetViews>
    <customSheetView guid="{EB924B51-01F3-412F-ABF4-73B7E6F19BA6}">
      <selection activeCell="B36" sqref="B36:E39"/>
      <pageMargins left="0.7" right="0.7" top="0.75" bottom="0.75" header="0.3" footer="0.3"/>
      <pageSetup orientation="portrait" horizontalDpi="0" verticalDpi="0" r:id="rId1"/>
    </customSheetView>
  </customSheetViews>
  <mergeCells count="16">
    <mergeCell ref="B14:C14"/>
    <mergeCell ref="B13:C13"/>
    <mergeCell ref="B15:C15"/>
    <mergeCell ref="B16:C16"/>
    <mergeCell ref="B2:H2"/>
    <mergeCell ref="C6:D6"/>
    <mergeCell ref="C7:D7"/>
    <mergeCell ref="C8:D8"/>
    <mergeCell ref="C9:D9"/>
    <mergeCell ref="C10:D10"/>
    <mergeCell ref="E4:F4"/>
    <mergeCell ref="B4:B5"/>
    <mergeCell ref="C4:D5"/>
    <mergeCell ref="G4:G5"/>
    <mergeCell ref="H4:H5"/>
    <mergeCell ref="B11:G11"/>
  </mergeCell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L28"/>
  <sheetViews>
    <sheetView topLeftCell="B1" zoomScale="85" zoomScaleNormal="85" workbookViewId="0">
      <selection activeCell="H29" sqref="H29"/>
    </sheetView>
  </sheetViews>
  <sheetFormatPr defaultRowHeight="15"/>
  <cols>
    <col min="2" max="2" width="4.7109375" customWidth="1"/>
    <col min="3" max="3" width="53.85546875" customWidth="1"/>
    <col min="4" max="4" width="4.28515625" style="52" customWidth="1"/>
    <col min="5" max="5" width="4.85546875" style="52" customWidth="1"/>
    <col min="6" max="6" width="11.7109375" style="52" customWidth="1"/>
    <col min="7" max="7" width="16.85546875" style="48" customWidth="1"/>
    <col min="8" max="8" width="9.5703125" style="1" customWidth="1"/>
    <col min="9" max="9" width="13.7109375" style="48" customWidth="1"/>
    <col min="10" max="11" width="14" style="48" customWidth="1"/>
    <col min="12" max="12" width="14" customWidth="1"/>
  </cols>
  <sheetData>
    <row r="2" spans="2:12" ht="15" customHeight="1">
      <c r="B2" s="780" t="s">
        <v>46</v>
      </c>
      <c r="C2" s="778" t="s">
        <v>94</v>
      </c>
      <c r="D2" s="788" t="s">
        <v>95</v>
      </c>
      <c r="E2" s="789"/>
      <c r="F2" s="780" t="s">
        <v>281</v>
      </c>
      <c r="G2" s="778" t="s">
        <v>54</v>
      </c>
      <c r="H2" s="778" t="s">
        <v>96</v>
      </c>
      <c r="I2" s="778" t="s">
        <v>55</v>
      </c>
      <c r="J2" s="780" t="s">
        <v>69</v>
      </c>
      <c r="K2" s="778" t="s">
        <v>321</v>
      </c>
      <c r="L2" s="780" t="s">
        <v>1</v>
      </c>
    </row>
    <row r="3" spans="2:12">
      <c r="B3" s="778"/>
      <c r="C3" s="779"/>
      <c r="D3" s="790"/>
      <c r="E3" s="791"/>
      <c r="F3" s="779"/>
      <c r="G3" s="779"/>
      <c r="H3" s="779"/>
      <c r="I3" s="779"/>
      <c r="J3" s="779"/>
      <c r="K3" s="779"/>
      <c r="L3" s="779"/>
    </row>
    <row r="4" spans="2:12" ht="16.5" customHeight="1">
      <c r="B4" s="796">
        <v>1</v>
      </c>
      <c r="C4" s="776" t="s">
        <v>160</v>
      </c>
      <c r="D4" s="229" t="s">
        <v>279</v>
      </c>
      <c r="E4" s="559">
        <v>150</v>
      </c>
      <c r="F4" s="561">
        <v>500000</v>
      </c>
      <c r="G4" s="124">
        <f>E4*F4</f>
        <v>75000000</v>
      </c>
      <c r="H4" s="231">
        <v>0.8</v>
      </c>
      <c r="I4" s="124">
        <f>G4*H4</f>
        <v>60000000</v>
      </c>
      <c r="J4" s="557">
        <f>(I6/I22)*J10</f>
        <v>127840909.09090909</v>
      </c>
      <c r="K4" s="56"/>
      <c r="L4" s="171"/>
    </row>
    <row r="5" spans="2:12" ht="16.5" customHeight="1">
      <c r="B5" s="794"/>
      <c r="C5" s="777"/>
      <c r="D5" s="230" t="s">
        <v>280</v>
      </c>
      <c r="E5" s="560">
        <v>100</v>
      </c>
      <c r="F5" s="562">
        <v>2000000</v>
      </c>
      <c r="G5" s="169">
        <f>E5*F5</f>
        <v>200000000</v>
      </c>
      <c r="H5" s="232">
        <v>0.7</v>
      </c>
      <c r="I5" s="169">
        <f>G5*H5</f>
        <v>140000000</v>
      </c>
      <c r="J5" s="65"/>
      <c r="K5" s="264"/>
      <c r="L5" s="172"/>
    </row>
    <row r="6" spans="2:12" s="50" customFormat="1" ht="16.5" customHeight="1">
      <c r="B6" s="803"/>
      <c r="C6" s="781" t="s">
        <v>97</v>
      </c>
      <c r="D6" s="782"/>
      <c r="E6" s="782"/>
      <c r="F6" s="783"/>
      <c r="G6" s="71">
        <f>SUM(G4:G5)</f>
        <v>275000000</v>
      </c>
      <c r="H6" s="123"/>
      <c r="I6" s="71">
        <f>SUM(I4:I5)</f>
        <v>200000000</v>
      </c>
      <c r="J6" s="170"/>
      <c r="K6" s="60"/>
      <c r="L6" s="173"/>
    </row>
    <row r="7" spans="2:12" s="50" customFormat="1" ht="6.75" customHeight="1">
      <c r="B7" s="773"/>
      <c r="C7" s="774"/>
      <c r="D7" s="797"/>
      <c r="E7" s="797"/>
      <c r="F7" s="774"/>
      <c r="G7" s="774"/>
      <c r="H7" s="774"/>
      <c r="I7" s="774"/>
      <c r="J7" s="798"/>
      <c r="K7" s="799"/>
      <c r="L7" s="800"/>
    </row>
    <row r="8" spans="2:12" ht="16.5" customHeight="1">
      <c r="B8" s="794">
        <v>2</v>
      </c>
      <c r="C8" s="776" t="s">
        <v>160</v>
      </c>
      <c r="D8" s="229" t="s">
        <v>279</v>
      </c>
      <c r="E8" s="559">
        <v>250</v>
      </c>
      <c r="F8" s="563">
        <v>500000</v>
      </c>
      <c r="G8" s="66">
        <f>E8*F8</f>
        <v>125000000</v>
      </c>
      <c r="H8" s="53">
        <v>0.8</v>
      </c>
      <c r="I8" s="67">
        <f>G8*H8</f>
        <v>100000000</v>
      </c>
      <c r="J8" s="558">
        <f>(I8/I22)*J10</f>
        <v>63920454.545454547</v>
      </c>
      <c r="K8" s="56"/>
      <c r="L8" s="175"/>
    </row>
    <row r="9" spans="2:12" ht="16.5" customHeight="1">
      <c r="B9" s="794"/>
      <c r="C9" s="777"/>
      <c r="D9" s="230" t="s">
        <v>280</v>
      </c>
      <c r="E9" s="560">
        <v>100</v>
      </c>
      <c r="F9" s="562">
        <v>2000000</v>
      </c>
      <c r="G9" s="169">
        <f>E9*F9</f>
        <v>200000000</v>
      </c>
      <c r="H9" s="232">
        <v>0.7</v>
      </c>
      <c r="I9" s="169">
        <f>G9*H9</f>
        <v>140000000</v>
      </c>
      <c r="J9" s="174"/>
      <c r="K9" s="174"/>
      <c r="L9" s="176"/>
    </row>
    <row r="10" spans="2:12" s="50" customFormat="1" ht="16.5" customHeight="1">
      <c r="B10" s="795"/>
      <c r="C10" s="781" t="s">
        <v>97</v>
      </c>
      <c r="D10" s="784"/>
      <c r="E10" s="784"/>
      <c r="F10" s="783"/>
      <c r="G10" s="71">
        <f>SUM(G8:G9)</f>
        <v>325000000</v>
      </c>
      <c r="H10" s="123"/>
      <c r="I10" s="71">
        <f>SUM(I8:I9)</f>
        <v>240000000</v>
      </c>
      <c r="J10" s="265">
        <f>I23*125%</f>
        <v>281250000</v>
      </c>
      <c r="K10" s="266">
        <f>J10/I23</f>
        <v>1.25</v>
      </c>
      <c r="L10" s="177"/>
    </row>
    <row r="11" spans="2:12" s="50" customFormat="1" ht="6.75" hidden="1" customHeight="1">
      <c r="B11" s="773"/>
      <c r="C11" s="774"/>
      <c r="D11" s="774"/>
      <c r="E11" s="774"/>
      <c r="F11" s="774"/>
      <c r="G11" s="774"/>
      <c r="H11" s="774"/>
      <c r="I11" s="774"/>
      <c r="J11" s="774"/>
      <c r="K11" s="798"/>
      <c r="L11" s="801"/>
    </row>
    <row r="12" spans="2:12" ht="16.5" hidden="1" customHeight="1">
      <c r="B12" s="796">
        <v>3</v>
      </c>
      <c r="C12" s="765"/>
      <c r="D12" s="55"/>
      <c r="E12" s="226"/>
      <c r="F12" s="226"/>
      <c r="G12" s="66"/>
      <c r="H12" s="53"/>
      <c r="I12" s="67"/>
      <c r="J12" s="68"/>
      <c r="K12" s="68"/>
      <c r="L12" s="70"/>
    </row>
    <row r="13" spans="2:12" ht="16.5" hidden="1" customHeight="1">
      <c r="B13" s="794"/>
      <c r="C13" s="766"/>
      <c r="D13" s="54"/>
      <c r="E13" s="228"/>
      <c r="F13" s="228"/>
      <c r="G13" s="65"/>
      <c r="H13" s="59"/>
      <c r="I13" s="68"/>
      <c r="J13" s="68"/>
      <c r="K13" s="68"/>
      <c r="L13" s="70"/>
    </row>
    <row r="14" spans="2:12" ht="16.5" hidden="1" customHeight="1">
      <c r="B14" s="794"/>
      <c r="C14" s="767"/>
      <c r="D14" s="64"/>
      <c r="E14" s="227"/>
      <c r="F14" s="227"/>
      <c r="G14" s="69"/>
      <c r="H14" s="58"/>
      <c r="I14" s="63"/>
      <c r="J14" s="68"/>
      <c r="K14" s="68"/>
      <c r="L14" s="70"/>
    </row>
    <row r="15" spans="2:12" s="50" customFormat="1" ht="16.5" hidden="1" customHeight="1">
      <c r="B15" s="795"/>
      <c r="C15" s="768" t="s">
        <v>97</v>
      </c>
      <c r="D15" s="769"/>
      <c r="E15" s="210"/>
      <c r="F15" s="210"/>
      <c r="G15" s="71">
        <f>SUM(G12:G14)</f>
        <v>0</v>
      </c>
      <c r="H15" s="72"/>
      <c r="I15" s="71">
        <f>SUM(I12:I14)</f>
        <v>0</v>
      </c>
      <c r="J15" s="71">
        <f>SUM(J12:J14)</f>
        <v>0</v>
      </c>
      <c r="K15" s="71"/>
      <c r="L15" s="62"/>
    </row>
    <row r="16" spans="2:12" s="50" customFormat="1" ht="8.25" hidden="1" customHeight="1">
      <c r="B16" s="773"/>
      <c r="C16" s="774"/>
      <c r="D16" s="774"/>
      <c r="E16" s="774"/>
      <c r="F16" s="774"/>
      <c r="G16" s="774"/>
      <c r="H16" s="774"/>
      <c r="I16" s="774"/>
      <c r="J16" s="774"/>
      <c r="K16" s="774"/>
      <c r="L16" s="775"/>
    </row>
    <row r="17" spans="2:12" ht="16.5" hidden="1" customHeight="1">
      <c r="B17" s="802">
        <v>4</v>
      </c>
      <c r="C17" s="770"/>
      <c r="D17" s="55"/>
      <c r="E17" s="226"/>
      <c r="F17" s="226"/>
      <c r="G17" s="66"/>
      <c r="H17" s="56"/>
      <c r="I17" s="67"/>
      <c r="J17" s="68"/>
      <c r="K17" s="68"/>
      <c r="L17" s="70"/>
    </row>
    <row r="18" spans="2:12" ht="16.5" hidden="1" customHeight="1">
      <c r="B18" s="803"/>
      <c r="C18" s="771"/>
      <c r="D18" s="54"/>
      <c r="E18" s="228"/>
      <c r="F18" s="228"/>
      <c r="G18" s="65"/>
      <c r="H18" s="57"/>
      <c r="I18" s="68"/>
      <c r="J18" s="68"/>
      <c r="K18" s="68"/>
      <c r="L18" s="70"/>
    </row>
    <row r="19" spans="2:12" ht="16.5" hidden="1" customHeight="1">
      <c r="B19" s="803"/>
      <c r="C19" s="772"/>
      <c r="D19" s="64"/>
      <c r="E19" s="227"/>
      <c r="F19" s="227"/>
      <c r="G19" s="69"/>
      <c r="H19" s="58"/>
      <c r="I19" s="63"/>
      <c r="J19" s="68"/>
      <c r="K19" s="68"/>
      <c r="L19" s="70"/>
    </row>
    <row r="20" spans="2:12" s="50" customFormat="1" ht="16.5" hidden="1" customHeight="1">
      <c r="B20" s="795"/>
      <c r="C20" s="792" t="s">
        <v>97</v>
      </c>
      <c r="D20" s="793"/>
      <c r="E20" s="211"/>
      <c r="F20" s="211"/>
      <c r="G20" s="60">
        <f>G17</f>
        <v>0</v>
      </c>
      <c r="H20" s="61"/>
      <c r="I20" s="60">
        <f>I17</f>
        <v>0</v>
      </c>
      <c r="J20" s="60">
        <f>J17</f>
        <v>0</v>
      </c>
      <c r="K20" s="71"/>
      <c r="L20" s="62"/>
    </row>
    <row r="21" spans="2:12" ht="8.25" customHeight="1">
      <c r="B21" s="773"/>
      <c r="C21" s="774"/>
      <c r="D21" s="774"/>
      <c r="E21" s="774"/>
      <c r="F21" s="774"/>
      <c r="G21" s="774"/>
      <c r="H21" s="774"/>
      <c r="I21" s="774"/>
      <c r="J21" s="774"/>
      <c r="K21" s="774"/>
      <c r="L21" s="775"/>
    </row>
    <row r="22" spans="2:12" s="50" customFormat="1" ht="16.5" customHeight="1">
      <c r="B22" s="785" t="s">
        <v>68</v>
      </c>
      <c r="C22" s="786"/>
      <c r="D22" s="786"/>
      <c r="E22" s="786"/>
      <c r="F22" s="787"/>
      <c r="G22" s="49">
        <f>G6+G10</f>
        <v>600000000</v>
      </c>
      <c r="H22" s="122"/>
      <c r="I22" s="49">
        <f>I6+I10</f>
        <v>440000000</v>
      </c>
      <c r="J22" s="49"/>
      <c r="K22" s="262"/>
      <c r="L22" s="760"/>
    </row>
    <row r="23" spans="2:12">
      <c r="B23" s="759" t="s">
        <v>48</v>
      </c>
      <c r="C23" s="759"/>
      <c r="D23" s="759"/>
      <c r="E23" s="759"/>
      <c r="F23" s="759"/>
      <c r="G23" s="759"/>
      <c r="H23" s="759"/>
      <c r="I23" s="167">
        <f>'Angsuran Modal Kerja'!D4</f>
        <v>225000000</v>
      </c>
      <c r="J23" s="763"/>
      <c r="K23" s="263"/>
      <c r="L23" s="761"/>
    </row>
    <row r="24" spans="2:12">
      <c r="B24" s="759" t="s">
        <v>161</v>
      </c>
      <c r="C24" s="759"/>
      <c r="D24" s="759"/>
      <c r="E24" s="759"/>
      <c r="F24" s="759"/>
      <c r="G24" s="759"/>
      <c r="H24" s="759"/>
      <c r="I24" s="168">
        <f>I22/I23</f>
        <v>1.9555555555555555</v>
      </c>
      <c r="J24" s="764"/>
      <c r="K24" s="261"/>
      <c r="L24" s="762"/>
    </row>
    <row r="27" spans="2:12">
      <c r="B27" s="267" t="s">
        <v>325</v>
      </c>
    </row>
    <row r="28" spans="2:12">
      <c r="B28" s="267" t="s">
        <v>361</v>
      </c>
    </row>
  </sheetData>
  <customSheetViews>
    <customSheetView guid="{EB924B51-01F3-412F-ABF4-73B7E6F19BA6}" hiddenRows="1">
      <selection activeCell="G31" sqref="G31"/>
      <pageMargins left="0.7" right="0.7" top="0.75" bottom="0.75" header="0.3" footer="0.3"/>
      <pageSetup paperSize="9" orientation="portrait" horizontalDpi="4294967292" verticalDpi="0" r:id="rId1"/>
    </customSheetView>
  </customSheetViews>
  <mergeCells count="31">
    <mergeCell ref="C10:F10"/>
    <mergeCell ref="B22:F22"/>
    <mergeCell ref="F2:F3"/>
    <mergeCell ref="K2:K3"/>
    <mergeCell ref="H2:H3"/>
    <mergeCell ref="D2:E3"/>
    <mergeCell ref="B16:L16"/>
    <mergeCell ref="C20:D20"/>
    <mergeCell ref="B8:B10"/>
    <mergeCell ref="B12:B15"/>
    <mergeCell ref="I2:I3"/>
    <mergeCell ref="B7:L7"/>
    <mergeCell ref="B11:L11"/>
    <mergeCell ref="C4:C5"/>
    <mergeCell ref="B17:B20"/>
    <mergeCell ref="B4:B6"/>
    <mergeCell ref="C8:C9"/>
    <mergeCell ref="C2:C3"/>
    <mergeCell ref="L2:L3"/>
    <mergeCell ref="B2:B3"/>
    <mergeCell ref="J2:J3"/>
    <mergeCell ref="G2:G3"/>
    <mergeCell ref="C6:F6"/>
    <mergeCell ref="B24:H24"/>
    <mergeCell ref="L22:L24"/>
    <mergeCell ref="J23:J24"/>
    <mergeCell ref="C12:C14"/>
    <mergeCell ref="C15:D15"/>
    <mergeCell ref="C17:C19"/>
    <mergeCell ref="B21:L21"/>
    <mergeCell ref="B23:H23"/>
  </mergeCells>
  <pageMargins left="0.7" right="0.7" top="0.75" bottom="0.75" header="0.3" footer="0.3"/>
  <pageSetup paperSize="9" orientation="portrait" horizontalDpi="4294967292" verticalDpi="0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dimension ref="B3:I8"/>
  <sheetViews>
    <sheetView workbookViewId="0">
      <selection activeCell="K18" sqref="K18"/>
    </sheetView>
  </sheetViews>
  <sheetFormatPr defaultRowHeight="15"/>
  <cols>
    <col min="1" max="1" width="9.7109375" customWidth="1"/>
    <col min="2" max="2" width="10.140625" style="245" bestFit="1" customWidth="1"/>
    <col min="3" max="3" width="14.5703125" style="245" customWidth="1"/>
    <col min="4" max="4" width="3.7109375" style="245" customWidth="1"/>
    <col min="5" max="9" width="12.5703125" style="245" customWidth="1"/>
  </cols>
  <sheetData>
    <row r="3" spans="2:9">
      <c r="B3" s="804" t="s">
        <v>312</v>
      </c>
      <c r="C3" s="804"/>
      <c r="D3" s="253" t="s">
        <v>314</v>
      </c>
      <c r="E3" s="805" t="s">
        <v>316</v>
      </c>
      <c r="F3" s="806"/>
      <c r="G3" s="806"/>
      <c r="H3" s="806"/>
      <c r="I3" s="807"/>
    </row>
    <row r="4" spans="2:9">
      <c r="B4" s="237" t="s">
        <v>313</v>
      </c>
      <c r="C4" s="252" t="s">
        <v>315</v>
      </c>
      <c r="D4" s="254"/>
      <c r="E4" s="249" t="s">
        <v>364</v>
      </c>
      <c r="F4" s="249" t="s">
        <v>317</v>
      </c>
      <c r="G4" s="249" t="s">
        <v>318</v>
      </c>
      <c r="H4" s="249" t="s">
        <v>319</v>
      </c>
      <c r="I4" s="249" t="s">
        <v>320</v>
      </c>
    </row>
    <row r="5" spans="2:9">
      <c r="B5" s="250">
        <v>1.0500000000000001E-2</v>
      </c>
      <c r="C5" s="251">
        <f>B5*12</f>
        <v>0.126</v>
      </c>
      <c r="D5" s="253" t="s">
        <v>314</v>
      </c>
      <c r="E5" s="509">
        <v>0.224963</v>
      </c>
      <c r="F5" s="509">
        <v>0.22583320000000001</v>
      </c>
      <c r="G5" s="510">
        <v>0.221687</v>
      </c>
      <c r="H5" s="510">
        <v>0.21681333999999999</v>
      </c>
      <c r="I5" s="510">
        <v>0.21201210000000001</v>
      </c>
    </row>
    <row r="6" spans="2:9">
      <c r="B6" s="250">
        <v>1.0999999999999999E-2</v>
      </c>
      <c r="C6" s="251">
        <f>B6*12</f>
        <v>0.13200000000000001</v>
      </c>
      <c r="D6" s="253" t="s">
        <v>314</v>
      </c>
      <c r="E6" s="509">
        <v>0.2353229</v>
      </c>
      <c r="F6" s="509">
        <v>0.23589959999999999</v>
      </c>
      <c r="G6" s="510">
        <v>0.23130519999999999</v>
      </c>
      <c r="H6" s="510">
        <v>0.2260113</v>
      </c>
      <c r="I6" s="510">
        <v>0.22083952000000001</v>
      </c>
    </row>
    <row r="7" spans="2:9">
      <c r="B7" s="250">
        <v>1.15E-2</v>
      </c>
      <c r="C7" s="251">
        <f>B7*12</f>
        <v>0.13800000000000001</v>
      </c>
      <c r="D7" s="253" t="s">
        <v>314</v>
      </c>
      <c r="E7" s="509">
        <v>0.24565339999999999</v>
      </c>
      <c r="F7" s="509">
        <v>0.24591279999999999</v>
      </c>
      <c r="G7" s="510">
        <v>0.2408554</v>
      </c>
      <c r="H7" s="510">
        <v>0.23513255999999999</v>
      </c>
      <c r="I7" s="510">
        <v>0.2295856</v>
      </c>
    </row>
    <row r="8" spans="2:9">
      <c r="B8" s="250">
        <v>1.2E-2</v>
      </c>
      <c r="C8" s="251">
        <f>B8*12</f>
        <v>0.14400000000000002</v>
      </c>
      <c r="D8" s="253" t="s">
        <v>314</v>
      </c>
      <c r="E8" s="509">
        <v>0.25595459999999998</v>
      </c>
      <c r="F8" s="509">
        <v>0.25587349999999998</v>
      </c>
      <c r="G8" s="510">
        <v>0.25033939999999999</v>
      </c>
      <c r="H8" s="510">
        <v>0.2441797</v>
      </c>
      <c r="I8" s="510">
        <v>0.2382532</v>
      </c>
    </row>
  </sheetData>
  <mergeCells count="2">
    <mergeCell ref="B3:C3"/>
    <mergeCell ref="E3:I3"/>
  </mergeCells>
  <pageMargins left="0.7" right="0.7" top="0.75" bottom="0.75" header="0.3" footer="0.3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2:O63"/>
  <sheetViews>
    <sheetView workbookViewId="0">
      <selection activeCell="G4" sqref="G4"/>
    </sheetView>
  </sheetViews>
  <sheetFormatPr defaultColWidth="8.7109375" defaultRowHeight="15"/>
  <cols>
    <col min="1" max="2" width="8.7109375" style="75" customWidth="1"/>
    <col min="3" max="3" width="15.7109375" style="75" customWidth="1"/>
    <col min="4" max="4" width="13.7109375" style="75" customWidth="1"/>
    <col min="5" max="5" width="15.28515625" style="75" customWidth="1"/>
    <col min="6" max="6" width="13.7109375" style="75" customWidth="1"/>
    <col min="7" max="7" width="13.7109375" style="78" customWidth="1"/>
    <col min="8" max="8" width="10.5703125" style="108" customWidth="1"/>
    <col min="9" max="9" width="17.140625" style="108" hidden="1" customWidth="1"/>
    <col min="10" max="13" width="19.85546875" style="75" customWidth="1"/>
    <col min="14" max="15" width="12" style="75" hidden="1" customWidth="1"/>
    <col min="16" max="16" width="8.7109375" style="75" customWidth="1"/>
    <col min="17" max="16384" width="8.7109375" style="75"/>
  </cols>
  <sheetData>
    <row r="2" spans="2:15" ht="15" customHeight="1">
      <c r="B2" s="808" t="s">
        <v>98</v>
      </c>
      <c r="C2" s="808"/>
      <c r="D2" s="808"/>
      <c r="E2" s="808"/>
      <c r="F2" s="808"/>
      <c r="G2" s="76"/>
      <c r="H2" s="809" t="s">
        <v>99</v>
      </c>
      <c r="I2" s="810"/>
      <c r="J2" s="810"/>
      <c r="K2" s="810"/>
      <c r="L2" s="810"/>
      <c r="M2" s="811"/>
    </row>
    <row r="3" spans="2:15" ht="15" customHeight="1">
      <c r="B3" s="77"/>
      <c r="C3" s="78"/>
      <c r="D3" s="78"/>
      <c r="E3" s="78"/>
      <c r="F3" s="79"/>
      <c r="H3" s="80"/>
      <c r="I3" s="81"/>
      <c r="J3" s="78"/>
      <c r="K3" s="78"/>
      <c r="L3" s="78"/>
      <c r="M3" s="79"/>
    </row>
    <row r="4" spans="2:15" ht="15" customHeight="1">
      <c r="B4" s="77"/>
      <c r="C4" s="82" t="s">
        <v>100</v>
      </c>
      <c r="D4" s="235">
        <f>'analisa ratio, RPC dan Keb. MK'!U30</f>
        <v>225000000</v>
      </c>
      <c r="E4" s="78"/>
      <c r="F4" s="79"/>
      <c r="H4" s="80"/>
      <c r="I4" s="80"/>
      <c r="J4" s="82" t="s">
        <v>100</v>
      </c>
      <c r="K4" s="83">
        <f>D4</f>
        <v>225000000</v>
      </c>
      <c r="L4" s="84"/>
      <c r="M4" s="85"/>
    </row>
    <row r="5" spans="2:15" ht="15" customHeight="1">
      <c r="B5" s="77"/>
      <c r="C5" s="82" t="s">
        <v>101</v>
      </c>
      <c r="D5" s="255">
        <f>'Calculator Konversi Bunga'!C6</f>
        <v>0.13200000000000001</v>
      </c>
      <c r="E5" s="255">
        <f>'Calculator Konversi Bunga'!G6</f>
        <v>0.23130519999999999</v>
      </c>
      <c r="F5" s="79"/>
      <c r="H5" s="80"/>
      <c r="I5" s="80"/>
      <c r="J5" s="82" t="s">
        <v>102</v>
      </c>
      <c r="K5" s="86">
        <f>E5</f>
        <v>0.23130519999999999</v>
      </c>
      <c r="L5" s="87" t="s">
        <v>103</v>
      </c>
      <c r="M5" s="236">
        <f>K5/12</f>
        <v>1.9275433333333331E-2</v>
      </c>
    </row>
    <row r="6" spans="2:15" ht="15" customHeight="1">
      <c r="B6" s="77"/>
      <c r="C6" s="82" t="s">
        <v>49</v>
      </c>
      <c r="D6" s="88">
        <v>36</v>
      </c>
      <c r="E6" s="78" t="s">
        <v>187</v>
      </c>
      <c r="F6" s="89"/>
      <c r="G6" s="90"/>
      <c r="H6" s="80"/>
      <c r="I6" s="80"/>
      <c r="J6" s="82" t="str">
        <f>C5</f>
        <v>Bagi Hasil ( flat )</v>
      </c>
      <c r="K6" s="86">
        <f>D5</f>
        <v>0.13200000000000001</v>
      </c>
      <c r="L6" s="87" t="s">
        <v>103</v>
      </c>
      <c r="M6" s="236">
        <f>K6/12</f>
        <v>1.1000000000000001E-2</v>
      </c>
    </row>
    <row r="7" spans="2:15" ht="15.75" customHeight="1" thickBot="1">
      <c r="B7" s="77"/>
      <c r="C7" s="78"/>
      <c r="D7" s="224">
        <f>D6/12</f>
        <v>3</v>
      </c>
      <c r="E7" s="78" t="s">
        <v>216</v>
      </c>
      <c r="F7" s="79"/>
      <c r="H7" s="80"/>
      <c r="I7" s="80"/>
      <c r="J7" s="82" t="s">
        <v>49</v>
      </c>
      <c r="K7" s="91">
        <f>D6</f>
        <v>36</v>
      </c>
      <c r="L7" s="78"/>
      <c r="M7" s="79"/>
    </row>
    <row r="8" spans="2:15" ht="15.75" customHeight="1" thickBot="1">
      <c r="B8" s="92"/>
      <c r="C8" s="93"/>
      <c r="D8" s="93"/>
      <c r="E8" s="93"/>
      <c r="F8" s="94"/>
      <c r="H8" s="80"/>
      <c r="I8" s="81"/>
      <c r="J8" s="78"/>
      <c r="K8" s="78"/>
      <c r="L8" s="78"/>
      <c r="M8" s="79"/>
      <c r="N8" s="812" t="s">
        <v>104</v>
      </c>
      <c r="O8" s="813"/>
    </row>
    <row r="9" spans="2:15" ht="15.75" customHeight="1" thickBot="1">
      <c r="B9" s="82"/>
      <c r="C9" s="95" t="s">
        <v>105</v>
      </c>
      <c r="D9" s="95" t="s">
        <v>106</v>
      </c>
      <c r="E9" s="95" t="s">
        <v>107</v>
      </c>
      <c r="F9" s="95" t="s">
        <v>108</v>
      </c>
      <c r="G9" s="96"/>
      <c r="H9" s="97" t="s">
        <v>109</v>
      </c>
      <c r="I9" s="97" t="s">
        <v>109</v>
      </c>
      <c r="J9" s="178" t="s">
        <v>213</v>
      </c>
      <c r="K9" s="98" t="s">
        <v>110</v>
      </c>
      <c r="L9" s="98" t="s">
        <v>215</v>
      </c>
      <c r="M9" s="98" t="s">
        <v>111</v>
      </c>
      <c r="N9" s="99" t="s">
        <v>112</v>
      </c>
      <c r="O9" s="100" t="s">
        <v>113</v>
      </c>
    </row>
    <row r="10" spans="2:15" ht="15.75" customHeight="1" thickBot="1">
      <c r="B10" s="82"/>
      <c r="C10" s="101">
        <f>D4</f>
        <v>225000000</v>
      </c>
      <c r="D10" s="95"/>
      <c r="E10" s="95"/>
      <c r="F10" s="95"/>
      <c r="G10" s="96"/>
      <c r="H10" s="102" t="s">
        <v>114</v>
      </c>
      <c r="I10" s="102">
        <v>0</v>
      </c>
      <c r="J10" s="103">
        <f>D4</f>
        <v>225000000</v>
      </c>
      <c r="K10" s="104"/>
      <c r="L10" s="104"/>
      <c r="M10" s="104"/>
      <c r="N10" s="99"/>
      <c r="O10" s="100"/>
    </row>
    <row r="11" spans="2:15" ht="15" customHeight="1">
      <c r="B11" s="82">
        <v>1</v>
      </c>
      <c r="C11" s="83">
        <f>D4-D11</f>
        <v>218750000</v>
      </c>
      <c r="D11" s="105">
        <f>D4/D6</f>
        <v>6250000</v>
      </c>
      <c r="E11" s="83">
        <f>D5*D4/12</f>
        <v>2475000</v>
      </c>
      <c r="F11" s="105">
        <f t="shared" ref="F11:F46" si="0">D11+E11</f>
        <v>8725000</v>
      </c>
      <c r="G11" s="106"/>
      <c r="H11" s="101">
        <v>1</v>
      </c>
      <c r="I11" s="107">
        <v>42618</v>
      </c>
      <c r="J11" s="83">
        <f>D4-K11</f>
        <v>220611971.57828629</v>
      </c>
      <c r="K11" s="83">
        <f t="shared" ref="K11:K46" si="1">M11-L11</f>
        <v>4388028.4217137108</v>
      </c>
      <c r="L11" s="83">
        <f>E5/12*D4</f>
        <v>4336972.4999999991</v>
      </c>
      <c r="M11" s="83">
        <f>-PMT(E5/12,D6,D4)</f>
        <v>8725000.9217137098</v>
      </c>
      <c r="N11" s="108">
        <f t="shared" ref="N11:N34" si="2">L11-E11</f>
        <v>1861972.4999999991</v>
      </c>
      <c r="O11" s="108">
        <f>N11</f>
        <v>1861972.4999999991</v>
      </c>
    </row>
    <row r="12" spans="2:15" ht="15" customHeight="1">
      <c r="B12" s="82">
        <f t="shared" ref="B12:B45" si="3">B11+1</f>
        <v>2</v>
      </c>
      <c r="C12" s="83">
        <f t="shared" ref="C12:C45" si="4">C11-D11</f>
        <v>212500000</v>
      </c>
      <c r="D12" s="105">
        <f t="shared" ref="D12:E27" si="5">D11</f>
        <v>6250000</v>
      </c>
      <c r="E12" s="83">
        <f t="shared" si="5"/>
        <v>2475000</v>
      </c>
      <c r="F12" s="105">
        <f t="shared" si="0"/>
        <v>8725000</v>
      </c>
      <c r="G12" s="106"/>
      <c r="H12" s="101">
        <f t="shared" ref="H12:H45" si="6">H11+1</f>
        <v>2</v>
      </c>
      <c r="I12" s="107">
        <f>I11+30</f>
        <v>42648</v>
      </c>
      <c r="J12" s="83">
        <f t="shared" ref="J12:J45" si="7">J11-K12</f>
        <v>216139362.00726506</v>
      </c>
      <c r="K12" s="83">
        <f t="shared" si="1"/>
        <v>4472609.5710212244</v>
      </c>
      <c r="L12" s="83">
        <f t="shared" ref="L12:L45" si="8">E$5/12*J11</f>
        <v>4252391.3506924855</v>
      </c>
      <c r="M12" s="83">
        <f t="shared" ref="M12:M45" si="9">M11</f>
        <v>8725000.9217137098</v>
      </c>
      <c r="N12" s="108">
        <f t="shared" si="2"/>
        <v>1777391.3506924855</v>
      </c>
      <c r="O12" s="108">
        <f t="shared" ref="O12:O34" si="10">N12+O11</f>
        <v>3639363.8506924845</v>
      </c>
    </row>
    <row r="13" spans="2:15" ht="15" customHeight="1">
      <c r="B13" s="82">
        <f t="shared" si="3"/>
        <v>3</v>
      </c>
      <c r="C13" s="83">
        <f t="shared" si="4"/>
        <v>206250000</v>
      </c>
      <c r="D13" s="105">
        <f t="shared" si="5"/>
        <v>6250000</v>
      </c>
      <c r="E13" s="83">
        <f t="shared" si="5"/>
        <v>2475000</v>
      </c>
      <c r="F13" s="105">
        <f t="shared" si="0"/>
        <v>8725000</v>
      </c>
      <c r="G13" s="106"/>
      <c r="H13" s="101">
        <f t="shared" si="6"/>
        <v>3</v>
      </c>
      <c r="I13" s="107">
        <f t="shared" ref="I13:I44" si="11">I12+31</f>
        <v>42679</v>
      </c>
      <c r="J13" s="83">
        <f t="shared" si="7"/>
        <v>211580540.94863158</v>
      </c>
      <c r="K13" s="83">
        <f t="shared" si="1"/>
        <v>4558821.0586334728</v>
      </c>
      <c r="L13" s="83">
        <f t="shared" si="8"/>
        <v>4166179.8630802366</v>
      </c>
      <c r="M13" s="83">
        <f t="shared" si="9"/>
        <v>8725000.9217137098</v>
      </c>
      <c r="N13" s="108">
        <f t="shared" si="2"/>
        <v>1691179.8630802366</v>
      </c>
      <c r="O13" s="108">
        <f t="shared" si="10"/>
        <v>5330543.7137727216</v>
      </c>
    </row>
    <row r="14" spans="2:15" ht="15" customHeight="1">
      <c r="B14" s="82">
        <f t="shared" si="3"/>
        <v>4</v>
      </c>
      <c r="C14" s="83">
        <f t="shared" si="4"/>
        <v>200000000</v>
      </c>
      <c r="D14" s="105">
        <f t="shared" si="5"/>
        <v>6250000</v>
      </c>
      <c r="E14" s="83">
        <f t="shared" si="5"/>
        <v>2475000</v>
      </c>
      <c r="F14" s="105">
        <f t="shared" si="0"/>
        <v>8725000</v>
      </c>
      <c r="G14" s="106"/>
      <c r="H14" s="101">
        <f t="shared" si="6"/>
        <v>4</v>
      </c>
      <c r="I14" s="107">
        <f>I13+30</f>
        <v>42709</v>
      </c>
      <c r="J14" s="83">
        <f t="shared" si="7"/>
        <v>206933846.63860384</v>
      </c>
      <c r="K14" s="83">
        <f t="shared" si="1"/>
        <v>4646694.3100277586</v>
      </c>
      <c r="L14" s="83">
        <f t="shared" si="8"/>
        <v>4078306.6116859512</v>
      </c>
      <c r="M14" s="83">
        <f t="shared" si="9"/>
        <v>8725000.9217137098</v>
      </c>
      <c r="N14" s="108">
        <f t="shared" si="2"/>
        <v>1603306.6116859512</v>
      </c>
      <c r="O14" s="108">
        <f t="shared" si="10"/>
        <v>6933850.3254586728</v>
      </c>
    </row>
    <row r="15" spans="2:15" ht="15" customHeight="1">
      <c r="B15" s="82">
        <f t="shared" si="3"/>
        <v>5</v>
      </c>
      <c r="C15" s="83">
        <f t="shared" si="4"/>
        <v>193750000</v>
      </c>
      <c r="D15" s="105">
        <f t="shared" si="5"/>
        <v>6250000</v>
      </c>
      <c r="E15" s="83">
        <f t="shared" si="5"/>
        <v>2475000</v>
      </c>
      <c r="F15" s="105">
        <f t="shared" si="0"/>
        <v>8725000</v>
      </c>
      <c r="G15" s="106"/>
      <c r="H15" s="101">
        <f t="shared" si="6"/>
        <v>5</v>
      </c>
      <c r="I15" s="107">
        <f t="shared" si="11"/>
        <v>42740</v>
      </c>
      <c r="J15" s="83">
        <f t="shared" si="7"/>
        <v>202197585.28218275</v>
      </c>
      <c r="K15" s="83">
        <f t="shared" si="1"/>
        <v>4736261.3564210776</v>
      </c>
      <c r="L15" s="83">
        <f t="shared" si="8"/>
        <v>3988739.5652926317</v>
      </c>
      <c r="M15" s="83">
        <f t="shared" si="9"/>
        <v>8725000.9217137098</v>
      </c>
      <c r="N15" s="108">
        <f t="shared" si="2"/>
        <v>1513739.5652926317</v>
      </c>
      <c r="O15" s="108">
        <f t="shared" si="10"/>
        <v>8447589.8907513041</v>
      </c>
    </row>
    <row r="16" spans="2:15" ht="15" customHeight="1">
      <c r="B16" s="82">
        <f t="shared" si="3"/>
        <v>6</v>
      </c>
      <c r="C16" s="83">
        <f t="shared" si="4"/>
        <v>187500000</v>
      </c>
      <c r="D16" s="105">
        <f t="shared" si="5"/>
        <v>6250000</v>
      </c>
      <c r="E16" s="83">
        <f t="shared" si="5"/>
        <v>2475000</v>
      </c>
      <c r="F16" s="105">
        <f t="shared" si="0"/>
        <v>8725000</v>
      </c>
      <c r="G16" s="106"/>
      <c r="H16" s="101">
        <f t="shared" si="6"/>
        <v>6</v>
      </c>
      <c r="I16" s="107">
        <f t="shared" si="11"/>
        <v>42771</v>
      </c>
      <c r="J16" s="83">
        <f t="shared" si="7"/>
        <v>197370030.43573675</v>
      </c>
      <c r="K16" s="83">
        <f t="shared" si="1"/>
        <v>4827554.8464460149</v>
      </c>
      <c r="L16" s="83">
        <f t="shared" si="8"/>
        <v>3897446.0752676944</v>
      </c>
      <c r="M16" s="83">
        <f t="shared" si="9"/>
        <v>8725000.9217137098</v>
      </c>
      <c r="N16" s="108">
        <f t="shared" si="2"/>
        <v>1422446.0752676944</v>
      </c>
      <c r="O16" s="108">
        <f t="shared" si="10"/>
        <v>9870035.966018999</v>
      </c>
    </row>
    <row r="17" spans="2:15" ht="15" customHeight="1">
      <c r="B17" s="82">
        <f t="shared" si="3"/>
        <v>7</v>
      </c>
      <c r="C17" s="83">
        <f t="shared" si="4"/>
        <v>181250000</v>
      </c>
      <c r="D17" s="105">
        <f t="shared" si="5"/>
        <v>6250000</v>
      </c>
      <c r="E17" s="83">
        <f t="shared" si="5"/>
        <v>2475000</v>
      </c>
      <c r="F17" s="105">
        <f t="shared" si="0"/>
        <v>8725000</v>
      </c>
      <c r="G17" s="106"/>
      <c r="H17" s="101">
        <f t="shared" si="6"/>
        <v>7</v>
      </c>
      <c r="I17" s="107">
        <f>I16+28</f>
        <v>42799</v>
      </c>
      <c r="J17" s="83">
        <f t="shared" si="7"/>
        <v>192449422.37768504</v>
      </c>
      <c r="K17" s="83">
        <f t="shared" si="1"/>
        <v>4920608.058051696</v>
      </c>
      <c r="L17" s="83">
        <f t="shared" si="8"/>
        <v>3804392.8636620142</v>
      </c>
      <c r="M17" s="83">
        <f t="shared" si="9"/>
        <v>8725000.9217137098</v>
      </c>
      <c r="N17" s="108">
        <f t="shared" si="2"/>
        <v>1329392.8636620142</v>
      </c>
      <c r="O17" s="108">
        <f t="shared" si="10"/>
        <v>11199428.829681013</v>
      </c>
    </row>
    <row r="18" spans="2:15" ht="15" customHeight="1">
      <c r="B18" s="82">
        <f t="shared" si="3"/>
        <v>8</v>
      </c>
      <c r="C18" s="83">
        <f t="shared" si="4"/>
        <v>175000000</v>
      </c>
      <c r="D18" s="105">
        <f t="shared" si="5"/>
        <v>6250000</v>
      </c>
      <c r="E18" s="83">
        <f t="shared" si="5"/>
        <v>2475000</v>
      </c>
      <c r="F18" s="105">
        <f t="shared" si="0"/>
        <v>8725000</v>
      </c>
      <c r="G18" s="106"/>
      <c r="H18" s="101">
        <f t="shared" si="6"/>
        <v>8</v>
      </c>
      <c r="I18" s="107">
        <f t="shared" si="11"/>
        <v>42830</v>
      </c>
      <c r="J18" s="83">
        <f t="shared" si="7"/>
        <v>187433967.46705091</v>
      </c>
      <c r="K18" s="83">
        <f t="shared" si="1"/>
        <v>5015454.910634134</v>
      </c>
      <c r="L18" s="83">
        <f t="shared" si="8"/>
        <v>3709546.0110795759</v>
      </c>
      <c r="M18" s="83">
        <f t="shared" si="9"/>
        <v>8725000.9217137098</v>
      </c>
      <c r="N18" s="108">
        <f t="shared" si="2"/>
        <v>1234546.0110795759</v>
      </c>
      <c r="O18" s="108">
        <f t="shared" si="10"/>
        <v>12433974.840760589</v>
      </c>
    </row>
    <row r="19" spans="2:15" ht="15" customHeight="1">
      <c r="B19" s="82">
        <f t="shared" si="3"/>
        <v>9</v>
      </c>
      <c r="C19" s="83">
        <f t="shared" si="4"/>
        <v>168750000</v>
      </c>
      <c r="D19" s="105">
        <f t="shared" si="5"/>
        <v>6250000</v>
      </c>
      <c r="E19" s="83">
        <f t="shared" si="5"/>
        <v>2475000</v>
      </c>
      <c r="F19" s="105">
        <f t="shared" si="0"/>
        <v>8725000</v>
      </c>
      <c r="G19" s="106"/>
      <c r="H19" s="101">
        <f t="shared" si="6"/>
        <v>9</v>
      </c>
      <c r="I19" s="107">
        <f>I18+30</f>
        <v>42860</v>
      </c>
      <c r="J19" s="83">
        <f t="shared" si="7"/>
        <v>182321837.48965052</v>
      </c>
      <c r="K19" s="83">
        <f t="shared" si="1"/>
        <v>5112129.9774004016</v>
      </c>
      <c r="L19" s="83">
        <f t="shared" si="8"/>
        <v>3612870.9443133082</v>
      </c>
      <c r="M19" s="83">
        <f t="shared" si="9"/>
        <v>8725000.9217137098</v>
      </c>
      <c r="N19" s="108">
        <f t="shared" si="2"/>
        <v>1137870.9443133082</v>
      </c>
      <c r="O19" s="108">
        <f t="shared" si="10"/>
        <v>13571845.785073897</v>
      </c>
    </row>
    <row r="20" spans="2:15" ht="15" customHeight="1">
      <c r="B20" s="82">
        <f t="shared" si="3"/>
        <v>10</v>
      </c>
      <c r="C20" s="83">
        <f t="shared" si="4"/>
        <v>162500000</v>
      </c>
      <c r="D20" s="105">
        <f t="shared" si="5"/>
        <v>6250000</v>
      </c>
      <c r="E20" s="83">
        <f t="shared" si="5"/>
        <v>2475000</v>
      </c>
      <c r="F20" s="105">
        <f t="shared" si="0"/>
        <v>8725000</v>
      </c>
      <c r="G20" s="106"/>
      <c r="H20" s="101">
        <f t="shared" si="6"/>
        <v>10</v>
      </c>
      <c r="I20" s="107">
        <f t="shared" si="11"/>
        <v>42891</v>
      </c>
      <c r="J20" s="83">
        <f t="shared" si="7"/>
        <v>177111168.9916794</v>
      </c>
      <c r="K20" s="83">
        <f t="shared" si="1"/>
        <v>5210668.4979711175</v>
      </c>
      <c r="L20" s="83">
        <f t="shared" si="8"/>
        <v>3514332.4237425923</v>
      </c>
      <c r="M20" s="83">
        <f t="shared" si="9"/>
        <v>8725000.9217137098</v>
      </c>
      <c r="N20" s="108">
        <f t="shared" si="2"/>
        <v>1039332.4237425923</v>
      </c>
      <c r="O20" s="108">
        <f t="shared" si="10"/>
        <v>14611178.208816489</v>
      </c>
    </row>
    <row r="21" spans="2:15" ht="15" customHeight="1">
      <c r="B21" s="82">
        <f t="shared" si="3"/>
        <v>11</v>
      </c>
      <c r="C21" s="83">
        <f t="shared" si="4"/>
        <v>156250000</v>
      </c>
      <c r="D21" s="105">
        <f t="shared" si="5"/>
        <v>6250000</v>
      </c>
      <c r="E21" s="83">
        <f t="shared" si="5"/>
        <v>2475000</v>
      </c>
      <c r="F21" s="105">
        <f t="shared" si="0"/>
        <v>8725000</v>
      </c>
      <c r="G21" s="106"/>
      <c r="H21" s="101">
        <f t="shared" si="6"/>
        <v>11</v>
      </c>
      <c r="I21" s="107">
        <f>I20+30</f>
        <v>42921</v>
      </c>
      <c r="J21" s="83">
        <f t="shared" si="7"/>
        <v>171800062.60045356</v>
      </c>
      <c r="K21" s="83">
        <f t="shared" si="1"/>
        <v>5311106.3912258595</v>
      </c>
      <c r="L21" s="83">
        <f t="shared" si="8"/>
        <v>3413894.5304878498</v>
      </c>
      <c r="M21" s="83">
        <f t="shared" si="9"/>
        <v>8725000.9217137098</v>
      </c>
      <c r="N21" s="108">
        <f t="shared" si="2"/>
        <v>938894.53048784984</v>
      </c>
      <c r="O21" s="81">
        <f t="shared" si="10"/>
        <v>15550072.73930434</v>
      </c>
    </row>
    <row r="22" spans="2:15" ht="15" customHeight="1">
      <c r="B22" s="82">
        <f t="shared" si="3"/>
        <v>12</v>
      </c>
      <c r="C22" s="83">
        <f t="shared" si="4"/>
        <v>150000000</v>
      </c>
      <c r="D22" s="105">
        <f t="shared" si="5"/>
        <v>6250000</v>
      </c>
      <c r="E22" s="83">
        <f t="shared" si="5"/>
        <v>2475000</v>
      </c>
      <c r="F22" s="105">
        <f t="shared" si="0"/>
        <v>8725000</v>
      </c>
      <c r="G22" s="106"/>
      <c r="H22" s="102">
        <f t="shared" si="6"/>
        <v>12</v>
      </c>
      <c r="I22" s="109">
        <f t="shared" si="11"/>
        <v>42952</v>
      </c>
      <c r="J22" s="110">
        <f t="shared" si="7"/>
        <v>166386582.33205739</v>
      </c>
      <c r="K22" s="110">
        <f t="shared" si="1"/>
        <v>5413480.2683961745</v>
      </c>
      <c r="L22" s="110">
        <f t="shared" si="8"/>
        <v>3311520.6533175353</v>
      </c>
      <c r="M22" s="110">
        <f t="shared" si="9"/>
        <v>8725000.9217137098</v>
      </c>
      <c r="N22" s="108">
        <f t="shared" si="2"/>
        <v>836520.6533175353</v>
      </c>
      <c r="O22" s="81">
        <f t="shared" si="10"/>
        <v>16386593.392621875</v>
      </c>
    </row>
    <row r="23" spans="2:15" ht="15" customHeight="1">
      <c r="B23" s="82">
        <f t="shared" si="3"/>
        <v>13</v>
      </c>
      <c r="C23" s="83">
        <f t="shared" si="4"/>
        <v>143750000</v>
      </c>
      <c r="D23" s="105">
        <f t="shared" si="5"/>
        <v>6250000</v>
      </c>
      <c r="E23" s="83">
        <f t="shared" si="5"/>
        <v>2475000</v>
      </c>
      <c r="F23" s="105">
        <f t="shared" si="0"/>
        <v>8725000</v>
      </c>
      <c r="G23" s="106"/>
      <c r="H23" s="101">
        <f t="shared" si="6"/>
        <v>13</v>
      </c>
      <c r="I23" s="107">
        <f t="shared" si="11"/>
        <v>42983</v>
      </c>
      <c r="J23" s="83">
        <f t="shared" si="7"/>
        <v>160868754.88564643</v>
      </c>
      <c r="K23" s="83">
        <f t="shared" si="1"/>
        <v>5517827.4464109596</v>
      </c>
      <c r="L23" s="83">
        <f t="shared" si="8"/>
        <v>3207173.4753027498</v>
      </c>
      <c r="M23" s="83">
        <f t="shared" si="9"/>
        <v>8725000.9217137098</v>
      </c>
      <c r="N23" s="108">
        <f t="shared" si="2"/>
        <v>732173.47530274978</v>
      </c>
      <c r="O23" s="81">
        <f t="shared" si="10"/>
        <v>17118766.867924623</v>
      </c>
    </row>
    <row r="24" spans="2:15" ht="15" customHeight="1">
      <c r="B24" s="82">
        <f t="shared" si="3"/>
        <v>14</v>
      </c>
      <c r="C24" s="83">
        <f t="shared" si="4"/>
        <v>137500000</v>
      </c>
      <c r="D24" s="105">
        <f t="shared" si="5"/>
        <v>6250000</v>
      </c>
      <c r="E24" s="83">
        <f t="shared" si="5"/>
        <v>2475000</v>
      </c>
      <c r="F24" s="105">
        <f t="shared" si="0"/>
        <v>8725000</v>
      </c>
      <c r="G24" s="106"/>
      <c r="H24" s="101">
        <f t="shared" si="6"/>
        <v>14</v>
      </c>
      <c r="I24" s="107">
        <f>I23+30</f>
        <v>43013</v>
      </c>
      <c r="J24" s="83">
        <f t="shared" si="7"/>
        <v>155244568.92414734</v>
      </c>
      <c r="K24" s="83">
        <f t="shared" si="1"/>
        <v>5624185.9614990912</v>
      </c>
      <c r="L24" s="83">
        <f t="shared" si="8"/>
        <v>3100814.9602146186</v>
      </c>
      <c r="M24" s="83">
        <f t="shared" si="9"/>
        <v>8725000.9217137098</v>
      </c>
      <c r="N24" s="108">
        <f t="shared" si="2"/>
        <v>625814.96021461859</v>
      </c>
      <c r="O24" s="81">
        <f t="shared" si="10"/>
        <v>17744581.828139242</v>
      </c>
    </row>
    <row r="25" spans="2:15" ht="15" customHeight="1">
      <c r="B25" s="82">
        <f t="shared" si="3"/>
        <v>15</v>
      </c>
      <c r="C25" s="83">
        <f t="shared" si="4"/>
        <v>131250000</v>
      </c>
      <c r="D25" s="105">
        <f t="shared" si="5"/>
        <v>6250000</v>
      </c>
      <c r="E25" s="83">
        <f t="shared" si="5"/>
        <v>2475000</v>
      </c>
      <c r="F25" s="105">
        <f t="shared" si="0"/>
        <v>8725000</v>
      </c>
      <c r="G25" s="106"/>
      <c r="H25" s="101">
        <f t="shared" si="6"/>
        <v>15</v>
      </c>
      <c r="I25" s="107">
        <f t="shared" si="11"/>
        <v>43044</v>
      </c>
      <c r="J25" s="83">
        <f t="shared" si="7"/>
        <v>149511974.34109309</v>
      </c>
      <c r="K25" s="83">
        <f t="shared" si="1"/>
        <v>5732594.5830542371</v>
      </c>
      <c r="L25" s="83">
        <f t="shared" si="8"/>
        <v>2992406.3386594732</v>
      </c>
      <c r="M25" s="83">
        <f t="shared" si="9"/>
        <v>8725000.9217137098</v>
      </c>
      <c r="N25" s="108">
        <f t="shared" si="2"/>
        <v>517406.33865947323</v>
      </c>
      <c r="O25" s="81">
        <f t="shared" si="10"/>
        <v>18261988.166798715</v>
      </c>
    </row>
    <row r="26" spans="2:15" ht="15" customHeight="1">
      <c r="B26" s="82">
        <f t="shared" si="3"/>
        <v>16</v>
      </c>
      <c r="C26" s="83">
        <f t="shared" si="4"/>
        <v>125000000</v>
      </c>
      <c r="D26" s="105">
        <f t="shared" si="5"/>
        <v>6250000</v>
      </c>
      <c r="E26" s="83">
        <f t="shared" si="5"/>
        <v>2475000</v>
      </c>
      <c r="F26" s="105">
        <f t="shared" si="0"/>
        <v>8725000</v>
      </c>
      <c r="G26" s="106"/>
      <c r="H26" s="101">
        <f t="shared" si="6"/>
        <v>16</v>
      </c>
      <c r="I26" s="107">
        <f>I25+30</f>
        <v>43074</v>
      </c>
      <c r="J26" s="83">
        <f t="shared" si="7"/>
        <v>143668881.51332617</v>
      </c>
      <c r="K26" s="83">
        <f t="shared" si="1"/>
        <v>5843092.827766927</v>
      </c>
      <c r="L26" s="83">
        <f t="shared" si="8"/>
        <v>2881908.0939467833</v>
      </c>
      <c r="M26" s="83">
        <f t="shared" si="9"/>
        <v>8725000.9217137098</v>
      </c>
      <c r="N26" s="108">
        <f t="shared" si="2"/>
        <v>406908.09394678334</v>
      </c>
      <c r="O26" s="81">
        <f t="shared" si="10"/>
        <v>18668896.260745499</v>
      </c>
    </row>
    <row r="27" spans="2:15" ht="15" customHeight="1">
      <c r="B27" s="82">
        <f t="shared" si="3"/>
        <v>17</v>
      </c>
      <c r="C27" s="83">
        <f t="shared" si="4"/>
        <v>118750000</v>
      </c>
      <c r="D27" s="105">
        <f t="shared" si="5"/>
        <v>6250000</v>
      </c>
      <c r="E27" s="83">
        <f t="shared" si="5"/>
        <v>2475000</v>
      </c>
      <c r="F27" s="105">
        <f t="shared" si="0"/>
        <v>8725000</v>
      </c>
      <c r="G27" s="106"/>
      <c r="H27" s="101">
        <f t="shared" si="6"/>
        <v>17</v>
      </c>
      <c r="I27" s="107">
        <f t="shared" si="11"/>
        <v>43105</v>
      </c>
      <c r="J27" s="83">
        <f t="shared" si="7"/>
        <v>137713160.53929713</v>
      </c>
      <c r="K27" s="83">
        <f t="shared" si="1"/>
        <v>5955720.974029026</v>
      </c>
      <c r="L27" s="83">
        <f t="shared" si="8"/>
        <v>2769279.9476846838</v>
      </c>
      <c r="M27" s="83">
        <f t="shared" si="9"/>
        <v>8725000.9217137098</v>
      </c>
      <c r="N27" s="108">
        <f t="shared" si="2"/>
        <v>294279.94768468384</v>
      </c>
      <c r="O27" s="81">
        <f t="shared" si="10"/>
        <v>18963176.208430182</v>
      </c>
    </row>
    <row r="28" spans="2:15" ht="15" customHeight="1">
      <c r="B28" s="82">
        <f t="shared" si="3"/>
        <v>18</v>
      </c>
      <c r="C28" s="83">
        <f t="shared" si="4"/>
        <v>112500000</v>
      </c>
      <c r="D28" s="105">
        <f t="shared" ref="D28:E43" si="12">D27</f>
        <v>6250000</v>
      </c>
      <c r="E28" s="83">
        <f t="shared" si="12"/>
        <v>2475000</v>
      </c>
      <c r="F28" s="105">
        <f t="shared" si="0"/>
        <v>8725000</v>
      </c>
      <c r="G28" s="106"/>
      <c r="H28" s="101">
        <f t="shared" si="6"/>
        <v>18</v>
      </c>
      <c r="I28" s="107">
        <f t="shared" si="11"/>
        <v>43136</v>
      </c>
      <c r="J28" s="83">
        <f t="shared" si="7"/>
        <v>131642640.46268128</v>
      </c>
      <c r="K28" s="83">
        <f t="shared" si="1"/>
        <v>6070520.076615857</v>
      </c>
      <c r="L28" s="83">
        <f t="shared" si="8"/>
        <v>2654480.8450978524</v>
      </c>
      <c r="M28" s="83">
        <f t="shared" si="9"/>
        <v>8725000.9217137098</v>
      </c>
      <c r="N28" s="108">
        <f t="shared" si="2"/>
        <v>179480.84509785241</v>
      </c>
      <c r="O28" s="81">
        <f t="shared" si="10"/>
        <v>19142657.053528033</v>
      </c>
    </row>
    <row r="29" spans="2:15" ht="15" customHeight="1">
      <c r="B29" s="82">
        <f t="shared" si="3"/>
        <v>19</v>
      </c>
      <c r="C29" s="83">
        <f t="shared" si="4"/>
        <v>106250000</v>
      </c>
      <c r="D29" s="105">
        <f t="shared" si="12"/>
        <v>6250000</v>
      </c>
      <c r="E29" s="83">
        <f t="shared" si="12"/>
        <v>2475000</v>
      </c>
      <c r="F29" s="105">
        <f t="shared" si="0"/>
        <v>8725000</v>
      </c>
      <c r="G29" s="106"/>
      <c r="H29" s="101">
        <f t="shared" si="6"/>
        <v>19</v>
      </c>
      <c r="I29" s="107">
        <f>I28+28</f>
        <v>43164</v>
      </c>
      <c r="J29" s="83">
        <f t="shared" si="7"/>
        <v>125455108.48102996</v>
      </c>
      <c r="K29" s="83">
        <f t="shared" si="1"/>
        <v>6187531.9816513285</v>
      </c>
      <c r="L29" s="83">
        <f t="shared" si="8"/>
        <v>2537468.9400623818</v>
      </c>
      <c r="M29" s="83">
        <f t="shared" si="9"/>
        <v>8725000.9217137098</v>
      </c>
      <c r="N29" s="108">
        <f t="shared" si="2"/>
        <v>62468.940062381793</v>
      </c>
      <c r="O29" s="81">
        <f t="shared" si="10"/>
        <v>19205125.993590415</v>
      </c>
    </row>
    <row r="30" spans="2:15" ht="15" customHeight="1">
      <c r="B30" s="111">
        <f t="shared" si="3"/>
        <v>20</v>
      </c>
      <c r="C30" s="112">
        <f t="shared" si="4"/>
        <v>100000000</v>
      </c>
      <c r="D30" s="113">
        <f t="shared" si="12"/>
        <v>6250000</v>
      </c>
      <c r="E30" s="112">
        <f t="shared" si="12"/>
        <v>2475000</v>
      </c>
      <c r="F30" s="113">
        <f t="shared" si="0"/>
        <v>8725000</v>
      </c>
      <c r="G30" s="114"/>
      <c r="H30" s="101">
        <f t="shared" si="6"/>
        <v>20</v>
      </c>
      <c r="I30" s="107">
        <f t="shared" si="11"/>
        <v>43195</v>
      </c>
      <c r="J30" s="112">
        <f t="shared" si="7"/>
        <v>119148309.13916844</v>
      </c>
      <c r="K30" s="112">
        <f t="shared" si="1"/>
        <v>6306799.3418615162</v>
      </c>
      <c r="L30" s="112">
        <f t="shared" si="8"/>
        <v>2418201.5798521941</v>
      </c>
      <c r="M30" s="112">
        <f t="shared" si="9"/>
        <v>8725000.9217137098</v>
      </c>
      <c r="N30" s="115">
        <f t="shared" si="2"/>
        <v>-56798.42014780594</v>
      </c>
      <c r="O30" s="81">
        <f t="shared" si="10"/>
        <v>19148327.573442608</v>
      </c>
    </row>
    <row r="31" spans="2:15" ht="15" customHeight="1">
      <c r="B31" s="82">
        <f t="shared" si="3"/>
        <v>21</v>
      </c>
      <c r="C31" s="83">
        <f t="shared" si="4"/>
        <v>93750000</v>
      </c>
      <c r="D31" s="105">
        <f t="shared" si="12"/>
        <v>6250000</v>
      </c>
      <c r="E31" s="83">
        <f t="shared" si="12"/>
        <v>2475000</v>
      </c>
      <c r="F31" s="105">
        <f t="shared" si="0"/>
        <v>8725000</v>
      </c>
      <c r="G31" s="106"/>
      <c r="H31" s="101">
        <f t="shared" si="6"/>
        <v>21</v>
      </c>
      <c r="I31" s="107">
        <f>I30+30</f>
        <v>43225</v>
      </c>
      <c r="J31" s="83">
        <f t="shared" si="7"/>
        <v>112719943.50704616</v>
      </c>
      <c r="K31" s="83">
        <f t="shared" si="1"/>
        <v>6428365.6321222782</v>
      </c>
      <c r="L31" s="83">
        <f t="shared" si="8"/>
        <v>2296635.2895914316</v>
      </c>
      <c r="M31" s="83">
        <f t="shared" si="9"/>
        <v>8725000.9217137098</v>
      </c>
      <c r="N31" s="108">
        <f t="shared" si="2"/>
        <v>-178364.71040856838</v>
      </c>
      <c r="O31" s="81">
        <f t="shared" si="10"/>
        <v>18969962.86303404</v>
      </c>
    </row>
    <row r="32" spans="2:15" ht="15" customHeight="1">
      <c r="B32" s="82">
        <f t="shared" si="3"/>
        <v>22</v>
      </c>
      <c r="C32" s="83">
        <f t="shared" si="4"/>
        <v>87500000</v>
      </c>
      <c r="D32" s="105">
        <f t="shared" si="12"/>
        <v>6250000</v>
      </c>
      <c r="E32" s="83">
        <f t="shared" si="12"/>
        <v>2475000</v>
      </c>
      <c r="F32" s="105">
        <f t="shared" si="0"/>
        <v>8725000</v>
      </c>
      <c r="G32" s="106"/>
      <c r="H32" s="101">
        <f t="shared" si="6"/>
        <v>22</v>
      </c>
      <c r="I32" s="107">
        <f t="shared" si="11"/>
        <v>43256</v>
      </c>
      <c r="J32" s="83">
        <f t="shared" si="7"/>
        <v>106167668.34173962</v>
      </c>
      <c r="K32" s="83">
        <f t="shared" si="1"/>
        <v>6552275.1653065421</v>
      </c>
      <c r="L32" s="83">
        <f t="shared" si="8"/>
        <v>2172725.7564071678</v>
      </c>
      <c r="M32" s="83">
        <f t="shared" si="9"/>
        <v>8725000.9217137098</v>
      </c>
      <c r="N32" s="108">
        <f t="shared" si="2"/>
        <v>-302274.24359283224</v>
      </c>
      <c r="O32" s="81">
        <f t="shared" si="10"/>
        <v>18667688.619441207</v>
      </c>
    </row>
    <row r="33" spans="2:15" ht="15" customHeight="1">
      <c r="B33" s="82">
        <f t="shared" si="3"/>
        <v>23</v>
      </c>
      <c r="C33" s="83">
        <f t="shared" si="4"/>
        <v>81250000</v>
      </c>
      <c r="D33" s="105">
        <f t="shared" si="12"/>
        <v>6250000</v>
      </c>
      <c r="E33" s="83">
        <f t="shared" si="12"/>
        <v>2475000</v>
      </c>
      <c r="F33" s="105">
        <f t="shared" si="0"/>
        <v>8725000</v>
      </c>
      <c r="G33" s="106"/>
      <c r="H33" s="101">
        <f t="shared" si="6"/>
        <v>23</v>
      </c>
      <c r="I33" s="107">
        <f>I32+30</f>
        <v>43286</v>
      </c>
      <c r="J33" s="83">
        <f t="shared" si="7"/>
        <v>99489095.233302563</v>
      </c>
      <c r="K33" s="83">
        <f t="shared" si="1"/>
        <v>6678573.1084370641</v>
      </c>
      <c r="L33" s="83">
        <f t="shared" si="8"/>
        <v>2046427.8132766457</v>
      </c>
      <c r="M33" s="83">
        <f t="shared" si="9"/>
        <v>8725000.9217137098</v>
      </c>
      <c r="N33" s="108">
        <f t="shared" si="2"/>
        <v>-428572.18672335427</v>
      </c>
      <c r="O33" s="81">
        <f t="shared" si="10"/>
        <v>18239116.432717852</v>
      </c>
    </row>
    <row r="34" spans="2:15" ht="15" customHeight="1">
      <c r="B34" s="82">
        <f t="shared" si="3"/>
        <v>24</v>
      </c>
      <c r="C34" s="83">
        <f t="shared" si="4"/>
        <v>75000000</v>
      </c>
      <c r="D34" s="105">
        <f t="shared" si="12"/>
        <v>6250000</v>
      </c>
      <c r="E34" s="83">
        <f t="shared" si="12"/>
        <v>2475000</v>
      </c>
      <c r="F34" s="105">
        <f t="shared" si="0"/>
        <v>8725000</v>
      </c>
      <c r="G34" s="106"/>
      <c r="H34" s="102">
        <f t="shared" si="6"/>
        <v>24</v>
      </c>
      <c r="I34" s="109">
        <f t="shared" si="11"/>
        <v>43317</v>
      </c>
      <c r="J34" s="110">
        <f t="shared" si="7"/>
        <v>92681789.734152034</v>
      </c>
      <c r="K34" s="110">
        <f t="shared" si="1"/>
        <v>6807305.4991505351</v>
      </c>
      <c r="L34" s="110">
        <f t="shared" si="8"/>
        <v>1917695.4225631745</v>
      </c>
      <c r="M34" s="110">
        <f t="shared" si="9"/>
        <v>8725000.9217137098</v>
      </c>
      <c r="N34" s="108">
        <f t="shared" si="2"/>
        <v>-557304.57743682549</v>
      </c>
      <c r="O34" s="81">
        <f t="shared" si="10"/>
        <v>17681811.855281025</v>
      </c>
    </row>
    <row r="35" spans="2:15" ht="15" customHeight="1">
      <c r="B35" s="82">
        <f t="shared" si="3"/>
        <v>25</v>
      </c>
      <c r="C35" s="83">
        <f t="shared" si="4"/>
        <v>68750000</v>
      </c>
      <c r="D35" s="105">
        <f t="shared" si="12"/>
        <v>6250000</v>
      </c>
      <c r="E35" s="83">
        <f t="shared" si="12"/>
        <v>2475000</v>
      </c>
      <c r="F35" s="105">
        <f t="shared" si="0"/>
        <v>8725000</v>
      </c>
      <c r="G35" s="106"/>
      <c r="H35" s="101">
        <f t="shared" si="6"/>
        <v>25</v>
      </c>
      <c r="I35" s="107">
        <f t="shared" si="11"/>
        <v>43348</v>
      </c>
      <c r="J35" s="83">
        <f t="shared" si="7"/>
        <v>85743270.471672982</v>
      </c>
      <c r="K35" s="83">
        <f t="shared" si="1"/>
        <v>6938519.2624790445</v>
      </c>
      <c r="L35" s="83">
        <f t="shared" si="8"/>
        <v>1786481.6592346651</v>
      </c>
      <c r="M35" s="83">
        <f t="shared" si="9"/>
        <v>8725000.9217137098</v>
      </c>
      <c r="N35" s="108"/>
      <c r="O35" s="81"/>
    </row>
    <row r="36" spans="2:15" ht="15" customHeight="1">
      <c r="B36" s="82">
        <f t="shared" si="3"/>
        <v>26</v>
      </c>
      <c r="C36" s="83">
        <f t="shared" si="4"/>
        <v>62500000</v>
      </c>
      <c r="D36" s="105">
        <f t="shared" si="12"/>
        <v>6250000</v>
      </c>
      <c r="E36" s="83">
        <f t="shared" si="12"/>
        <v>2475000</v>
      </c>
      <c r="F36" s="105">
        <f t="shared" si="0"/>
        <v>8725000</v>
      </c>
      <c r="G36" s="106"/>
      <c r="H36" s="101">
        <f t="shared" si="6"/>
        <v>26</v>
      </c>
      <c r="I36" s="107">
        <f>I35+30</f>
        <v>43378</v>
      </c>
      <c r="J36" s="83">
        <f t="shared" si="7"/>
        <v>78671008.243717968</v>
      </c>
      <c r="K36" s="83">
        <f t="shared" si="1"/>
        <v>7072262.2279550089</v>
      </c>
      <c r="L36" s="83">
        <f t="shared" si="8"/>
        <v>1652738.693758701</v>
      </c>
      <c r="M36" s="83">
        <f t="shared" si="9"/>
        <v>8725000.9217137098</v>
      </c>
      <c r="N36" s="108"/>
      <c r="O36" s="81"/>
    </row>
    <row r="37" spans="2:15" ht="15" customHeight="1">
      <c r="B37" s="82">
        <f t="shared" si="3"/>
        <v>27</v>
      </c>
      <c r="C37" s="83">
        <f t="shared" si="4"/>
        <v>56250000</v>
      </c>
      <c r="D37" s="105">
        <f t="shared" si="12"/>
        <v>6250000</v>
      </c>
      <c r="E37" s="83">
        <f t="shared" si="12"/>
        <v>2475000</v>
      </c>
      <c r="F37" s="105">
        <f t="shared" si="0"/>
        <v>8725000</v>
      </c>
      <c r="G37" s="106"/>
      <c r="H37" s="101">
        <f t="shared" si="6"/>
        <v>27</v>
      </c>
      <c r="I37" s="107">
        <f t="shared" si="11"/>
        <v>43409</v>
      </c>
      <c r="J37" s="83">
        <f t="shared" si="7"/>
        <v>71462425.096672162</v>
      </c>
      <c r="K37" s="83">
        <f t="shared" si="1"/>
        <v>7208583.147045807</v>
      </c>
      <c r="L37" s="83">
        <f t="shared" si="8"/>
        <v>1516417.7746679026</v>
      </c>
      <c r="M37" s="83">
        <f t="shared" si="9"/>
        <v>8725000.9217137098</v>
      </c>
      <c r="N37" s="108"/>
      <c r="O37" s="81"/>
    </row>
    <row r="38" spans="2:15" ht="15" customHeight="1">
      <c r="B38" s="82">
        <f t="shared" si="3"/>
        <v>28</v>
      </c>
      <c r="C38" s="83">
        <f t="shared" si="4"/>
        <v>50000000</v>
      </c>
      <c r="D38" s="105">
        <f t="shared" si="12"/>
        <v>6250000</v>
      </c>
      <c r="E38" s="83">
        <f t="shared" si="12"/>
        <v>2475000</v>
      </c>
      <c r="F38" s="105">
        <f t="shared" si="0"/>
        <v>8725000</v>
      </c>
      <c r="G38" s="106"/>
      <c r="H38" s="101">
        <f t="shared" si="6"/>
        <v>28</v>
      </c>
      <c r="I38" s="107">
        <f>I37+30</f>
        <v>43439</v>
      </c>
      <c r="J38" s="83">
        <f t="shared" si="7"/>
        <v>64114893.385747686</v>
      </c>
      <c r="K38" s="83">
        <f t="shared" si="1"/>
        <v>7347531.7109244782</v>
      </c>
      <c r="L38" s="83">
        <f t="shared" si="8"/>
        <v>1377469.2107892311</v>
      </c>
      <c r="M38" s="83">
        <f t="shared" si="9"/>
        <v>8725000.9217137098</v>
      </c>
      <c r="N38" s="108"/>
      <c r="O38" s="81"/>
    </row>
    <row r="39" spans="2:15" ht="15" customHeight="1">
      <c r="B39" s="82">
        <f t="shared" si="3"/>
        <v>29</v>
      </c>
      <c r="C39" s="83">
        <f t="shared" si="4"/>
        <v>43750000</v>
      </c>
      <c r="D39" s="105">
        <f t="shared" si="12"/>
        <v>6250000</v>
      </c>
      <c r="E39" s="83">
        <f t="shared" si="12"/>
        <v>2475000</v>
      </c>
      <c r="F39" s="105">
        <f t="shared" si="0"/>
        <v>8725000</v>
      </c>
      <c r="G39" s="106"/>
      <c r="H39" s="101">
        <f t="shared" si="6"/>
        <v>29</v>
      </c>
      <c r="I39" s="107">
        <f t="shared" si="11"/>
        <v>43470</v>
      </c>
      <c r="J39" s="83">
        <f t="shared" si="7"/>
        <v>56625734.817164734</v>
      </c>
      <c r="K39" s="83">
        <f t="shared" si="1"/>
        <v>7489158.5685829557</v>
      </c>
      <c r="L39" s="83">
        <f t="shared" si="8"/>
        <v>1235842.3531307536</v>
      </c>
      <c r="M39" s="83">
        <f t="shared" si="9"/>
        <v>8725000.9217137098</v>
      </c>
      <c r="N39" s="108"/>
      <c r="O39" s="81"/>
    </row>
    <row r="40" spans="2:15" ht="15" customHeight="1">
      <c r="B40" s="82">
        <f t="shared" si="3"/>
        <v>30</v>
      </c>
      <c r="C40" s="83">
        <f t="shared" si="4"/>
        <v>37500000</v>
      </c>
      <c r="D40" s="105">
        <f t="shared" si="12"/>
        <v>6250000</v>
      </c>
      <c r="E40" s="83">
        <f t="shared" si="12"/>
        <v>2475000</v>
      </c>
      <c r="F40" s="105">
        <f t="shared" si="0"/>
        <v>8725000</v>
      </c>
      <c r="G40" s="106"/>
      <c r="H40" s="101">
        <f t="shared" si="6"/>
        <v>30</v>
      </c>
      <c r="I40" s="107">
        <f t="shared" si="11"/>
        <v>43501</v>
      </c>
      <c r="J40" s="83">
        <f t="shared" si="7"/>
        <v>48992219.471870296</v>
      </c>
      <c r="K40" s="83">
        <f t="shared" si="1"/>
        <v>7633515.3452944392</v>
      </c>
      <c r="L40" s="83">
        <f t="shared" si="8"/>
        <v>1091485.5764192708</v>
      </c>
      <c r="M40" s="83">
        <f t="shared" si="9"/>
        <v>8725000.9217137098</v>
      </c>
      <c r="N40" s="108"/>
      <c r="O40" s="81"/>
    </row>
    <row r="41" spans="2:15" ht="15" customHeight="1">
      <c r="B41" s="82">
        <f t="shared" si="3"/>
        <v>31</v>
      </c>
      <c r="C41" s="83">
        <f t="shared" si="4"/>
        <v>31250000</v>
      </c>
      <c r="D41" s="105">
        <f t="shared" si="12"/>
        <v>6250000</v>
      </c>
      <c r="E41" s="83">
        <f t="shared" si="12"/>
        <v>2475000</v>
      </c>
      <c r="F41" s="105">
        <f t="shared" si="0"/>
        <v>8725000</v>
      </c>
      <c r="G41" s="106"/>
      <c r="H41" s="101">
        <f t="shared" si="6"/>
        <v>31</v>
      </c>
      <c r="I41" s="107">
        <f>I40+28</f>
        <v>43529</v>
      </c>
      <c r="J41" s="83">
        <f t="shared" si="7"/>
        <v>41211564.810438655</v>
      </c>
      <c r="K41" s="83">
        <f t="shared" si="1"/>
        <v>7780654.6614316385</v>
      </c>
      <c r="L41" s="83">
        <f t="shared" si="8"/>
        <v>944346.26028207096</v>
      </c>
      <c r="M41" s="83">
        <f t="shared" si="9"/>
        <v>8725000.9217137098</v>
      </c>
      <c r="N41" s="108"/>
      <c r="O41" s="81"/>
    </row>
    <row r="42" spans="2:15" ht="15" customHeight="1">
      <c r="B42" s="82">
        <f t="shared" si="3"/>
        <v>32</v>
      </c>
      <c r="C42" s="83">
        <f t="shared" si="4"/>
        <v>25000000</v>
      </c>
      <c r="D42" s="105">
        <f t="shared" si="12"/>
        <v>6250000</v>
      </c>
      <c r="E42" s="83">
        <f t="shared" si="12"/>
        <v>2475000</v>
      </c>
      <c r="F42" s="105">
        <f t="shared" si="0"/>
        <v>8725000</v>
      </c>
      <c r="G42" s="106"/>
      <c r="H42" s="101">
        <f t="shared" si="6"/>
        <v>32</v>
      </c>
      <c r="I42" s="107">
        <f t="shared" si="11"/>
        <v>43560</v>
      </c>
      <c r="J42" s="83">
        <f t="shared" si="7"/>
        <v>33280934.658790901</v>
      </c>
      <c r="K42" s="83">
        <f t="shared" si="1"/>
        <v>7930630.151647754</v>
      </c>
      <c r="L42" s="83">
        <f t="shared" si="8"/>
        <v>794370.77006595617</v>
      </c>
      <c r="M42" s="83">
        <f t="shared" si="9"/>
        <v>8725000.9217137098</v>
      </c>
      <c r="N42" s="108"/>
      <c r="O42" s="81"/>
    </row>
    <row r="43" spans="2:15" ht="15" customHeight="1">
      <c r="B43" s="82">
        <f t="shared" si="3"/>
        <v>33</v>
      </c>
      <c r="C43" s="83">
        <f t="shared" si="4"/>
        <v>18750000</v>
      </c>
      <c r="D43" s="105">
        <f t="shared" si="12"/>
        <v>6250000</v>
      </c>
      <c r="E43" s="83">
        <f t="shared" si="12"/>
        <v>2475000</v>
      </c>
      <c r="F43" s="105">
        <f t="shared" si="0"/>
        <v>8725000</v>
      </c>
      <c r="G43" s="106"/>
      <c r="H43" s="101">
        <f t="shared" si="6"/>
        <v>33</v>
      </c>
      <c r="I43" s="107">
        <f>I42+30</f>
        <v>43590</v>
      </c>
      <c r="J43" s="83">
        <f t="shared" si="7"/>
        <v>25197438.17436374</v>
      </c>
      <c r="K43" s="83">
        <f t="shared" si="1"/>
        <v>8083496.4844271634</v>
      </c>
      <c r="L43" s="83">
        <f t="shared" si="8"/>
        <v>641504.43728654669</v>
      </c>
      <c r="M43" s="83">
        <f t="shared" si="9"/>
        <v>8725000.9217137098</v>
      </c>
      <c r="N43" s="108"/>
      <c r="O43" s="81"/>
    </row>
    <row r="44" spans="2:15" ht="15" customHeight="1">
      <c r="B44" s="82">
        <f t="shared" si="3"/>
        <v>34</v>
      </c>
      <c r="C44" s="83">
        <f t="shared" si="4"/>
        <v>12500000</v>
      </c>
      <c r="D44" s="105">
        <f t="shared" ref="D44:E46" si="13">D43</f>
        <v>6250000</v>
      </c>
      <c r="E44" s="83">
        <f t="shared" si="13"/>
        <v>2475000</v>
      </c>
      <c r="F44" s="105">
        <f t="shared" si="0"/>
        <v>8725000</v>
      </c>
      <c r="G44" s="106"/>
      <c r="H44" s="101">
        <f t="shared" si="6"/>
        <v>34</v>
      </c>
      <c r="I44" s="107">
        <f t="shared" si="11"/>
        <v>43621</v>
      </c>
      <c r="J44" s="83">
        <f t="shared" si="7"/>
        <v>16958128.792350765</v>
      </c>
      <c r="K44" s="83">
        <f t="shared" si="1"/>
        <v>8239309.3820129735</v>
      </c>
      <c r="L44" s="83">
        <f t="shared" si="8"/>
        <v>485691.53970073658</v>
      </c>
      <c r="M44" s="83">
        <f t="shared" si="9"/>
        <v>8725000.9217137098</v>
      </c>
      <c r="N44" s="108"/>
      <c r="O44" s="81"/>
    </row>
    <row r="45" spans="2:15" ht="15" customHeight="1">
      <c r="B45" s="82">
        <f t="shared" si="3"/>
        <v>35</v>
      </c>
      <c r="C45" s="83">
        <f t="shared" si="4"/>
        <v>6250000</v>
      </c>
      <c r="D45" s="105">
        <f t="shared" si="13"/>
        <v>6250000</v>
      </c>
      <c r="E45" s="83">
        <f t="shared" si="13"/>
        <v>2475000</v>
      </c>
      <c r="F45" s="105">
        <f t="shared" si="0"/>
        <v>8725000</v>
      </c>
      <c r="G45" s="106"/>
      <c r="H45" s="101">
        <f t="shared" si="6"/>
        <v>35</v>
      </c>
      <c r="I45" s="107">
        <f>I44+30</f>
        <v>43651</v>
      </c>
      <c r="J45" s="83">
        <f t="shared" si="7"/>
        <v>8560003.1516320929</v>
      </c>
      <c r="K45" s="83">
        <f t="shared" si="1"/>
        <v>8398125.6407186724</v>
      </c>
      <c r="L45" s="83">
        <f t="shared" si="8"/>
        <v>326875.28099503764</v>
      </c>
      <c r="M45" s="83">
        <f t="shared" si="9"/>
        <v>8725000.9217137098</v>
      </c>
      <c r="N45" s="108"/>
      <c r="O45" s="81"/>
    </row>
    <row r="46" spans="2:15" ht="15" customHeight="1" thickBot="1">
      <c r="B46" s="82">
        <f>B45+1</f>
        <v>36</v>
      </c>
      <c r="C46" s="83">
        <f>C45-D45</f>
        <v>0</v>
      </c>
      <c r="D46" s="105">
        <f t="shared" si="13"/>
        <v>6250000</v>
      </c>
      <c r="E46" s="83">
        <f t="shared" si="13"/>
        <v>2475000</v>
      </c>
      <c r="F46" s="105">
        <f t="shared" si="0"/>
        <v>8725000</v>
      </c>
      <c r="G46" s="106"/>
      <c r="H46" s="102">
        <f>H45+1</f>
        <v>36</v>
      </c>
      <c r="I46" s="109">
        <f>I45+31</f>
        <v>43682</v>
      </c>
      <c r="J46" s="110">
        <f>J45-K46</f>
        <v>7.8976154327392578E-7</v>
      </c>
      <c r="K46" s="110">
        <f t="shared" si="1"/>
        <v>8560003.1516313031</v>
      </c>
      <c r="L46" s="110">
        <f>E$5/12*J45</f>
        <v>164997.7700824076</v>
      </c>
      <c r="M46" s="110">
        <f>M45</f>
        <v>8725000.9217137098</v>
      </c>
      <c r="N46" s="108"/>
      <c r="O46" s="81"/>
    </row>
    <row r="47" spans="2:15" ht="12.75" customHeight="1" thickBot="1">
      <c r="B47" s="82"/>
      <c r="C47" s="116"/>
      <c r="D47" s="105">
        <f>SUM(D11:D46)</f>
        <v>225000000</v>
      </c>
      <c r="E47" s="105">
        <f>SUM(E11:E46)</f>
        <v>89100000</v>
      </c>
      <c r="F47" s="105">
        <f>SUM(F11:F46)</f>
        <v>314100000</v>
      </c>
      <c r="G47" s="106"/>
      <c r="H47" s="101"/>
      <c r="I47" s="101"/>
      <c r="J47" s="116"/>
      <c r="K47" s="105">
        <f>SUM(K11:K46)</f>
        <v>224999999.99999923</v>
      </c>
      <c r="L47" s="105">
        <f>SUM(L11:L46)</f>
        <v>89100033.181694329</v>
      </c>
      <c r="M47" s="105">
        <f>SUM(M11:M46)</f>
        <v>314100033.18169355</v>
      </c>
      <c r="N47" s="117">
        <f>SUM(N11:N34)</f>
        <v>17681811.855281025</v>
      </c>
    </row>
    <row r="48" spans="2:15" ht="12.75" customHeight="1">
      <c r="B48" s="78"/>
      <c r="C48" s="118"/>
      <c r="D48" s="106"/>
      <c r="E48" s="106"/>
      <c r="F48" s="106"/>
      <c r="G48" s="106"/>
      <c r="H48" s="119"/>
      <c r="I48" s="119"/>
      <c r="J48" s="118"/>
      <c r="K48" s="106"/>
      <c r="L48" s="106"/>
      <c r="M48" s="106"/>
      <c r="N48" s="81"/>
    </row>
    <row r="49" spans="5:11" ht="15" customHeight="1">
      <c r="E49" s="108"/>
      <c r="J49" s="82" t="s">
        <v>115</v>
      </c>
      <c r="K49" s="83">
        <f>L47</f>
        <v>89100033.181694329</v>
      </c>
    </row>
    <row r="50" spans="5:11" ht="15" customHeight="1">
      <c r="E50" s="108"/>
      <c r="J50" s="82" t="s">
        <v>116</v>
      </c>
      <c r="K50" s="83">
        <f>AVERAGE(J10:J45)</f>
        <v>128401830.39795378</v>
      </c>
    </row>
    <row r="51" spans="5:11" ht="15" customHeight="1">
      <c r="E51" s="120"/>
      <c r="J51" s="82" t="s">
        <v>117</v>
      </c>
      <c r="K51" s="86">
        <f>(K49/K50)/(D6/12)</f>
        <v>0.23130519999999999</v>
      </c>
    </row>
    <row r="52" spans="5:11" ht="15" customHeight="1"/>
    <row r="53" spans="5:11" ht="15" customHeight="1">
      <c r="E53" s="108"/>
      <c r="F53" s="27"/>
      <c r="G53" s="121"/>
      <c r="H53" s="27"/>
      <c r="I53" s="27"/>
      <c r="J53" s="108"/>
    </row>
    <row r="54" spans="5:11" ht="15" customHeight="1">
      <c r="E54" s="108"/>
      <c r="F54" s="27"/>
      <c r="G54" s="121"/>
      <c r="H54" s="27"/>
      <c r="I54" s="27"/>
      <c r="J54" s="108"/>
    </row>
    <row r="55" spans="5:11" ht="15" customHeight="1">
      <c r="E55" s="120"/>
      <c r="F55" s="27"/>
      <c r="G55" s="121"/>
      <c r="H55" s="27"/>
      <c r="I55" s="27"/>
      <c r="J55" s="120"/>
    </row>
    <row r="56" spans="5:11" ht="15" customHeight="1"/>
    <row r="57" spans="5:11" ht="15" customHeight="1">
      <c r="E57" s="108"/>
      <c r="J57" s="108"/>
    </row>
    <row r="58" spans="5:11" ht="15" customHeight="1">
      <c r="E58" s="108"/>
      <c r="J58" s="108"/>
    </row>
    <row r="59" spans="5:11" ht="15" customHeight="1">
      <c r="E59" s="120"/>
      <c r="J59" s="120"/>
    </row>
    <row r="60" spans="5:11" ht="15" customHeight="1"/>
    <row r="61" spans="5:11" ht="15" customHeight="1">
      <c r="E61" s="108"/>
      <c r="J61" s="108"/>
    </row>
    <row r="62" spans="5:11" ht="15" customHeight="1">
      <c r="E62" s="108"/>
      <c r="J62" s="108"/>
    </row>
    <row r="63" spans="5:11" ht="15" customHeight="1">
      <c r="E63" s="120"/>
      <c r="J63" s="120"/>
    </row>
  </sheetData>
  <customSheetViews>
    <customSheetView guid="{EB924B51-01F3-412F-ABF4-73B7E6F19BA6}" hiddenColumns="1" topLeftCell="A26">
      <selection activeCell="H9" sqref="H9:M47"/>
      <pageMargins left="0.7" right="0.7" top="0.75" bottom="0.75" header="0.3" footer="0.3"/>
    </customSheetView>
  </customSheetViews>
  <mergeCells count="3">
    <mergeCell ref="B2:F2"/>
    <mergeCell ref="H2:M2"/>
    <mergeCell ref="N8:O8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O84"/>
  <sheetViews>
    <sheetView workbookViewId="0">
      <selection activeCell="G9" sqref="G9"/>
    </sheetView>
  </sheetViews>
  <sheetFormatPr defaultColWidth="8.7109375" defaultRowHeight="15"/>
  <cols>
    <col min="1" max="2" width="8.7109375" style="75" customWidth="1"/>
    <col min="3" max="3" width="15.7109375" style="75" customWidth="1"/>
    <col min="4" max="4" width="13.7109375" style="75" customWidth="1"/>
    <col min="5" max="5" width="15.28515625" style="75" customWidth="1"/>
    <col min="6" max="6" width="13.7109375" style="75" customWidth="1"/>
    <col min="7" max="7" width="13.7109375" style="78" customWidth="1"/>
    <col min="8" max="8" width="10.5703125" style="108" customWidth="1"/>
    <col min="9" max="9" width="17.140625" style="108" hidden="1" customWidth="1"/>
    <col min="10" max="13" width="19.85546875" style="75" customWidth="1"/>
    <col min="14" max="15" width="12" style="75" hidden="1" customWidth="1"/>
    <col min="16" max="16384" width="8.7109375" style="75"/>
  </cols>
  <sheetData>
    <row r="2" spans="2:15" ht="15" customHeight="1">
      <c r="B2" s="808" t="s">
        <v>98</v>
      </c>
      <c r="C2" s="808"/>
      <c r="D2" s="808"/>
      <c r="E2" s="808"/>
      <c r="F2" s="808"/>
      <c r="G2" s="76"/>
      <c r="H2" s="809" t="s">
        <v>99</v>
      </c>
      <c r="I2" s="810"/>
      <c r="J2" s="810"/>
      <c r="K2" s="810"/>
      <c r="L2" s="810"/>
      <c r="M2" s="811"/>
    </row>
    <row r="3" spans="2:15" ht="15" customHeight="1">
      <c r="B3" s="77"/>
      <c r="C3" s="78"/>
      <c r="D3" s="78"/>
      <c r="E3" s="78"/>
      <c r="F3" s="79"/>
      <c r="H3" s="80"/>
      <c r="I3" s="81"/>
      <c r="J3" s="78"/>
      <c r="K3" s="78"/>
      <c r="L3" s="78"/>
      <c r="M3" s="79"/>
    </row>
    <row r="4" spans="2:15" ht="15" customHeight="1">
      <c r="B4" s="77"/>
      <c r="C4" s="82" t="s">
        <v>100</v>
      </c>
      <c r="D4" s="235">
        <f>RAB!D16</f>
        <v>450000000</v>
      </c>
      <c r="E4" s="78"/>
      <c r="F4" s="79"/>
      <c r="H4" s="80"/>
      <c r="I4" s="80"/>
      <c r="J4" s="256" t="s">
        <v>100</v>
      </c>
      <c r="K4" s="257">
        <f>D4</f>
        <v>450000000</v>
      </c>
      <c r="L4" s="84"/>
      <c r="M4" s="85"/>
    </row>
    <row r="5" spans="2:15" ht="15" customHeight="1">
      <c r="B5" s="77"/>
      <c r="C5" s="82" t="s">
        <v>101</v>
      </c>
      <c r="D5" s="255">
        <f>'Calculator Konversi Bunga'!C6</f>
        <v>0.13200000000000001</v>
      </c>
      <c r="E5" s="255">
        <f>'Calculator Konversi Bunga'!I6</f>
        <v>0.22083952000000001</v>
      </c>
      <c r="F5" s="79"/>
      <c r="H5" s="80"/>
      <c r="I5" s="80"/>
      <c r="J5" s="256" t="s">
        <v>102</v>
      </c>
      <c r="K5" s="258">
        <f>E5</f>
        <v>0.22083952000000001</v>
      </c>
      <c r="L5" s="260" t="s">
        <v>103</v>
      </c>
      <c r="M5" s="236">
        <f>K5/12</f>
        <v>1.8403293333333334E-2</v>
      </c>
    </row>
    <row r="6" spans="2:15" ht="15" customHeight="1">
      <c r="B6" s="77"/>
      <c r="C6" s="82" t="s">
        <v>49</v>
      </c>
      <c r="D6" s="88">
        <v>60</v>
      </c>
      <c r="E6" s="78" t="s">
        <v>187</v>
      </c>
      <c r="F6" s="89"/>
      <c r="G6" s="90"/>
      <c r="H6" s="80"/>
      <c r="I6" s="80"/>
      <c r="J6" s="256" t="str">
        <f>C5</f>
        <v>Bagi Hasil ( flat )</v>
      </c>
      <c r="K6" s="258">
        <f>D5</f>
        <v>0.13200000000000001</v>
      </c>
      <c r="L6" s="260" t="s">
        <v>103</v>
      </c>
      <c r="M6" s="236">
        <f>K6/12</f>
        <v>1.1000000000000001E-2</v>
      </c>
    </row>
    <row r="7" spans="2:15" ht="15.75" customHeight="1" thickBot="1">
      <c r="B7" s="77"/>
      <c r="C7" s="78"/>
      <c r="D7" s="224">
        <f>D6/12</f>
        <v>5</v>
      </c>
      <c r="E7" s="78" t="s">
        <v>216</v>
      </c>
      <c r="F7" s="79"/>
      <c r="H7" s="80"/>
      <c r="I7" s="80"/>
      <c r="J7" s="256" t="s">
        <v>49</v>
      </c>
      <c r="K7" s="259">
        <f>D6</f>
        <v>60</v>
      </c>
      <c r="L7" s="78"/>
      <c r="M7" s="79"/>
    </row>
    <row r="8" spans="2:15" ht="15.75" customHeight="1" thickBot="1">
      <c r="B8" s="92"/>
      <c r="C8" s="93"/>
      <c r="D8" s="93"/>
      <c r="E8" s="93"/>
      <c r="F8" s="94"/>
      <c r="H8" s="80"/>
      <c r="I8" s="81"/>
      <c r="J8" s="78"/>
      <c r="K8" s="78"/>
      <c r="L8" s="78"/>
      <c r="M8" s="79"/>
      <c r="N8" s="812" t="s">
        <v>104</v>
      </c>
      <c r="O8" s="813"/>
    </row>
    <row r="9" spans="2:15" ht="15.75" customHeight="1" thickBot="1">
      <c r="B9" s="82"/>
      <c r="C9" s="95" t="s">
        <v>105</v>
      </c>
      <c r="D9" s="95" t="s">
        <v>106</v>
      </c>
      <c r="E9" s="95" t="s">
        <v>107</v>
      </c>
      <c r="F9" s="95" t="s">
        <v>108</v>
      </c>
      <c r="G9" s="96"/>
      <c r="H9" s="97" t="s">
        <v>109</v>
      </c>
      <c r="I9" s="97" t="s">
        <v>109</v>
      </c>
      <c r="J9" s="209" t="s">
        <v>213</v>
      </c>
      <c r="K9" s="98" t="s">
        <v>110</v>
      </c>
      <c r="L9" s="98" t="s">
        <v>215</v>
      </c>
      <c r="M9" s="98" t="s">
        <v>111</v>
      </c>
      <c r="N9" s="99" t="s">
        <v>112</v>
      </c>
      <c r="O9" s="100" t="s">
        <v>113</v>
      </c>
    </row>
    <row r="10" spans="2:15" ht="15.75" customHeight="1" thickBot="1">
      <c r="B10" s="82"/>
      <c r="C10" s="495">
        <f>D4</f>
        <v>450000000</v>
      </c>
      <c r="D10" s="95"/>
      <c r="E10" s="95"/>
      <c r="F10" s="95"/>
      <c r="G10" s="96"/>
      <c r="H10" s="102" t="s">
        <v>114</v>
      </c>
      <c r="I10" s="102">
        <v>0</v>
      </c>
      <c r="J10" s="103">
        <f>D4</f>
        <v>450000000</v>
      </c>
      <c r="K10" s="104"/>
      <c r="L10" s="104"/>
      <c r="M10" s="104"/>
      <c r="N10" s="99"/>
      <c r="O10" s="100"/>
    </row>
    <row r="11" spans="2:15" ht="15" customHeight="1">
      <c r="B11" s="82">
        <v>1</v>
      </c>
      <c r="C11" s="83">
        <f>D4-D11</f>
        <v>442500000</v>
      </c>
      <c r="D11" s="105">
        <f>D4/D6</f>
        <v>7500000</v>
      </c>
      <c r="E11" s="83">
        <f>D5*D4/12</f>
        <v>4950000</v>
      </c>
      <c r="F11" s="105">
        <f t="shared" ref="F11:F46" si="0">D11+E11</f>
        <v>12450000</v>
      </c>
      <c r="G11" s="106"/>
      <c r="H11" s="101">
        <v>1</v>
      </c>
      <c r="I11" s="107">
        <v>42618</v>
      </c>
      <c r="J11" s="83">
        <f>D4-K11</f>
        <v>445831482.49663514</v>
      </c>
      <c r="K11" s="83">
        <f t="shared" ref="K11:K46" si="1">M11-L11</f>
        <v>4168517.5033648834</v>
      </c>
      <c r="L11" s="83">
        <f>E5/12*D4</f>
        <v>8281482</v>
      </c>
      <c r="M11" s="83">
        <f>-PMT(E5/12,D6,D4)</f>
        <v>12449999.503364883</v>
      </c>
      <c r="N11" s="108">
        <f t="shared" ref="N11:N34" si="2">L11-E11</f>
        <v>3331482</v>
      </c>
      <c r="O11" s="108">
        <f>N11</f>
        <v>3331482</v>
      </c>
    </row>
    <row r="12" spans="2:15" ht="15" customHeight="1">
      <c r="B12" s="82">
        <f t="shared" ref="B12:B45" si="3">B11+1</f>
        <v>2</v>
      </c>
      <c r="C12" s="83">
        <f t="shared" ref="C12:C45" si="4">C11-D11</f>
        <v>435000000</v>
      </c>
      <c r="D12" s="105">
        <f t="shared" ref="D12:E27" si="5">D11</f>
        <v>7500000</v>
      </c>
      <c r="E12" s="83">
        <f t="shared" si="5"/>
        <v>4950000</v>
      </c>
      <c r="F12" s="105">
        <f t="shared" si="0"/>
        <v>12450000</v>
      </c>
      <c r="G12" s="106"/>
      <c r="H12" s="101">
        <f t="shared" ref="H12:H45" si="6">H11+1</f>
        <v>2</v>
      </c>
      <c r="I12" s="107">
        <f>I11+30</f>
        <v>42648</v>
      </c>
      <c r="J12" s="83">
        <f t="shared" ref="J12:J45" si="7">J11-K12</f>
        <v>441586250.54289073</v>
      </c>
      <c r="K12" s="83">
        <f t="shared" si="1"/>
        <v>4245231.9537444403</v>
      </c>
      <c r="L12" s="83">
        <f t="shared" ref="L12:L45" si="8">E$5/12*J11</f>
        <v>8204767.549620443</v>
      </c>
      <c r="M12" s="83">
        <f t="shared" ref="M12:M45" si="9">M11</f>
        <v>12449999.503364883</v>
      </c>
      <c r="N12" s="108">
        <f t="shared" si="2"/>
        <v>3254767.549620443</v>
      </c>
      <c r="O12" s="108">
        <f t="shared" ref="O12:O34" si="10">N12+O11</f>
        <v>6586249.549620443</v>
      </c>
    </row>
    <row r="13" spans="2:15" ht="15" customHeight="1">
      <c r="B13" s="82">
        <f t="shared" si="3"/>
        <v>3</v>
      </c>
      <c r="C13" s="83">
        <f t="shared" si="4"/>
        <v>427500000</v>
      </c>
      <c r="D13" s="105">
        <f t="shared" si="5"/>
        <v>7500000</v>
      </c>
      <c r="E13" s="83">
        <f t="shared" si="5"/>
        <v>4950000</v>
      </c>
      <c r="F13" s="105">
        <f t="shared" si="0"/>
        <v>12450000</v>
      </c>
      <c r="G13" s="106"/>
      <c r="H13" s="101">
        <f t="shared" si="6"/>
        <v>3</v>
      </c>
      <c r="I13" s="107">
        <f t="shared" ref="I13:I44" si="11">I12+31</f>
        <v>42679</v>
      </c>
      <c r="J13" s="83">
        <f t="shared" si="7"/>
        <v>437262892.3402335</v>
      </c>
      <c r="K13" s="83">
        <f t="shared" si="1"/>
        <v>4323358.2026572386</v>
      </c>
      <c r="L13" s="83">
        <f t="shared" si="8"/>
        <v>8126641.3007076448</v>
      </c>
      <c r="M13" s="83">
        <f t="shared" si="9"/>
        <v>12449999.503364883</v>
      </c>
      <c r="N13" s="108">
        <f t="shared" si="2"/>
        <v>3176641.3007076448</v>
      </c>
      <c r="O13" s="108">
        <f t="shared" si="10"/>
        <v>9762890.8503280878</v>
      </c>
    </row>
    <row r="14" spans="2:15" ht="15" customHeight="1">
      <c r="B14" s="82">
        <f t="shared" si="3"/>
        <v>4</v>
      </c>
      <c r="C14" s="83">
        <f t="shared" si="4"/>
        <v>420000000</v>
      </c>
      <c r="D14" s="105">
        <f t="shared" si="5"/>
        <v>7500000</v>
      </c>
      <c r="E14" s="83">
        <f t="shared" si="5"/>
        <v>4950000</v>
      </c>
      <c r="F14" s="105">
        <f t="shared" si="0"/>
        <v>12450000</v>
      </c>
      <c r="G14" s="106"/>
      <c r="H14" s="101">
        <f t="shared" si="6"/>
        <v>4</v>
      </c>
      <c r="I14" s="107">
        <f>I13+30</f>
        <v>42709</v>
      </c>
      <c r="J14" s="83">
        <f t="shared" si="7"/>
        <v>432859970.10838771</v>
      </c>
      <c r="K14" s="83">
        <f t="shared" si="1"/>
        <v>4402922.2318458129</v>
      </c>
      <c r="L14" s="83">
        <f t="shared" si="8"/>
        <v>8047077.2715190705</v>
      </c>
      <c r="M14" s="83">
        <f t="shared" si="9"/>
        <v>12449999.503364883</v>
      </c>
      <c r="N14" s="108">
        <f t="shared" si="2"/>
        <v>3097077.2715190705</v>
      </c>
      <c r="O14" s="108">
        <f t="shared" si="10"/>
        <v>12859968.121847158</v>
      </c>
    </row>
    <row r="15" spans="2:15" ht="15" customHeight="1">
      <c r="B15" s="82">
        <f t="shared" si="3"/>
        <v>5</v>
      </c>
      <c r="C15" s="83">
        <f t="shared" si="4"/>
        <v>412500000</v>
      </c>
      <c r="D15" s="105">
        <f t="shared" si="5"/>
        <v>7500000</v>
      </c>
      <c r="E15" s="83">
        <f t="shared" si="5"/>
        <v>4950000</v>
      </c>
      <c r="F15" s="105">
        <f t="shared" si="0"/>
        <v>12450000</v>
      </c>
      <c r="G15" s="106"/>
      <c r="H15" s="101">
        <f t="shared" si="6"/>
        <v>5</v>
      </c>
      <c r="I15" s="107">
        <f t="shared" si="11"/>
        <v>42740</v>
      </c>
      <c r="J15" s="83">
        <f t="shared" si="7"/>
        <v>428376019.60718536</v>
      </c>
      <c r="K15" s="83">
        <f t="shared" si="1"/>
        <v>4483950.5012023253</v>
      </c>
      <c r="L15" s="83">
        <f t="shared" si="8"/>
        <v>7966049.002162558</v>
      </c>
      <c r="M15" s="83">
        <f t="shared" si="9"/>
        <v>12449999.503364883</v>
      </c>
      <c r="N15" s="108">
        <f t="shared" si="2"/>
        <v>3016049.002162558</v>
      </c>
      <c r="O15" s="108">
        <f t="shared" si="10"/>
        <v>15876017.124009717</v>
      </c>
    </row>
    <row r="16" spans="2:15" ht="15" customHeight="1">
      <c r="B16" s="82">
        <f t="shared" si="3"/>
        <v>6</v>
      </c>
      <c r="C16" s="83">
        <f t="shared" si="4"/>
        <v>405000000</v>
      </c>
      <c r="D16" s="105">
        <f t="shared" si="5"/>
        <v>7500000</v>
      </c>
      <c r="E16" s="83">
        <f t="shared" si="5"/>
        <v>4950000</v>
      </c>
      <c r="F16" s="105">
        <f t="shared" si="0"/>
        <v>12450000</v>
      </c>
      <c r="G16" s="106"/>
      <c r="H16" s="101">
        <f t="shared" si="6"/>
        <v>6</v>
      </c>
      <c r="I16" s="107">
        <f t="shared" si="11"/>
        <v>42771</v>
      </c>
      <c r="J16" s="83">
        <f t="shared" si="7"/>
        <v>423809549.64961725</v>
      </c>
      <c r="K16" s="83">
        <f t="shared" si="1"/>
        <v>4566469.9575680997</v>
      </c>
      <c r="L16" s="83">
        <f t="shared" si="8"/>
        <v>7883529.5457967836</v>
      </c>
      <c r="M16" s="83">
        <f t="shared" si="9"/>
        <v>12449999.503364883</v>
      </c>
      <c r="N16" s="108">
        <f t="shared" si="2"/>
        <v>2933529.5457967836</v>
      </c>
      <c r="O16" s="108">
        <f t="shared" si="10"/>
        <v>18809546.669806503</v>
      </c>
    </row>
    <row r="17" spans="2:15" ht="15" customHeight="1">
      <c r="B17" s="82">
        <f t="shared" si="3"/>
        <v>7</v>
      </c>
      <c r="C17" s="83">
        <f t="shared" si="4"/>
        <v>397500000</v>
      </c>
      <c r="D17" s="105">
        <f t="shared" si="5"/>
        <v>7500000</v>
      </c>
      <c r="E17" s="83">
        <f t="shared" si="5"/>
        <v>4950000</v>
      </c>
      <c r="F17" s="105">
        <f t="shared" si="0"/>
        <v>12450000</v>
      </c>
      <c r="G17" s="106"/>
      <c r="H17" s="101">
        <f t="shared" si="6"/>
        <v>7</v>
      </c>
      <c r="I17" s="107">
        <f>I16+28</f>
        <v>42799</v>
      </c>
      <c r="J17" s="83">
        <f t="shared" si="7"/>
        <v>419159041.60592216</v>
      </c>
      <c r="K17" s="83">
        <f t="shared" si="1"/>
        <v>4650508.0436950792</v>
      </c>
      <c r="L17" s="83">
        <f t="shared" si="8"/>
        <v>7799491.4596698042</v>
      </c>
      <c r="M17" s="83">
        <f t="shared" si="9"/>
        <v>12449999.503364883</v>
      </c>
      <c r="N17" s="108">
        <f t="shared" si="2"/>
        <v>2849491.4596698042</v>
      </c>
      <c r="O17" s="108">
        <f t="shared" si="10"/>
        <v>21659038.129476309</v>
      </c>
    </row>
    <row r="18" spans="2:15" ht="15" customHeight="1">
      <c r="B18" s="82">
        <f t="shared" si="3"/>
        <v>8</v>
      </c>
      <c r="C18" s="83">
        <f t="shared" si="4"/>
        <v>390000000</v>
      </c>
      <c r="D18" s="105">
        <f t="shared" si="5"/>
        <v>7500000</v>
      </c>
      <c r="E18" s="83">
        <f t="shared" si="5"/>
        <v>4950000</v>
      </c>
      <c r="F18" s="105">
        <f t="shared" si="0"/>
        <v>12450000</v>
      </c>
      <c r="G18" s="106"/>
      <c r="H18" s="101">
        <f t="shared" si="6"/>
        <v>8</v>
      </c>
      <c r="I18" s="107">
        <f t="shared" si="11"/>
        <v>42830</v>
      </c>
      <c r="J18" s="83">
        <f t="shared" si="7"/>
        <v>414422948.89854991</v>
      </c>
      <c r="K18" s="83">
        <f t="shared" si="1"/>
        <v>4736092.7073722268</v>
      </c>
      <c r="L18" s="83">
        <f t="shared" si="8"/>
        <v>7713906.7959926566</v>
      </c>
      <c r="M18" s="83">
        <f t="shared" si="9"/>
        <v>12449999.503364883</v>
      </c>
      <c r="N18" s="108">
        <f t="shared" si="2"/>
        <v>2763906.7959926566</v>
      </c>
      <c r="O18" s="108">
        <f t="shared" si="10"/>
        <v>24422944.925468966</v>
      </c>
    </row>
    <row r="19" spans="2:15" ht="15" customHeight="1">
      <c r="B19" s="82">
        <f t="shared" si="3"/>
        <v>9</v>
      </c>
      <c r="C19" s="83">
        <f t="shared" si="4"/>
        <v>382500000</v>
      </c>
      <c r="D19" s="105">
        <f t="shared" si="5"/>
        <v>7500000</v>
      </c>
      <c r="E19" s="83">
        <f t="shared" si="5"/>
        <v>4950000</v>
      </c>
      <c r="F19" s="105">
        <f t="shared" si="0"/>
        <v>12450000</v>
      </c>
      <c r="G19" s="106"/>
      <c r="H19" s="101">
        <f t="shared" si="6"/>
        <v>9</v>
      </c>
      <c r="I19" s="107">
        <f>I18+30</f>
        <v>42860</v>
      </c>
      <c r="J19" s="83">
        <f t="shared" si="7"/>
        <v>409599696.48783004</v>
      </c>
      <c r="K19" s="83">
        <f t="shared" si="1"/>
        <v>4823252.4107198585</v>
      </c>
      <c r="L19" s="83">
        <f t="shared" si="8"/>
        <v>7626747.0926450249</v>
      </c>
      <c r="M19" s="83">
        <f t="shared" si="9"/>
        <v>12449999.503364883</v>
      </c>
      <c r="N19" s="108">
        <f t="shared" si="2"/>
        <v>2676747.0926450249</v>
      </c>
      <c r="O19" s="108">
        <f t="shared" si="10"/>
        <v>27099692.018113993</v>
      </c>
    </row>
    <row r="20" spans="2:15" ht="15" customHeight="1">
      <c r="B20" s="82">
        <f t="shared" si="3"/>
        <v>10</v>
      </c>
      <c r="C20" s="83">
        <f t="shared" si="4"/>
        <v>375000000</v>
      </c>
      <c r="D20" s="105">
        <f t="shared" si="5"/>
        <v>7500000</v>
      </c>
      <c r="E20" s="83">
        <f t="shared" si="5"/>
        <v>4950000</v>
      </c>
      <c r="F20" s="105">
        <f t="shared" si="0"/>
        <v>12450000</v>
      </c>
      <c r="G20" s="106"/>
      <c r="H20" s="101">
        <f t="shared" si="6"/>
        <v>10</v>
      </c>
      <c r="I20" s="107">
        <f t="shared" si="11"/>
        <v>42891</v>
      </c>
      <c r="J20" s="83">
        <f t="shared" si="7"/>
        <v>404687680.34817499</v>
      </c>
      <c r="K20" s="83">
        <f t="shared" si="1"/>
        <v>4912016.1396550434</v>
      </c>
      <c r="L20" s="83">
        <f t="shared" si="8"/>
        <v>7537983.36370984</v>
      </c>
      <c r="M20" s="83">
        <f t="shared" si="9"/>
        <v>12449999.503364883</v>
      </c>
      <c r="N20" s="108">
        <f t="shared" si="2"/>
        <v>2587983.36370984</v>
      </c>
      <c r="O20" s="108">
        <f t="shared" si="10"/>
        <v>29687675.381823834</v>
      </c>
    </row>
    <row r="21" spans="2:15" ht="15" customHeight="1">
      <c r="B21" s="82">
        <f t="shared" si="3"/>
        <v>11</v>
      </c>
      <c r="C21" s="83">
        <f t="shared" si="4"/>
        <v>367500000</v>
      </c>
      <c r="D21" s="105">
        <f t="shared" si="5"/>
        <v>7500000</v>
      </c>
      <c r="E21" s="83">
        <f t="shared" si="5"/>
        <v>4950000</v>
      </c>
      <c r="F21" s="105">
        <f t="shared" si="0"/>
        <v>12450000</v>
      </c>
      <c r="G21" s="106"/>
      <c r="H21" s="101">
        <f t="shared" si="6"/>
        <v>11</v>
      </c>
      <c r="I21" s="107">
        <f>I20+30</f>
        <v>42921</v>
      </c>
      <c r="J21" s="83">
        <f t="shared" si="7"/>
        <v>399685266.93464381</v>
      </c>
      <c r="K21" s="83">
        <f t="shared" si="1"/>
        <v>5002413.4135311833</v>
      </c>
      <c r="L21" s="83">
        <f t="shared" si="8"/>
        <v>7447586.0898337001</v>
      </c>
      <c r="M21" s="83">
        <f t="shared" si="9"/>
        <v>12449999.503364883</v>
      </c>
      <c r="N21" s="108">
        <f t="shared" si="2"/>
        <v>2497586.0898337001</v>
      </c>
      <c r="O21" s="81">
        <f t="shared" si="10"/>
        <v>32185261.471657533</v>
      </c>
    </row>
    <row r="22" spans="2:15" ht="15" customHeight="1">
      <c r="B22" s="82">
        <f t="shared" si="3"/>
        <v>12</v>
      </c>
      <c r="C22" s="83">
        <f t="shared" si="4"/>
        <v>360000000</v>
      </c>
      <c r="D22" s="105">
        <f t="shared" si="5"/>
        <v>7500000</v>
      </c>
      <c r="E22" s="83">
        <f t="shared" si="5"/>
        <v>4950000</v>
      </c>
      <c r="F22" s="105">
        <f t="shared" si="0"/>
        <v>12450000</v>
      </c>
      <c r="G22" s="106"/>
      <c r="H22" s="102">
        <f t="shared" si="6"/>
        <v>12</v>
      </c>
      <c r="I22" s="109">
        <f t="shared" si="11"/>
        <v>42952</v>
      </c>
      <c r="J22" s="110">
        <f t="shared" si="7"/>
        <v>394590792.63968879</v>
      </c>
      <c r="K22" s="110">
        <f t="shared" si="1"/>
        <v>5094474.2949549984</v>
      </c>
      <c r="L22" s="110">
        <f t="shared" si="8"/>
        <v>7355525.2084098849</v>
      </c>
      <c r="M22" s="110">
        <f t="shared" si="9"/>
        <v>12449999.503364883</v>
      </c>
      <c r="N22" s="108">
        <f t="shared" si="2"/>
        <v>2405525.2084098849</v>
      </c>
      <c r="O22" s="81">
        <f t="shared" si="10"/>
        <v>34590786.68006742</v>
      </c>
    </row>
    <row r="23" spans="2:15" ht="15" customHeight="1">
      <c r="B23" s="82">
        <f t="shared" si="3"/>
        <v>13</v>
      </c>
      <c r="C23" s="83">
        <f t="shared" si="4"/>
        <v>352500000</v>
      </c>
      <c r="D23" s="105">
        <f t="shared" si="5"/>
        <v>7500000</v>
      </c>
      <c r="E23" s="83">
        <f t="shared" si="5"/>
        <v>4950000</v>
      </c>
      <c r="F23" s="105">
        <f t="shared" si="0"/>
        <v>12450000</v>
      </c>
      <c r="G23" s="106"/>
      <c r="H23" s="101">
        <f t="shared" si="6"/>
        <v>13</v>
      </c>
      <c r="I23" s="107">
        <f t="shared" si="11"/>
        <v>42983</v>
      </c>
      <c r="J23" s="83">
        <f t="shared" si="7"/>
        <v>389402563.23990458</v>
      </c>
      <c r="K23" s="83">
        <f t="shared" si="1"/>
        <v>5188229.3997841822</v>
      </c>
      <c r="L23" s="83">
        <f t="shared" si="8"/>
        <v>7261770.1035807012</v>
      </c>
      <c r="M23" s="83">
        <f t="shared" si="9"/>
        <v>12449999.503364883</v>
      </c>
      <c r="N23" s="108">
        <f t="shared" si="2"/>
        <v>2311770.1035807012</v>
      </c>
      <c r="O23" s="81">
        <f t="shared" si="10"/>
        <v>36902556.783648118</v>
      </c>
    </row>
    <row r="24" spans="2:15" ht="15" customHeight="1">
      <c r="B24" s="82">
        <f t="shared" si="3"/>
        <v>14</v>
      </c>
      <c r="C24" s="83">
        <f t="shared" si="4"/>
        <v>345000000</v>
      </c>
      <c r="D24" s="105">
        <f t="shared" si="5"/>
        <v>7500000</v>
      </c>
      <c r="E24" s="83">
        <f t="shared" si="5"/>
        <v>4950000</v>
      </c>
      <c r="F24" s="105">
        <f t="shared" si="0"/>
        <v>12450000</v>
      </c>
      <c r="G24" s="106"/>
      <c r="H24" s="101">
        <f t="shared" si="6"/>
        <v>14</v>
      </c>
      <c r="I24" s="107">
        <f>I23+30</f>
        <v>43013</v>
      </c>
      <c r="J24" s="83">
        <f t="shared" si="7"/>
        <v>384118853.33259553</v>
      </c>
      <c r="K24" s="83">
        <f t="shared" si="1"/>
        <v>5283709.9073090348</v>
      </c>
      <c r="L24" s="83">
        <f t="shared" si="8"/>
        <v>7166289.5960558485</v>
      </c>
      <c r="M24" s="83">
        <f t="shared" si="9"/>
        <v>12449999.503364883</v>
      </c>
      <c r="N24" s="108">
        <f t="shared" si="2"/>
        <v>2216289.5960558485</v>
      </c>
      <c r="O24" s="81">
        <f t="shared" si="10"/>
        <v>39118846.379703969</v>
      </c>
    </row>
    <row r="25" spans="2:15" ht="15" customHeight="1">
      <c r="B25" s="82">
        <f t="shared" si="3"/>
        <v>15</v>
      </c>
      <c r="C25" s="83">
        <f t="shared" si="4"/>
        <v>337500000</v>
      </c>
      <c r="D25" s="105">
        <f t="shared" si="5"/>
        <v>7500000</v>
      </c>
      <c r="E25" s="83">
        <f t="shared" si="5"/>
        <v>4950000</v>
      </c>
      <c r="F25" s="105">
        <f t="shared" si="0"/>
        <v>12450000</v>
      </c>
      <c r="G25" s="106"/>
      <c r="H25" s="101">
        <f t="shared" si="6"/>
        <v>15</v>
      </c>
      <c r="I25" s="107">
        <f t="shared" si="11"/>
        <v>43044</v>
      </c>
      <c r="J25" s="83">
        <f t="shared" si="7"/>
        <v>378737905.76197404</v>
      </c>
      <c r="K25" s="83">
        <f t="shared" si="1"/>
        <v>5380947.570621483</v>
      </c>
      <c r="L25" s="83">
        <f t="shared" si="8"/>
        <v>7069051.9327434003</v>
      </c>
      <c r="M25" s="83">
        <f t="shared" si="9"/>
        <v>12449999.503364883</v>
      </c>
      <c r="N25" s="108">
        <f t="shared" si="2"/>
        <v>2119051.9327434003</v>
      </c>
      <c r="O25" s="81">
        <f t="shared" si="10"/>
        <v>41237898.312447369</v>
      </c>
    </row>
    <row r="26" spans="2:15" ht="15" customHeight="1">
      <c r="B26" s="82">
        <f t="shared" si="3"/>
        <v>16</v>
      </c>
      <c r="C26" s="83">
        <f t="shared" si="4"/>
        <v>330000000</v>
      </c>
      <c r="D26" s="105">
        <f t="shared" si="5"/>
        <v>7500000</v>
      </c>
      <c r="E26" s="83">
        <f t="shared" si="5"/>
        <v>4950000</v>
      </c>
      <c r="F26" s="105">
        <f t="shared" si="0"/>
        <v>12450000</v>
      </c>
      <c r="G26" s="106"/>
      <c r="H26" s="101">
        <f t="shared" si="6"/>
        <v>16</v>
      </c>
      <c r="I26" s="107">
        <f>I25+30</f>
        <v>43074</v>
      </c>
      <c r="J26" s="83">
        <f t="shared" si="7"/>
        <v>373257931.0347991</v>
      </c>
      <c r="K26" s="83">
        <f t="shared" si="1"/>
        <v>5479974.7271749182</v>
      </c>
      <c r="L26" s="83">
        <f t="shared" si="8"/>
        <v>6970024.7761899652</v>
      </c>
      <c r="M26" s="83">
        <f t="shared" si="9"/>
        <v>12449999.503364883</v>
      </c>
      <c r="N26" s="108">
        <f t="shared" si="2"/>
        <v>2020024.7761899652</v>
      </c>
      <c r="O26" s="81">
        <f t="shared" si="10"/>
        <v>43257923.088637337</v>
      </c>
    </row>
    <row r="27" spans="2:15" ht="15" customHeight="1">
      <c r="B27" s="82">
        <f t="shared" si="3"/>
        <v>17</v>
      </c>
      <c r="C27" s="83">
        <f t="shared" si="4"/>
        <v>322500000</v>
      </c>
      <c r="D27" s="105">
        <f t="shared" si="5"/>
        <v>7500000</v>
      </c>
      <c r="E27" s="83">
        <f t="shared" si="5"/>
        <v>4950000</v>
      </c>
      <c r="F27" s="105">
        <f t="shared" si="0"/>
        <v>12450000</v>
      </c>
      <c r="G27" s="106"/>
      <c r="H27" s="101">
        <f t="shared" si="6"/>
        <v>17</v>
      </c>
      <c r="I27" s="107">
        <f t="shared" si="11"/>
        <v>43105</v>
      </c>
      <c r="J27" s="83">
        <f t="shared" si="7"/>
        <v>367677106.72526073</v>
      </c>
      <c r="K27" s="83">
        <f t="shared" si="1"/>
        <v>5580824.3095383719</v>
      </c>
      <c r="L27" s="83">
        <f t="shared" si="8"/>
        <v>6869175.1938265115</v>
      </c>
      <c r="M27" s="83">
        <f t="shared" si="9"/>
        <v>12449999.503364883</v>
      </c>
      <c r="N27" s="108">
        <f t="shared" si="2"/>
        <v>1919175.1938265115</v>
      </c>
      <c r="O27" s="81">
        <f t="shared" si="10"/>
        <v>45177098.282463849</v>
      </c>
    </row>
    <row r="28" spans="2:15" ht="15" customHeight="1">
      <c r="B28" s="82">
        <f t="shared" si="3"/>
        <v>18</v>
      </c>
      <c r="C28" s="83">
        <f t="shared" si="4"/>
        <v>315000000</v>
      </c>
      <c r="D28" s="105">
        <f t="shared" ref="D28:E43" si="12">D27</f>
        <v>7500000</v>
      </c>
      <c r="E28" s="83">
        <f t="shared" si="12"/>
        <v>4950000</v>
      </c>
      <c r="F28" s="105">
        <f t="shared" si="0"/>
        <v>12450000</v>
      </c>
      <c r="G28" s="106"/>
      <c r="H28" s="101">
        <f t="shared" si="6"/>
        <v>18</v>
      </c>
      <c r="I28" s="107">
        <f t="shared" si="11"/>
        <v>43136</v>
      </c>
      <c r="J28" s="83">
        <f t="shared" si="7"/>
        <v>361993576.8689121</v>
      </c>
      <c r="K28" s="83">
        <f t="shared" si="1"/>
        <v>5683529.856348604</v>
      </c>
      <c r="L28" s="83">
        <f t="shared" si="8"/>
        <v>6766469.6470162794</v>
      </c>
      <c r="M28" s="83">
        <f t="shared" si="9"/>
        <v>12449999.503364883</v>
      </c>
      <c r="N28" s="108">
        <f t="shared" si="2"/>
        <v>1816469.6470162794</v>
      </c>
      <c r="O28" s="81">
        <f t="shared" si="10"/>
        <v>46993567.929480128</v>
      </c>
    </row>
    <row r="29" spans="2:15" ht="15" customHeight="1">
      <c r="B29" s="82">
        <f t="shared" si="3"/>
        <v>19</v>
      </c>
      <c r="C29" s="83">
        <f t="shared" si="4"/>
        <v>307500000</v>
      </c>
      <c r="D29" s="105">
        <f t="shared" si="12"/>
        <v>7500000</v>
      </c>
      <c r="E29" s="83">
        <f t="shared" si="12"/>
        <v>4950000</v>
      </c>
      <c r="F29" s="105">
        <f t="shared" si="0"/>
        <v>12450000</v>
      </c>
      <c r="G29" s="106"/>
      <c r="H29" s="101">
        <f t="shared" si="6"/>
        <v>19</v>
      </c>
      <c r="I29" s="107">
        <f>I28+28</f>
        <v>43164</v>
      </c>
      <c r="J29" s="83">
        <f t="shared" si="7"/>
        <v>356205451.34544837</v>
      </c>
      <c r="K29" s="83">
        <f t="shared" si="1"/>
        <v>5788125.5234637456</v>
      </c>
      <c r="L29" s="83">
        <f t="shared" si="8"/>
        <v>6661873.9799011378</v>
      </c>
      <c r="M29" s="83">
        <f t="shared" si="9"/>
        <v>12449999.503364883</v>
      </c>
      <c r="N29" s="108">
        <f t="shared" si="2"/>
        <v>1711873.9799011378</v>
      </c>
      <c r="O29" s="81">
        <f t="shared" si="10"/>
        <v>48705441.909381263</v>
      </c>
    </row>
    <row r="30" spans="2:15" ht="15" customHeight="1">
      <c r="B30" s="111">
        <f t="shared" si="3"/>
        <v>20</v>
      </c>
      <c r="C30" s="112">
        <f t="shared" si="4"/>
        <v>300000000</v>
      </c>
      <c r="D30" s="113">
        <f t="shared" si="12"/>
        <v>7500000</v>
      </c>
      <c r="E30" s="112">
        <f t="shared" si="12"/>
        <v>4950000</v>
      </c>
      <c r="F30" s="113">
        <f t="shared" si="0"/>
        <v>12450000</v>
      </c>
      <c r="G30" s="114"/>
      <c r="H30" s="101">
        <f t="shared" si="6"/>
        <v>20</v>
      </c>
      <c r="I30" s="107">
        <f t="shared" si="11"/>
        <v>43195</v>
      </c>
      <c r="J30" s="112">
        <f t="shared" si="7"/>
        <v>350310805.25012618</v>
      </c>
      <c r="K30" s="112">
        <f t="shared" si="1"/>
        <v>5894646.095322202</v>
      </c>
      <c r="L30" s="112">
        <f t="shared" si="8"/>
        <v>6555353.4080426814</v>
      </c>
      <c r="M30" s="112">
        <f t="shared" si="9"/>
        <v>12449999.503364883</v>
      </c>
      <c r="N30" s="115">
        <f t="shared" si="2"/>
        <v>1605353.4080426814</v>
      </c>
      <c r="O30" s="81">
        <f t="shared" si="10"/>
        <v>50310795.317423947</v>
      </c>
    </row>
    <row r="31" spans="2:15" ht="15" customHeight="1">
      <c r="B31" s="82">
        <f t="shared" si="3"/>
        <v>21</v>
      </c>
      <c r="C31" s="83">
        <f t="shared" si="4"/>
        <v>292500000</v>
      </c>
      <c r="D31" s="105">
        <f t="shared" si="12"/>
        <v>7500000</v>
      </c>
      <c r="E31" s="83">
        <f t="shared" si="12"/>
        <v>4950000</v>
      </c>
      <c r="F31" s="105">
        <f t="shared" si="0"/>
        <v>12450000</v>
      </c>
      <c r="G31" s="106"/>
      <c r="H31" s="101">
        <f t="shared" si="6"/>
        <v>21</v>
      </c>
      <c r="I31" s="107">
        <f>I30+30</f>
        <v>43225</v>
      </c>
      <c r="J31" s="83">
        <f t="shared" si="7"/>
        <v>344307678.25361556</v>
      </c>
      <c r="K31" s="83">
        <f t="shared" si="1"/>
        <v>6003126.9965106044</v>
      </c>
      <c r="L31" s="83">
        <f t="shared" si="8"/>
        <v>6446872.506854279</v>
      </c>
      <c r="M31" s="83">
        <f t="shared" si="9"/>
        <v>12449999.503364883</v>
      </c>
      <c r="N31" s="108">
        <f t="shared" si="2"/>
        <v>1496872.506854279</v>
      </c>
      <c r="O31" s="81">
        <f t="shared" si="10"/>
        <v>51807667.824278228</v>
      </c>
    </row>
    <row r="32" spans="2:15" ht="15" customHeight="1">
      <c r="B32" s="82">
        <f t="shared" si="3"/>
        <v>22</v>
      </c>
      <c r="C32" s="83">
        <f t="shared" si="4"/>
        <v>285000000</v>
      </c>
      <c r="D32" s="105">
        <f t="shared" si="12"/>
        <v>7500000</v>
      </c>
      <c r="E32" s="83">
        <f t="shared" si="12"/>
        <v>4950000</v>
      </c>
      <c r="F32" s="105">
        <f t="shared" si="0"/>
        <v>12450000</v>
      </c>
      <c r="G32" s="106"/>
      <c r="H32" s="101">
        <f t="shared" si="6"/>
        <v>22</v>
      </c>
      <c r="I32" s="107">
        <f t="shared" si="11"/>
        <v>43256</v>
      </c>
      <c r="J32" s="83">
        <f t="shared" si="7"/>
        <v>338194073.95007092</v>
      </c>
      <c r="K32" s="83">
        <f t="shared" si="1"/>
        <v>6113604.3035446415</v>
      </c>
      <c r="L32" s="83">
        <f t="shared" si="8"/>
        <v>6336395.1998202419</v>
      </c>
      <c r="M32" s="83">
        <f t="shared" si="9"/>
        <v>12449999.503364883</v>
      </c>
      <c r="N32" s="108">
        <f t="shared" si="2"/>
        <v>1386395.1998202419</v>
      </c>
      <c r="O32" s="81">
        <f t="shared" si="10"/>
        <v>53194063.024098471</v>
      </c>
    </row>
    <row r="33" spans="2:15" ht="15" customHeight="1">
      <c r="B33" s="82">
        <f t="shared" si="3"/>
        <v>23</v>
      </c>
      <c r="C33" s="83">
        <f t="shared" si="4"/>
        <v>277500000</v>
      </c>
      <c r="D33" s="105">
        <f t="shared" si="12"/>
        <v>7500000</v>
      </c>
      <c r="E33" s="83">
        <f t="shared" si="12"/>
        <v>4950000</v>
      </c>
      <c r="F33" s="105">
        <f t="shared" si="0"/>
        <v>12450000</v>
      </c>
      <c r="G33" s="106"/>
      <c r="H33" s="101">
        <f t="shared" si="6"/>
        <v>23</v>
      </c>
      <c r="I33" s="107">
        <f>I32+30</f>
        <v>43286</v>
      </c>
      <c r="J33" s="83">
        <f t="shared" si="7"/>
        <v>331967959.19320422</v>
      </c>
      <c r="K33" s="83">
        <f t="shared" si="1"/>
        <v>6226114.7568667028</v>
      </c>
      <c r="L33" s="83">
        <f t="shared" si="8"/>
        <v>6223884.7464981806</v>
      </c>
      <c r="M33" s="83">
        <f t="shared" si="9"/>
        <v>12449999.503364883</v>
      </c>
      <c r="N33" s="108">
        <f t="shared" si="2"/>
        <v>1273884.7464981806</v>
      </c>
      <c r="O33" s="81">
        <f t="shared" si="10"/>
        <v>54467947.770596653</v>
      </c>
    </row>
    <row r="34" spans="2:15" ht="15" customHeight="1">
      <c r="B34" s="82">
        <f t="shared" si="3"/>
        <v>24</v>
      </c>
      <c r="C34" s="83">
        <f t="shared" si="4"/>
        <v>270000000</v>
      </c>
      <c r="D34" s="105">
        <f t="shared" si="12"/>
        <v>7500000</v>
      </c>
      <c r="E34" s="83">
        <f t="shared" si="12"/>
        <v>4950000</v>
      </c>
      <c r="F34" s="105">
        <f t="shared" si="0"/>
        <v>12450000</v>
      </c>
      <c r="G34" s="106"/>
      <c r="H34" s="102">
        <f t="shared" si="6"/>
        <v>24</v>
      </c>
      <c r="I34" s="109">
        <f t="shared" si="11"/>
        <v>43317</v>
      </c>
      <c r="J34" s="110">
        <f t="shared" si="7"/>
        <v>325627263.42013991</v>
      </c>
      <c r="K34" s="110">
        <f t="shared" si="1"/>
        <v>6340695.7730643153</v>
      </c>
      <c r="L34" s="110">
        <f t="shared" si="8"/>
        <v>6109303.730300568</v>
      </c>
      <c r="M34" s="110">
        <f t="shared" si="9"/>
        <v>12449999.503364883</v>
      </c>
      <c r="N34" s="108">
        <f t="shared" si="2"/>
        <v>1159303.730300568</v>
      </c>
      <c r="O34" s="81">
        <f t="shared" si="10"/>
        <v>55627251.500897221</v>
      </c>
    </row>
    <row r="35" spans="2:15" ht="15" customHeight="1">
      <c r="B35" s="82">
        <f t="shared" si="3"/>
        <v>25</v>
      </c>
      <c r="C35" s="83">
        <f t="shared" si="4"/>
        <v>262500000</v>
      </c>
      <c r="D35" s="105">
        <f t="shared" si="12"/>
        <v>7500000</v>
      </c>
      <c r="E35" s="83">
        <f t="shared" si="12"/>
        <v>4950000</v>
      </c>
      <c r="F35" s="105">
        <f t="shared" si="0"/>
        <v>12450000</v>
      </c>
      <c r="G35" s="106"/>
      <c r="H35" s="101">
        <f t="shared" si="6"/>
        <v>25</v>
      </c>
      <c r="I35" s="107">
        <f t="shared" si="11"/>
        <v>43348</v>
      </c>
      <c r="J35" s="83">
        <f t="shared" si="7"/>
        <v>319169877.96282649</v>
      </c>
      <c r="K35" s="83">
        <f t="shared" si="1"/>
        <v>6457385.4573134454</v>
      </c>
      <c r="L35" s="83">
        <f t="shared" si="8"/>
        <v>5992614.046051438</v>
      </c>
      <c r="M35" s="83">
        <f t="shared" si="9"/>
        <v>12449999.503364883</v>
      </c>
      <c r="N35" s="108"/>
      <c r="O35" s="81"/>
    </row>
    <row r="36" spans="2:15" ht="15" customHeight="1">
      <c r="B36" s="82">
        <f t="shared" si="3"/>
        <v>26</v>
      </c>
      <c r="C36" s="83">
        <f t="shared" si="4"/>
        <v>255000000</v>
      </c>
      <c r="D36" s="105">
        <f t="shared" si="12"/>
        <v>7500000</v>
      </c>
      <c r="E36" s="83">
        <f t="shared" si="12"/>
        <v>4950000</v>
      </c>
      <c r="F36" s="105">
        <f t="shared" si="0"/>
        <v>12450000</v>
      </c>
      <c r="G36" s="106"/>
      <c r="H36" s="101">
        <f t="shared" si="6"/>
        <v>26</v>
      </c>
      <c r="I36" s="107">
        <f>I35+30</f>
        <v>43378</v>
      </c>
      <c r="J36" s="83">
        <f t="shared" si="7"/>
        <v>312593655.34677571</v>
      </c>
      <c r="K36" s="83">
        <f t="shared" si="1"/>
        <v>6576222.6160507845</v>
      </c>
      <c r="L36" s="83">
        <f t="shared" si="8"/>
        <v>5873776.8873140989</v>
      </c>
      <c r="M36" s="83">
        <f t="shared" si="9"/>
        <v>12449999.503364883</v>
      </c>
      <c r="N36" s="108"/>
      <c r="O36" s="81"/>
    </row>
    <row r="37" spans="2:15" ht="15" customHeight="1">
      <c r="B37" s="82">
        <f t="shared" si="3"/>
        <v>27</v>
      </c>
      <c r="C37" s="83">
        <f t="shared" si="4"/>
        <v>247500000</v>
      </c>
      <c r="D37" s="105">
        <f t="shared" si="12"/>
        <v>7500000</v>
      </c>
      <c r="E37" s="83">
        <f t="shared" si="12"/>
        <v>4950000</v>
      </c>
      <c r="F37" s="105">
        <f t="shared" si="0"/>
        <v>12450000</v>
      </c>
      <c r="G37" s="106"/>
      <c r="H37" s="101">
        <f t="shared" si="6"/>
        <v>27</v>
      </c>
      <c r="I37" s="107">
        <f t="shared" si="11"/>
        <v>43409</v>
      </c>
      <c r="J37" s="83">
        <f t="shared" si="7"/>
        <v>305896408.57689643</v>
      </c>
      <c r="K37" s="83">
        <f t="shared" si="1"/>
        <v>6697246.7698792676</v>
      </c>
      <c r="L37" s="83">
        <f t="shared" si="8"/>
        <v>5752752.7334856158</v>
      </c>
      <c r="M37" s="83">
        <f t="shared" si="9"/>
        <v>12449999.503364883</v>
      </c>
      <c r="N37" s="108"/>
      <c r="O37" s="81"/>
    </row>
    <row r="38" spans="2:15" ht="15" customHeight="1">
      <c r="B38" s="82">
        <f t="shared" si="3"/>
        <v>28</v>
      </c>
      <c r="C38" s="83">
        <f t="shared" si="4"/>
        <v>240000000</v>
      </c>
      <c r="D38" s="105">
        <f t="shared" si="12"/>
        <v>7500000</v>
      </c>
      <c r="E38" s="83">
        <f t="shared" si="12"/>
        <v>4950000</v>
      </c>
      <c r="F38" s="105">
        <f t="shared" si="0"/>
        <v>12450000</v>
      </c>
      <c r="G38" s="106"/>
      <c r="H38" s="101">
        <f t="shared" si="6"/>
        <v>28</v>
      </c>
      <c r="I38" s="107">
        <f>I37+30</f>
        <v>43439</v>
      </c>
      <c r="J38" s="83">
        <f t="shared" si="7"/>
        <v>299075910.41018534</v>
      </c>
      <c r="K38" s="83">
        <f t="shared" si="1"/>
        <v>6820498.1667110752</v>
      </c>
      <c r="L38" s="83">
        <f t="shared" si="8"/>
        <v>5629501.3366538081</v>
      </c>
      <c r="M38" s="83">
        <f t="shared" si="9"/>
        <v>12449999.503364883</v>
      </c>
      <c r="N38" s="108"/>
      <c r="O38" s="81"/>
    </row>
    <row r="39" spans="2:15" ht="15" customHeight="1">
      <c r="B39" s="82">
        <f t="shared" si="3"/>
        <v>29</v>
      </c>
      <c r="C39" s="83">
        <f t="shared" si="4"/>
        <v>232500000</v>
      </c>
      <c r="D39" s="105">
        <f t="shared" si="12"/>
        <v>7500000</v>
      </c>
      <c r="E39" s="83">
        <f t="shared" si="12"/>
        <v>4950000</v>
      </c>
      <c r="F39" s="105">
        <f t="shared" si="0"/>
        <v>12450000</v>
      </c>
      <c r="G39" s="106"/>
      <c r="H39" s="101">
        <f t="shared" si="6"/>
        <v>29</v>
      </c>
      <c r="I39" s="107">
        <f t="shared" si="11"/>
        <v>43470</v>
      </c>
      <c r="J39" s="83">
        <f t="shared" si="7"/>
        <v>292129892.61503279</v>
      </c>
      <c r="K39" s="83">
        <f t="shared" si="1"/>
        <v>6946017.7951525217</v>
      </c>
      <c r="L39" s="83">
        <f t="shared" si="8"/>
        <v>5503981.7082123617</v>
      </c>
      <c r="M39" s="83">
        <f t="shared" si="9"/>
        <v>12449999.503364883</v>
      </c>
      <c r="N39" s="108"/>
      <c r="O39" s="81"/>
    </row>
    <row r="40" spans="2:15" ht="15" customHeight="1">
      <c r="B40" s="82">
        <f t="shared" si="3"/>
        <v>30</v>
      </c>
      <c r="C40" s="83">
        <f t="shared" si="4"/>
        <v>225000000</v>
      </c>
      <c r="D40" s="105">
        <f t="shared" si="12"/>
        <v>7500000</v>
      </c>
      <c r="E40" s="83">
        <f t="shared" si="12"/>
        <v>4950000</v>
      </c>
      <c r="F40" s="105">
        <f t="shared" si="0"/>
        <v>12450000</v>
      </c>
      <c r="G40" s="106"/>
      <c r="H40" s="101">
        <f t="shared" si="6"/>
        <v>30</v>
      </c>
      <c r="I40" s="107">
        <f t="shared" si="11"/>
        <v>43501</v>
      </c>
      <c r="J40" s="83">
        <f t="shared" si="7"/>
        <v>285056045.21689755</v>
      </c>
      <c r="K40" s="83">
        <f t="shared" si="1"/>
        <v>7073847.3981352672</v>
      </c>
      <c r="L40" s="83">
        <f t="shared" si="8"/>
        <v>5376152.1052296162</v>
      </c>
      <c r="M40" s="83">
        <f t="shared" si="9"/>
        <v>12449999.503364883</v>
      </c>
      <c r="N40" s="108"/>
      <c r="O40" s="81"/>
    </row>
    <row r="41" spans="2:15" ht="15" customHeight="1">
      <c r="B41" s="82">
        <f t="shared" si="3"/>
        <v>31</v>
      </c>
      <c r="C41" s="83">
        <f t="shared" si="4"/>
        <v>217500000</v>
      </c>
      <c r="D41" s="105">
        <f t="shared" si="12"/>
        <v>7500000</v>
      </c>
      <c r="E41" s="83">
        <f t="shared" si="12"/>
        <v>4950000</v>
      </c>
      <c r="F41" s="105">
        <f t="shared" si="0"/>
        <v>12450000</v>
      </c>
      <c r="G41" s="106"/>
      <c r="H41" s="101">
        <f t="shared" si="6"/>
        <v>31</v>
      </c>
      <c r="I41" s="107">
        <f>I40+28</f>
        <v>43529</v>
      </c>
      <c r="J41" s="83">
        <f t="shared" si="7"/>
        <v>277852015.73009914</v>
      </c>
      <c r="K41" s="83">
        <f t="shared" si="1"/>
        <v>7204029.486798387</v>
      </c>
      <c r="L41" s="83">
        <f t="shared" si="8"/>
        <v>5245970.0165664963</v>
      </c>
      <c r="M41" s="83">
        <f t="shared" si="9"/>
        <v>12449999.503364883</v>
      </c>
      <c r="N41" s="108"/>
      <c r="O41" s="81"/>
    </row>
    <row r="42" spans="2:15" ht="15" customHeight="1">
      <c r="B42" s="82">
        <f t="shared" si="3"/>
        <v>32</v>
      </c>
      <c r="C42" s="83">
        <f t="shared" si="4"/>
        <v>210000000</v>
      </c>
      <c r="D42" s="105">
        <f t="shared" si="12"/>
        <v>7500000</v>
      </c>
      <c r="E42" s="83">
        <f t="shared" si="12"/>
        <v>4950000</v>
      </c>
      <c r="F42" s="105">
        <f t="shared" si="0"/>
        <v>12450000</v>
      </c>
      <c r="G42" s="106"/>
      <c r="H42" s="101">
        <f t="shared" si="6"/>
        <v>32</v>
      </c>
      <c r="I42" s="107">
        <f t="shared" si="11"/>
        <v>43560</v>
      </c>
      <c r="J42" s="83">
        <f t="shared" si="7"/>
        <v>270515408.3754732</v>
      </c>
      <c r="K42" s="83">
        <f t="shared" si="1"/>
        <v>7336607.3546259208</v>
      </c>
      <c r="L42" s="83">
        <f t="shared" si="8"/>
        <v>5113392.1487389626</v>
      </c>
      <c r="M42" s="83">
        <f t="shared" si="9"/>
        <v>12449999.503364883</v>
      </c>
      <c r="N42" s="108"/>
      <c r="O42" s="81"/>
    </row>
    <row r="43" spans="2:15" ht="15" customHeight="1">
      <c r="B43" s="82">
        <f t="shared" si="3"/>
        <v>33</v>
      </c>
      <c r="C43" s="83">
        <f t="shared" si="4"/>
        <v>202500000</v>
      </c>
      <c r="D43" s="105">
        <f t="shared" si="12"/>
        <v>7500000</v>
      </c>
      <c r="E43" s="83">
        <f t="shared" si="12"/>
        <v>4950000</v>
      </c>
      <c r="F43" s="105">
        <f t="shared" si="0"/>
        <v>12450000</v>
      </c>
      <c r="G43" s="106"/>
      <c r="H43" s="101">
        <f t="shared" si="6"/>
        <v>33</v>
      </c>
      <c r="I43" s="107">
        <f>I42+30</f>
        <v>43590</v>
      </c>
      <c r="J43" s="83">
        <f t="shared" si="7"/>
        <v>263043783.28362861</v>
      </c>
      <c r="K43" s="83">
        <f t="shared" si="1"/>
        <v>7471625.0918445932</v>
      </c>
      <c r="L43" s="83">
        <f t="shared" si="8"/>
        <v>4978374.4115202902</v>
      </c>
      <c r="M43" s="83">
        <f t="shared" si="9"/>
        <v>12449999.503364883</v>
      </c>
      <c r="N43" s="108"/>
      <c r="O43" s="81"/>
    </row>
    <row r="44" spans="2:15" ht="15" customHeight="1">
      <c r="B44" s="82">
        <f t="shared" si="3"/>
        <v>34</v>
      </c>
      <c r="C44" s="83">
        <f t="shared" si="4"/>
        <v>195000000</v>
      </c>
      <c r="D44" s="105">
        <f t="shared" ref="D44:E46" si="13">D43</f>
        <v>7500000</v>
      </c>
      <c r="E44" s="83">
        <f t="shared" si="13"/>
        <v>4950000</v>
      </c>
      <c r="F44" s="105">
        <f t="shared" si="0"/>
        <v>12450000</v>
      </c>
      <c r="G44" s="106"/>
      <c r="H44" s="101">
        <f t="shared" si="6"/>
        <v>34</v>
      </c>
      <c r="I44" s="107">
        <f t="shared" si="11"/>
        <v>43621</v>
      </c>
      <c r="J44" s="83">
        <f t="shared" si="7"/>
        <v>255434655.6835421</v>
      </c>
      <c r="K44" s="83">
        <f t="shared" si="1"/>
        <v>7609127.6000865027</v>
      </c>
      <c r="L44" s="83">
        <f t="shared" si="8"/>
        <v>4840871.9032783806</v>
      </c>
      <c r="M44" s="83">
        <f t="shared" si="9"/>
        <v>12449999.503364883</v>
      </c>
      <c r="N44" s="108"/>
      <c r="O44" s="81"/>
    </row>
    <row r="45" spans="2:15" ht="15" customHeight="1">
      <c r="B45" s="82">
        <f t="shared" si="3"/>
        <v>35</v>
      </c>
      <c r="C45" s="83">
        <f t="shared" si="4"/>
        <v>187500000</v>
      </c>
      <c r="D45" s="105">
        <f t="shared" si="13"/>
        <v>7500000</v>
      </c>
      <c r="E45" s="83">
        <f t="shared" si="13"/>
        <v>4950000</v>
      </c>
      <c r="F45" s="105">
        <f t="shared" si="0"/>
        <v>12450000</v>
      </c>
      <c r="G45" s="106"/>
      <c r="H45" s="101">
        <f t="shared" si="6"/>
        <v>35</v>
      </c>
      <c r="I45" s="107">
        <f>I44+30</f>
        <v>43651</v>
      </c>
      <c r="J45" s="83">
        <f t="shared" si="7"/>
        <v>247685495.07622045</v>
      </c>
      <c r="K45" s="83">
        <f t="shared" si="1"/>
        <v>7749160.6073216572</v>
      </c>
      <c r="L45" s="83">
        <f t="shared" si="8"/>
        <v>4700838.8960432261</v>
      </c>
      <c r="M45" s="83">
        <f t="shared" si="9"/>
        <v>12449999.503364883</v>
      </c>
      <c r="N45" s="108"/>
      <c r="O45" s="81"/>
    </row>
    <row r="46" spans="2:15" ht="15" customHeight="1">
      <c r="B46" s="82">
        <f>B45+1</f>
        <v>36</v>
      </c>
      <c r="C46" s="83">
        <f>C45-D45</f>
        <v>180000000</v>
      </c>
      <c r="D46" s="105">
        <f t="shared" si="13"/>
        <v>7500000</v>
      </c>
      <c r="E46" s="83">
        <f t="shared" si="13"/>
        <v>4950000</v>
      </c>
      <c r="F46" s="105">
        <f t="shared" si="0"/>
        <v>12450000</v>
      </c>
      <c r="G46" s="106"/>
      <c r="H46" s="102">
        <f>H45+1</f>
        <v>36</v>
      </c>
      <c r="I46" s="109">
        <f>I45+31</f>
        <v>43682</v>
      </c>
      <c r="J46" s="110">
        <f>J45-K46</f>
        <v>239793724.39315516</v>
      </c>
      <c r="K46" s="110">
        <f t="shared" si="1"/>
        <v>7891770.6830653092</v>
      </c>
      <c r="L46" s="110">
        <f>E$5/12*J45</f>
        <v>4558228.8202995742</v>
      </c>
      <c r="M46" s="110">
        <f>M45</f>
        <v>12449999.503364883</v>
      </c>
      <c r="N46" s="108"/>
      <c r="O46" s="81"/>
    </row>
    <row r="47" spans="2:15" ht="15" customHeight="1">
      <c r="B47" s="82">
        <f t="shared" ref="B47:B56" si="14">B46+1</f>
        <v>37</v>
      </c>
      <c r="C47" s="83">
        <f t="shared" ref="C47:C56" si="15">C46-D46</f>
        <v>172500000</v>
      </c>
      <c r="D47" s="105">
        <f t="shared" ref="D47:D70" si="16">D46</f>
        <v>7500000</v>
      </c>
      <c r="E47" s="83">
        <f t="shared" ref="E47:E70" si="17">E46</f>
        <v>4950000</v>
      </c>
      <c r="F47" s="105">
        <f t="shared" ref="F47:F57" si="18">D47+E47</f>
        <v>12450000</v>
      </c>
      <c r="G47" s="106"/>
      <c r="H47" s="101">
        <f t="shared" ref="H47:H70" si="19">H46+1</f>
        <v>37</v>
      </c>
      <c r="I47" s="107">
        <f t="shared" ref="I47:I70" si="20">I46+31</f>
        <v>43713</v>
      </c>
      <c r="J47" s="83">
        <f t="shared" ref="J47:J70" si="21">J46-K47</f>
        <v>231756719.13929</v>
      </c>
      <c r="K47" s="83">
        <f t="shared" ref="K47:K70" si="22">M47-L47</f>
        <v>8037005.25386516</v>
      </c>
      <c r="L47" s="83">
        <f t="shared" ref="L47:L70" si="23">E$5/12*J46</f>
        <v>4412994.2494997233</v>
      </c>
      <c r="M47" s="83">
        <f t="shared" ref="M47:M70" si="24">M46</f>
        <v>12449999.503364883</v>
      </c>
      <c r="N47" s="108"/>
      <c r="O47" s="81"/>
    </row>
    <row r="48" spans="2:15" ht="15" customHeight="1">
      <c r="B48" s="82">
        <f t="shared" si="14"/>
        <v>38</v>
      </c>
      <c r="C48" s="83">
        <f t="shared" si="15"/>
        <v>165000000</v>
      </c>
      <c r="D48" s="105">
        <f t="shared" si="16"/>
        <v>7500000</v>
      </c>
      <c r="E48" s="83">
        <f t="shared" si="17"/>
        <v>4950000</v>
      </c>
      <c r="F48" s="105">
        <f t="shared" si="18"/>
        <v>12450000</v>
      </c>
      <c r="G48" s="106"/>
      <c r="H48" s="101">
        <f t="shared" si="19"/>
        <v>38</v>
      </c>
      <c r="I48" s="107">
        <f t="shared" si="20"/>
        <v>43744</v>
      </c>
      <c r="J48" s="83">
        <f t="shared" si="21"/>
        <v>223571806.52021644</v>
      </c>
      <c r="K48" s="83">
        <f t="shared" si="22"/>
        <v>8184912.6190735819</v>
      </c>
      <c r="L48" s="83">
        <f t="shared" si="23"/>
        <v>4265086.8842913015</v>
      </c>
      <c r="M48" s="83">
        <f t="shared" si="24"/>
        <v>12449999.503364883</v>
      </c>
      <c r="N48" s="108"/>
      <c r="O48" s="81"/>
    </row>
    <row r="49" spans="2:15" ht="15" customHeight="1">
      <c r="B49" s="82">
        <f t="shared" si="14"/>
        <v>39</v>
      </c>
      <c r="C49" s="83">
        <f t="shared" si="15"/>
        <v>157500000</v>
      </c>
      <c r="D49" s="105">
        <f t="shared" si="16"/>
        <v>7500000</v>
      </c>
      <c r="E49" s="83">
        <f t="shared" si="17"/>
        <v>4950000</v>
      </c>
      <c r="F49" s="105">
        <f t="shared" si="18"/>
        <v>12450000</v>
      </c>
      <c r="G49" s="106"/>
      <c r="H49" s="101">
        <f t="shared" si="19"/>
        <v>39</v>
      </c>
      <c r="I49" s="107">
        <f t="shared" si="20"/>
        <v>43775</v>
      </c>
      <c r="J49" s="83">
        <f t="shared" si="21"/>
        <v>215236264.55330634</v>
      </c>
      <c r="K49" s="83">
        <f t="shared" si="22"/>
        <v>8335541.966910094</v>
      </c>
      <c r="L49" s="83">
        <f t="shared" si="23"/>
        <v>4114457.5364547893</v>
      </c>
      <c r="M49" s="83">
        <f t="shared" si="24"/>
        <v>12449999.503364883</v>
      </c>
      <c r="N49" s="108"/>
      <c r="O49" s="81"/>
    </row>
    <row r="50" spans="2:15" ht="15" customHeight="1">
      <c r="B50" s="82">
        <f t="shared" si="14"/>
        <v>40</v>
      </c>
      <c r="C50" s="83">
        <f t="shared" si="15"/>
        <v>150000000</v>
      </c>
      <c r="D50" s="105">
        <f t="shared" si="16"/>
        <v>7500000</v>
      </c>
      <c r="E50" s="83">
        <f t="shared" si="17"/>
        <v>4950000</v>
      </c>
      <c r="F50" s="105">
        <f t="shared" si="18"/>
        <v>12450000</v>
      </c>
      <c r="G50" s="106"/>
      <c r="H50" s="101">
        <f t="shared" si="19"/>
        <v>40</v>
      </c>
      <c r="I50" s="107">
        <f t="shared" si="20"/>
        <v>43806</v>
      </c>
      <c r="J50" s="83">
        <f t="shared" si="21"/>
        <v>206747321.16248688</v>
      </c>
      <c r="K50" s="83">
        <f t="shared" si="22"/>
        <v>8488943.3908194508</v>
      </c>
      <c r="L50" s="83">
        <f t="shared" si="23"/>
        <v>3961056.1125454325</v>
      </c>
      <c r="M50" s="83">
        <f t="shared" si="24"/>
        <v>12449999.503364883</v>
      </c>
      <c r="N50" s="108"/>
      <c r="O50" s="81"/>
    </row>
    <row r="51" spans="2:15" ht="15" customHeight="1">
      <c r="B51" s="82">
        <f t="shared" si="14"/>
        <v>41</v>
      </c>
      <c r="C51" s="83">
        <f t="shared" si="15"/>
        <v>142500000</v>
      </c>
      <c r="D51" s="105">
        <f t="shared" si="16"/>
        <v>7500000</v>
      </c>
      <c r="E51" s="83">
        <f t="shared" si="17"/>
        <v>4950000</v>
      </c>
      <c r="F51" s="105">
        <f t="shared" si="18"/>
        <v>12450000</v>
      </c>
      <c r="G51" s="106"/>
      <c r="H51" s="101">
        <f t="shared" si="19"/>
        <v>41</v>
      </c>
      <c r="I51" s="107">
        <f t="shared" si="20"/>
        <v>43837</v>
      </c>
      <c r="J51" s="83">
        <f t="shared" si="21"/>
        <v>198102153.25635612</v>
      </c>
      <c r="K51" s="83">
        <f t="shared" si="22"/>
        <v>8645167.9061307628</v>
      </c>
      <c r="L51" s="83">
        <f t="shared" si="23"/>
        <v>3804831.5972341206</v>
      </c>
      <c r="M51" s="83">
        <f t="shared" si="24"/>
        <v>12449999.503364883</v>
      </c>
      <c r="N51" s="108"/>
      <c r="O51" s="81"/>
    </row>
    <row r="52" spans="2:15" ht="15" customHeight="1">
      <c r="B52" s="82">
        <f t="shared" si="14"/>
        <v>42</v>
      </c>
      <c r="C52" s="83">
        <f t="shared" si="15"/>
        <v>135000000</v>
      </c>
      <c r="D52" s="105">
        <f t="shared" si="16"/>
        <v>7500000</v>
      </c>
      <c r="E52" s="83">
        <f t="shared" si="17"/>
        <v>4950000</v>
      </c>
      <c r="F52" s="105">
        <f t="shared" si="18"/>
        <v>12450000</v>
      </c>
      <c r="G52" s="106"/>
      <c r="H52" s="101">
        <f t="shared" si="19"/>
        <v>42</v>
      </c>
      <c r="I52" s="107">
        <f t="shared" si="20"/>
        <v>43868</v>
      </c>
      <c r="J52" s="83">
        <f t="shared" si="21"/>
        <v>189297885.78933293</v>
      </c>
      <c r="K52" s="83">
        <f t="shared" si="22"/>
        <v>8804267.4670232069</v>
      </c>
      <c r="L52" s="83">
        <f t="shared" si="23"/>
        <v>3645732.036341677</v>
      </c>
      <c r="M52" s="83">
        <f t="shared" si="24"/>
        <v>12449999.503364883</v>
      </c>
      <c r="N52" s="108"/>
      <c r="O52" s="81"/>
    </row>
    <row r="53" spans="2:15" ht="15" customHeight="1">
      <c r="B53" s="82">
        <f t="shared" si="14"/>
        <v>43</v>
      </c>
      <c r="C53" s="83">
        <f t="shared" si="15"/>
        <v>127500000</v>
      </c>
      <c r="D53" s="105">
        <f t="shared" si="16"/>
        <v>7500000</v>
      </c>
      <c r="E53" s="83">
        <f t="shared" si="17"/>
        <v>4950000</v>
      </c>
      <c r="F53" s="105">
        <f t="shared" si="18"/>
        <v>12450000</v>
      </c>
      <c r="G53" s="106"/>
      <c r="H53" s="101">
        <f t="shared" si="19"/>
        <v>43</v>
      </c>
      <c r="I53" s="107">
        <f t="shared" si="20"/>
        <v>43899</v>
      </c>
      <c r="J53" s="83">
        <f t="shared" si="21"/>
        <v>180331590.80552897</v>
      </c>
      <c r="K53" s="83">
        <f t="shared" si="22"/>
        <v>8966294.9838039577</v>
      </c>
      <c r="L53" s="83">
        <f t="shared" si="23"/>
        <v>3483704.5195609257</v>
      </c>
      <c r="M53" s="83">
        <f t="shared" si="24"/>
        <v>12449999.503364883</v>
      </c>
      <c r="N53" s="108"/>
      <c r="O53" s="81"/>
    </row>
    <row r="54" spans="2:15" ht="15" customHeight="1">
      <c r="B54" s="82">
        <f t="shared" si="14"/>
        <v>44</v>
      </c>
      <c r="C54" s="83">
        <f t="shared" si="15"/>
        <v>120000000</v>
      </c>
      <c r="D54" s="105">
        <f t="shared" si="16"/>
        <v>7500000</v>
      </c>
      <c r="E54" s="83">
        <f t="shared" si="17"/>
        <v>4950000</v>
      </c>
      <c r="F54" s="105">
        <f t="shared" si="18"/>
        <v>12450000</v>
      </c>
      <c r="G54" s="106"/>
      <c r="H54" s="101">
        <f t="shared" si="19"/>
        <v>44</v>
      </c>
      <c r="I54" s="107">
        <f t="shared" si="20"/>
        <v>43930</v>
      </c>
      <c r="J54" s="83">
        <f t="shared" si="21"/>
        <v>171200286.46502486</v>
      </c>
      <c r="K54" s="83">
        <f t="shared" si="22"/>
        <v>9131304.3405040968</v>
      </c>
      <c r="L54" s="83">
        <f t="shared" si="23"/>
        <v>3318695.1628607861</v>
      </c>
      <c r="M54" s="83">
        <f t="shared" si="24"/>
        <v>12449999.503364883</v>
      </c>
      <c r="N54" s="108"/>
      <c r="O54" s="81"/>
    </row>
    <row r="55" spans="2:15" ht="15" customHeight="1">
      <c r="B55" s="82">
        <f t="shared" si="14"/>
        <v>45</v>
      </c>
      <c r="C55" s="83">
        <f t="shared" si="15"/>
        <v>112500000</v>
      </c>
      <c r="D55" s="105">
        <f t="shared" si="16"/>
        <v>7500000</v>
      </c>
      <c r="E55" s="83">
        <f t="shared" si="17"/>
        <v>4950000</v>
      </c>
      <c r="F55" s="105">
        <f t="shared" si="18"/>
        <v>12450000</v>
      </c>
      <c r="G55" s="106"/>
      <c r="H55" s="101">
        <f t="shared" si="19"/>
        <v>45</v>
      </c>
      <c r="I55" s="107">
        <f t="shared" si="20"/>
        <v>43961</v>
      </c>
      <c r="J55" s="83">
        <f t="shared" si="21"/>
        <v>161900936.05222651</v>
      </c>
      <c r="K55" s="83">
        <f t="shared" si="22"/>
        <v>9299350.4127983339</v>
      </c>
      <c r="L55" s="83">
        <f t="shared" si="23"/>
        <v>3150649.090566549</v>
      </c>
      <c r="M55" s="83">
        <f t="shared" si="24"/>
        <v>12449999.503364883</v>
      </c>
      <c r="N55" s="108"/>
      <c r="O55" s="81"/>
    </row>
    <row r="56" spans="2:15" ht="15" customHeight="1">
      <c r="B56" s="82">
        <f t="shared" si="14"/>
        <v>46</v>
      </c>
      <c r="C56" s="83">
        <f t="shared" si="15"/>
        <v>105000000</v>
      </c>
      <c r="D56" s="105">
        <f t="shared" si="16"/>
        <v>7500000</v>
      </c>
      <c r="E56" s="83">
        <f t="shared" si="17"/>
        <v>4950000</v>
      </c>
      <c r="F56" s="105">
        <f t="shared" si="18"/>
        <v>12450000</v>
      </c>
      <c r="G56" s="106"/>
      <c r="H56" s="101">
        <f t="shared" si="19"/>
        <v>46</v>
      </c>
      <c r="I56" s="107">
        <f t="shared" si="20"/>
        <v>43992</v>
      </c>
      <c r="J56" s="83">
        <f t="shared" si="21"/>
        <v>152430446.96597201</v>
      </c>
      <c r="K56" s="83">
        <f t="shared" si="22"/>
        <v>9470489.0862545166</v>
      </c>
      <c r="L56" s="83">
        <f t="shared" si="23"/>
        <v>2979510.4171103667</v>
      </c>
      <c r="M56" s="83">
        <f t="shared" si="24"/>
        <v>12449999.503364883</v>
      </c>
      <c r="N56" s="108"/>
      <c r="O56" s="81"/>
    </row>
    <row r="57" spans="2:15" ht="15" customHeight="1">
      <c r="B57" s="82">
        <f t="shared" ref="B57:B62" si="25">B56+1</f>
        <v>47</v>
      </c>
      <c r="C57" s="83">
        <f t="shared" ref="C57:C62" si="26">C56-D56</f>
        <v>97500000</v>
      </c>
      <c r="D57" s="105">
        <f t="shared" si="16"/>
        <v>7500000</v>
      </c>
      <c r="E57" s="83">
        <f t="shared" si="17"/>
        <v>4950000</v>
      </c>
      <c r="F57" s="105">
        <f t="shared" si="18"/>
        <v>12450000</v>
      </c>
      <c r="G57" s="106"/>
      <c r="H57" s="101">
        <f t="shared" si="19"/>
        <v>47</v>
      </c>
      <c r="I57" s="107">
        <f t="shared" si="20"/>
        <v>44023</v>
      </c>
      <c r="J57" s="83">
        <f t="shared" si="21"/>
        <v>142785669.691053</v>
      </c>
      <c r="K57" s="83">
        <f t="shared" si="22"/>
        <v>9644777.2749189902</v>
      </c>
      <c r="L57" s="83">
        <f t="shared" si="23"/>
        <v>2805222.2284458932</v>
      </c>
      <c r="M57" s="83">
        <f t="shared" si="24"/>
        <v>12449999.503364883</v>
      </c>
      <c r="N57" s="108"/>
      <c r="O57" s="81"/>
    </row>
    <row r="58" spans="2:15" ht="15" customHeight="1">
      <c r="B58" s="82">
        <f t="shared" si="25"/>
        <v>48</v>
      </c>
      <c r="C58" s="83">
        <f t="shared" si="26"/>
        <v>90000000</v>
      </c>
      <c r="D58" s="105">
        <f t="shared" si="16"/>
        <v>7500000</v>
      </c>
      <c r="E58" s="83">
        <f t="shared" si="17"/>
        <v>4950000</v>
      </c>
      <c r="F58" s="105">
        <f>D58+E58</f>
        <v>12450000</v>
      </c>
      <c r="G58" s="106"/>
      <c r="H58" s="102">
        <f t="shared" si="19"/>
        <v>48</v>
      </c>
      <c r="I58" s="109">
        <f t="shared" si="20"/>
        <v>44054</v>
      </c>
      <c r="J58" s="110">
        <f t="shared" si="21"/>
        <v>132963396.75080901</v>
      </c>
      <c r="K58" s="110">
        <f t="shared" si="22"/>
        <v>9822272.940243993</v>
      </c>
      <c r="L58" s="110">
        <f t="shared" si="23"/>
        <v>2627726.5631208913</v>
      </c>
      <c r="M58" s="110">
        <f t="shared" si="24"/>
        <v>12449999.503364883</v>
      </c>
      <c r="N58" s="108"/>
      <c r="O58" s="81"/>
    </row>
    <row r="59" spans="2:15" ht="15" customHeight="1">
      <c r="B59" s="82">
        <f t="shared" si="25"/>
        <v>49</v>
      </c>
      <c r="C59" s="83">
        <f t="shared" si="26"/>
        <v>82500000</v>
      </c>
      <c r="D59" s="105">
        <f t="shared" si="16"/>
        <v>7500000</v>
      </c>
      <c r="E59" s="83">
        <f t="shared" si="17"/>
        <v>4950000</v>
      </c>
      <c r="F59" s="105">
        <f>D59+E59</f>
        <v>12450000</v>
      </c>
      <c r="G59" s="106"/>
      <c r="H59" s="101">
        <f t="shared" si="19"/>
        <v>49</v>
      </c>
      <c r="I59" s="107">
        <f t="shared" si="20"/>
        <v>44085</v>
      </c>
      <c r="J59" s="83">
        <f t="shared" si="21"/>
        <v>122960361.64044565</v>
      </c>
      <c r="K59" s="83">
        <f t="shared" si="22"/>
        <v>10003035.110363364</v>
      </c>
      <c r="L59" s="83">
        <f t="shared" si="23"/>
        <v>2446964.3930015187</v>
      </c>
      <c r="M59" s="83">
        <f t="shared" si="24"/>
        <v>12449999.503364883</v>
      </c>
      <c r="N59" s="108"/>
      <c r="O59" s="81"/>
    </row>
    <row r="60" spans="2:15" ht="15" customHeight="1">
      <c r="B60" s="82">
        <f t="shared" si="25"/>
        <v>50</v>
      </c>
      <c r="C60" s="83">
        <f t="shared" si="26"/>
        <v>75000000</v>
      </c>
      <c r="D60" s="105">
        <f t="shared" si="16"/>
        <v>7500000</v>
      </c>
      <c r="E60" s="83">
        <f t="shared" si="17"/>
        <v>4950000</v>
      </c>
      <c r="F60" s="105">
        <f>D60+E60</f>
        <v>12450000</v>
      </c>
      <c r="G60" s="106"/>
      <c r="H60" s="101">
        <f t="shared" si="19"/>
        <v>50</v>
      </c>
      <c r="I60" s="107">
        <f t="shared" si="20"/>
        <v>44116</v>
      </c>
      <c r="J60" s="83">
        <f t="shared" si="21"/>
        <v>112773237.74072264</v>
      </c>
      <c r="K60" s="83">
        <f t="shared" si="22"/>
        <v>10187123.899723014</v>
      </c>
      <c r="L60" s="83">
        <f t="shared" si="23"/>
        <v>2262875.6036418695</v>
      </c>
      <c r="M60" s="83">
        <f t="shared" si="24"/>
        <v>12449999.503364883</v>
      </c>
      <c r="N60" s="108"/>
      <c r="O60" s="81"/>
    </row>
    <row r="61" spans="2:15" ht="15" customHeight="1">
      <c r="B61" s="82">
        <f t="shared" si="25"/>
        <v>51</v>
      </c>
      <c r="C61" s="83">
        <f t="shared" si="26"/>
        <v>67500000</v>
      </c>
      <c r="D61" s="105">
        <f t="shared" si="16"/>
        <v>7500000</v>
      </c>
      <c r="E61" s="83">
        <f t="shared" si="17"/>
        <v>4950000</v>
      </c>
      <c r="F61" s="105">
        <f>D61+E61</f>
        <v>12450000</v>
      </c>
      <c r="G61" s="106"/>
      <c r="H61" s="101">
        <f t="shared" si="19"/>
        <v>51</v>
      </c>
      <c r="I61" s="107">
        <f t="shared" si="20"/>
        <v>44147</v>
      </c>
      <c r="J61" s="83">
        <f t="shared" si="21"/>
        <v>102398637.21165001</v>
      </c>
      <c r="K61" s="83">
        <f t="shared" si="22"/>
        <v>10374600.529072627</v>
      </c>
      <c r="L61" s="83">
        <f t="shared" si="23"/>
        <v>2075398.9742922562</v>
      </c>
      <c r="M61" s="83">
        <f t="shared" si="24"/>
        <v>12449999.503364883</v>
      </c>
      <c r="N61" s="108"/>
      <c r="O61" s="81"/>
    </row>
    <row r="62" spans="2:15" ht="15" customHeight="1">
      <c r="B62" s="82">
        <f t="shared" si="25"/>
        <v>52</v>
      </c>
      <c r="C62" s="83">
        <f t="shared" si="26"/>
        <v>60000000</v>
      </c>
      <c r="D62" s="105">
        <f t="shared" si="16"/>
        <v>7500000</v>
      </c>
      <c r="E62" s="83">
        <f t="shared" si="17"/>
        <v>4950000</v>
      </c>
      <c r="F62" s="105">
        <f>D62+E62</f>
        <v>12450000</v>
      </c>
      <c r="G62" s="106"/>
      <c r="H62" s="101">
        <f t="shared" si="19"/>
        <v>52</v>
      </c>
      <c r="I62" s="107">
        <f t="shared" si="20"/>
        <v>44178</v>
      </c>
      <c r="J62" s="83">
        <f t="shared" si="21"/>
        <v>91833109.865824714</v>
      </c>
      <c r="K62" s="83">
        <f t="shared" si="22"/>
        <v>10565527.345825305</v>
      </c>
      <c r="L62" s="83">
        <f t="shared" si="23"/>
        <v>1884472.1575395775</v>
      </c>
      <c r="M62" s="83">
        <f t="shared" si="24"/>
        <v>12449999.503364883</v>
      </c>
      <c r="N62" s="108"/>
      <c r="O62" s="81"/>
    </row>
    <row r="63" spans="2:15" ht="15" customHeight="1">
      <c r="B63" s="82">
        <f t="shared" ref="B63:B70" si="27">B62+1</f>
        <v>53</v>
      </c>
      <c r="C63" s="83">
        <f t="shared" ref="C63:C70" si="28">C62-D62</f>
        <v>52500000</v>
      </c>
      <c r="D63" s="105">
        <f t="shared" si="16"/>
        <v>7500000</v>
      </c>
      <c r="E63" s="83">
        <f t="shared" si="17"/>
        <v>4950000</v>
      </c>
      <c r="F63" s="105">
        <f t="shared" ref="F63:F70" si="29">D63+E63</f>
        <v>12450000</v>
      </c>
      <c r="G63" s="106"/>
      <c r="H63" s="101">
        <f t="shared" si="19"/>
        <v>53</v>
      </c>
      <c r="I63" s="107">
        <f t="shared" si="20"/>
        <v>44209</v>
      </c>
      <c r="J63" s="83">
        <f t="shared" si="21"/>
        <v>81073142.021032825</v>
      </c>
      <c r="K63" s="83">
        <f t="shared" si="22"/>
        <v>10759967.844791884</v>
      </c>
      <c r="L63" s="83">
        <f t="shared" si="23"/>
        <v>1690031.6585729995</v>
      </c>
      <c r="M63" s="83">
        <f t="shared" si="24"/>
        <v>12449999.503364883</v>
      </c>
      <c r="N63" s="108"/>
      <c r="O63" s="81"/>
    </row>
    <row r="64" spans="2:15" ht="15" customHeight="1">
      <c r="B64" s="82">
        <f t="shared" si="27"/>
        <v>54</v>
      </c>
      <c r="C64" s="83">
        <f t="shared" si="28"/>
        <v>45000000</v>
      </c>
      <c r="D64" s="105">
        <f t="shared" si="16"/>
        <v>7500000</v>
      </c>
      <c r="E64" s="83">
        <f t="shared" si="17"/>
        <v>4950000</v>
      </c>
      <c r="F64" s="105">
        <f t="shared" si="29"/>
        <v>12450000</v>
      </c>
      <c r="G64" s="106"/>
      <c r="H64" s="101">
        <f t="shared" si="19"/>
        <v>54</v>
      </c>
      <c r="I64" s="107">
        <f t="shared" si="20"/>
        <v>44240</v>
      </c>
      <c r="J64" s="83">
        <f t="shared" si="21"/>
        <v>70115155.331735998</v>
      </c>
      <c r="K64" s="83">
        <f t="shared" si="22"/>
        <v>10957986.689296823</v>
      </c>
      <c r="L64" s="83">
        <f t="shared" si="23"/>
        <v>1492012.8140680599</v>
      </c>
      <c r="M64" s="83">
        <f t="shared" si="24"/>
        <v>12449999.503364883</v>
      </c>
      <c r="N64" s="108"/>
      <c r="O64" s="81"/>
    </row>
    <row r="65" spans="2:15" ht="15" customHeight="1">
      <c r="B65" s="82">
        <f t="shared" si="27"/>
        <v>55</v>
      </c>
      <c r="C65" s="83">
        <f t="shared" si="28"/>
        <v>37500000</v>
      </c>
      <c r="D65" s="105">
        <f t="shared" si="16"/>
        <v>7500000</v>
      </c>
      <c r="E65" s="83">
        <f t="shared" si="17"/>
        <v>4950000</v>
      </c>
      <c r="F65" s="105">
        <f t="shared" si="29"/>
        <v>12450000</v>
      </c>
      <c r="G65" s="106"/>
      <c r="H65" s="101">
        <f t="shared" si="19"/>
        <v>55</v>
      </c>
      <c r="I65" s="107">
        <f t="shared" si="20"/>
        <v>44271</v>
      </c>
      <c r="J65" s="83">
        <f t="shared" si="21"/>
        <v>58955505.599053279</v>
      </c>
      <c r="K65" s="83">
        <f t="shared" si="22"/>
        <v>11159649.732682716</v>
      </c>
      <c r="L65" s="83">
        <f t="shared" si="23"/>
        <v>1290349.7706821682</v>
      </c>
      <c r="M65" s="83">
        <f t="shared" si="24"/>
        <v>12449999.503364883</v>
      </c>
      <c r="N65" s="108"/>
      <c r="O65" s="81"/>
    </row>
    <row r="66" spans="2:15" ht="15" customHeight="1">
      <c r="B66" s="82">
        <f t="shared" si="27"/>
        <v>56</v>
      </c>
      <c r="C66" s="83">
        <f t="shared" si="28"/>
        <v>30000000</v>
      </c>
      <c r="D66" s="105">
        <f t="shared" si="16"/>
        <v>7500000</v>
      </c>
      <c r="E66" s="83">
        <f t="shared" si="17"/>
        <v>4950000</v>
      </c>
      <c r="F66" s="105">
        <f t="shared" si="29"/>
        <v>12450000</v>
      </c>
      <c r="G66" s="106"/>
      <c r="H66" s="101">
        <f t="shared" si="19"/>
        <v>56</v>
      </c>
      <c r="I66" s="107">
        <f t="shared" si="20"/>
        <v>44302</v>
      </c>
      <c r="J66" s="83">
        <f t="shared" si="21"/>
        <v>47590481.558842748</v>
      </c>
      <c r="K66" s="83">
        <f t="shared" si="22"/>
        <v>11365024.04021053</v>
      </c>
      <c r="L66" s="83">
        <f t="shared" si="23"/>
        <v>1084975.4631543532</v>
      </c>
      <c r="M66" s="83">
        <f t="shared" si="24"/>
        <v>12449999.503364883</v>
      </c>
      <c r="N66" s="108"/>
      <c r="O66" s="81"/>
    </row>
    <row r="67" spans="2:15" ht="15" customHeight="1">
      <c r="B67" s="82">
        <f t="shared" si="27"/>
        <v>57</v>
      </c>
      <c r="C67" s="83">
        <f t="shared" si="28"/>
        <v>22500000</v>
      </c>
      <c r="D67" s="105">
        <f t="shared" si="16"/>
        <v>7500000</v>
      </c>
      <c r="E67" s="83">
        <f t="shared" si="17"/>
        <v>4950000</v>
      </c>
      <c r="F67" s="105">
        <f t="shared" si="29"/>
        <v>12450000</v>
      </c>
      <c r="G67" s="106"/>
      <c r="H67" s="101">
        <f t="shared" si="19"/>
        <v>57</v>
      </c>
      <c r="I67" s="107">
        <f t="shared" si="20"/>
        <v>44333</v>
      </c>
      <c r="J67" s="83">
        <f t="shared" si="21"/>
        <v>36016303.64747984</v>
      </c>
      <c r="K67" s="83">
        <f t="shared" si="22"/>
        <v>11574177.911362909</v>
      </c>
      <c r="L67" s="83">
        <f t="shared" si="23"/>
        <v>875821.59200197377</v>
      </c>
      <c r="M67" s="83">
        <f t="shared" si="24"/>
        <v>12449999.503364883</v>
      </c>
      <c r="N67" s="108"/>
      <c r="O67" s="81"/>
    </row>
    <row r="68" spans="2:15" ht="15" customHeight="1">
      <c r="B68" s="82">
        <f t="shared" si="27"/>
        <v>58</v>
      </c>
      <c r="C68" s="83">
        <f t="shared" si="28"/>
        <v>15000000</v>
      </c>
      <c r="D68" s="105">
        <f t="shared" si="16"/>
        <v>7500000</v>
      </c>
      <c r="E68" s="83">
        <f t="shared" si="17"/>
        <v>4950000</v>
      </c>
      <c r="F68" s="105">
        <f t="shared" si="29"/>
        <v>12450000</v>
      </c>
      <c r="G68" s="106"/>
      <c r="H68" s="101">
        <f t="shared" si="19"/>
        <v>58</v>
      </c>
      <c r="I68" s="107">
        <f t="shared" si="20"/>
        <v>44364</v>
      </c>
      <c r="J68" s="83">
        <f t="shared" si="21"/>
        <v>24229122.74492193</v>
      </c>
      <c r="K68" s="83">
        <f t="shared" si="22"/>
        <v>11787180.902557909</v>
      </c>
      <c r="L68" s="83">
        <f t="shared" si="23"/>
        <v>662818.60080697481</v>
      </c>
      <c r="M68" s="83">
        <f t="shared" si="24"/>
        <v>12449999.503364883</v>
      </c>
      <c r="N68" s="108"/>
      <c r="O68" s="81"/>
    </row>
    <row r="69" spans="2:15" ht="15" customHeight="1">
      <c r="B69" s="82">
        <f t="shared" si="27"/>
        <v>59</v>
      </c>
      <c r="C69" s="83">
        <f t="shared" si="28"/>
        <v>7500000</v>
      </c>
      <c r="D69" s="105">
        <f t="shared" si="16"/>
        <v>7500000</v>
      </c>
      <c r="E69" s="83">
        <f t="shared" si="17"/>
        <v>4950000</v>
      </c>
      <c r="F69" s="105">
        <f t="shared" si="29"/>
        <v>12450000</v>
      </c>
      <c r="G69" s="106"/>
      <c r="H69" s="101">
        <f t="shared" si="19"/>
        <v>59</v>
      </c>
      <c r="I69" s="107">
        <f t="shared" si="20"/>
        <v>44395</v>
      </c>
      <c r="J69" s="83">
        <f t="shared" si="21"/>
        <v>12225018.894641183</v>
      </c>
      <c r="K69" s="83">
        <f t="shared" si="22"/>
        <v>12004103.850280747</v>
      </c>
      <c r="L69" s="83">
        <f t="shared" si="23"/>
        <v>445895.65308413684</v>
      </c>
      <c r="M69" s="83">
        <f t="shared" si="24"/>
        <v>12449999.503364883</v>
      </c>
      <c r="N69" s="108"/>
      <c r="O69" s="81"/>
    </row>
    <row r="70" spans="2:15" ht="15" customHeight="1" thickBot="1">
      <c r="B70" s="82">
        <f t="shared" si="27"/>
        <v>60</v>
      </c>
      <c r="C70" s="83">
        <f t="shared" si="28"/>
        <v>0</v>
      </c>
      <c r="D70" s="105">
        <f t="shared" si="16"/>
        <v>7500000</v>
      </c>
      <c r="E70" s="83">
        <f t="shared" si="17"/>
        <v>4950000</v>
      </c>
      <c r="F70" s="105">
        <f t="shared" si="29"/>
        <v>12450000</v>
      </c>
      <c r="G70" s="106"/>
      <c r="H70" s="102">
        <f t="shared" si="19"/>
        <v>60</v>
      </c>
      <c r="I70" s="109">
        <f t="shared" si="20"/>
        <v>44426</v>
      </c>
      <c r="J70" s="110">
        <f t="shared" si="21"/>
        <v>-7.6368451118469238E-8</v>
      </c>
      <c r="K70" s="110">
        <f t="shared" si="22"/>
        <v>12225018.89464126</v>
      </c>
      <c r="L70" s="110">
        <f t="shared" si="23"/>
        <v>224980.60872362414</v>
      </c>
      <c r="M70" s="110">
        <f t="shared" si="24"/>
        <v>12449999.503364883</v>
      </c>
      <c r="N70" s="108"/>
      <c r="O70" s="81"/>
    </row>
    <row r="71" spans="2:15" ht="12.75" customHeight="1" thickBot="1">
      <c r="B71" s="82"/>
      <c r="C71" s="116"/>
      <c r="D71" s="105">
        <f>SUM(D11:D70)</f>
        <v>450000000</v>
      </c>
      <c r="E71" s="105">
        <f>SUM(E11:E70)</f>
        <v>297000000</v>
      </c>
      <c r="F71" s="105">
        <f>SUM(F11:F70)</f>
        <v>747000000</v>
      </c>
      <c r="G71" s="106"/>
      <c r="H71" s="101"/>
      <c r="I71" s="101"/>
      <c r="J71" s="116"/>
      <c r="K71" s="105">
        <f>SUM(K11:K70)</f>
        <v>450000000</v>
      </c>
      <c r="L71" s="105">
        <f>SUM(L11:L70)</f>
        <v>296999970.20189315</v>
      </c>
      <c r="M71" s="105">
        <f>SUM(M11:M70)</f>
        <v>746999970.20189321</v>
      </c>
      <c r="N71" s="117">
        <f>SUM(N11:N34)</f>
        <v>55627251.500897221</v>
      </c>
    </row>
    <row r="72" spans="2:15" ht="12.75" customHeight="1">
      <c r="B72" s="78"/>
      <c r="C72" s="118"/>
      <c r="D72" s="106"/>
      <c r="E72" s="106"/>
      <c r="F72" s="106"/>
      <c r="G72" s="106"/>
      <c r="H72" s="119"/>
      <c r="I72" s="119"/>
      <c r="J72" s="118"/>
      <c r="K72" s="106"/>
      <c r="L72" s="106"/>
      <c r="M72" s="106"/>
      <c r="N72" s="81"/>
    </row>
    <row r="73" spans="2:15" ht="15" customHeight="1"/>
    <row r="74" spans="2:15" ht="15" customHeight="1">
      <c r="E74" s="108"/>
      <c r="F74" s="27"/>
      <c r="G74" s="121"/>
      <c r="H74" s="27"/>
      <c r="I74" s="27"/>
      <c r="J74" s="108"/>
    </row>
    <row r="75" spans="2:15" ht="15" customHeight="1">
      <c r="E75" s="108"/>
      <c r="F75" s="27"/>
      <c r="G75" s="121"/>
      <c r="H75" s="27"/>
      <c r="I75" s="27"/>
      <c r="J75" s="108"/>
    </row>
    <row r="76" spans="2:15" ht="15" customHeight="1">
      <c r="E76" s="120"/>
      <c r="F76" s="27"/>
      <c r="G76" s="121"/>
      <c r="H76" s="27"/>
      <c r="I76" s="27"/>
      <c r="J76" s="120"/>
    </row>
    <row r="77" spans="2:15" ht="15" customHeight="1"/>
    <row r="78" spans="2:15" ht="15" customHeight="1">
      <c r="E78" s="108"/>
      <c r="J78" s="108"/>
    </row>
    <row r="79" spans="2:15" ht="15" customHeight="1">
      <c r="E79" s="108"/>
      <c r="J79" s="108"/>
    </row>
    <row r="80" spans="2:15" ht="15" customHeight="1">
      <c r="E80" s="120"/>
      <c r="J80" s="120"/>
    </row>
    <row r="81" spans="5:10" ht="15" customHeight="1"/>
    <row r="82" spans="5:10" ht="15" customHeight="1">
      <c r="E82" s="108"/>
      <c r="J82" s="108"/>
    </row>
    <row r="83" spans="5:10" ht="15" customHeight="1">
      <c r="E83" s="108"/>
      <c r="J83" s="108"/>
    </row>
    <row r="84" spans="5:10" ht="15" customHeight="1">
      <c r="E84" s="120"/>
      <c r="J84" s="120"/>
    </row>
  </sheetData>
  <customSheetViews>
    <customSheetView guid="{EB924B51-01F3-412F-ABF4-73B7E6F19BA6}" hiddenColumns="1">
      <selection activeCell="G6" sqref="G6"/>
      <pageMargins left="0.7" right="0.7" top="0.75" bottom="0.75" header="0.3" footer="0.3"/>
    </customSheetView>
  </customSheetViews>
  <mergeCells count="3">
    <mergeCell ref="B2:F2"/>
    <mergeCell ref="H2:M2"/>
    <mergeCell ref="N8:O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Q71"/>
  <sheetViews>
    <sheetView topLeftCell="A19" zoomScaleNormal="100" workbookViewId="0">
      <selection activeCell="F28" activeCellId="6" sqref="F28 F29 F59 F60 F59 F29 F28"/>
    </sheetView>
  </sheetViews>
  <sheetFormatPr defaultRowHeight="12.75"/>
  <cols>
    <col min="1" max="1" width="9.140625" style="2"/>
    <col min="2" max="2" width="3.28515625" style="2" bestFit="1" customWidth="1"/>
    <col min="3" max="3" width="20.28515625" style="2" customWidth="1"/>
    <col min="4" max="4" width="15.7109375" style="2" customWidth="1"/>
    <col min="5" max="5" width="8.85546875" style="74" customWidth="1"/>
    <col min="6" max="6" width="16.28515625" style="2" customWidth="1"/>
    <col min="7" max="8" width="11.7109375" style="2" customWidth="1"/>
    <col min="9" max="9" width="9.85546875" style="2" customWidth="1"/>
    <col min="10" max="10" width="14" style="2" customWidth="1"/>
    <col min="11" max="12" width="14" style="149" customWidth="1"/>
    <col min="13" max="13" width="11" style="2" customWidth="1"/>
    <col min="14" max="14" width="5.42578125" style="2" customWidth="1"/>
    <col min="15" max="15" width="25" style="2" customWidth="1"/>
    <col min="16" max="16" width="5" style="2" bestFit="1" customWidth="1"/>
    <col min="17" max="16384" width="9.140625" style="2"/>
  </cols>
  <sheetData>
    <row r="2" spans="2:17">
      <c r="B2" s="4" t="s">
        <v>174</v>
      </c>
      <c r="C2" s="5"/>
      <c r="D2" s="5"/>
      <c r="E2" s="73"/>
      <c r="F2" s="5"/>
      <c r="G2" s="5"/>
      <c r="H2" s="5"/>
      <c r="I2" s="5"/>
      <c r="J2" s="5"/>
      <c r="K2" s="151"/>
      <c r="L2" s="151"/>
      <c r="M2" s="5"/>
      <c r="N2" s="5"/>
      <c r="O2" s="5"/>
    </row>
    <row r="3" spans="2:17" ht="25.5" customHeight="1">
      <c r="B3" s="150" t="s">
        <v>18</v>
      </c>
      <c r="C3" s="150" t="s">
        <v>363</v>
      </c>
      <c r="D3" s="150" t="s">
        <v>19</v>
      </c>
      <c r="E3" s="223" t="s">
        <v>175</v>
      </c>
      <c r="F3" s="150" t="s">
        <v>179</v>
      </c>
      <c r="G3" s="150" t="s">
        <v>231</v>
      </c>
      <c r="H3" s="150" t="s">
        <v>32</v>
      </c>
      <c r="I3" s="150" t="s">
        <v>232</v>
      </c>
      <c r="J3" s="150" t="s">
        <v>27</v>
      </c>
      <c r="K3" s="146" t="s">
        <v>14</v>
      </c>
      <c r="L3" s="146" t="s">
        <v>42</v>
      </c>
      <c r="M3" s="150" t="s">
        <v>28</v>
      </c>
      <c r="N3" s="150" t="s">
        <v>173</v>
      </c>
      <c r="O3" s="150" t="s">
        <v>33</v>
      </c>
    </row>
    <row r="4" spans="2:17" s="143" customFormat="1" ht="12.75" customHeight="1">
      <c r="B4" s="275"/>
      <c r="C4" s="519" t="s">
        <v>229</v>
      </c>
      <c r="D4" s="520">
        <v>200000000</v>
      </c>
      <c r="E4" s="521">
        <v>0.14000000000000001</v>
      </c>
      <c r="F4" s="520">
        <v>150000000</v>
      </c>
      <c r="G4" s="522">
        <v>42050</v>
      </c>
      <c r="H4" s="523">
        <v>43115</v>
      </c>
      <c r="I4" s="524">
        <v>36</v>
      </c>
      <c r="J4" s="285">
        <f>K4+L4</f>
        <v>7888888.8888888899</v>
      </c>
      <c r="K4" s="286">
        <f>D4*E4/12</f>
        <v>2333333.3333333335</v>
      </c>
      <c r="L4" s="286">
        <f>D4/I4</f>
        <v>5555555.555555556</v>
      </c>
      <c r="M4" s="525" t="s">
        <v>234</v>
      </c>
      <c r="N4" s="526">
        <v>1</v>
      </c>
      <c r="O4" s="527" t="s">
        <v>245</v>
      </c>
      <c r="Q4" s="144"/>
    </row>
    <row r="5" spans="2:17" s="143" customFormat="1" ht="12.75" customHeight="1">
      <c r="B5" s="275"/>
      <c r="C5" s="519" t="s">
        <v>233</v>
      </c>
      <c r="D5" s="520">
        <v>400000000</v>
      </c>
      <c r="E5" s="521">
        <v>0.15</v>
      </c>
      <c r="F5" s="520">
        <v>250000000</v>
      </c>
      <c r="G5" s="522">
        <v>42444</v>
      </c>
      <c r="H5" s="523">
        <v>44242</v>
      </c>
      <c r="I5" s="524">
        <v>60</v>
      </c>
      <c r="J5" s="285">
        <f>K5+L5</f>
        <v>11666666.666666668</v>
      </c>
      <c r="K5" s="286">
        <f>D5*E5/12</f>
        <v>5000000</v>
      </c>
      <c r="L5" s="286">
        <f>D5/I5</f>
        <v>6666666.666666667</v>
      </c>
      <c r="M5" s="525" t="s">
        <v>235</v>
      </c>
      <c r="N5" s="526">
        <v>1</v>
      </c>
      <c r="O5" s="527" t="s">
        <v>245</v>
      </c>
      <c r="Q5" s="144"/>
    </row>
    <row r="6" spans="2:17" s="143" customFormat="1" ht="12.75" customHeight="1">
      <c r="B6" s="275"/>
      <c r="C6" s="519"/>
      <c r="D6" s="520">
        <v>0</v>
      </c>
      <c r="E6" s="521"/>
      <c r="F6" s="520"/>
      <c r="G6" s="522">
        <v>42444</v>
      </c>
      <c r="H6" s="523">
        <v>44242</v>
      </c>
      <c r="I6" s="524">
        <v>60</v>
      </c>
      <c r="J6" s="285">
        <f t="shared" ref="J6:J15" si="0">K6+L6</f>
        <v>0</v>
      </c>
      <c r="K6" s="286">
        <f t="shared" ref="K6:K15" si="1">D6*E6/12</f>
        <v>0</v>
      </c>
      <c r="L6" s="286">
        <f>D6/I6</f>
        <v>0</v>
      </c>
      <c r="M6" s="525"/>
      <c r="N6" s="526"/>
      <c r="O6" s="527"/>
      <c r="Q6" s="144"/>
    </row>
    <row r="7" spans="2:17" s="143" customFormat="1" ht="12.75" customHeight="1">
      <c r="B7" s="275"/>
      <c r="C7" s="519"/>
      <c r="D7" s="520">
        <v>0</v>
      </c>
      <c r="E7" s="521"/>
      <c r="F7" s="520"/>
      <c r="G7" s="522">
        <v>42444</v>
      </c>
      <c r="H7" s="523">
        <v>44242</v>
      </c>
      <c r="I7" s="524">
        <v>60</v>
      </c>
      <c r="J7" s="285">
        <f t="shared" si="0"/>
        <v>0</v>
      </c>
      <c r="K7" s="286">
        <f t="shared" si="1"/>
        <v>0</v>
      </c>
      <c r="L7" s="286">
        <f>D7/I7</f>
        <v>0</v>
      </c>
      <c r="M7" s="525"/>
      <c r="N7" s="526"/>
      <c r="O7" s="527"/>
      <c r="Q7" s="144"/>
    </row>
    <row r="8" spans="2:17" s="143" customFormat="1" ht="12.75" customHeight="1">
      <c r="B8" s="275"/>
      <c r="C8" s="519"/>
      <c r="D8" s="520">
        <v>0</v>
      </c>
      <c r="E8" s="521"/>
      <c r="F8" s="520"/>
      <c r="G8" s="522">
        <v>42444</v>
      </c>
      <c r="H8" s="523">
        <v>44242</v>
      </c>
      <c r="I8" s="524">
        <v>60</v>
      </c>
      <c r="J8" s="285">
        <f t="shared" si="0"/>
        <v>0</v>
      </c>
      <c r="K8" s="286">
        <f t="shared" si="1"/>
        <v>0</v>
      </c>
      <c r="L8" s="286">
        <f t="shared" ref="L8:L15" si="2">D8/I8</f>
        <v>0</v>
      </c>
      <c r="M8" s="525"/>
      <c r="N8" s="526"/>
      <c r="O8" s="527"/>
      <c r="Q8" s="144"/>
    </row>
    <row r="9" spans="2:17" s="143" customFormat="1" ht="12.75" customHeight="1">
      <c r="B9" s="275"/>
      <c r="C9" s="519"/>
      <c r="D9" s="520">
        <v>0</v>
      </c>
      <c r="E9" s="521"/>
      <c r="F9" s="520"/>
      <c r="G9" s="522">
        <v>42444</v>
      </c>
      <c r="H9" s="523">
        <v>44242</v>
      </c>
      <c r="I9" s="524">
        <v>60</v>
      </c>
      <c r="J9" s="285">
        <f t="shared" si="0"/>
        <v>0</v>
      </c>
      <c r="K9" s="286">
        <f t="shared" si="1"/>
        <v>0</v>
      </c>
      <c r="L9" s="286">
        <f t="shared" si="2"/>
        <v>0</v>
      </c>
      <c r="M9" s="525"/>
      <c r="N9" s="526"/>
      <c r="O9" s="527"/>
      <c r="Q9" s="144"/>
    </row>
    <row r="10" spans="2:17" s="143" customFormat="1" ht="12.75" customHeight="1">
      <c r="B10" s="275"/>
      <c r="C10" s="519"/>
      <c r="D10" s="520">
        <v>0</v>
      </c>
      <c r="E10" s="521"/>
      <c r="F10" s="520"/>
      <c r="G10" s="522">
        <v>42444</v>
      </c>
      <c r="H10" s="523">
        <v>44242</v>
      </c>
      <c r="I10" s="524">
        <v>60</v>
      </c>
      <c r="J10" s="285">
        <f t="shared" si="0"/>
        <v>0</v>
      </c>
      <c r="K10" s="286">
        <f t="shared" si="1"/>
        <v>0</v>
      </c>
      <c r="L10" s="286">
        <f t="shared" si="2"/>
        <v>0</v>
      </c>
      <c r="M10" s="525"/>
      <c r="N10" s="526"/>
      <c r="O10" s="527"/>
      <c r="Q10" s="144"/>
    </row>
    <row r="11" spans="2:17" s="143" customFormat="1" ht="12.75" customHeight="1">
      <c r="B11" s="275"/>
      <c r="C11" s="519"/>
      <c r="D11" s="520">
        <v>0</v>
      </c>
      <c r="E11" s="521"/>
      <c r="F11" s="520"/>
      <c r="G11" s="522">
        <v>42444</v>
      </c>
      <c r="H11" s="523">
        <v>44242</v>
      </c>
      <c r="I11" s="524">
        <v>60</v>
      </c>
      <c r="J11" s="285">
        <f t="shared" si="0"/>
        <v>0</v>
      </c>
      <c r="K11" s="286">
        <f t="shared" si="1"/>
        <v>0</v>
      </c>
      <c r="L11" s="286">
        <f t="shared" si="2"/>
        <v>0</v>
      </c>
      <c r="M11" s="525"/>
      <c r="N11" s="526"/>
      <c r="O11" s="527"/>
      <c r="Q11" s="144"/>
    </row>
    <row r="12" spans="2:17" s="143" customFormat="1" ht="12.75" customHeight="1">
      <c r="B12" s="275"/>
      <c r="C12" s="519"/>
      <c r="D12" s="520">
        <v>0</v>
      </c>
      <c r="E12" s="521"/>
      <c r="F12" s="520"/>
      <c r="G12" s="522">
        <v>42444</v>
      </c>
      <c r="H12" s="523">
        <v>44242</v>
      </c>
      <c r="I12" s="524">
        <v>60</v>
      </c>
      <c r="J12" s="285">
        <f t="shared" si="0"/>
        <v>0</v>
      </c>
      <c r="K12" s="286">
        <f t="shared" si="1"/>
        <v>0</v>
      </c>
      <c r="L12" s="286">
        <f t="shared" si="2"/>
        <v>0</v>
      </c>
      <c r="M12" s="525"/>
      <c r="N12" s="526"/>
      <c r="O12" s="527"/>
      <c r="Q12" s="144"/>
    </row>
    <row r="13" spans="2:17" s="143" customFormat="1" ht="12.75" customHeight="1">
      <c r="B13" s="275"/>
      <c r="C13" s="519"/>
      <c r="D13" s="520">
        <v>0</v>
      </c>
      <c r="E13" s="521"/>
      <c r="F13" s="520"/>
      <c r="G13" s="522">
        <v>42444</v>
      </c>
      <c r="H13" s="523">
        <v>44242</v>
      </c>
      <c r="I13" s="524">
        <v>60</v>
      </c>
      <c r="J13" s="285">
        <f t="shared" si="0"/>
        <v>0</v>
      </c>
      <c r="K13" s="286">
        <f t="shared" si="1"/>
        <v>0</v>
      </c>
      <c r="L13" s="286">
        <f t="shared" si="2"/>
        <v>0</v>
      </c>
      <c r="M13" s="525"/>
      <c r="N13" s="526"/>
      <c r="O13" s="527"/>
      <c r="Q13" s="144"/>
    </row>
    <row r="14" spans="2:17" s="143" customFormat="1" ht="12.75" customHeight="1">
      <c r="B14" s="275"/>
      <c r="C14" s="519"/>
      <c r="D14" s="520">
        <v>0</v>
      </c>
      <c r="E14" s="521"/>
      <c r="F14" s="520"/>
      <c r="G14" s="522">
        <v>42444</v>
      </c>
      <c r="H14" s="523">
        <v>44242</v>
      </c>
      <c r="I14" s="524">
        <v>60</v>
      </c>
      <c r="J14" s="285">
        <f t="shared" si="0"/>
        <v>0</v>
      </c>
      <c r="K14" s="286">
        <f t="shared" si="1"/>
        <v>0</v>
      </c>
      <c r="L14" s="286">
        <f t="shared" si="2"/>
        <v>0</v>
      </c>
      <c r="M14" s="525"/>
      <c r="N14" s="526"/>
      <c r="O14" s="527"/>
      <c r="Q14" s="144"/>
    </row>
    <row r="15" spans="2:17" s="143" customFormat="1" ht="12.75" customHeight="1">
      <c r="B15" s="275"/>
      <c r="C15" s="519"/>
      <c r="D15" s="520">
        <v>0</v>
      </c>
      <c r="E15" s="521"/>
      <c r="F15" s="520"/>
      <c r="G15" s="522">
        <v>42444</v>
      </c>
      <c r="H15" s="523">
        <v>44242</v>
      </c>
      <c r="I15" s="524">
        <v>60</v>
      </c>
      <c r="J15" s="285">
        <f t="shared" si="0"/>
        <v>0</v>
      </c>
      <c r="K15" s="286">
        <f t="shared" si="1"/>
        <v>0</v>
      </c>
      <c r="L15" s="286">
        <f t="shared" si="2"/>
        <v>0</v>
      </c>
      <c r="M15" s="525"/>
      <c r="N15" s="526"/>
      <c r="O15" s="527"/>
      <c r="Q15" s="144"/>
    </row>
    <row r="16" spans="2:17" s="143" customFormat="1" ht="12.75" customHeight="1">
      <c r="B16" s="279"/>
      <c r="C16" s="519" t="s">
        <v>230</v>
      </c>
      <c r="D16" s="520">
        <v>10000000</v>
      </c>
      <c r="E16" s="521">
        <v>0.3</v>
      </c>
      <c r="F16" s="520">
        <v>5500000</v>
      </c>
      <c r="G16" s="502"/>
      <c r="H16" s="503"/>
      <c r="I16" s="504"/>
      <c r="J16" s="287">
        <f>L16+K16</f>
        <v>687500</v>
      </c>
      <c r="K16" s="288">
        <f>F16*E16/12</f>
        <v>137500</v>
      </c>
      <c r="L16" s="288">
        <f>F16/10</f>
        <v>550000</v>
      </c>
      <c r="M16" s="525" t="s">
        <v>322</v>
      </c>
      <c r="N16" s="526">
        <v>1</v>
      </c>
      <c r="O16" s="527" t="s">
        <v>246</v>
      </c>
      <c r="Q16" s="144"/>
    </row>
    <row r="17" spans="2:17" s="143" customFormat="1" ht="12.75" customHeight="1">
      <c r="B17" s="275"/>
      <c r="C17" s="276"/>
      <c r="D17" s="277"/>
      <c r="E17" s="278"/>
      <c r="F17" s="277"/>
      <c r="G17" s="502"/>
      <c r="H17" s="503"/>
      <c r="I17" s="504"/>
      <c r="J17" s="287">
        <f t="shared" ref="J17:J21" si="3">L17+K17</f>
        <v>0</v>
      </c>
      <c r="K17" s="288">
        <f t="shared" ref="K17:K21" si="4">F17*E17/12</f>
        <v>0</v>
      </c>
      <c r="L17" s="288">
        <f t="shared" ref="L17:L21" si="5">F17/10</f>
        <v>0</v>
      </c>
      <c r="M17" s="525" t="s">
        <v>322</v>
      </c>
      <c r="N17" s="526"/>
      <c r="O17" s="528"/>
      <c r="Q17" s="144"/>
    </row>
    <row r="18" spans="2:17" s="143" customFormat="1" ht="12.75" customHeight="1">
      <c r="B18" s="279"/>
      <c r="C18" s="276"/>
      <c r="D18" s="277"/>
      <c r="E18" s="278"/>
      <c r="F18" s="277"/>
      <c r="G18" s="502"/>
      <c r="H18" s="503"/>
      <c r="I18" s="504"/>
      <c r="J18" s="287">
        <f t="shared" si="3"/>
        <v>0</v>
      </c>
      <c r="K18" s="288">
        <f t="shared" si="4"/>
        <v>0</v>
      </c>
      <c r="L18" s="288">
        <f t="shared" si="5"/>
        <v>0</v>
      </c>
      <c r="M18" s="525" t="s">
        <v>322</v>
      </c>
      <c r="N18" s="526"/>
      <c r="O18" s="528"/>
      <c r="Q18" s="144"/>
    </row>
    <row r="19" spans="2:17" s="143" customFormat="1" ht="12.75" customHeight="1">
      <c r="B19" s="275"/>
      <c r="C19" s="276"/>
      <c r="D19" s="277"/>
      <c r="E19" s="278"/>
      <c r="F19" s="277"/>
      <c r="G19" s="502"/>
      <c r="H19" s="503"/>
      <c r="I19" s="504"/>
      <c r="J19" s="287">
        <f t="shared" si="3"/>
        <v>0</v>
      </c>
      <c r="K19" s="288">
        <f t="shared" si="4"/>
        <v>0</v>
      </c>
      <c r="L19" s="288">
        <f t="shared" si="5"/>
        <v>0</v>
      </c>
      <c r="M19" s="525" t="s">
        <v>322</v>
      </c>
      <c r="N19" s="526"/>
      <c r="O19" s="528"/>
      <c r="Q19" s="144"/>
    </row>
    <row r="20" spans="2:17" s="143" customFormat="1" ht="12.75" customHeight="1">
      <c r="B20" s="279"/>
      <c r="C20" s="276"/>
      <c r="D20" s="277"/>
      <c r="E20" s="278"/>
      <c r="F20" s="277"/>
      <c r="G20" s="502"/>
      <c r="H20" s="503"/>
      <c r="I20" s="504"/>
      <c r="J20" s="287">
        <f t="shared" si="3"/>
        <v>0</v>
      </c>
      <c r="K20" s="288">
        <f t="shared" si="4"/>
        <v>0</v>
      </c>
      <c r="L20" s="288">
        <f t="shared" si="5"/>
        <v>0</v>
      </c>
      <c r="M20" s="525" t="s">
        <v>322</v>
      </c>
      <c r="N20" s="526"/>
      <c r="O20" s="528"/>
      <c r="Q20" s="144"/>
    </row>
    <row r="21" spans="2:17" s="143" customFormat="1" ht="12.75" customHeight="1">
      <c r="B21" s="275"/>
      <c r="C21" s="276"/>
      <c r="D21" s="277"/>
      <c r="E21" s="278"/>
      <c r="F21" s="277"/>
      <c r="G21" s="502"/>
      <c r="H21" s="503"/>
      <c r="I21" s="504"/>
      <c r="J21" s="287">
        <f t="shared" si="3"/>
        <v>0</v>
      </c>
      <c r="K21" s="288">
        <f t="shared" si="4"/>
        <v>0</v>
      </c>
      <c r="L21" s="288">
        <f t="shared" si="5"/>
        <v>0</v>
      </c>
      <c r="M21" s="525" t="s">
        <v>322</v>
      </c>
      <c r="N21" s="526"/>
      <c r="O21" s="528"/>
      <c r="Q21" s="144"/>
    </row>
    <row r="22" spans="2:17" s="149" customFormat="1" ht="12.75" customHeight="1">
      <c r="B22" s="145"/>
      <c r="C22" s="146" t="s">
        <v>20</v>
      </c>
      <c r="D22" s="147">
        <f>SUM(D4:D21)</f>
        <v>610000000</v>
      </c>
      <c r="E22" s="148"/>
      <c r="F22" s="147">
        <f>SUM(F4:F21)</f>
        <v>405500000</v>
      </c>
      <c r="G22" s="147"/>
      <c r="H22" s="10"/>
      <c r="I22" s="10"/>
      <c r="J22" s="289">
        <f>SUM(J4:J21)</f>
        <v>20243055.55555556</v>
      </c>
      <c r="K22" s="289">
        <f>SUM(K4:K21)</f>
        <v>7470833.333333334</v>
      </c>
      <c r="L22" s="289">
        <f>SUM(L4:L21)</f>
        <v>12772222.222222224</v>
      </c>
      <c r="M22" s="582"/>
      <c r="N22" s="583"/>
      <c r="O22" s="584"/>
    </row>
    <row r="23" spans="2:17" s="222" customFormat="1" ht="12.75" customHeight="1">
      <c r="B23" s="216"/>
      <c r="C23" s="217"/>
      <c r="D23" s="218"/>
      <c r="E23" s="219"/>
      <c r="F23" s="218"/>
      <c r="G23" s="218"/>
      <c r="H23" s="220"/>
      <c r="I23" s="220"/>
      <c r="J23" s="218"/>
      <c r="K23" s="218"/>
      <c r="L23" s="218"/>
      <c r="M23" s="221"/>
      <c r="N23" s="221"/>
      <c r="O23" s="221"/>
    </row>
    <row r="24" spans="2:17" s="222" customFormat="1" ht="12.75" customHeight="1">
      <c r="B24" s="267" t="s">
        <v>325</v>
      </c>
      <c r="C24" s="217"/>
      <c r="D24" s="218"/>
      <c r="E24" s="219"/>
      <c r="F24" s="218"/>
      <c r="G24" s="218"/>
      <c r="H24" s="220"/>
      <c r="I24" s="220"/>
      <c r="J24" s="218"/>
      <c r="K24" s="218"/>
      <c r="L24" s="218"/>
      <c r="M24" s="221"/>
      <c r="N24" s="221"/>
      <c r="O24" s="221"/>
    </row>
    <row r="25" spans="2:17" s="222" customFormat="1" ht="12.75" customHeight="1">
      <c r="B25" s="267" t="s">
        <v>327</v>
      </c>
      <c r="C25" s="217"/>
      <c r="D25" s="218"/>
      <c r="E25" s="219"/>
      <c r="F25" s="218"/>
      <c r="G25" s="218"/>
      <c r="H25" s="220"/>
      <c r="I25" s="220"/>
      <c r="J25" s="218"/>
      <c r="K25" s="218"/>
      <c r="L25" s="218"/>
      <c r="M25" s="221"/>
      <c r="N25" s="221"/>
      <c r="O25" s="221"/>
    </row>
    <row r="26" spans="2:17" s="222" customFormat="1" ht="12.75" customHeight="1">
      <c r="B26" s="267"/>
      <c r="C26" s="217"/>
      <c r="D26" s="218"/>
      <c r="E26" s="219"/>
      <c r="F26" s="218"/>
      <c r="G26" s="218"/>
      <c r="H26" s="220"/>
      <c r="I26" s="220"/>
      <c r="J26" s="218"/>
      <c r="K26" s="218"/>
      <c r="L26" s="218"/>
      <c r="M26" s="221"/>
      <c r="N26" s="221"/>
      <c r="O26" s="221"/>
    </row>
    <row r="27" spans="2:17" s="222" customFormat="1" ht="12.75" customHeight="1">
      <c r="B27" s="216"/>
      <c r="C27" s="217"/>
      <c r="D27" s="218"/>
      <c r="E27" s="219"/>
      <c r="F27" s="218"/>
      <c r="G27" s="218"/>
      <c r="H27" s="220"/>
      <c r="I27" s="220"/>
      <c r="J27" s="218"/>
      <c r="K27" s="218"/>
      <c r="L27" s="218"/>
      <c r="M27" s="221"/>
      <c r="N27" s="221"/>
      <c r="O27" s="221"/>
    </row>
    <row r="28" spans="2:17" ht="12.75" customHeight="1">
      <c r="B28" s="587" t="s">
        <v>89</v>
      </c>
      <c r="C28" s="587"/>
      <c r="D28" s="587"/>
      <c r="E28" s="587"/>
      <c r="F28" s="268">
        <f>(L22*12)</f>
        <v>153266666.66666669</v>
      </c>
      <c r="G28" s="7"/>
      <c r="H28" s="8"/>
      <c r="I28" s="8"/>
      <c r="J28" s="7"/>
      <c r="K28" s="152"/>
      <c r="L28" s="152"/>
      <c r="M28" s="9"/>
      <c r="N28" s="6"/>
      <c r="O28" s="6"/>
    </row>
    <row r="29" spans="2:17">
      <c r="B29" s="587" t="s">
        <v>90</v>
      </c>
      <c r="C29" s="587"/>
      <c r="D29" s="587"/>
      <c r="E29" s="587"/>
      <c r="F29" s="269">
        <f>F22-F28</f>
        <v>252233333.33333331</v>
      </c>
      <c r="J29" s="3"/>
      <c r="K29" s="153"/>
      <c r="L29" s="153"/>
    </row>
    <row r="30" spans="2:17">
      <c r="C30" s="215"/>
      <c r="J30" s="3"/>
      <c r="K30" s="153"/>
      <c r="L30" s="153"/>
    </row>
    <row r="31" spans="2:17">
      <c r="C31" s="215"/>
      <c r="J31" s="3"/>
      <c r="K31" s="153"/>
      <c r="L31" s="153"/>
    </row>
    <row r="32" spans="2:17">
      <c r="B32" s="4" t="s">
        <v>326</v>
      </c>
      <c r="C32" s="5"/>
      <c r="D32" s="5"/>
      <c r="E32" s="73"/>
      <c r="F32" s="5"/>
      <c r="G32" s="5"/>
      <c r="H32" s="5"/>
      <c r="I32" s="5"/>
      <c r="J32" s="5"/>
      <c r="K32" s="151"/>
      <c r="L32" s="151"/>
      <c r="M32" s="5"/>
      <c r="N32" s="5"/>
      <c r="O32" s="5"/>
    </row>
    <row r="33" spans="2:17" ht="25.5" customHeight="1">
      <c r="B33" s="150" t="s">
        <v>18</v>
      </c>
      <c r="C33" s="150" t="s">
        <v>363</v>
      </c>
      <c r="D33" s="150" t="s">
        <v>19</v>
      </c>
      <c r="E33" s="223" t="s">
        <v>175</v>
      </c>
      <c r="F33" s="150" t="s">
        <v>26</v>
      </c>
      <c r="G33" s="150" t="s">
        <v>231</v>
      </c>
      <c r="H33" s="150" t="s">
        <v>32</v>
      </c>
      <c r="I33" s="223" t="s">
        <v>232</v>
      </c>
      <c r="J33" s="150" t="s">
        <v>27</v>
      </c>
      <c r="K33" s="146" t="s">
        <v>14</v>
      </c>
      <c r="L33" s="146" t="s">
        <v>42</v>
      </c>
      <c r="M33" s="150" t="s">
        <v>28</v>
      </c>
      <c r="N33" s="150" t="s">
        <v>173</v>
      </c>
      <c r="O33" s="150" t="s">
        <v>33</v>
      </c>
    </row>
    <row r="34" spans="2:17" s="143" customFormat="1" ht="12.75" customHeight="1">
      <c r="B34" s="275"/>
      <c r="C34" s="519" t="s">
        <v>236</v>
      </c>
      <c r="D34" s="520">
        <v>25000000</v>
      </c>
      <c r="E34" s="521">
        <v>0.2</v>
      </c>
      <c r="F34" s="520">
        <v>6000000</v>
      </c>
      <c r="G34" s="522">
        <v>42019</v>
      </c>
      <c r="H34" s="523">
        <v>43814</v>
      </c>
      <c r="I34" s="524">
        <v>60</v>
      </c>
      <c r="J34" s="285">
        <f>K34+L34</f>
        <v>833333.33333333337</v>
      </c>
      <c r="K34" s="286">
        <f>D34*E34/12</f>
        <v>416666.66666666669</v>
      </c>
      <c r="L34" s="286">
        <f>D34/I34</f>
        <v>416666.66666666669</v>
      </c>
      <c r="M34" s="525" t="s">
        <v>238</v>
      </c>
      <c r="N34" s="526">
        <v>1</v>
      </c>
      <c r="O34" s="527" t="s">
        <v>247</v>
      </c>
      <c r="Q34" s="144"/>
    </row>
    <row r="35" spans="2:17" s="280" customFormat="1" ht="12.75" customHeight="1">
      <c r="B35" s="275"/>
      <c r="C35" s="519"/>
      <c r="D35" s="520">
        <v>0</v>
      </c>
      <c r="E35" s="521"/>
      <c r="F35" s="520"/>
      <c r="G35" s="522">
        <v>42019</v>
      </c>
      <c r="H35" s="523">
        <v>43814</v>
      </c>
      <c r="I35" s="524">
        <v>60</v>
      </c>
      <c r="J35" s="287">
        <f t="shared" ref="J35:J41" si="6">K35+L35</f>
        <v>0</v>
      </c>
      <c r="K35" s="288">
        <f t="shared" ref="K35:K41" si="7">D35*E35/12</f>
        <v>0</v>
      </c>
      <c r="L35" s="288">
        <f t="shared" ref="L35:L41" si="8">D35/I35</f>
        <v>0</v>
      </c>
      <c r="M35" s="525"/>
      <c r="N35" s="526"/>
      <c r="O35" s="527"/>
      <c r="Q35" s="281"/>
    </row>
    <row r="36" spans="2:17" s="280" customFormat="1" ht="12.75" customHeight="1">
      <c r="B36" s="275"/>
      <c r="C36" s="519"/>
      <c r="D36" s="520">
        <v>0</v>
      </c>
      <c r="E36" s="521"/>
      <c r="F36" s="520"/>
      <c r="G36" s="522">
        <v>42019</v>
      </c>
      <c r="H36" s="523">
        <v>43814</v>
      </c>
      <c r="I36" s="524">
        <v>60</v>
      </c>
      <c r="J36" s="287">
        <f t="shared" si="6"/>
        <v>0</v>
      </c>
      <c r="K36" s="288">
        <f t="shared" si="7"/>
        <v>0</v>
      </c>
      <c r="L36" s="288">
        <f t="shared" si="8"/>
        <v>0</v>
      </c>
      <c r="M36" s="525"/>
      <c r="N36" s="526"/>
      <c r="O36" s="527"/>
      <c r="Q36" s="281"/>
    </row>
    <row r="37" spans="2:17" s="280" customFormat="1" ht="12.75" customHeight="1">
      <c r="B37" s="275"/>
      <c r="C37" s="519"/>
      <c r="D37" s="520">
        <v>0</v>
      </c>
      <c r="E37" s="521"/>
      <c r="F37" s="520"/>
      <c r="G37" s="522">
        <v>42019</v>
      </c>
      <c r="H37" s="523">
        <v>43814</v>
      </c>
      <c r="I37" s="524">
        <v>60</v>
      </c>
      <c r="J37" s="287">
        <f t="shared" si="6"/>
        <v>0</v>
      </c>
      <c r="K37" s="288">
        <f t="shared" si="7"/>
        <v>0</v>
      </c>
      <c r="L37" s="288">
        <f t="shared" si="8"/>
        <v>0</v>
      </c>
      <c r="M37" s="525"/>
      <c r="N37" s="526"/>
      <c r="O37" s="527"/>
      <c r="Q37" s="281"/>
    </row>
    <row r="38" spans="2:17" s="280" customFormat="1" ht="12.75" customHeight="1">
      <c r="B38" s="275"/>
      <c r="C38" s="519"/>
      <c r="D38" s="520">
        <v>0</v>
      </c>
      <c r="E38" s="521"/>
      <c r="F38" s="520"/>
      <c r="G38" s="522">
        <v>42019</v>
      </c>
      <c r="H38" s="523">
        <v>43814</v>
      </c>
      <c r="I38" s="524">
        <v>60</v>
      </c>
      <c r="J38" s="287">
        <f t="shared" si="6"/>
        <v>0</v>
      </c>
      <c r="K38" s="288">
        <f t="shared" si="7"/>
        <v>0</v>
      </c>
      <c r="L38" s="288">
        <f t="shared" si="8"/>
        <v>0</v>
      </c>
      <c r="M38" s="525"/>
      <c r="N38" s="526"/>
      <c r="O38" s="527"/>
      <c r="Q38" s="281"/>
    </row>
    <row r="39" spans="2:17" s="280" customFormat="1" ht="12.75" customHeight="1">
      <c r="B39" s="275"/>
      <c r="C39" s="519"/>
      <c r="D39" s="520">
        <v>0</v>
      </c>
      <c r="E39" s="521"/>
      <c r="F39" s="520"/>
      <c r="G39" s="522">
        <v>42019</v>
      </c>
      <c r="H39" s="523">
        <v>43814</v>
      </c>
      <c r="I39" s="524">
        <v>60</v>
      </c>
      <c r="J39" s="287">
        <f t="shared" si="6"/>
        <v>0</v>
      </c>
      <c r="K39" s="288">
        <f t="shared" si="7"/>
        <v>0</v>
      </c>
      <c r="L39" s="288">
        <f t="shared" si="8"/>
        <v>0</v>
      </c>
      <c r="M39" s="525"/>
      <c r="N39" s="526"/>
      <c r="O39" s="527"/>
      <c r="Q39" s="281"/>
    </row>
    <row r="40" spans="2:17" s="280" customFormat="1" ht="12.75" customHeight="1">
      <c r="B40" s="275"/>
      <c r="C40" s="519"/>
      <c r="D40" s="520">
        <v>0</v>
      </c>
      <c r="E40" s="521"/>
      <c r="F40" s="520"/>
      <c r="G40" s="522">
        <v>42019</v>
      </c>
      <c r="H40" s="523">
        <v>43814</v>
      </c>
      <c r="I40" s="524">
        <v>60</v>
      </c>
      <c r="J40" s="287">
        <f t="shared" si="6"/>
        <v>0</v>
      </c>
      <c r="K40" s="288">
        <f t="shared" si="7"/>
        <v>0</v>
      </c>
      <c r="L40" s="288">
        <f t="shared" si="8"/>
        <v>0</v>
      </c>
      <c r="M40" s="525"/>
      <c r="N40" s="526"/>
      <c r="O40" s="527"/>
      <c r="Q40" s="281"/>
    </row>
    <row r="41" spans="2:17" s="280" customFormat="1" ht="12.75" customHeight="1">
      <c r="B41" s="275"/>
      <c r="C41" s="519"/>
      <c r="D41" s="520">
        <v>0</v>
      </c>
      <c r="E41" s="521"/>
      <c r="F41" s="520"/>
      <c r="G41" s="522">
        <v>42019</v>
      </c>
      <c r="H41" s="523">
        <v>43814</v>
      </c>
      <c r="I41" s="524">
        <v>60</v>
      </c>
      <c r="J41" s="287">
        <f t="shared" si="6"/>
        <v>0</v>
      </c>
      <c r="K41" s="288">
        <f t="shared" si="7"/>
        <v>0</v>
      </c>
      <c r="L41" s="288">
        <f t="shared" si="8"/>
        <v>0</v>
      </c>
      <c r="M41" s="525"/>
      <c r="N41" s="526"/>
      <c r="O41" s="527"/>
      <c r="Q41" s="281"/>
    </row>
    <row r="42" spans="2:17" s="143" customFormat="1" ht="12.75" customHeight="1">
      <c r="B42" s="279"/>
      <c r="C42" s="519" t="s">
        <v>237</v>
      </c>
      <c r="D42" s="520">
        <v>15000000</v>
      </c>
      <c r="E42" s="521">
        <v>0.3</v>
      </c>
      <c r="F42" s="520">
        <v>5000000</v>
      </c>
      <c r="G42" s="502"/>
      <c r="H42" s="503"/>
      <c r="I42" s="504"/>
      <c r="J42" s="287">
        <f>K42+L42</f>
        <v>625000</v>
      </c>
      <c r="K42" s="288">
        <f>F42*E42/12</f>
        <v>125000</v>
      </c>
      <c r="L42" s="288">
        <f>F42/10</f>
        <v>500000</v>
      </c>
      <c r="M42" s="525" t="s">
        <v>322</v>
      </c>
      <c r="N42" s="526">
        <v>1</v>
      </c>
      <c r="O42" s="527" t="s">
        <v>248</v>
      </c>
      <c r="Q42" s="144"/>
    </row>
    <row r="43" spans="2:17" s="280" customFormat="1" ht="12.75" customHeight="1">
      <c r="B43" s="279"/>
      <c r="C43" s="519"/>
      <c r="D43" s="520"/>
      <c r="E43" s="521"/>
      <c r="F43" s="520"/>
      <c r="G43" s="502"/>
      <c r="H43" s="503"/>
      <c r="I43" s="504"/>
      <c r="J43" s="287">
        <f t="shared" ref="J43:J47" si="9">K43+L43</f>
        <v>0</v>
      </c>
      <c r="K43" s="288">
        <f t="shared" ref="K43:K47" si="10">F43*E43/12</f>
        <v>0</v>
      </c>
      <c r="L43" s="288">
        <f t="shared" ref="L43:L47" si="11">F43/10</f>
        <v>0</v>
      </c>
      <c r="M43" s="525" t="s">
        <v>322</v>
      </c>
      <c r="N43" s="526"/>
      <c r="O43" s="528"/>
      <c r="Q43" s="281"/>
    </row>
    <row r="44" spans="2:17" s="280" customFormat="1" ht="12.75" customHeight="1">
      <c r="B44" s="279"/>
      <c r="C44" s="519"/>
      <c r="D44" s="520"/>
      <c r="E44" s="521"/>
      <c r="F44" s="520"/>
      <c r="G44" s="502"/>
      <c r="H44" s="503"/>
      <c r="I44" s="504"/>
      <c r="J44" s="287">
        <f t="shared" si="9"/>
        <v>0</v>
      </c>
      <c r="K44" s="288">
        <f t="shared" si="10"/>
        <v>0</v>
      </c>
      <c r="L44" s="288">
        <f>F44/10</f>
        <v>0</v>
      </c>
      <c r="M44" s="525" t="s">
        <v>322</v>
      </c>
      <c r="N44" s="526"/>
      <c r="O44" s="528"/>
      <c r="Q44" s="281"/>
    </row>
    <row r="45" spans="2:17" s="280" customFormat="1" ht="12.75" customHeight="1">
      <c r="B45" s="279"/>
      <c r="C45" s="519"/>
      <c r="D45" s="520"/>
      <c r="E45" s="521"/>
      <c r="F45" s="520"/>
      <c r="G45" s="502"/>
      <c r="H45" s="503"/>
      <c r="I45" s="504"/>
      <c r="J45" s="287">
        <f t="shared" si="9"/>
        <v>0</v>
      </c>
      <c r="K45" s="288">
        <f t="shared" si="10"/>
        <v>0</v>
      </c>
      <c r="L45" s="288">
        <f t="shared" si="11"/>
        <v>0</v>
      </c>
      <c r="M45" s="525" t="s">
        <v>322</v>
      </c>
      <c r="N45" s="526"/>
      <c r="O45" s="528"/>
      <c r="Q45" s="281"/>
    </row>
    <row r="46" spans="2:17" s="280" customFormat="1" ht="12.75" customHeight="1">
      <c r="B46" s="279"/>
      <c r="C46" s="519"/>
      <c r="D46" s="520"/>
      <c r="E46" s="521"/>
      <c r="F46" s="520"/>
      <c r="G46" s="502"/>
      <c r="H46" s="503"/>
      <c r="I46" s="504"/>
      <c r="J46" s="287">
        <f t="shared" si="9"/>
        <v>0</v>
      </c>
      <c r="K46" s="288">
        <f t="shared" si="10"/>
        <v>0</v>
      </c>
      <c r="L46" s="288">
        <f t="shared" si="11"/>
        <v>0</v>
      </c>
      <c r="M46" s="525" t="s">
        <v>322</v>
      </c>
      <c r="N46" s="526"/>
      <c r="O46" s="528"/>
      <c r="Q46" s="281"/>
    </row>
    <row r="47" spans="2:17" s="280" customFormat="1" ht="12.75" customHeight="1">
      <c r="B47" s="279"/>
      <c r="C47" s="519"/>
      <c r="D47" s="520"/>
      <c r="E47" s="521"/>
      <c r="F47" s="520"/>
      <c r="G47" s="502"/>
      <c r="H47" s="503"/>
      <c r="I47" s="504"/>
      <c r="J47" s="287">
        <f t="shared" si="9"/>
        <v>0</v>
      </c>
      <c r="K47" s="288">
        <f t="shared" si="10"/>
        <v>0</v>
      </c>
      <c r="L47" s="288">
        <f t="shared" si="11"/>
        <v>0</v>
      </c>
      <c r="M47" s="525" t="s">
        <v>322</v>
      </c>
      <c r="N47" s="526"/>
      <c r="O47" s="528"/>
      <c r="Q47" s="281"/>
    </row>
    <row r="48" spans="2:17" s="149" customFormat="1" ht="12.75" customHeight="1">
      <c r="B48" s="145"/>
      <c r="C48" s="146" t="s">
        <v>20</v>
      </c>
      <c r="D48" s="147">
        <f>SUM(D34:D47)</f>
        <v>40000000</v>
      </c>
      <c r="E48" s="148"/>
      <c r="F48" s="147">
        <f>SUM(F34:F47)</f>
        <v>11000000</v>
      </c>
      <c r="G48" s="147"/>
      <c r="H48" s="10"/>
      <c r="I48" s="10"/>
      <c r="J48" s="289">
        <f>SUM(J34:J47)</f>
        <v>1458333.3333333335</v>
      </c>
      <c r="K48" s="289">
        <f>SUM(K34:K47)</f>
        <v>541666.66666666674</v>
      </c>
      <c r="L48" s="289">
        <f>SUM(L34:L47)</f>
        <v>916666.66666666674</v>
      </c>
      <c r="M48" s="582"/>
      <c r="N48" s="583"/>
      <c r="O48" s="584"/>
    </row>
    <row r="52" spans="2:12">
      <c r="B52" s="154" t="s">
        <v>176</v>
      </c>
    </row>
    <row r="53" spans="2:12">
      <c r="B53" s="585" t="s">
        <v>177</v>
      </c>
      <c r="C53" s="585"/>
      <c r="D53" s="529" t="s">
        <v>240</v>
      </c>
    </row>
    <row r="54" spans="2:12">
      <c r="B54" s="585" t="s">
        <v>178</v>
      </c>
      <c r="C54" s="585"/>
      <c r="D54" s="530">
        <v>500000000</v>
      </c>
    </row>
    <row r="55" spans="2:12">
      <c r="B55" s="585" t="s">
        <v>179</v>
      </c>
      <c r="C55" s="585"/>
      <c r="D55" s="530">
        <v>250000000</v>
      </c>
    </row>
    <row r="56" spans="2:12">
      <c r="B56" s="585" t="s">
        <v>252</v>
      </c>
      <c r="C56" s="585"/>
      <c r="D56" s="530">
        <v>15000000</v>
      </c>
    </row>
    <row r="57" spans="2:12">
      <c r="B57" s="585" t="s">
        <v>239</v>
      </c>
      <c r="C57" s="585"/>
      <c r="D57" s="531">
        <v>1</v>
      </c>
    </row>
    <row r="58" spans="2:12">
      <c r="B58" s="213"/>
      <c r="C58" s="213"/>
      <c r="D58" s="214"/>
    </row>
    <row r="59" spans="2:12">
      <c r="B59" s="587" t="s">
        <v>243</v>
      </c>
      <c r="C59" s="587"/>
      <c r="D59" s="587"/>
      <c r="E59" s="587"/>
      <c r="F59" s="532">
        <v>50000000</v>
      </c>
    </row>
    <row r="60" spans="2:12">
      <c r="B60" s="587" t="s">
        <v>244</v>
      </c>
      <c r="C60" s="587"/>
      <c r="D60" s="587"/>
      <c r="E60" s="587"/>
      <c r="F60" s="270">
        <f>D55-F59</f>
        <v>200000000</v>
      </c>
    </row>
    <row r="62" spans="2:12">
      <c r="B62" s="154" t="s">
        <v>180</v>
      </c>
    </row>
    <row r="63" spans="2:12" ht="38.25">
      <c r="B63" s="586" t="s">
        <v>181</v>
      </c>
      <c r="C63" s="586"/>
      <c r="D63" s="155" t="s">
        <v>30</v>
      </c>
      <c r="E63" s="156" t="s">
        <v>182</v>
      </c>
      <c r="F63" s="155" t="s">
        <v>1</v>
      </c>
      <c r="G63" s="212"/>
    </row>
    <row r="64" spans="2:12" s="282" customFormat="1">
      <c r="B64" s="580">
        <v>1</v>
      </c>
      <c r="C64" s="580"/>
      <c r="D64" s="532"/>
      <c r="E64" s="533"/>
      <c r="F64" s="533"/>
      <c r="G64" s="283"/>
      <c r="K64" s="284"/>
      <c r="L64" s="284"/>
    </row>
    <row r="65" spans="2:12" s="282" customFormat="1">
      <c r="B65" s="580">
        <v>2</v>
      </c>
      <c r="C65" s="580"/>
      <c r="D65" s="532"/>
      <c r="E65" s="533"/>
      <c r="F65" s="533"/>
      <c r="G65" s="283"/>
      <c r="K65" s="284"/>
      <c r="L65" s="284"/>
    </row>
    <row r="66" spans="2:12" s="282" customFormat="1">
      <c r="B66" s="580">
        <v>3</v>
      </c>
      <c r="C66" s="580"/>
      <c r="D66" s="532"/>
      <c r="E66" s="533"/>
      <c r="F66" s="533"/>
      <c r="G66" s="283"/>
      <c r="K66" s="284"/>
      <c r="L66" s="284"/>
    </row>
    <row r="67" spans="2:12" s="282" customFormat="1">
      <c r="B67" s="580" t="s">
        <v>242</v>
      </c>
      <c r="C67" s="580"/>
      <c r="D67" s="532"/>
      <c r="E67" s="533"/>
      <c r="F67" s="533"/>
      <c r="G67" s="283"/>
      <c r="K67" s="284"/>
      <c r="L67" s="284"/>
    </row>
    <row r="68" spans="2:12" s="282" customFormat="1">
      <c r="B68" s="580" t="s">
        <v>242</v>
      </c>
      <c r="C68" s="580"/>
      <c r="D68" s="532"/>
      <c r="E68" s="533"/>
      <c r="F68" s="533"/>
      <c r="G68" s="283"/>
      <c r="K68" s="284"/>
      <c r="L68" s="284"/>
    </row>
    <row r="69" spans="2:12" s="282" customFormat="1">
      <c r="B69" s="580" t="s">
        <v>242</v>
      </c>
      <c r="C69" s="580"/>
      <c r="D69" s="532"/>
      <c r="E69" s="533"/>
      <c r="F69" s="533"/>
      <c r="G69" s="283"/>
      <c r="K69" s="284"/>
      <c r="L69" s="284"/>
    </row>
    <row r="70" spans="2:12" s="282" customFormat="1">
      <c r="B70" s="580" t="s">
        <v>241</v>
      </c>
      <c r="C70" s="580"/>
      <c r="D70" s="532"/>
      <c r="E70" s="533"/>
      <c r="F70" s="533"/>
      <c r="G70" s="283"/>
      <c r="K70" s="284"/>
      <c r="L70" s="284"/>
    </row>
    <row r="71" spans="2:12">
      <c r="B71" s="581"/>
      <c r="C71" s="581"/>
    </row>
  </sheetData>
  <sheetProtection formatRows="0" selectLockedCells="1"/>
  <customSheetViews>
    <customSheetView guid="{EB924B51-01F3-412F-ABF4-73B7E6F19BA6}">
      <selection activeCell="C41" sqref="B41:F49"/>
      <pageMargins left="0.7" right="0.7" top="0.75" bottom="0.75" header="0.3" footer="0.3"/>
      <pageSetup paperSize="9" orientation="portrait" horizontalDpi="4294967292" verticalDpi="0" r:id="rId1"/>
    </customSheetView>
  </customSheetViews>
  <mergeCells count="20">
    <mergeCell ref="B28:E28"/>
    <mergeCell ref="B29:E29"/>
    <mergeCell ref="B59:E59"/>
    <mergeCell ref="B60:E60"/>
    <mergeCell ref="M22:O22"/>
    <mergeCell ref="B65:C65"/>
    <mergeCell ref="B66:C66"/>
    <mergeCell ref="B70:C70"/>
    <mergeCell ref="B71:C71"/>
    <mergeCell ref="M48:O48"/>
    <mergeCell ref="B53:C53"/>
    <mergeCell ref="B54:C54"/>
    <mergeCell ref="B55:C55"/>
    <mergeCell ref="B57:C57"/>
    <mergeCell ref="B67:C67"/>
    <mergeCell ref="B68:C68"/>
    <mergeCell ref="B69:C69"/>
    <mergeCell ref="B56:C56"/>
    <mergeCell ref="B63:C63"/>
    <mergeCell ref="B64:C64"/>
  </mergeCells>
  <pageMargins left="0.7" right="0.7" top="0.75" bottom="0.75" header="0.3" footer="0.3"/>
  <pageSetup paperSize="9" orientation="portrait" horizontalDpi="4294967292" verticalDpi="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43"/>
  <sheetViews>
    <sheetView topLeftCell="A10" zoomScale="115" zoomScaleNormal="115" workbookViewId="0">
      <selection activeCell="C21" sqref="C21:H26"/>
    </sheetView>
  </sheetViews>
  <sheetFormatPr defaultRowHeight="12"/>
  <cols>
    <col min="1" max="1" width="9.140625" style="23"/>
    <col min="2" max="2" width="3.85546875" style="20" customWidth="1"/>
    <col min="3" max="3" width="14.28515625" style="20" bestFit="1" customWidth="1"/>
    <col min="4" max="4" width="12.140625" style="21" customWidth="1"/>
    <col min="5" max="5" width="7.85546875" style="22" bestFit="1" customWidth="1"/>
    <col min="6" max="6" width="12.140625" style="21" customWidth="1"/>
    <col min="7" max="7" width="8.85546875" style="22" customWidth="1"/>
    <col min="8" max="8" width="12.140625" style="21" customWidth="1"/>
    <col min="9" max="10" width="9.140625" style="23" customWidth="1"/>
    <col min="11" max="11" width="14.28515625" style="23" customWidth="1"/>
    <col min="12" max="12" width="16.85546875" style="23" customWidth="1"/>
    <col min="13" max="15" width="9.140625" style="23" customWidth="1"/>
    <col min="16" max="16" width="14.28515625" style="23" customWidth="1"/>
    <col min="17" max="17" width="16.85546875" style="23" customWidth="1"/>
    <col min="18" max="20" width="9.140625" style="23" customWidth="1"/>
    <col min="21" max="21" width="14.28515625" style="23" customWidth="1"/>
    <col min="22" max="22" width="16.85546875" style="23" customWidth="1"/>
    <col min="23" max="24" width="9.140625" style="23" customWidth="1"/>
    <col min="25" max="25" width="9.140625" style="23"/>
    <col min="26" max="26" width="14.28515625" style="23" bestFit="1" customWidth="1"/>
    <col min="27" max="27" width="16.85546875" style="23" bestFit="1" customWidth="1"/>
    <col min="28" max="16384" width="9.140625" style="23"/>
  </cols>
  <sheetData>
    <row r="2" spans="2:8" ht="12.75" customHeight="1">
      <c r="B2" s="157" t="s">
        <v>183</v>
      </c>
      <c r="C2" s="157"/>
      <c r="D2" s="538" t="s">
        <v>273</v>
      </c>
      <c r="H2" s="158"/>
    </row>
    <row r="3" spans="2:8" ht="12.75" customHeight="1">
      <c r="B3" s="157" t="s">
        <v>184</v>
      </c>
      <c r="C3" s="157"/>
      <c r="D3" s="539">
        <v>12535456</v>
      </c>
      <c r="H3" s="158"/>
    </row>
    <row r="4" spans="2:8" ht="12.75" customHeight="1">
      <c r="B4" s="157" t="s">
        <v>362</v>
      </c>
      <c r="C4" s="157"/>
      <c r="D4" s="538" t="s">
        <v>274</v>
      </c>
      <c r="H4" s="158"/>
    </row>
    <row r="5" spans="2:8">
      <c r="B5" s="592" t="s">
        <v>18</v>
      </c>
      <c r="C5" s="592" t="s">
        <v>13</v>
      </c>
      <c r="D5" s="596" t="s">
        <v>25</v>
      </c>
      <c r="E5" s="596"/>
      <c r="F5" s="596"/>
      <c r="G5" s="596"/>
      <c r="H5" s="594" t="s">
        <v>34</v>
      </c>
    </row>
    <row r="6" spans="2:8">
      <c r="B6" s="593"/>
      <c r="C6" s="593"/>
      <c r="D6" s="24" t="s">
        <v>35</v>
      </c>
      <c r="E6" s="25" t="s">
        <v>36</v>
      </c>
      <c r="F6" s="24" t="s">
        <v>37</v>
      </c>
      <c r="G6" s="25" t="s">
        <v>36</v>
      </c>
      <c r="H6" s="595"/>
    </row>
    <row r="7" spans="2:8">
      <c r="B7" s="26">
        <v>1</v>
      </c>
      <c r="C7" s="534" t="s">
        <v>276</v>
      </c>
      <c r="D7" s="535">
        <v>250000000</v>
      </c>
      <c r="E7" s="536">
        <v>6</v>
      </c>
      <c r="F7" s="535">
        <v>325000000</v>
      </c>
      <c r="G7" s="536">
        <v>10</v>
      </c>
      <c r="H7" s="535">
        <v>5000000</v>
      </c>
    </row>
    <row r="8" spans="2:8">
      <c r="B8" s="26">
        <v>2</v>
      </c>
      <c r="C8" s="534" t="s">
        <v>275</v>
      </c>
      <c r="D8" s="537">
        <v>275000000</v>
      </c>
      <c r="E8" s="536">
        <v>7</v>
      </c>
      <c r="F8" s="537">
        <v>315000000</v>
      </c>
      <c r="G8" s="536">
        <v>11</v>
      </c>
      <c r="H8" s="537">
        <v>6000000</v>
      </c>
    </row>
    <row r="9" spans="2:8">
      <c r="B9" s="26">
        <v>3</v>
      </c>
      <c r="C9" s="534" t="s">
        <v>277</v>
      </c>
      <c r="D9" s="537">
        <v>225000000</v>
      </c>
      <c r="E9" s="536">
        <v>8</v>
      </c>
      <c r="F9" s="537">
        <v>300000000</v>
      </c>
      <c r="G9" s="536">
        <v>13</v>
      </c>
      <c r="H9" s="537">
        <v>25000000</v>
      </c>
    </row>
    <row r="10" spans="2:8">
      <c r="B10" s="26">
        <v>4</v>
      </c>
      <c r="C10" s="534" t="s">
        <v>290</v>
      </c>
      <c r="D10" s="537">
        <v>300000000</v>
      </c>
      <c r="E10" s="536">
        <v>5</v>
      </c>
      <c r="F10" s="537">
        <v>365000000</v>
      </c>
      <c r="G10" s="536">
        <v>15</v>
      </c>
      <c r="H10" s="537">
        <v>15000000</v>
      </c>
    </row>
    <row r="11" spans="2:8">
      <c r="B11" s="26">
        <v>5</v>
      </c>
      <c r="C11" s="534" t="s">
        <v>291</v>
      </c>
      <c r="D11" s="537">
        <v>285000000</v>
      </c>
      <c r="E11" s="536">
        <v>6</v>
      </c>
      <c r="F11" s="537">
        <v>285000000</v>
      </c>
      <c r="G11" s="536">
        <v>17</v>
      </c>
      <c r="H11" s="537">
        <v>10000000</v>
      </c>
    </row>
    <row r="12" spans="2:8">
      <c r="B12" s="26">
        <v>6</v>
      </c>
      <c r="C12" s="534" t="s">
        <v>292</v>
      </c>
      <c r="D12" s="537">
        <v>290000000</v>
      </c>
      <c r="E12" s="536">
        <v>9</v>
      </c>
      <c r="F12" s="537">
        <v>290000000</v>
      </c>
      <c r="G12" s="536">
        <v>12</v>
      </c>
      <c r="H12" s="537">
        <v>8000000</v>
      </c>
    </row>
    <row r="13" spans="2:8" ht="15" customHeight="1">
      <c r="B13" s="588" t="s">
        <v>20</v>
      </c>
      <c r="C13" s="589"/>
      <c r="D13" s="159">
        <f>SUM(D7:D12)</f>
        <v>1625000000</v>
      </c>
      <c r="E13" s="25">
        <f>SUM(E7:E12)</f>
        <v>41</v>
      </c>
      <c r="F13" s="159">
        <f>SUM(F7:F12)</f>
        <v>1880000000</v>
      </c>
      <c r="G13" s="25">
        <f>SUM(G7:G12)</f>
        <v>78</v>
      </c>
      <c r="H13" s="590">
        <f>AVERAGE(H7:H12)</f>
        <v>11500000</v>
      </c>
    </row>
    <row r="14" spans="2:8">
      <c r="B14" s="588" t="s">
        <v>44</v>
      </c>
      <c r="C14" s="589"/>
      <c r="D14" s="159">
        <f>AVERAGE(D7:D12)</f>
        <v>270833333.33333331</v>
      </c>
      <c r="E14" s="25">
        <f>AVERAGE(E7:E12)</f>
        <v>6.833333333333333</v>
      </c>
      <c r="F14" s="159">
        <f>AVERAGE(F7:F12)</f>
        <v>313333333.33333331</v>
      </c>
      <c r="G14" s="25">
        <f>AVERAGE(G7:G12)</f>
        <v>13</v>
      </c>
      <c r="H14" s="591"/>
    </row>
    <row r="15" spans="2:8" s="160" customFormat="1">
      <c r="B15" s="161"/>
      <c r="C15" s="161"/>
      <c r="D15" s="162"/>
      <c r="E15" s="163"/>
      <c r="F15" s="162"/>
      <c r="G15" s="163"/>
      <c r="H15" s="162"/>
    </row>
    <row r="16" spans="2:8" ht="12.75" customHeight="1">
      <c r="B16" s="157" t="s">
        <v>183</v>
      </c>
      <c r="C16" s="157"/>
      <c r="D16" s="538" t="s">
        <v>273</v>
      </c>
      <c r="H16" s="158"/>
    </row>
    <row r="17" spans="2:8" ht="12.75" customHeight="1">
      <c r="B17" s="157" t="s">
        <v>184</v>
      </c>
      <c r="C17" s="157"/>
      <c r="D17" s="539">
        <v>54587214</v>
      </c>
      <c r="H17" s="158"/>
    </row>
    <row r="18" spans="2:8" ht="12.75" customHeight="1">
      <c r="B18" s="157" t="s">
        <v>362</v>
      </c>
      <c r="C18" s="157"/>
      <c r="D18" s="538" t="s">
        <v>278</v>
      </c>
      <c r="H18" s="158"/>
    </row>
    <row r="19" spans="2:8">
      <c r="B19" s="592" t="s">
        <v>18</v>
      </c>
      <c r="C19" s="592" t="s">
        <v>13</v>
      </c>
      <c r="D19" s="596" t="s">
        <v>25</v>
      </c>
      <c r="E19" s="596"/>
      <c r="F19" s="596"/>
      <c r="G19" s="596"/>
      <c r="H19" s="594" t="s">
        <v>34</v>
      </c>
    </row>
    <row r="20" spans="2:8">
      <c r="B20" s="593"/>
      <c r="C20" s="593"/>
      <c r="D20" s="24" t="s">
        <v>35</v>
      </c>
      <c r="E20" s="25" t="s">
        <v>36</v>
      </c>
      <c r="F20" s="24" t="s">
        <v>37</v>
      </c>
      <c r="G20" s="25" t="s">
        <v>36</v>
      </c>
      <c r="H20" s="595"/>
    </row>
    <row r="21" spans="2:8">
      <c r="B21" s="26">
        <v>1</v>
      </c>
      <c r="C21" s="534" t="str">
        <f t="shared" ref="C21:C26" si="0">C7</f>
        <v>Oktober 16</v>
      </c>
      <c r="D21" s="535">
        <v>15000000</v>
      </c>
      <c r="E21" s="536">
        <v>5</v>
      </c>
      <c r="F21" s="535">
        <v>25000000</v>
      </c>
      <c r="G21" s="536">
        <v>6</v>
      </c>
      <c r="H21" s="535">
        <v>2000000</v>
      </c>
    </row>
    <row r="22" spans="2:8">
      <c r="B22" s="26">
        <v>2</v>
      </c>
      <c r="C22" s="534" t="str">
        <f t="shared" si="0"/>
        <v>Nopember 16</v>
      </c>
      <c r="D22" s="537">
        <v>28000000</v>
      </c>
      <c r="E22" s="536">
        <v>4</v>
      </c>
      <c r="F22" s="537">
        <v>22000000</v>
      </c>
      <c r="G22" s="536">
        <v>4</v>
      </c>
      <c r="H22" s="537">
        <v>4000000</v>
      </c>
    </row>
    <row r="23" spans="2:8">
      <c r="B23" s="26">
        <v>3</v>
      </c>
      <c r="C23" s="534" t="str">
        <f t="shared" si="0"/>
        <v>Desember 16</v>
      </c>
      <c r="D23" s="537">
        <v>35000000</v>
      </c>
      <c r="E23" s="536">
        <v>7</v>
      </c>
      <c r="F23" s="537">
        <v>24000000</v>
      </c>
      <c r="G23" s="536">
        <v>8</v>
      </c>
      <c r="H23" s="537">
        <v>5000000</v>
      </c>
    </row>
    <row r="24" spans="2:8">
      <c r="B24" s="26">
        <v>4</v>
      </c>
      <c r="C24" s="534" t="str">
        <f t="shared" si="0"/>
        <v>Januari 17</v>
      </c>
      <c r="D24" s="537">
        <v>45000000</v>
      </c>
      <c r="E24" s="536">
        <v>2</v>
      </c>
      <c r="F24" s="537">
        <v>18000000</v>
      </c>
      <c r="G24" s="536">
        <v>5</v>
      </c>
      <c r="H24" s="537">
        <v>3000000</v>
      </c>
    </row>
    <row r="25" spans="2:8">
      <c r="B25" s="26">
        <v>5</v>
      </c>
      <c r="C25" s="534" t="str">
        <f t="shared" si="0"/>
        <v>Februari 17</v>
      </c>
      <c r="D25" s="537">
        <v>22000000</v>
      </c>
      <c r="E25" s="536">
        <v>5</v>
      </c>
      <c r="F25" s="537">
        <v>32000000</v>
      </c>
      <c r="G25" s="536">
        <v>7</v>
      </c>
      <c r="H25" s="537">
        <v>1000000</v>
      </c>
    </row>
    <row r="26" spans="2:8">
      <c r="B26" s="26">
        <v>6</v>
      </c>
      <c r="C26" s="534" t="str">
        <f t="shared" si="0"/>
        <v>Maret 17</v>
      </c>
      <c r="D26" s="537">
        <v>16000000</v>
      </c>
      <c r="E26" s="536">
        <v>8</v>
      </c>
      <c r="F26" s="537">
        <v>21000000</v>
      </c>
      <c r="G26" s="536">
        <v>8</v>
      </c>
      <c r="H26" s="537">
        <v>6000000</v>
      </c>
    </row>
    <row r="27" spans="2:8" ht="15" customHeight="1">
      <c r="B27" s="588" t="s">
        <v>20</v>
      </c>
      <c r="C27" s="589"/>
      <c r="D27" s="159">
        <f>SUM(D21:D26)</f>
        <v>161000000</v>
      </c>
      <c r="E27" s="25">
        <f>SUM(E21:E26)</f>
        <v>31</v>
      </c>
      <c r="F27" s="159">
        <f>SUM(F21:F26)</f>
        <v>142000000</v>
      </c>
      <c r="G27" s="25">
        <f>SUM(G21:G26)</f>
        <v>38</v>
      </c>
      <c r="H27" s="590">
        <f>AVERAGE(H21:H26)</f>
        <v>3500000</v>
      </c>
    </row>
    <row r="28" spans="2:8">
      <c r="B28" s="588" t="s">
        <v>44</v>
      </c>
      <c r="C28" s="589"/>
      <c r="D28" s="159">
        <f>AVERAGE(D21:D26)</f>
        <v>26833333.333333332</v>
      </c>
      <c r="E28" s="25">
        <f>AVERAGE(E21:E26)</f>
        <v>5.166666666666667</v>
      </c>
      <c r="F28" s="159">
        <f>AVERAGE(F21:F26)</f>
        <v>23666666.666666668</v>
      </c>
      <c r="G28" s="25">
        <f>AVERAGE(G21:G26)</f>
        <v>6.333333333333333</v>
      </c>
      <c r="H28" s="591"/>
    </row>
    <row r="30" spans="2:8" ht="12.75" customHeight="1">
      <c r="B30" s="157" t="s">
        <v>185</v>
      </c>
      <c r="C30" s="157"/>
      <c r="H30" s="158"/>
    </row>
    <row r="31" spans="2:8">
      <c r="B31" s="592" t="s">
        <v>18</v>
      </c>
      <c r="C31" s="592" t="s">
        <v>13</v>
      </c>
      <c r="D31" s="596" t="s">
        <v>25</v>
      </c>
      <c r="E31" s="596"/>
      <c r="F31" s="596"/>
      <c r="G31" s="596"/>
      <c r="H31" s="594" t="s">
        <v>34</v>
      </c>
    </row>
    <row r="32" spans="2:8">
      <c r="B32" s="593"/>
      <c r="C32" s="593"/>
      <c r="D32" s="24" t="s">
        <v>35</v>
      </c>
      <c r="E32" s="25" t="s">
        <v>36</v>
      </c>
      <c r="F32" s="24" t="s">
        <v>37</v>
      </c>
      <c r="G32" s="25" t="s">
        <v>36</v>
      </c>
      <c r="H32" s="595"/>
    </row>
    <row r="33" spans="2:8" s="225" customFormat="1">
      <c r="B33" s="496">
        <v>1</v>
      </c>
      <c r="C33" s="497" t="str">
        <f t="shared" ref="C33:C38" si="1">C21</f>
        <v>Oktober 16</v>
      </c>
      <c r="D33" s="498">
        <f>D7+D21</f>
        <v>265000000</v>
      </c>
      <c r="E33" s="499">
        <f>E7+E21</f>
        <v>11</v>
      </c>
      <c r="F33" s="498">
        <f>F7+F21</f>
        <v>350000000</v>
      </c>
      <c r="G33" s="499">
        <f>G7+G21</f>
        <v>16</v>
      </c>
      <c r="H33" s="498">
        <f>H7+H21</f>
        <v>7000000</v>
      </c>
    </row>
    <row r="34" spans="2:8" s="225" customFormat="1">
      <c r="B34" s="496">
        <v>2</v>
      </c>
      <c r="C34" s="497" t="str">
        <f t="shared" si="1"/>
        <v>Nopember 16</v>
      </c>
      <c r="D34" s="498">
        <f t="shared" ref="D34:H38" si="2">D8+D22</f>
        <v>303000000</v>
      </c>
      <c r="E34" s="499">
        <f t="shared" si="2"/>
        <v>11</v>
      </c>
      <c r="F34" s="498">
        <f t="shared" si="2"/>
        <v>337000000</v>
      </c>
      <c r="G34" s="499">
        <f t="shared" si="2"/>
        <v>15</v>
      </c>
      <c r="H34" s="498">
        <f t="shared" si="2"/>
        <v>10000000</v>
      </c>
    </row>
    <row r="35" spans="2:8" s="225" customFormat="1">
      <c r="B35" s="496">
        <v>3</v>
      </c>
      <c r="C35" s="497" t="str">
        <f t="shared" si="1"/>
        <v>Desember 16</v>
      </c>
      <c r="D35" s="498">
        <f t="shared" si="2"/>
        <v>260000000</v>
      </c>
      <c r="E35" s="499">
        <f t="shared" si="2"/>
        <v>15</v>
      </c>
      <c r="F35" s="498">
        <f t="shared" si="2"/>
        <v>324000000</v>
      </c>
      <c r="G35" s="499">
        <f t="shared" si="2"/>
        <v>21</v>
      </c>
      <c r="H35" s="498">
        <f t="shared" si="2"/>
        <v>30000000</v>
      </c>
    </row>
    <row r="36" spans="2:8" s="225" customFormat="1">
      <c r="B36" s="496">
        <v>4</v>
      </c>
      <c r="C36" s="497" t="str">
        <f t="shared" si="1"/>
        <v>Januari 17</v>
      </c>
      <c r="D36" s="498">
        <f t="shared" si="2"/>
        <v>345000000</v>
      </c>
      <c r="E36" s="499">
        <f t="shared" si="2"/>
        <v>7</v>
      </c>
      <c r="F36" s="498">
        <f t="shared" si="2"/>
        <v>383000000</v>
      </c>
      <c r="G36" s="499">
        <f t="shared" si="2"/>
        <v>20</v>
      </c>
      <c r="H36" s="498">
        <f t="shared" si="2"/>
        <v>18000000</v>
      </c>
    </row>
    <row r="37" spans="2:8" s="225" customFormat="1">
      <c r="B37" s="496">
        <v>5</v>
      </c>
      <c r="C37" s="497" t="str">
        <f t="shared" si="1"/>
        <v>Februari 17</v>
      </c>
      <c r="D37" s="498">
        <f t="shared" si="2"/>
        <v>307000000</v>
      </c>
      <c r="E37" s="499">
        <f t="shared" si="2"/>
        <v>11</v>
      </c>
      <c r="F37" s="498">
        <f t="shared" si="2"/>
        <v>317000000</v>
      </c>
      <c r="G37" s="499">
        <f t="shared" si="2"/>
        <v>24</v>
      </c>
      <c r="H37" s="498">
        <f t="shared" si="2"/>
        <v>11000000</v>
      </c>
    </row>
    <row r="38" spans="2:8" s="225" customFormat="1">
      <c r="B38" s="496">
        <v>6</v>
      </c>
      <c r="C38" s="497" t="str">
        <f t="shared" si="1"/>
        <v>Maret 17</v>
      </c>
      <c r="D38" s="498">
        <f t="shared" si="2"/>
        <v>306000000</v>
      </c>
      <c r="E38" s="499">
        <f t="shared" si="2"/>
        <v>17</v>
      </c>
      <c r="F38" s="498">
        <f t="shared" si="2"/>
        <v>311000000</v>
      </c>
      <c r="G38" s="499">
        <f t="shared" si="2"/>
        <v>20</v>
      </c>
      <c r="H38" s="498">
        <f t="shared" si="2"/>
        <v>14000000</v>
      </c>
    </row>
    <row r="39" spans="2:8" ht="15" customHeight="1">
      <c r="B39" s="588" t="s">
        <v>20</v>
      </c>
      <c r="C39" s="589"/>
      <c r="D39" s="159">
        <f>SUM(D33:D38)</f>
        <v>1786000000</v>
      </c>
      <c r="E39" s="25">
        <f>SUM(E33:E38)</f>
        <v>72</v>
      </c>
      <c r="F39" s="159">
        <f>SUM(F33:F38)</f>
        <v>2022000000</v>
      </c>
      <c r="G39" s="25">
        <f>SUM(G33:G38)</f>
        <v>116</v>
      </c>
      <c r="H39" s="590">
        <f>AVERAGE(H33:H38)</f>
        <v>15000000</v>
      </c>
    </row>
    <row r="40" spans="2:8">
      <c r="B40" s="588" t="s">
        <v>44</v>
      </c>
      <c r="C40" s="589"/>
      <c r="D40" s="159">
        <f>AVERAGE(D33:D38)</f>
        <v>297666666.66666669</v>
      </c>
      <c r="E40" s="25">
        <f>AVERAGE(E33:E38)</f>
        <v>12</v>
      </c>
      <c r="F40" s="159">
        <f>AVERAGE(F33:F38)</f>
        <v>337000000</v>
      </c>
      <c r="G40" s="25">
        <f>AVERAGE(G33:G38)</f>
        <v>19.333333333333332</v>
      </c>
      <c r="H40" s="591"/>
    </row>
    <row r="42" spans="2:8" ht="12.75">
      <c r="B42" s="267" t="s">
        <v>325</v>
      </c>
    </row>
    <row r="43" spans="2:8" ht="12.75">
      <c r="B43" s="267" t="s">
        <v>327</v>
      </c>
    </row>
  </sheetData>
  <customSheetViews>
    <customSheetView guid="{EB924B51-01F3-412F-ABF4-73B7E6F19BA6}" scale="130">
      <selection activeCell="B31" sqref="B31:H40"/>
      <pageMargins left="0.7" right="0.7" top="0.75" bottom="0.75" header="0.3" footer="0.3"/>
      <pageSetup orientation="portrait" horizontalDpi="300" verticalDpi="300" r:id="rId1"/>
    </customSheetView>
  </customSheetViews>
  <mergeCells count="21">
    <mergeCell ref="B5:B6"/>
    <mergeCell ref="C5:C6"/>
    <mergeCell ref="H5:H6"/>
    <mergeCell ref="D5:G5"/>
    <mergeCell ref="B27:C27"/>
    <mergeCell ref="H27:H28"/>
    <mergeCell ref="H13:H14"/>
    <mergeCell ref="H19:H20"/>
    <mergeCell ref="B13:C13"/>
    <mergeCell ref="D19:G19"/>
    <mergeCell ref="B28:C28"/>
    <mergeCell ref="B14:C14"/>
    <mergeCell ref="B39:C39"/>
    <mergeCell ref="H39:H40"/>
    <mergeCell ref="B40:C40"/>
    <mergeCell ref="B19:B20"/>
    <mergeCell ref="C19:C20"/>
    <mergeCell ref="C31:C32"/>
    <mergeCell ref="H31:H32"/>
    <mergeCell ref="B31:B32"/>
    <mergeCell ref="D31:G31"/>
  </mergeCells>
  <phoneticPr fontId="13" type="noConversion"/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D14"/>
  <sheetViews>
    <sheetView workbookViewId="0">
      <selection activeCell="C4" sqref="C4:D9"/>
    </sheetView>
  </sheetViews>
  <sheetFormatPr defaultRowHeight="15"/>
  <cols>
    <col min="2" max="2" width="6.28515625" customWidth="1"/>
    <col min="3" max="3" width="15.28515625" customWidth="1"/>
    <col min="4" max="4" width="11.42578125" style="48" customWidth="1"/>
  </cols>
  <sheetData>
    <row r="2" spans="2:4">
      <c r="B2" s="166" t="s">
        <v>186</v>
      </c>
    </row>
    <row r="3" spans="2:4" s="164" customFormat="1" ht="12">
      <c r="B3" s="181" t="s">
        <v>18</v>
      </c>
      <c r="C3" s="181" t="s">
        <v>187</v>
      </c>
      <c r="D3" s="182" t="s">
        <v>30</v>
      </c>
    </row>
    <row r="4" spans="2:4" s="164" customFormat="1" ht="12">
      <c r="B4" s="165">
        <v>1</v>
      </c>
      <c r="C4" s="540" t="s">
        <v>290</v>
      </c>
      <c r="D4" s="541">
        <v>250000000</v>
      </c>
    </row>
    <row r="5" spans="2:4" s="164" customFormat="1" ht="12">
      <c r="B5" s="165">
        <v>2</v>
      </c>
      <c r="C5" s="540" t="s">
        <v>291</v>
      </c>
      <c r="D5" s="541">
        <v>275000000</v>
      </c>
    </row>
    <row r="6" spans="2:4" s="164" customFormat="1" ht="12">
      <c r="B6" s="165">
        <v>3</v>
      </c>
      <c r="C6" s="540" t="s">
        <v>292</v>
      </c>
      <c r="D6" s="541">
        <v>325000000</v>
      </c>
    </row>
    <row r="7" spans="2:4" s="164" customFormat="1" ht="12">
      <c r="B7" s="165">
        <v>4</v>
      </c>
      <c r="C7" s="540"/>
      <c r="D7" s="541"/>
    </row>
    <row r="8" spans="2:4" s="164" customFormat="1" ht="12">
      <c r="B8" s="165">
        <v>5</v>
      </c>
      <c r="C8" s="540"/>
      <c r="D8" s="541"/>
    </row>
    <row r="9" spans="2:4" s="164" customFormat="1" ht="12">
      <c r="B9" s="165">
        <v>6</v>
      </c>
      <c r="C9" s="540"/>
      <c r="D9" s="541"/>
    </row>
    <row r="10" spans="2:4" s="164" customFormat="1" ht="12">
      <c r="B10" s="597" t="s">
        <v>20</v>
      </c>
      <c r="C10" s="597"/>
      <c r="D10" s="290">
        <f>SUM(D4:D9)</f>
        <v>850000000</v>
      </c>
    </row>
    <row r="11" spans="2:4" s="164" customFormat="1" ht="12">
      <c r="B11" s="597" t="s">
        <v>188</v>
      </c>
      <c r="C11" s="597"/>
      <c r="D11" s="291">
        <f>AVERAGE(D4:D9)</f>
        <v>283333333.33333331</v>
      </c>
    </row>
    <row r="13" spans="2:4">
      <c r="B13" s="267" t="s">
        <v>325</v>
      </c>
    </row>
    <row r="14" spans="2:4">
      <c r="B14" s="267" t="s">
        <v>327</v>
      </c>
    </row>
  </sheetData>
  <customSheetViews>
    <customSheetView guid="{EB924B51-01F3-412F-ABF4-73B7E6F19BA6}">
      <selection activeCell="B10" sqref="B10"/>
      <pageMargins left="0.7" right="0.7" top="0.75" bottom="0.75" header="0.3" footer="0.3"/>
    </customSheetView>
  </customSheetViews>
  <mergeCells count="2">
    <mergeCell ref="B10:C10"/>
    <mergeCell ref="B11:C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M19"/>
  <sheetViews>
    <sheetView workbookViewId="0">
      <selection activeCell="D23" sqref="D23"/>
    </sheetView>
  </sheetViews>
  <sheetFormatPr defaultRowHeight="15"/>
  <cols>
    <col min="2" max="2" width="48.7109375" bestFit="1" customWidth="1"/>
    <col min="3" max="3" width="12.42578125" customWidth="1"/>
    <col min="4" max="4" width="24.42578125" customWidth="1"/>
  </cols>
  <sheetData>
    <row r="2" spans="2:13" s="14" customFormat="1" ht="12">
      <c r="B2" s="600" t="s">
        <v>193</v>
      </c>
      <c r="C2" s="601"/>
      <c r="D2" s="602"/>
      <c r="E2" s="30"/>
      <c r="F2" s="37"/>
      <c r="G2" s="34"/>
      <c r="H2" s="40"/>
      <c r="J2" s="30"/>
      <c r="M2" s="234"/>
    </row>
    <row r="3" spans="2:13" s="14" customFormat="1" ht="12.75" customHeight="1">
      <c r="B3" s="301" t="s">
        <v>293</v>
      </c>
      <c r="C3" s="302" t="s">
        <v>335</v>
      </c>
      <c r="D3" s="545" t="s">
        <v>288</v>
      </c>
      <c r="E3" s="30"/>
      <c r="F3" s="37"/>
      <c r="G3" s="34"/>
      <c r="H3" s="40"/>
      <c r="J3" s="30"/>
      <c r="M3" s="234"/>
    </row>
    <row r="4" spans="2:13" s="11" customFormat="1" ht="12.75" customHeight="1">
      <c r="B4" s="292" t="s">
        <v>311</v>
      </c>
      <c r="C4" s="542">
        <v>3</v>
      </c>
      <c r="D4" s="293" t="s">
        <v>50</v>
      </c>
      <c r="E4" s="31"/>
      <c r="F4" s="38"/>
      <c r="G4" s="35"/>
      <c r="H4" s="41"/>
      <c r="J4" s="31"/>
      <c r="M4" s="233"/>
    </row>
    <row r="5" spans="2:13" s="11" customFormat="1" ht="12.75" customHeight="1">
      <c r="B5" s="292" t="s">
        <v>43</v>
      </c>
      <c r="C5" s="543">
        <v>0.7</v>
      </c>
      <c r="D5" s="293" t="s">
        <v>189</v>
      </c>
      <c r="E5" s="31"/>
      <c r="F5" s="38"/>
      <c r="G5" s="35"/>
      <c r="H5" s="41"/>
      <c r="J5" s="31"/>
      <c r="M5" s="233"/>
    </row>
    <row r="6" spans="2:13" s="11" customFormat="1" ht="12.75" customHeight="1">
      <c r="B6" s="292" t="s">
        <v>190</v>
      </c>
      <c r="C6" s="543">
        <v>7.4999999999999997E-2</v>
      </c>
      <c r="D6" s="293" t="s">
        <v>189</v>
      </c>
      <c r="E6" s="31"/>
      <c r="F6" s="38"/>
      <c r="G6" s="35"/>
      <c r="H6" s="41"/>
      <c r="J6" s="31"/>
      <c r="M6" s="233"/>
    </row>
    <row r="7" spans="2:13" s="11" customFormat="1" ht="12.75" customHeight="1">
      <c r="B7" s="292" t="s">
        <v>294</v>
      </c>
      <c r="C7" s="544">
        <v>5000000</v>
      </c>
      <c r="D7" s="293" t="s">
        <v>295</v>
      </c>
      <c r="E7" s="31"/>
      <c r="F7" s="38"/>
      <c r="G7" s="35"/>
      <c r="H7" s="41"/>
      <c r="J7" s="31"/>
      <c r="M7" s="233"/>
    </row>
    <row r="8" spans="2:13" s="11" customFormat="1" ht="12.75" customHeight="1">
      <c r="B8" s="292" t="s">
        <v>92</v>
      </c>
      <c r="C8" s="543">
        <v>0.1</v>
      </c>
      <c r="D8" s="293" t="s">
        <v>192</v>
      </c>
      <c r="E8" s="31"/>
      <c r="F8" s="38"/>
      <c r="G8" s="35"/>
      <c r="H8" s="41"/>
      <c r="J8" s="31"/>
      <c r="M8" s="233"/>
    </row>
    <row r="9" spans="2:13" s="11" customFormat="1" ht="12.75" customHeight="1">
      <c r="B9" s="598"/>
      <c r="C9" s="598"/>
      <c r="D9" s="598"/>
      <c r="E9" s="31"/>
      <c r="F9" s="38"/>
      <c r="G9" s="35"/>
      <c r="H9" s="41"/>
      <c r="J9" s="31"/>
      <c r="M9" s="233"/>
    </row>
    <row r="10" spans="2:13" s="11" customFormat="1" ht="12.75" customHeight="1">
      <c r="B10" s="599" t="s">
        <v>289</v>
      </c>
      <c r="C10" s="599"/>
      <c r="D10" s="599"/>
      <c r="E10" s="31"/>
      <c r="F10" s="38"/>
      <c r="G10" s="35"/>
      <c r="H10" s="41"/>
      <c r="J10" s="31"/>
      <c r="M10" s="233"/>
    </row>
    <row r="11" spans="2:13" s="11" customFormat="1" ht="12.75" customHeight="1">
      <c r="B11" s="292" t="s">
        <v>194</v>
      </c>
      <c r="C11" s="543">
        <v>0.1</v>
      </c>
      <c r="D11" s="293" t="s">
        <v>195</v>
      </c>
      <c r="E11" s="31"/>
      <c r="F11" s="38"/>
      <c r="G11" s="35"/>
      <c r="H11" s="41"/>
      <c r="J11" s="31"/>
      <c r="M11" s="233"/>
    </row>
    <row r="12" spans="2:13" s="11" customFormat="1" ht="12.75" customHeight="1">
      <c r="B12" s="292" t="s">
        <v>197</v>
      </c>
      <c r="C12" s="500">
        <f>C5</f>
        <v>0.7</v>
      </c>
      <c r="D12" s="293" t="s">
        <v>189</v>
      </c>
      <c r="E12" s="31"/>
      <c r="F12" s="38"/>
      <c r="G12" s="35"/>
      <c r="H12" s="41"/>
      <c r="J12" s="31"/>
      <c r="M12" s="233"/>
    </row>
    <row r="13" spans="2:13" s="11" customFormat="1" ht="12.75" customHeight="1">
      <c r="B13" s="292" t="s">
        <v>196</v>
      </c>
      <c r="C13" s="500">
        <f>C6</f>
        <v>7.4999999999999997E-2</v>
      </c>
      <c r="D13" s="293" t="s">
        <v>189</v>
      </c>
      <c r="E13" s="31"/>
      <c r="F13" s="38"/>
      <c r="G13" s="35"/>
      <c r="H13" s="41"/>
      <c r="J13" s="31"/>
      <c r="M13" s="233"/>
    </row>
    <row r="14" spans="2:13" s="11" customFormat="1" ht="12.75" customHeight="1">
      <c r="B14" s="292" t="str">
        <f>B7</f>
        <v>Biaya Lainnya (misal : rumah tangga)</v>
      </c>
      <c r="C14" s="501">
        <f>C7</f>
        <v>5000000</v>
      </c>
      <c r="D14" s="293" t="s">
        <v>295</v>
      </c>
      <c r="E14" s="31"/>
      <c r="F14" s="38"/>
      <c r="G14" s="35"/>
      <c r="H14" s="41"/>
      <c r="J14" s="31"/>
      <c r="M14" s="233"/>
    </row>
    <row r="15" spans="2:13" s="11" customFormat="1" ht="12.75" customHeight="1">
      <c r="B15" s="292" t="s">
        <v>92</v>
      </c>
      <c r="C15" s="500">
        <f>C8</f>
        <v>0.1</v>
      </c>
      <c r="D15" s="293" t="s">
        <v>192</v>
      </c>
      <c r="E15" s="31"/>
      <c r="F15" s="38"/>
      <c r="G15" s="35"/>
      <c r="H15" s="41"/>
      <c r="J15" s="31"/>
      <c r="M15" s="233"/>
    </row>
    <row r="16" spans="2:13" s="11" customFormat="1" ht="12.75" customHeight="1">
      <c r="B16" s="598"/>
      <c r="C16" s="598"/>
      <c r="D16" s="598"/>
      <c r="E16" s="31"/>
      <c r="F16" s="38"/>
      <c r="G16" s="35"/>
      <c r="H16" s="41"/>
      <c r="J16" s="31"/>
      <c r="M16" s="233"/>
    </row>
    <row r="18" spans="2:2">
      <c r="B18" s="267" t="s">
        <v>325</v>
      </c>
    </row>
    <row r="19" spans="2:2">
      <c r="B19" s="267" t="s">
        <v>327</v>
      </c>
    </row>
  </sheetData>
  <sheetProtection selectLockedCells="1"/>
  <mergeCells count="4">
    <mergeCell ref="B16:D16"/>
    <mergeCell ref="B10:D10"/>
    <mergeCell ref="B2:D2"/>
    <mergeCell ref="B9:D9"/>
  </mergeCell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K25"/>
  <sheetViews>
    <sheetView zoomScaleNormal="100" workbookViewId="0">
      <selection activeCell="F32" sqref="F32"/>
    </sheetView>
  </sheetViews>
  <sheetFormatPr defaultRowHeight="12"/>
  <cols>
    <col min="1" max="1" width="3.28515625" style="11" customWidth="1"/>
    <col min="2" max="2" width="43.85546875" style="16" customWidth="1"/>
    <col min="3" max="3" width="15.140625" style="31" customWidth="1"/>
    <col min="4" max="4" width="7" style="31" customWidth="1"/>
    <col min="5" max="5" width="15.42578125" style="31" customWidth="1"/>
    <col min="6" max="6" width="7" style="31" customWidth="1"/>
    <col min="7" max="7" width="15.140625" style="31" customWidth="1"/>
    <col min="8" max="8" width="7" style="31" customWidth="1"/>
    <col min="9" max="9" width="13.140625" style="38" customWidth="1"/>
    <col min="10" max="10" width="7.85546875" style="35" bestFit="1" customWidth="1"/>
    <col min="11" max="11" width="8" style="41" customWidth="1"/>
    <col min="12" max="16384" width="9.140625" style="11"/>
  </cols>
  <sheetData>
    <row r="1" spans="2:11" ht="6" customHeight="1" thickBot="1">
      <c r="B1" s="19"/>
      <c r="C1" s="28"/>
      <c r="D1" s="28"/>
      <c r="E1" s="28"/>
      <c r="F1" s="28"/>
      <c r="G1" s="28"/>
      <c r="H1" s="28"/>
      <c r="I1" s="36"/>
      <c r="J1" s="32"/>
      <c r="K1" s="39"/>
    </row>
    <row r="2" spans="2:11" s="15" customFormat="1" ht="13.5" customHeight="1">
      <c r="B2" s="607" t="s">
        <v>1</v>
      </c>
      <c r="C2" s="316" t="s">
        <v>330</v>
      </c>
      <c r="D2" s="615" t="s">
        <v>272</v>
      </c>
      <c r="E2" s="316" t="str">
        <f>C2</f>
        <v>01 Januari s.d</v>
      </c>
      <c r="F2" s="615" t="s">
        <v>272</v>
      </c>
      <c r="G2" s="316" t="str">
        <f>E2</f>
        <v>01 Januari s.d</v>
      </c>
      <c r="H2" s="615" t="s">
        <v>272</v>
      </c>
      <c r="I2" s="603" t="s">
        <v>29</v>
      </c>
      <c r="J2" s="604"/>
      <c r="K2" s="612" t="s">
        <v>31</v>
      </c>
    </row>
    <row r="3" spans="2:11" s="15" customFormat="1" ht="13.5" customHeight="1">
      <c r="B3" s="608"/>
      <c r="C3" s="243" t="s">
        <v>287</v>
      </c>
      <c r="D3" s="616"/>
      <c r="E3" s="244" t="str">
        <f>'Assumsi untuk Laba rugi'!D3</f>
        <v>31 Maret 2017</v>
      </c>
      <c r="F3" s="616"/>
      <c r="G3" s="243" t="s">
        <v>328</v>
      </c>
      <c r="H3" s="616"/>
      <c r="I3" s="605"/>
      <c r="J3" s="606"/>
      <c r="K3" s="613"/>
    </row>
    <row r="4" spans="2:11" s="15" customFormat="1" ht="13.5" customHeight="1">
      <c r="B4" s="608"/>
      <c r="C4" s="610" t="s">
        <v>286</v>
      </c>
      <c r="D4" s="616"/>
      <c r="E4" s="610" t="s">
        <v>286</v>
      </c>
      <c r="F4" s="616"/>
      <c r="G4" s="610" t="s">
        <v>329</v>
      </c>
      <c r="H4" s="616"/>
      <c r="I4" s="618" t="s">
        <v>30</v>
      </c>
      <c r="J4" s="620" t="s">
        <v>0</v>
      </c>
      <c r="K4" s="613"/>
    </row>
    <row r="5" spans="2:11" s="15" customFormat="1" ht="13.5" customHeight="1" thickBot="1">
      <c r="B5" s="609"/>
      <c r="C5" s="611"/>
      <c r="D5" s="617"/>
      <c r="E5" s="611"/>
      <c r="F5" s="617"/>
      <c r="G5" s="611"/>
      <c r="H5" s="617"/>
      <c r="I5" s="619"/>
      <c r="J5" s="621"/>
      <c r="K5" s="614"/>
    </row>
    <row r="6" spans="2:11" s="17" customFormat="1">
      <c r="B6" s="323" t="s">
        <v>58</v>
      </c>
      <c r="C6" s="295">
        <f>((E6/(100%+'Assumsi untuk Laba rugi'!C11))/'Assumsi untuk Laba rugi'!C4*12)</f>
        <v>3090909090.9090905</v>
      </c>
      <c r="D6" s="294">
        <f t="shared" ref="D6:D21" si="0">C6/$C$6</f>
        <v>1</v>
      </c>
      <c r="E6" s="295">
        <f>'Assumsi untuk Laba rugi'!C4*'Rekap Penjualan'!D11</f>
        <v>850000000</v>
      </c>
      <c r="F6" s="294">
        <f t="shared" ref="F6:F21" si="1">E6/$E$7</f>
        <v>1</v>
      </c>
      <c r="G6" s="295">
        <f>E6/'Assumsi untuk Laba rugi'!C4*12</f>
        <v>3400000000</v>
      </c>
      <c r="H6" s="294">
        <f>G6/$G$7</f>
        <v>1</v>
      </c>
      <c r="I6" s="296">
        <f t="shared" ref="I6:I21" si="2">G6-C6</f>
        <v>309090909.09090948</v>
      </c>
      <c r="J6" s="297">
        <f t="shared" ref="J6:J21" si="3">I6/C6</f>
        <v>0.10000000000000014</v>
      </c>
      <c r="K6" s="318">
        <f t="shared" ref="K6:K21" si="4">G6/C6</f>
        <v>1.1000000000000001</v>
      </c>
    </row>
    <row r="7" spans="2:11" s="15" customFormat="1">
      <c r="B7" s="319" t="s">
        <v>118</v>
      </c>
      <c r="C7" s="240">
        <f>SUM(C6)</f>
        <v>3090909090.9090905</v>
      </c>
      <c r="D7" s="241">
        <f t="shared" si="0"/>
        <v>1</v>
      </c>
      <c r="E7" s="240">
        <f>SUM(E6)</f>
        <v>850000000</v>
      </c>
      <c r="F7" s="241">
        <f t="shared" si="1"/>
        <v>1</v>
      </c>
      <c r="G7" s="240">
        <f>SUM(G6)</f>
        <v>3400000000</v>
      </c>
      <c r="H7" s="241">
        <f>G7/$G$7</f>
        <v>1</v>
      </c>
      <c r="I7" s="298">
        <f t="shared" si="2"/>
        <v>309090909.09090948</v>
      </c>
      <c r="J7" s="299">
        <f t="shared" si="3"/>
        <v>0.10000000000000014</v>
      </c>
      <c r="K7" s="320">
        <f t="shared" si="4"/>
        <v>1.1000000000000001</v>
      </c>
    </row>
    <row r="8" spans="2:11" s="17" customFormat="1">
      <c r="B8" s="317" t="s">
        <v>57</v>
      </c>
      <c r="C8" s="239">
        <f>$C$7*'Assumsi untuk Laba rugi'!C12</f>
        <v>2163636363.636363</v>
      </c>
      <c r="D8" s="238">
        <f t="shared" si="0"/>
        <v>0.69999999999999984</v>
      </c>
      <c r="E8" s="239">
        <f>E7*'Assumsi untuk Laba rugi'!C5</f>
        <v>595000000</v>
      </c>
      <c r="F8" s="238">
        <f t="shared" si="1"/>
        <v>0.7</v>
      </c>
      <c r="G8" s="239">
        <f>G7*'Assumsi untuk Laba rugi'!C5</f>
        <v>2380000000</v>
      </c>
      <c r="H8" s="238">
        <f t="shared" ref="H8:H21" si="5">G8/$G$7</f>
        <v>0.7</v>
      </c>
      <c r="I8" s="296">
        <f t="shared" si="2"/>
        <v>216363636.36363697</v>
      </c>
      <c r="J8" s="297">
        <f t="shared" si="3"/>
        <v>0.10000000000000031</v>
      </c>
      <c r="K8" s="318">
        <f t="shared" si="4"/>
        <v>1.1000000000000003</v>
      </c>
    </row>
    <row r="9" spans="2:11" s="15" customFormat="1">
      <c r="B9" s="319" t="s">
        <v>119</v>
      </c>
      <c r="C9" s="240">
        <f>SUM(C8)</f>
        <v>2163636363.636363</v>
      </c>
      <c r="D9" s="241">
        <f t="shared" si="0"/>
        <v>0.69999999999999984</v>
      </c>
      <c r="E9" s="240">
        <f>SUM(E8)</f>
        <v>595000000</v>
      </c>
      <c r="F9" s="241">
        <f t="shared" si="1"/>
        <v>0.7</v>
      </c>
      <c r="G9" s="240">
        <f>SUM(G8)</f>
        <v>2380000000</v>
      </c>
      <c r="H9" s="241">
        <f t="shared" si="5"/>
        <v>0.7</v>
      </c>
      <c r="I9" s="298">
        <f t="shared" si="2"/>
        <v>216363636.36363697</v>
      </c>
      <c r="J9" s="299">
        <f t="shared" si="3"/>
        <v>0.10000000000000031</v>
      </c>
      <c r="K9" s="320">
        <f t="shared" si="4"/>
        <v>1.1000000000000003</v>
      </c>
    </row>
    <row r="10" spans="2:11" s="15" customFormat="1">
      <c r="B10" s="319" t="s">
        <v>122</v>
      </c>
      <c r="C10" s="240">
        <f>C7-C9</f>
        <v>927272727.27272749</v>
      </c>
      <c r="D10" s="241">
        <f t="shared" si="0"/>
        <v>0.3000000000000001</v>
      </c>
      <c r="E10" s="240">
        <f>E7-E9</f>
        <v>255000000</v>
      </c>
      <c r="F10" s="241">
        <f t="shared" si="1"/>
        <v>0.3</v>
      </c>
      <c r="G10" s="240">
        <f>G7-G9</f>
        <v>1020000000</v>
      </c>
      <c r="H10" s="241">
        <f t="shared" si="5"/>
        <v>0.3</v>
      </c>
      <c r="I10" s="298">
        <f t="shared" si="2"/>
        <v>92727272.727272511</v>
      </c>
      <c r="J10" s="299">
        <f t="shared" si="3"/>
        <v>9.9999999999999742E-2</v>
      </c>
      <c r="K10" s="320">
        <f t="shared" si="4"/>
        <v>1.0999999999999996</v>
      </c>
    </row>
    <row r="11" spans="2:11" s="17" customFormat="1">
      <c r="B11" s="321" t="s">
        <v>123</v>
      </c>
      <c r="C11" s="239">
        <f>$C$7*'Assumsi untuk Laba rugi'!C13</f>
        <v>231818181.81818178</v>
      </c>
      <c r="D11" s="238">
        <f t="shared" si="0"/>
        <v>7.4999999999999997E-2</v>
      </c>
      <c r="E11" s="239">
        <f>E7*'Assumsi untuk Laba rugi'!C6</f>
        <v>63750000</v>
      </c>
      <c r="F11" s="238">
        <f t="shared" si="1"/>
        <v>7.4999999999999997E-2</v>
      </c>
      <c r="G11" s="239">
        <f>E11/'Assumsi untuk Laba rugi'!C4*12</f>
        <v>255000000</v>
      </c>
      <c r="H11" s="238">
        <f t="shared" si="5"/>
        <v>7.4999999999999997E-2</v>
      </c>
      <c r="I11" s="296">
        <f t="shared" si="2"/>
        <v>23181818.181818217</v>
      </c>
      <c r="J11" s="297">
        <f t="shared" si="3"/>
        <v>0.10000000000000017</v>
      </c>
      <c r="K11" s="318">
        <f t="shared" si="4"/>
        <v>1.1000000000000001</v>
      </c>
    </row>
    <row r="12" spans="2:11" s="17" customFormat="1">
      <c r="B12" s="321" t="s">
        <v>70</v>
      </c>
      <c r="C12" s="239">
        <f>E12/'Assumsi untuk Laba rugi'!C4*12</f>
        <v>89650000</v>
      </c>
      <c r="D12" s="238">
        <f t="shared" si="0"/>
        <v>2.9004411764705886E-2</v>
      </c>
      <c r="E12" s="239">
        <f>'SID BI dan Historis PNM VC'!K22*'Assumsi untuk Laba rugi'!C4</f>
        <v>22412500</v>
      </c>
      <c r="F12" s="238">
        <f t="shared" si="1"/>
        <v>2.636764705882353E-2</v>
      </c>
      <c r="G12" s="239">
        <f>E12/'Assumsi untuk Laba rugi'!C4*12</f>
        <v>89650000</v>
      </c>
      <c r="H12" s="238">
        <f t="shared" si="5"/>
        <v>2.636764705882353E-2</v>
      </c>
      <c r="I12" s="296">
        <f t="shared" si="2"/>
        <v>0</v>
      </c>
      <c r="J12" s="297">
        <f t="shared" si="3"/>
        <v>0</v>
      </c>
      <c r="K12" s="318">
        <f t="shared" si="4"/>
        <v>1</v>
      </c>
    </row>
    <row r="13" spans="2:11" s="17" customFormat="1">
      <c r="B13" s="321" t="s">
        <v>214</v>
      </c>
      <c r="C13" s="239">
        <v>0</v>
      </c>
      <c r="D13" s="238">
        <f t="shared" si="0"/>
        <v>0</v>
      </c>
      <c r="E13" s="239">
        <v>0</v>
      </c>
      <c r="F13" s="238">
        <f t="shared" si="1"/>
        <v>0</v>
      </c>
      <c r="G13" s="239">
        <f>E13/'Assumsi untuk Laba rugi'!C4*12</f>
        <v>0</v>
      </c>
      <c r="H13" s="238">
        <f t="shared" si="5"/>
        <v>0</v>
      </c>
      <c r="I13" s="296">
        <f t="shared" si="2"/>
        <v>0</v>
      </c>
      <c r="J13" s="297" t="e">
        <f t="shared" si="3"/>
        <v>#DIV/0!</v>
      </c>
      <c r="K13" s="318" t="e">
        <f t="shared" si="4"/>
        <v>#DIV/0!</v>
      </c>
    </row>
    <row r="14" spans="2:11" s="17" customFormat="1">
      <c r="B14" s="321" t="s">
        <v>71</v>
      </c>
      <c r="C14" s="239">
        <f>'Aktiva tetap dan biaya penyusut'!D32</f>
        <v>109666666.66666667</v>
      </c>
      <c r="D14" s="238">
        <f t="shared" si="0"/>
        <v>3.5480392156862751E-2</v>
      </c>
      <c r="E14" s="239">
        <f>'Aktiva tetap dan biaya penyusut'!E32:F32</f>
        <v>27416666.666666664</v>
      </c>
      <c r="F14" s="238">
        <f t="shared" si="1"/>
        <v>3.2254901960784309E-2</v>
      </c>
      <c r="G14" s="239">
        <f>'Aktiva tetap dan biaya penyusut'!G32</f>
        <v>109666666.66666667</v>
      </c>
      <c r="H14" s="238">
        <f t="shared" si="5"/>
        <v>3.2254901960784316E-2</v>
      </c>
      <c r="I14" s="296">
        <f t="shared" si="2"/>
        <v>0</v>
      </c>
      <c r="J14" s="297">
        <f t="shared" si="3"/>
        <v>0</v>
      </c>
      <c r="K14" s="318">
        <f t="shared" si="4"/>
        <v>1</v>
      </c>
    </row>
    <row r="15" spans="2:11" s="42" customFormat="1">
      <c r="B15" s="322" t="s">
        <v>120</v>
      </c>
      <c r="C15" s="242">
        <f>SUM(C11:C14)</f>
        <v>431134848.48484844</v>
      </c>
      <c r="D15" s="241">
        <f t="shared" si="0"/>
        <v>0.13948480392156862</v>
      </c>
      <c r="E15" s="242">
        <f>SUM(E11:E14)</f>
        <v>113579166.66666666</v>
      </c>
      <c r="F15" s="241">
        <f t="shared" si="1"/>
        <v>0.13362254901960782</v>
      </c>
      <c r="G15" s="242">
        <f>SUM(G11:G14)</f>
        <v>454316666.66666669</v>
      </c>
      <c r="H15" s="241">
        <f t="shared" si="5"/>
        <v>0.13362254901960785</v>
      </c>
      <c r="I15" s="298">
        <f t="shared" si="2"/>
        <v>23181818.181818247</v>
      </c>
      <c r="J15" s="299">
        <f t="shared" si="3"/>
        <v>5.3769298082228523E-2</v>
      </c>
      <c r="K15" s="320">
        <f t="shared" si="4"/>
        <v>1.0537692980822286</v>
      </c>
    </row>
    <row r="16" spans="2:11" s="15" customFormat="1">
      <c r="B16" s="319" t="s">
        <v>121</v>
      </c>
      <c r="C16" s="240">
        <f>C10-C15</f>
        <v>496137878.78787905</v>
      </c>
      <c r="D16" s="241">
        <f t="shared" si="0"/>
        <v>0.16051519607843148</v>
      </c>
      <c r="E16" s="240">
        <f>E10-E15</f>
        <v>141420833.33333334</v>
      </c>
      <c r="F16" s="241">
        <f t="shared" si="1"/>
        <v>0.16637745098039217</v>
      </c>
      <c r="G16" s="240">
        <f>G10-G15</f>
        <v>565683333.33333325</v>
      </c>
      <c r="H16" s="241">
        <f t="shared" si="5"/>
        <v>0.16637745098039214</v>
      </c>
      <c r="I16" s="298">
        <f t="shared" si="2"/>
        <v>69545454.545454204</v>
      </c>
      <c r="J16" s="299">
        <f t="shared" si="3"/>
        <v>0.14017364430097862</v>
      </c>
      <c r="K16" s="320">
        <f t="shared" si="4"/>
        <v>1.1401736443009787</v>
      </c>
    </row>
    <row r="17" spans="2:11" s="17" customFormat="1">
      <c r="B17" s="317" t="s">
        <v>296</v>
      </c>
      <c r="C17" s="239">
        <v>0</v>
      </c>
      <c r="D17" s="238">
        <f t="shared" si="0"/>
        <v>0</v>
      </c>
      <c r="E17" s="239">
        <v>0</v>
      </c>
      <c r="F17" s="238">
        <f t="shared" si="1"/>
        <v>0</v>
      </c>
      <c r="G17" s="239">
        <v>0</v>
      </c>
      <c r="H17" s="238">
        <f t="shared" si="5"/>
        <v>0</v>
      </c>
      <c r="I17" s="296">
        <f t="shared" si="2"/>
        <v>0</v>
      </c>
      <c r="J17" s="297" t="e">
        <f t="shared" si="3"/>
        <v>#DIV/0!</v>
      </c>
      <c r="K17" s="318" t="e">
        <f t="shared" si="4"/>
        <v>#DIV/0!</v>
      </c>
    </row>
    <row r="18" spans="2:11" s="17" customFormat="1">
      <c r="B18" s="317" t="s">
        <v>297</v>
      </c>
      <c r="C18" s="239">
        <f>'Assumsi untuk Laba rugi'!C14*12</f>
        <v>60000000</v>
      </c>
      <c r="D18" s="238">
        <f t="shared" si="0"/>
        <v>1.9411764705882354E-2</v>
      </c>
      <c r="E18" s="239">
        <f>'Assumsi untuk Laba rugi'!C7*'Assumsi untuk Laba rugi'!C4</f>
        <v>15000000</v>
      </c>
      <c r="F18" s="238">
        <f t="shared" si="1"/>
        <v>1.7647058823529412E-2</v>
      </c>
      <c r="G18" s="239">
        <f>E18/'Assumsi untuk Laba rugi'!C4*12</f>
        <v>60000000</v>
      </c>
      <c r="H18" s="238">
        <f t="shared" si="5"/>
        <v>1.7647058823529412E-2</v>
      </c>
      <c r="I18" s="296">
        <f t="shared" si="2"/>
        <v>0</v>
      </c>
      <c r="J18" s="297">
        <f t="shared" si="3"/>
        <v>0</v>
      </c>
      <c r="K18" s="318">
        <f t="shared" si="4"/>
        <v>1</v>
      </c>
    </row>
    <row r="19" spans="2:11" s="15" customFormat="1">
      <c r="B19" s="319" t="s">
        <v>298</v>
      </c>
      <c r="C19" s="240">
        <f>C16+C17-C18</f>
        <v>436137878.78787905</v>
      </c>
      <c r="D19" s="241">
        <f t="shared" si="0"/>
        <v>0.14110343137254913</v>
      </c>
      <c r="E19" s="240">
        <f>E16+E17-E18</f>
        <v>126420833.33333334</v>
      </c>
      <c r="F19" s="241">
        <f t="shared" si="1"/>
        <v>0.14873039215686276</v>
      </c>
      <c r="G19" s="240">
        <f>G16+G17-G18</f>
        <v>505683333.33333325</v>
      </c>
      <c r="H19" s="241">
        <f t="shared" si="5"/>
        <v>0.14873039215686273</v>
      </c>
      <c r="I19" s="298">
        <f t="shared" si="2"/>
        <v>69545454.545454204</v>
      </c>
      <c r="J19" s="299">
        <f t="shared" si="3"/>
        <v>0.15945749710787785</v>
      </c>
      <c r="K19" s="320">
        <f t="shared" si="4"/>
        <v>1.1594574971078779</v>
      </c>
    </row>
    <row r="20" spans="2:11" s="17" customFormat="1" ht="12.75" thickBot="1">
      <c r="B20" s="324" t="s">
        <v>299</v>
      </c>
      <c r="C20" s="325">
        <f>C19*'Assumsi untuk Laba rugi'!C15</f>
        <v>43613787.878787905</v>
      </c>
      <c r="D20" s="326">
        <f t="shared" si="0"/>
        <v>1.4110343137254911E-2</v>
      </c>
      <c r="E20" s="325">
        <f>E19*'Assumsi untuk Laba rugi'!C8</f>
        <v>12642083.333333336</v>
      </c>
      <c r="F20" s="326">
        <f t="shared" si="1"/>
        <v>1.4873039215686277E-2</v>
      </c>
      <c r="G20" s="325">
        <f>G19*'Assumsi untuk Laba rugi'!C8</f>
        <v>50568333.333333328</v>
      </c>
      <c r="H20" s="326">
        <f t="shared" si="5"/>
        <v>1.4873039215686274E-2</v>
      </c>
      <c r="I20" s="327">
        <f t="shared" si="2"/>
        <v>6954545.4545454234</v>
      </c>
      <c r="J20" s="328">
        <f t="shared" si="3"/>
        <v>0.15945749710787793</v>
      </c>
      <c r="K20" s="329">
        <f t="shared" si="4"/>
        <v>1.1594574971078779</v>
      </c>
    </row>
    <row r="21" spans="2:11" s="15" customFormat="1" ht="12.75" thickBot="1">
      <c r="B21" s="330" t="s">
        <v>300</v>
      </c>
      <c r="C21" s="331">
        <f>C19-C20</f>
        <v>392524090.90909111</v>
      </c>
      <c r="D21" s="332">
        <f t="shared" si="0"/>
        <v>0.1269930882352942</v>
      </c>
      <c r="E21" s="331">
        <f>E19-E20</f>
        <v>113778750</v>
      </c>
      <c r="F21" s="332">
        <f t="shared" si="1"/>
        <v>0.13385735294117648</v>
      </c>
      <c r="G21" s="331">
        <f>G19-G20</f>
        <v>455114999.99999994</v>
      </c>
      <c r="H21" s="332">
        <f t="shared" si="5"/>
        <v>0.13385735294117646</v>
      </c>
      <c r="I21" s="333">
        <f t="shared" si="2"/>
        <v>62590909.090908825</v>
      </c>
      <c r="J21" s="334">
        <f t="shared" si="3"/>
        <v>0.15945749710787796</v>
      </c>
      <c r="K21" s="335">
        <f t="shared" si="4"/>
        <v>1.1594574971078779</v>
      </c>
    </row>
    <row r="22" spans="2:11" s="13" customFormat="1">
      <c r="B22" s="12"/>
      <c r="C22" s="29"/>
      <c r="D22" s="29"/>
      <c r="E22" s="29"/>
      <c r="F22" s="29"/>
      <c r="G22" s="29"/>
      <c r="H22" s="29"/>
      <c r="I22" s="37"/>
      <c r="J22" s="33"/>
      <c r="K22" s="40"/>
    </row>
    <row r="24" spans="2:11" ht="12.75">
      <c r="B24" s="267" t="s">
        <v>325</v>
      </c>
    </row>
    <row r="25" spans="2:11" ht="12.75">
      <c r="B25" s="267" t="s">
        <v>360</v>
      </c>
    </row>
  </sheetData>
  <sheetProtection selectLockedCells="1" selectUnlockedCells="1"/>
  <customSheetViews>
    <customSheetView guid="{EB924B51-01F3-412F-ABF4-73B7E6F19BA6}">
      <selection activeCell="B8" sqref="B8:K24"/>
      <pageMargins left="0.7" right="0.7" top="0.75" bottom="0.75" header="0.3" footer="0.3"/>
      <pageSetup orientation="portrait" r:id="rId1"/>
    </customSheetView>
  </customSheetViews>
  <mergeCells count="11">
    <mergeCell ref="I2:J3"/>
    <mergeCell ref="B2:B5"/>
    <mergeCell ref="G4:G5"/>
    <mergeCell ref="K2:K5"/>
    <mergeCell ref="H2:H5"/>
    <mergeCell ref="I4:I5"/>
    <mergeCell ref="J4:J5"/>
    <mergeCell ref="C4:C5"/>
    <mergeCell ref="D2:D5"/>
    <mergeCell ref="E4:E5"/>
    <mergeCell ref="F2:F5"/>
  </mergeCells>
  <phoneticPr fontId="13" type="noConversion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3:N35"/>
  <sheetViews>
    <sheetView topLeftCell="A19" workbookViewId="0">
      <selection activeCell="H39" sqref="H39"/>
    </sheetView>
  </sheetViews>
  <sheetFormatPr defaultRowHeight="15"/>
  <cols>
    <col min="1" max="1" width="4.85546875" customWidth="1"/>
    <col min="2" max="2" width="19" customWidth="1"/>
    <col min="3" max="3" width="16.5703125" style="11" customWidth="1"/>
    <col min="4" max="4" width="16.42578125" style="51" customWidth="1"/>
    <col min="5" max="5" width="13.28515625" style="51" customWidth="1"/>
    <col min="6" max="6" width="12.5703125" style="51" customWidth="1"/>
    <col min="7" max="7" width="18.42578125" style="51" customWidth="1"/>
    <col min="8" max="8" width="21.28515625" style="51" customWidth="1"/>
    <col min="9" max="9" width="27.85546875" customWidth="1"/>
    <col min="10" max="10" width="23.140625" customWidth="1"/>
    <col min="11" max="11" width="18.140625" customWidth="1"/>
    <col min="12" max="14" width="18.5703125" customWidth="1"/>
  </cols>
  <sheetData>
    <row r="3" spans="3:14">
      <c r="C3" s="622" t="s">
        <v>93</v>
      </c>
      <c r="D3" s="622"/>
      <c r="E3" s="622"/>
      <c r="F3" s="622"/>
      <c r="G3" s="622"/>
      <c r="H3" s="622"/>
    </row>
    <row r="4" spans="3:14">
      <c r="C4" s="623" t="str">
        <f>NERACA!C3</f>
        <v>31 Desember 2016</v>
      </c>
      <c r="D4" s="624"/>
      <c r="E4" s="624"/>
      <c r="F4" s="624"/>
      <c r="G4" s="624"/>
      <c r="H4" s="625"/>
    </row>
    <row r="5" spans="3:14">
      <c r="C5" s="306" t="s">
        <v>93</v>
      </c>
      <c r="D5" s="307" t="s">
        <v>199</v>
      </c>
      <c r="E5" s="626" t="s">
        <v>200</v>
      </c>
      <c r="F5" s="627"/>
      <c r="G5" s="307" t="s">
        <v>201</v>
      </c>
      <c r="H5" s="307" t="s">
        <v>339</v>
      </c>
    </row>
    <row r="6" spans="3:14">
      <c r="C6" s="308" t="s">
        <v>204</v>
      </c>
      <c r="D6" s="544">
        <v>150000000</v>
      </c>
      <c r="E6" s="300"/>
      <c r="F6" s="300"/>
      <c r="G6" s="300"/>
      <c r="H6" s="300"/>
    </row>
    <row r="7" spans="3:14">
      <c r="C7" s="308" t="s">
        <v>365</v>
      </c>
      <c r="D7" s="544">
        <v>100000000</v>
      </c>
      <c r="E7" s="628">
        <v>750000000</v>
      </c>
      <c r="F7" s="629"/>
      <c r="G7" s="300"/>
      <c r="H7" s="300"/>
    </row>
    <row r="8" spans="3:14">
      <c r="C8" s="308" t="s">
        <v>331</v>
      </c>
      <c r="D8" s="300"/>
      <c r="E8" s="300"/>
      <c r="F8" s="300"/>
      <c r="G8" s="544">
        <v>215000000</v>
      </c>
      <c r="H8" s="300"/>
    </row>
    <row r="9" spans="3:14">
      <c r="C9" s="308" t="s">
        <v>88</v>
      </c>
      <c r="D9" s="300"/>
      <c r="E9" s="300"/>
      <c r="F9" s="300"/>
      <c r="G9" s="300"/>
      <c r="H9" s="544">
        <v>50000000</v>
      </c>
    </row>
    <row r="10" spans="3:14">
      <c r="C10" s="309" t="s">
        <v>20</v>
      </c>
      <c r="D10" s="304">
        <f>SUM(D6:D9)</f>
        <v>250000000</v>
      </c>
      <c r="E10" s="630">
        <f>SUM(E6:E9)</f>
        <v>750000000</v>
      </c>
      <c r="F10" s="631"/>
      <c r="G10" s="304">
        <f>SUM(G6:G9)</f>
        <v>215000000</v>
      </c>
      <c r="H10" s="336">
        <f>SUM(H6:H9)</f>
        <v>50000000</v>
      </c>
      <c r="K10" s="18"/>
    </row>
    <row r="11" spans="3:14">
      <c r="C11" s="632"/>
      <c r="D11" s="633"/>
      <c r="E11" s="633"/>
      <c r="F11" s="633"/>
      <c r="G11" s="633"/>
      <c r="H11" s="634"/>
      <c r="K11" s="18"/>
    </row>
    <row r="12" spans="3:14">
      <c r="C12" s="622" t="str">
        <f>NERACA!E3</f>
        <v>31 Maret 2017</v>
      </c>
      <c r="D12" s="622"/>
      <c r="E12" s="622"/>
      <c r="F12" s="622"/>
      <c r="G12" s="622"/>
      <c r="H12" s="622"/>
    </row>
    <row r="13" spans="3:14">
      <c r="C13" s="306" t="s">
        <v>93</v>
      </c>
      <c r="D13" s="307" t="s">
        <v>199</v>
      </c>
      <c r="E13" s="626" t="s">
        <v>200</v>
      </c>
      <c r="F13" s="627"/>
      <c r="G13" s="307" t="s">
        <v>201</v>
      </c>
      <c r="H13" s="307" t="s">
        <v>339</v>
      </c>
      <c r="I13" s="310" t="s">
        <v>338</v>
      </c>
      <c r="J13" s="311" t="str">
        <f>C12</f>
        <v>31 Maret 2017</v>
      </c>
      <c r="K13" s="312" t="s">
        <v>199</v>
      </c>
      <c r="L13" s="307" t="s">
        <v>200</v>
      </c>
      <c r="M13" s="307" t="s">
        <v>201</v>
      </c>
      <c r="N13" s="307" t="s">
        <v>203</v>
      </c>
    </row>
    <row r="14" spans="3:14">
      <c r="C14" s="308" t="str">
        <f>C6</f>
        <v>Tanah Kosong</v>
      </c>
      <c r="D14" s="303">
        <f>D6+K14</f>
        <v>250000000</v>
      </c>
      <c r="E14" s="300"/>
      <c r="F14" s="300"/>
      <c r="G14" s="300"/>
      <c r="H14" s="300"/>
      <c r="I14" s="635" t="s">
        <v>204</v>
      </c>
      <c r="J14" s="636"/>
      <c r="K14" s="493">
        <v>100000000</v>
      </c>
      <c r="L14" s="300"/>
      <c r="M14" s="300"/>
      <c r="N14" s="300"/>
    </row>
    <row r="15" spans="3:14">
      <c r="C15" s="308" t="str">
        <f>C7</f>
        <v>Tanah Bangunan</v>
      </c>
      <c r="D15" s="303">
        <f>D7+K15</f>
        <v>100000000</v>
      </c>
      <c r="E15" s="637">
        <f>E7+L15</f>
        <v>750000000</v>
      </c>
      <c r="F15" s="638"/>
      <c r="G15" s="300"/>
      <c r="H15" s="300"/>
      <c r="I15" s="640" t="s">
        <v>365</v>
      </c>
      <c r="J15" s="641"/>
      <c r="K15" s="493">
        <v>0</v>
      </c>
      <c r="L15" s="493">
        <v>0</v>
      </c>
      <c r="M15" s="300"/>
      <c r="N15" s="300"/>
    </row>
    <row r="16" spans="3:14">
      <c r="C16" s="308" t="s">
        <v>331</v>
      </c>
      <c r="D16" s="300"/>
      <c r="E16" s="300"/>
      <c r="F16" s="300"/>
      <c r="G16" s="303">
        <f>G8+M16</f>
        <v>215000000</v>
      </c>
      <c r="H16" s="300"/>
      <c r="I16" s="640" t="s">
        <v>331</v>
      </c>
      <c r="J16" s="641"/>
      <c r="K16" s="300"/>
      <c r="L16" s="300"/>
      <c r="M16" s="493">
        <v>0</v>
      </c>
      <c r="N16" s="300"/>
    </row>
    <row r="17" spans="2:14">
      <c r="C17" s="308" t="s">
        <v>88</v>
      </c>
      <c r="D17" s="300"/>
      <c r="E17" s="300"/>
      <c r="F17" s="300"/>
      <c r="G17" s="300"/>
      <c r="H17" s="303">
        <f>H9+N17</f>
        <v>50000000</v>
      </c>
      <c r="I17" s="640" t="s">
        <v>88</v>
      </c>
      <c r="J17" s="641"/>
      <c r="K17" s="300"/>
      <c r="L17" s="300"/>
      <c r="M17" s="300"/>
      <c r="N17" s="493">
        <v>0</v>
      </c>
    </row>
    <row r="18" spans="2:14">
      <c r="C18" s="309" t="s">
        <v>20</v>
      </c>
      <c r="D18" s="304">
        <f>SUM(D14:D17)</f>
        <v>350000000</v>
      </c>
      <c r="E18" s="630">
        <f>SUM(E14:E17)</f>
        <v>750000000</v>
      </c>
      <c r="F18" s="631"/>
      <c r="G18" s="304">
        <f>SUM(G14:G17)</f>
        <v>215000000</v>
      </c>
      <c r="H18" s="336">
        <f>SUM(H14:H17)</f>
        <v>50000000</v>
      </c>
      <c r="I18" s="642" t="s">
        <v>20</v>
      </c>
      <c r="J18" s="643"/>
      <c r="K18" s="304">
        <f>SUM(K14:K17)</f>
        <v>100000000</v>
      </c>
      <c r="L18" s="304">
        <f t="shared" ref="L18:N18" si="0">SUM(L14:L17)</f>
        <v>0</v>
      </c>
      <c r="M18" s="304">
        <f t="shared" si="0"/>
        <v>0</v>
      </c>
      <c r="N18" s="304">
        <f t="shared" si="0"/>
        <v>0</v>
      </c>
    </row>
    <row r="19" spans="2:14">
      <c r="C19" s="632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4"/>
    </row>
    <row r="20" spans="2:14">
      <c r="C20" s="622" t="s">
        <v>337</v>
      </c>
      <c r="D20" s="622"/>
      <c r="E20" s="622"/>
      <c r="F20" s="622"/>
      <c r="G20" s="622"/>
      <c r="H20" s="622"/>
    </row>
    <row r="21" spans="2:14">
      <c r="C21" s="306" t="s">
        <v>93</v>
      </c>
      <c r="D21" s="307" t="s">
        <v>199</v>
      </c>
      <c r="E21" s="626" t="s">
        <v>200</v>
      </c>
      <c r="F21" s="627"/>
      <c r="G21" s="307" t="s">
        <v>201</v>
      </c>
      <c r="H21" s="307" t="s">
        <v>339</v>
      </c>
      <c r="I21" s="310" t="s">
        <v>357</v>
      </c>
      <c r="J21" s="314" t="str">
        <f>G28</f>
        <v>2017 disetahunkan</v>
      </c>
      <c r="K21" s="312" t="str">
        <f>K13</f>
        <v>Tanah (Rp)</v>
      </c>
      <c r="L21" s="307" t="str">
        <f>L13</f>
        <v>Bangunan (Rp)</v>
      </c>
      <c r="M21" s="307" t="str">
        <f>M13</f>
        <v>Mobil &amp; Motor (Rp)</v>
      </c>
      <c r="N21" s="307" t="str">
        <f>N13</f>
        <v>Mesin dan Peralatan (Rp)</v>
      </c>
    </row>
    <row r="22" spans="2:14">
      <c r="C22" s="308" t="str">
        <f>C14</f>
        <v>Tanah Kosong</v>
      </c>
      <c r="D22" s="303">
        <f>D14+K22</f>
        <v>250000000</v>
      </c>
      <c r="E22" s="300"/>
      <c r="F22" s="300"/>
      <c r="G22" s="300"/>
      <c r="H22" s="300"/>
      <c r="I22" s="635" t="str">
        <f>I14</f>
        <v>Tanah Kosong</v>
      </c>
      <c r="J22" s="636"/>
      <c r="K22" s="493">
        <v>0</v>
      </c>
      <c r="L22" s="300"/>
      <c r="M22" s="300"/>
      <c r="N22" s="300"/>
    </row>
    <row r="23" spans="2:14">
      <c r="C23" s="308" t="str">
        <f>C15</f>
        <v>Tanah Bangunan</v>
      </c>
      <c r="D23" s="303">
        <f>D15+K23</f>
        <v>100000000</v>
      </c>
      <c r="E23" s="637">
        <f>E15+L23</f>
        <v>750000000</v>
      </c>
      <c r="F23" s="638"/>
      <c r="G23" s="300"/>
      <c r="H23" s="300"/>
      <c r="I23" s="635" t="str">
        <f>I15</f>
        <v>Tanah Bangunan</v>
      </c>
      <c r="J23" s="636"/>
      <c r="K23" s="493">
        <v>0</v>
      </c>
      <c r="L23" s="493">
        <v>0</v>
      </c>
      <c r="M23" s="300"/>
      <c r="N23" s="300"/>
    </row>
    <row r="24" spans="2:14">
      <c r="C24" s="308" t="s">
        <v>331</v>
      </c>
      <c r="D24" s="300"/>
      <c r="E24" s="300"/>
      <c r="F24" s="300"/>
      <c r="G24" s="303">
        <f>G16+M24</f>
        <v>215000000</v>
      </c>
      <c r="H24" s="300"/>
      <c r="I24" s="640" t="s">
        <v>331</v>
      </c>
      <c r="J24" s="641"/>
      <c r="K24" s="300"/>
      <c r="L24" s="300"/>
      <c r="M24" s="493">
        <v>0</v>
      </c>
      <c r="N24" s="300"/>
    </row>
    <row r="25" spans="2:14">
      <c r="C25" s="308" t="s">
        <v>88</v>
      </c>
      <c r="D25" s="300"/>
      <c r="E25" s="300"/>
      <c r="F25" s="300"/>
      <c r="G25" s="300"/>
      <c r="H25" s="303">
        <f>H17+N25</f>
        <v>50000000</v>
      </c>
      <c r="I25" s="635" t="s">
        <v>88</v>
      </c>
      <c r="J25" s="636"/>
      <c r="K25" s="300"/>
      <c r="L25" s="300"/>
      <c r="M25" s="300"/>
      <c r="N25" s="493">
        <v>0</v>
      </c>
    </row>
    <row r="26" spans="2:14">
      <c r="C26" s="309" t="s">
        <v>20</v>
      </c>
      <c r="D26" s="304">
        <f>SUM(D22:D25)</f>
        <v>350000000</v>
      </c>
      <c r="E26" s="630">
        <f>SUM(E22:E25)</f>
        <v>750000000</v>
      </c>
      <c r="F26" s="631"/>
      <c r="G26" s="304">
        <f>SUM(G22:G25)</f>
        <v>215000000</v>
      </c>
      <c r="H26" s="336">
        <f>SUM(H22:H25)</f>
        <v>50000000</v>
      </c>
      <c r="I26" s="642" t="s">
        <v>20</v>
      </c>
      <c r="J26" s="643"/>
      <c r="K26" s="304">
        <f>SUM(K22:K25)</f>
        <v>0</v>
      </c>
      <c r="L26" s="304">
        <f t="shared" ref="L26" si="1">SUM(L22:L25)</f>
        <v>0</v>
      </c>
      <c r="M26" s="304">
        <f t="shared" ref="M26" si="2">SUM(M22:M25)</f>
        <v>0</v>
      </c>
      <c r="N26" s="304">
        <f t="shared" ref="N26" si="3">SUM(N22:N25)</f>
        <v>0</v>
      </c>
    </row>
    <row r="27" spans="2:14">
      <c r="H27" s="305"/>
    </row>
    <row r="28" spans="2:14">
      <c r="B28" s="306" t="s">
        <v>332</v>
      </c>
      <c r="C28" s="306" t="s">
        <v>333</v>
      </c>
      <c r="D28" s="307" t="s">
        <v>334</v>
      </c>
      <c r="E28" s="313" t="s">
        <v>336</v>
      </c>
      <c r="F28" s="314" t="str">
        <f>'Assumsi untuk Laba rugi'!D3</f>
        <v>31 Maret 2017</v>
      </c>
      <c r="G28" s="307" t="str">
        <f>C20</f>
        <v>2017 disetahunkan</v>
      </c>
    </row>
    <row r="29" spans="2:14">
      <c r="B29" s="308" t="s">
        <v>12</v>
      </c>
      <c r="C29" s="315">
        <v>15</v>
      </c>
      <c r="D29" s="303">
        <f>E7/C29</f>
        <v>50000000</v>
      </c>
      <c r="E29" s="639">
        <f>E15/C29/12*'Assumsi untuk Laba rugi'!C4</f>
        <v>12500000</v>
      </c>
      <c r="F29" s="639"/>
      <c r="G29" s="303">
        <f>E23/C29</f>
        <v>50000000</v>
      </c>
    </row>
    <row r="30" spans="2:14">
      <c r="B30" s="308" t="s">
        <v>331</v>
      </c>
      <c r="C30" s="315">
        <v>5</v>
      </c>
      <c r="D30" s="303">
        <f>G8/C30</f>
        <v>43000000</v>
      </c>
      <c r="E30" s="639">
        <f>G16/C30/12*'Assumsi untuk Laba rugi'!C4</f>
        <v>10750000</v>
      </c>
      <c r="F30" s="639"/>
      <c r="G30" s="303">
        <f>G24/C30</f>
        <v>43000000</v>
      </c>
    </row>
    <row r="31" spans="2:14">
      <c r="B31" s="308" t="s">
        <v>88</v>
      </c>
      <c r="C31" s="315">
        <v>3</v>
      </c>
      <c r="D31" s="303">
        <f>H9/C31</f>
        <v>16666666.666666666</v>
      </c>
      <c r="E31" s="639">
        <f>H18/C31/12*'Assumsi untuk Laba rugi'!C4</f>
        <v>4166666.666666666</v>
      </c>
      <c r="F31" s="639"/>
      <c r="G31" s="303">
        <f>H25/C31</f>
        <v>16666666.666666666</v>
      </c>
    </row>
    <row r="32" spans="2:14">
      <c r="B32" s="645" t="s">
        <v>340</v>
      </c>
      <c r="C32" s="645"/>
      <c r="D32" s="304">
        <f>SUM(D29:D31)</f>
        <v>109666666.66666667</v>
      </c>
      <c r="E32" s="644">
        <f>SUM(E29:F31)</f>
        <v>27416666.666666664</v>
      </c>
      <c r="F32" s="644"/>
      <c r="G32" s="304">
        <f>SUM(G29:G31)</f>
        <v>109666666.66666667</v>
      </c>
    </row>
    <row r="34" spans="2:2">
      <c r="B34" s="267" t="s">
        <v>325</v>
      </c>
    </row>
    <row r="35" spans="2:2">
      <c r="B35" s="267" t="s">
        <v>327</v>
      </c>
    </row>
  </sheetData>
  <sheetProtection selectLockedCells="1"/>
  <mergeCells count="30">
    <mergeCell ref="E32:F32"/>
    <mergeCell ref="B32:C32"/>
    <mergeCell ref="I23:J23"/>
    <mergeCell ref="I24:J24"/>
    <mergeCell ref="I25:J25"/>
    <mergeCell ref="I26:J26"/>
    <mergeCell ref="E31:F31"/>
    <mergeCell ref="E13:F13"/>
    <mergeCell ref="E21:F21"/>
    <mergeCell ref="C19:N19"/>
    <mergeCell ref="I14:J14"/>
    <mergeCell ref="I15:J15"/>
    <mergeCell ref="I16:J16"/>
    <mergeCell ref="I17:J17"/>
    <mergeCell ref="I18:J18"/>
    <mergeCell ref="I22:J22"/>
    <mergeCell ref="E15:F15"/>
    <mergeCell ref="E18:F18"/>
    <mergeCell ref="E29:F29"/>
    <mergeCell ref="E30:F30"/>
    <mergeCell ref="E23:F23"/>
    <mergeCell ref="E26:F26"/>
    <mergeCell ref="C20:H20"/>
    <mergeCell ref="C12:H12"/>
    <mergeCell ref="C4:H4"/>
    <mergeCell ref="C3:H3"/>
    <mergeCell ref="E5:F5"/>
    <mergeCell ref="E7:F7"/>
    <mergeCell ref="E10:F10"/>
    <mergeCell ref="C11:H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S67"/>
  <sheetViews>
    <sheetView topLeftCell="A31" zoomScale="85" zoomScaleNormal="85" workbookViewId="0">
      <selection activeCell="M49" sqref="M49"/>
    </sheetView>
  </sheetViews>
  <sheetFormatPr defaultRowHeight="15"/>
  <cols>
    <col min="1" max="1" width="2.7109375" style="338" customWidth="1"/>
    <col min="2" max="2" width="29.7109375" style="409" customWidth="1"/>
    <col min="3" max="3" width="19.140625" style="410" customWidth="1"/>
    <col min="4" max="4" width="10.7109375" style="341" customWidth="1"/>
    <col min="5" max="5" width="17.85546875" style="410" customWidth="1"/>
    <col min="6" max="6" width="10.7109375" style="341" customWidth="1"/>
    <col min="7" max="7" width="21.7109375" style="410" customWidth="1"/>
    <col min="8" max="8" width="10.7109375" style="341" customWidth="1"/>
    <col min="9" max="9" width="17" style="411" customWidth="1"/>
    <col min="10" max="10" width="9" style="412" customWidth="1"/>
    <col min="11" max="11" width="7.85546875" style="399" customWidth="1"/>
    <col min="12" max="12" width="9.140625" style="337"/>
    <col min="13" max="13" width="39.28515625" style="345" bestFit="1" customWidth="1"/>
    <col min="14" max="19" width="15" style="346" customWidth="1"/>
    <col min="20" max="16384" width="9.140625" style="338"/>
  </cols>
  <sheetData>
    <row r="1" spans="2:19" ht="15.75" thickBot="1">
      <c r="B1" s="663" t="s">
        <v>355</v>
      </c>
      <c r="C1" s="664"/>
      <c r="D1" s="664"/>
      <c r="E1" s="664"/>
      <c r="F1" s="664"/>
      <c r="G1" s="664"/>
      <c r="H1" s="664"/>
      <c r="I1" s="664"/>
      <c r="J1" s="664"/>
      <c r="K1" s="665"/>
      <c r="M1" s="660" t="s">
        <v>354</v>
      </c>
      <c r="N1" s="661"/>
      <c r="O1" s="661"/>
      <c r="P1" s="661"/>
      <c r="Q1" s="661"/>
      <c r="R1" s="661"/>
      <c r="S1" s="662"/>
    </row>
    <row r="2" spans="2:19" ht="6" customHeight="1" thickBot="1">
      <c r="B2" s="339"/>
      <c r="C2" s="340"/>
      <c r="E2" s="340"/>
      <c r="G2" s="340"/>
      <c r="I2" s="342"/>
      <c r="J2" s="343"/>
      <c r="K2" s="344"/>
    </row>
    <row r="3" spans="2:19" s="349" customFormat="1" ht="15.75" customHeight="1" thickBot="1">
      <c r="B3" s="654" t="s">
        <v>1</v>
      </c>
      <c r="C3" s="347" t="s">
        <v>287</v>
      </c>
      <c r="D3" s="652" t="s">
        <v>272</v>
      </c>
      <c r="E3" s="348" t="str">
        <f>'Assumsi untuk Laba rugi'!D3</f>
        <v>31 Maret 2017</v>
      </c>
      <c r="F3" s="650" t="s">
        <v>272</v>
      </c>
      <c r="G3" s="348" t="str">
        <f>'Aktiva tetap dan biaya penyusut'!J21</f>
        <v>2017 disetahunkan</v>
      </c>
      <c r="H3" s="650" t="s">
        <v>272</v>
      </c>
      <c r="I3" s="656" t="s">
        <v>29</v>
      </c>
      <c r="J3" s="657"/>
      <c r="K3" s="658" t="s">
        <v>31</v>
      </c>
      <c r="M3" s="350" t="s">
        <v>1</v>
      </c>
      <c r="N3" s="649" t="str">
        <f>NERACA!C3</f>
        <v>31 Desember 2016</v>
      </c>
      <c r="O3" s="649"/>
      <c r="P3" s="649" t="str">
        <f>NERACA!E3</f>
        <v>31 Maret 2017</v>
      </c>
      <c r="Q3" s="649"/>
      <c r="R3" s="649" t="str">
        <f>NERACA!G3</f>
        <v>2017 disetahunkan</v>
      </c>
      <c r="S3" s="649"/>
    </row>
    <row r="4" spans="2:19" s="349" customFormat="1" ht="15.75" customHeight="1" thickBot="1">
      <c r="B4" s="655"/>
      <c r="C4" s="351" t="s">
        <v>202</v>
      </c>
      <c r="D4" s="653"/>
      <c r="E4" s="351" t="s">
        <v>202</v>
      </c>
      <c r="F4" s="651"/>
      <c r="G4" s="351" t="s">
        <v>202</v>
      </c>
      <c r="H4" s="651"/>
      <c r="I4" s="352" t="s">
        <v>30</v>
      </c>
      <c r="J4" s="353" t="s">
        <v>0</v>
      </c>
      <c r="K4" s="659"/>
      <c r="M4" s="354" t="s">
        <v>342</v>
      </c>
      <c r="N4" s="355"/>
      <c r="O4" s="494">
        <v>452694091</v>
      </c>
      <c r="P4" s="355"/>
      <c r="Q4" s="355">
        <f>O8</f>
        <v>845218181.90909111</v>
      </c>
      <c r="R4" s="355"/>
      <c r="S4" s="355">
        <f>O8</f>
        <v>845218181.90909111</v>
      </c>
    </row>
    <row r="5" spans="2:19" ht="15" customHeight="1">
      <c r="B5" s="646" t="s">
        <v>2</v>
      </c>
      <c r="C5" s="647"/>
      <c r="D5" s="647"/>
      <c r="E5" s="647"/>
      <c r="F5" s="647"/>
      <c r="G5" s="647"/>
      <c r="H5" s="647"/>
      <c r="I5" s="647"/>
      <c r="J5" s="647"/>
      <c r="K5" s="648"/>
      <c r="M5" s="356" t="s">
        <v>344</v>
      </c>
      <c r="N5" s="357">
        <f>'LABA RUGI'!C21</f>
        <v>392524090.90909111</v>
      </c>
      <c r="O5" s="357"/>
      <c r="P5" s="357">
        <f>'LABA RUGI'!E21</f>
        <v>113778750</v>
      </c>
      <c r="Q5" s="357"/>
      <c r="R5" s="357">
        <f>'LABA RUGI'!G21</f>
        <v>455114999.99999994</v>
      </c>
      <c r="S5" s="357"/>
    </row>
    <row r="6" spans="2:19">
      <c r="B6" s="358" t="s">
        <v>59</v>
      </c>
      <c r="C6" s="491">
        <v>48401515</v>
      </c>
      <c r="D6" s="359">
        <f t="shared" ref="D6:D18" si="0">C6/$C$18</f>
        <v>2.8280422725993772E-2</v>
      </c>
      <c r="E6" s="491">
        <v>8830265</v>
      </c>
      <c r="F6" s="359">
        <f t="shared" ref="F6:F18" si="1">E6/$C$18</f>
        <v>5.159417571589389E-3</v>
      </c>
      <c r="G6" s="491">
        <v>124149849</v>
      </c>
      <c r="H6" s="359">
        <f t="shared" ref="H6:H18" si="2">G6/$C$18</f>
        <v>7.2539262688126493E-2</v>
      </c>
      <c r="I6" s="360">
        <f>G6-C6</f>
        <v>75748334</v>
      </c>
      <c r="J6" s="361">
        <f>I6/C6</f>
        <v>1.564999236077631</v>
      </c>
      <c r="K6" s="362">
        <f>G6/C6</f>
        <v>2.564999236077631</v>
      </c>
      <c r="M6" s="356" t="s">
        <v>346</v>
      </c>
      <c r="N6" s="493">
        <v>0</v>
      </c>
      <c r="O6" s="357"/>
      <c r="P6" s="493">
        <v>0</v>
      </c>
      <c r="Q6" s="357"/>
      <c r="R6" s="493">
        <v>0</v>
      </c>
      <c r="S6" s="357"/>
    </row>
    <row r="7" spans="2:19">
      <c r="B7" s="358" t="s">
        <v>15</v>
      </c>
      <c r="C7" s="491">
        <v>140000000</v>
      </c>
      <c r="D7" s="359">
        <f t="shared" si="0"/>
        <v>8.1800315168629081E-2</v>
      </c>
      <c r="E7" s="491">
        <v>35000000</v>
      </c>
      <c r="F7" s="359">
        <f t="shared" si="1"/>
        <v>2.045007879215727E-2</v>
      </c>
      <c r="G7" s="491">
        <v>75000000</v>
      </c>
      <c r="H7" s="359">
        <f t="shared" si="2"/>
        <v>4.3821597411765577E-2</v>
      </c>
      <c r="I7" s="360">
        <f t="shared" ref="I7:I15" si="3">G7-C7</f>
        <v>-65000000</v>
      </c>
      <c r="J7" s="361">
        <f t="shared" ref="J7:J9" si="4">I7/C7</f>
        <v>-0.4642857142857143</v>
      </c>
      <c r="K7" s="362">
        <f t="shared" ref="K7:K26" si="5">G7/C7</f>
        <v>0.5357142857142857</v>
      </c>
      <c r="M7" s="363" t="s">
        <v>352</v>
      </c>
      <c r="N7" s="363"/>
      <c r="O7" s="364">
        <f>N5-N6</f>
        <v>392524090.90909111</v>
      </c>
      <c r="P7" s="363"/>
      <c r="Q7" s="364">
        <f>P5-P6</f>
        <v>113778750</v>
      </c>
      <c r="R7" s="363"/>
      <c r="S7" s="364">
        <f>R5-R6</f>
        <v>455114999.99999994</v>
      </c>
    </row>
    <row r="8" spans="2:19">
      <c r="B8" s="358" t="s">
        <v>16</v>
      </c>
      <c r="C8" s="491">
        <v>450000000</v>
      </c>
      <c r="D8" s="359">
        <f t="shared" si="0"/>
        <v>0.26292958447059345</v>
      </c>
      <c r="E8" s="491">
        <v>435000000</v>
      </c>
      <c r="F8" s="359">
        <f t="shared" si="1"/>
        <v>0.25416526498824038</v>
      </c>
      <c r="G8" s="491">
        <v>500000000</v>
      </c>
      <c r="H8" s="359">
        <f t="shared" si="2"/>
        <v>0.29214398274510384</v>
      </c>
      <c r="I8" s="360">
        <f t="shared" si="3"/>
        <v>50000000</v>
      </c>
      <c r="J8" s="361">
        <f t="shared" si="4"/>
        <v>0.1111111111111111</v>
      </c>
      <c r="K8" s="362">
        <f t="shared" si="5"/>
        <v>1.1111111111111112</v>
      </c>
      <c r="M8" s="354" t="s">
        <v>343</v>
      </c>
      <c r="N8" s="355"/>
      <c r="O8" s="355">
        <f>O4+O7</f>
        <v>845218181.90909111</v>
      </c>
      <c r="P8" s="355"/>
      <c r="Q8" s="355">
        <f>Q4+Q7</f>
        <v>958996931.90909111</v>
      </c>
      <c r="R8" s="355"/>
      <c r="S8" s="355">
        <f>S4+S7</f>
        <v>1300333181.909091</v>
      </c>
    </row>
    <row r="9" spans="2:19">
      <c r="B9" s="358" t="s">
        <v>87</v>
      </c>
      <c r="C9" s="491">
        <v>0</v>
      </c>
      <c r="D9" s="359">
        <f t="shared" si="0"/>
        <v>0</v>
      </c>
      <c r="E9" s="491">
        <v>0</v>
      </c>
      <c r="F9" s="359">
        <f t="shared" si="1"/>
        <v>0</v>
      </c>
      <c r="G9" s="491">
        <v>0</v>
      </c>
      <c r="H9" s="359">
        <f t="shared" si="2"/>
        <v>0</v>
      </c>
      <c r="I9" s="360">
        <f t="shared" si="3"/>
        <v>0</v>
      </c>
      <c r="J9" s="361" t="e">
        <f t="shared" si="4"/>
        <v>#DIV/0!</v>
      </c>
      <c r="K9" s="362" t="e">
        <f t="shared" si="5"/>
        <v>#DIV/0!</v>
      </c>
    </row>
    <row r="10" spans="2:19" s="349" customFormat="1" ht="12">
      <c r="B10" s="365" t="s">
        <v>3</v>
      </c>
      <c r="C10" s="366">
        <f>SUM(C6:C9)</f>
        <v>638401515</v>
      </c>
      <c r="D10" s="367">
        <f t="shared" si="0"/>
        <v>0.37301032236521631</v>
      </c>
      <c r="E10" s="366">
        <f>SUM(E6:E9)</f>
        <v>478830265</v>
      </c>
      <c r="F10" s="367">
        <f t="shared" si="1"/>
        <v>0.27977476135198703</v>
      </c>
      <c r="G10" s="366">
        <f>SUM(G6:G9)</f>
        <v>699149849</v>
      </c>
      <c r="H10" s="367">
        <f t="shared" si="2"/>
        <v>0.40850484284499594</v>
      </c>
      <c r="I10" s="368">
        <f>G10-C10</f>
        <v>60748334</v>
      </c>
      <c r="J10" s="369">
        <f>I10/C10</f>
        <v>9.5156938968103802E-2</v>
      </c>
      <c r="K10" s="370">
        <f>G10/C10</f>
        <v>1.0951569389681037</v>
      </c>
      <c r="M10" s="345"/>
      <c r="N10" s="346"/>
      <c r="O10" s="346"/>
      <c r="P10" s="346"/>
      <c r="Q10" s="346"/>
      <c r="R10" s="346"/>
      <c r="S10" s="346"/>
    </row>
    <row r="11" spans="2:19">
      <c r="B11" s="358" t="s">
        <v>11</v>
      </c>
      <c r="C11" s="371">
        <f>'Aktiva tetap dan biaya penyusut'!D10</f>
        <v>250000000</v>
      </c>
      <c r="D11" s="359">
        <f t="shared" si="0"/>
        <v>0.14607199137255192</v>
      </c>
      <c r="E11" s="371">
        <f>'Aktiva tetap dan biaya penyusut'!D18</f>
        <v>350000000</v>
      </c>
      <c r="F11" s="359">
        <f t="shared" si="1"/>
        <v>0.2045007879215727</v>
      </c>
      <c r="G11" s="371">
        <f>'Aktiva tetap dan biaya penyusut'!D26</f>
        <v>350000000</v>
      </c>
      <c r="H11" s="359">
        <f t="shared" si="2"/>
        <v>0.2045007879215727</v>
      </c>
      <c r="I11" s="360">
        <f t="shared" si="3"/>
        <v>100000000</v>
      </c>
      <c r="J11" s="361">
        <f t="shared" ref="J11:J15" si="6">I11/C11</f>
        <v>0.4</v>
      </c>
      <c r="K11" s="362">
        <f t="shared" si="5"/>
        <v>1.4</v>
      </c>
    </row>
    <row r="12" spans="2:19">
      <c r="B12" s="358" t="s">
        <v>12</v>
      </c>
      <c r="C12" s="371">
        <f>'Aktiva tetap dan biaya penyusut'!E10</f>
        <v>750000000</v>
      </c>
      <c r="D12" s="359">
        <f t="shared" si="0"/>
        <v>0.43821597411765578</v>
      </c>
      <c r="E12" s="371">
        <f>'Aktiva tetap dan biaya penyusut'!E18</f>
        <v>750000000</v>
      </c>
      <c r="F12" s="359">
        <f t="shared" si="1"/>
        <v>0.43821597411765578</v>
      </c>
      <c r="G12" s="371">
        <f>'Aktiva tetap dan biaya penyusut'!E26</f>
        <v>750000000</v>
      </c>
      <c r="H12" s="359">
        <f t="shared" si="2"/>
        <v>0.43821597411765578</v>
      </c>
      <c r="I12" s="360">
        <f t="shared" si="3"/>
        <v>0</v>
      </c>
      <c r="J12" s="361">
        <f t="shared" si="6"/>
        <v>0</v>
      </c>
      <c r="K12" s="362">
        <f t="shared" si="5"/>
        <v>1</v>
      </c>
    </row>
    <row r="13" spans="2:19">
      <c r="B13" s="358" t="s">
        <v>191</v>
      </c>
      <c r="C13" s="371">
        <f>'Aktiva tetap dan biaya penyusut'!G10</f>
        <v>215000000</v>
      </c>
      <c r="D13" s="359">
        <f t="shared" si="0"/>
        <v>0.12562191258039465</v>
      </c>
      <c r="E13" s="371">
        <f>'Aktiva tetap dan biaya penyusut'!G18</f>
        <v>215000000</v>
      </c>
      <c r="F13" s="359">
        <f t="shared" si="1"/>
        <v>0.12562191258039465</v>
      </c>
      <c r="G13" s="371">
        <f>'Aktiva tetap dan biaya penyusut'!G26</f>
        <v>215000000</v>
      </c>
      <c r="H13" s="359">
        <f t="shared" si="2"/>
        <v>0.12562191258039465</v>
      </c>
      <c r="I13" s="360">
        <f t="shared" si="3"/>
        <v>0</v>
      </c>
      <c r="J13" s="361">
        <f t="shared" si="6"/>
        <v>0</v>
      </c>
      <c r="K13" s="362">
        <f t="shared" si="5"/>
        <v>1</v>
      </c>
    </row>
    <row r="14" spans="2:19" s="373" customFormat="1" ht="12">
      <c r="B14" s="372" t="s">
        <v>88</v>
      </c>
      <c r="C14" s="371">
        <f>'Aktiva tetap dan biaya penyusut'!H10</f>
        <v>50000000</v>
      </c>
      <c r="D14" s="359">
        <f t="shared" si="0"/>
        <v>2.9214398274510386E-2</v>
      </c>
      <c r="E14" s="371">
        <f>'Aktiva tetap dan biaya penyusut'!H18</f>
        <v>50000000</v>
      </c>
      <c r="F14" s="359">
        <f t="shared" si="1"/>
        <v>2.9214398274510386E-2</v>
      </c>
      <c r="G14" s="371">
        <f>'Aktiva tetap dan biaya penyusut'!H26</f>
        <v>50000000</v>
      </c>
      <c r="H14" s="359">
        <f t="shared" si="2"/>
        <v>2.9214398274510386E-2</v>
      </c>
      <c r="I14" s="360">
        <f t="shared" si="3"/>
        <v>0</v>
      </c>
      <c r="J14" s="361">
        <f t="shared" si="6"/>
        <v>0</v>
      </c>
      <c r="K14" s="362">
        <f t="shared" si="5"/>
        <v>1</v>
      </c>
      <c r="M14" s="345"/>
      <c r="N14" s="346"/>
      <c r="O14" s="346"/>
      <c r="P14" s="346"/>
      <c r="Q14" s="346"/>
      <c r="R14" s="346"/>
      <c r="S14" s="346"/>
    </row>
    <row r="15" spans="2:19">
      <c r="B15" s="374" t="s">
        <v>56</v>
      </c>
      <c r="C15" s="513">
        <f>-'Aktiva tetap dan biaya penyusut'!D32*1.75</f>
        <v>-191916666.66666669</v>
      </c>
      <c r="D15" s="359">
        <f t="shared" si="0"/>
        <v>-0.11213459871032905</v>
      </c>
      <c r="E15" s="375">
        <f>C15-'LABA RUGI'!E14</f>
        <v>-219333333.33333334</v>
      </c>
      <c r="F15" s="359">
        <f t="shared" si="1"/>
        <v>-0.12815382709751891</v>
      </c>
      <c r="G15" s="375">
        <f>C15-'Aktiva tetap dan biaya penyusut'!G32</f>
        <v>-301583333.33333337</v>
      </c>
      <c r="H15" s="359">
        <f t="shared" si="2"/>
        <v>-0.17621151225908849</v>
      </c>
      <c r="I15" s="360">
        <f t="shared" si="3"/>
        <v>-109666666.66666669</v>
      </c>
      <c r="J15" s="361">
        <f t="shared" si="6"/>
        <v>0.57142857142857151</v>
      </c>
      <c r="K15" s="362">
        <f t="shared" si="5"/>
        <v>1.5714285714285714</v>
      </c>
    </row>
    <row r="16" spans="2:19" s="349" customFormat="1" ht="12">
      <c r="B16" s="365" t="s">
        <v>4</v>
      </c>
      <c r="C16" s="366">
        <f>SUM(C11:C15)</f>
        <v>1073083333.3333333</v>
      </c>
      <c r="D16" s="367">
        <f t="shared" si="0"/>
        <v>0.62698967763478364</v>
      </c>
      <c r="E16" s="366">
        <f>SUM(E11:E15)</f>
        <v>1145666666.6666667</v>
      </c>
      <c r="F16" s="367">
        <f t="shared" si="1"/>
        <v>0.66939924579661469</v>
      </c>
      <c r="G16" s="366">
        <f>SUM(G11:G15)</f>
        <v>1063416666.6666666</v>
      </c>
      <c r="H16" s="367">
        <f t="shared" si="2"/>
        <v>0.62134156063504498</v>
      </c>
      <c r="I16" s="368">
        <f>G16-C16</f>
        <v>-9666666.6666666269</v>
      </c>
      <c r="J16" s="369">
        <f>I16/C16</f>
        <v>-9.0083093888327671E-3</v>
      </c>
      <c r="K16" s="370">
        <f>G16/C16</f>
        <v>0.99099169061116721</v>
      </c>
      <c r="M16" s="345"/>
      <c r="N16" s="346"/>
      <c r="O16" s="346"/>
      <c r="P16" s="346"/>
      <c r="Q16" s="346"/>
      <c r="R16" s="346"/>
      <c r="S16" s="346"/>
    </row>
    <row r="17" spans="2:19" ht="15.75" thickBot="1">
      <c r="B17" s="376" t="s">
        <v>61</v>
      </c>
      <c r="C17" s="377">
        <v>0</v>
      </c>
      <c r="D17" s="378">
        <f t="shared" si="0"/>
        <v>0</v>
      </c>
      <c r="E17" s="377">
        <v>0</v>
      </c>
      <c r="F17" s="378">
        <f t="shared" si="1"/>
        <v>0</v>
      </c>
      <c r="G17" s="377">
        <v>0</v>
      </c>
      <c r="H17" s="378">
        <f t="shared" si="2"/>
        <v>0</v>
      </c>
      <c r="I17" s="379">
        <f t="shared" ref="I17" si="7">G17-E17</f>
        <v>0</v>
      </c>
      <c r="J17" s="380" t="e">
        <f>I17/C17</f>
        <v>#DIV/0!</v>
      </c>
      <c r="K17" s="381" t="e">
        <f t="shared" si="5"/>
        <v>#DIV/0!</v>
      </c>
    </row>
    <row r="18" spans="2:19" s="349" customFormat="1" ht="12.75" thickBot="1">
      <c r="B18" s="382" t="s">
        <v>5</v>
      </c>
      <c r="C18" s="383">
        <f>C10+C16</f>
        <v>1711484848.3333333</v>
      </c>
      <c r="D18" s="384">
        <f t="shared" si="0"/>
        <v>1</v>
      </c>
      <c r="E18" s="383">
        <f>E10+E16</f>
        <v>1624496931.6666667</v>
      </c>
      <c r="F18" s="384">
        <f t="shared" si="1"/>
        <v>0.94917400714860167</v>
      </c>
      <c r="G18" s="383">
        <f>G10+G16</f>
        <v>1762566515.6666665</v>
      </c>
      <c r="H18" s="384">
        <f t="shared" si="2"/>
        <v>1.029846403480041</v>
      </c>
      <c r="I18" s="385">
        <f>G18-C18</f>
        <v>51081667.333333254</v>
      </c>
      <c r="J18" s="386">
        <f>I18/C18</f>
        <v>2.9846403480040889E-2</v>
      </c>
      <c r="K18" s="387">
        <f>G18/C18</f>
        <v>1.029846403480041</v>
      </c>
      <c r="M18" s="345"/>
      <c r="N18" s="346"/>
      <c r="O18" s="346"/>
      <c r="P18" s="346"/>
      <c r="Q18" s="346"/>
      <c r="R18" s="346"/>
      <c r="S18" s="346"/>
    </row>
    <row r="19" spans="2:19">
      <c r="B19" s="646" t="s">
        <v>6</v>
      </c>
      <c r="C19" s="647"/>
      <c r="D19" s="647"/>
      <c r="E19" s="647"/>
      <c r="F19" s="647"/>
      <c r="G19" s="647"/>
      <c r="H19" s="647"/>
      <c r="I19" s="647"/>
      <c r="J19" s="647"/>
      <c r="K19" s="648"/>
    </row>
    <row r="20" spans="2:19">
      <c r="B20" s="358" t="s">
        <v>7</v>
      </c>
      <c r="C20" s="491">
        <v>7500000</v>
      </c>
      <c r="D20" s="359">
        <f t="shared" ref="D20:D28" si="8">C20/$C$28</f>
        <v>4.3821597405558433E-3</v>
      </c>
      <c r="E20" s="491">
        <v>10000000</v>
      </c>
      <c r="F20" s="359">
        <f t="shared" ref="F20:F28" si="9">E20/$C$28</f>
        <v>5.8428796540744574E-3</v>
      </c>
      <c r="G20" s="491">
        <v>10000000</v>
      </c>
      <c r="H20" s="359">
        <f t="shared" ref="H20:H28" si="10">G20/$C$28</f>
        <v>5.8428796540744574E-3</v>
      </c>
      <c r="I20" s="360">
        <f t="shared" ref="I20:I21" si="11">G20-C20</f>
        <v>2500000</v>
      </c>
      <c r="J20" s="361">
        <f t="shared" ref="J20:J21" si="12">I20/C20</f>
        <v>0.33333333333333331</v>
      </c>
      <c r="K20" s="362">
        <f t="shared" si="5"/>
        <v>1.3333333333333333</v>
      </c>
    </row>
    <row r="21" spans="2:19">
      <c r="B21" s="358" t="s">
        <v>89</v>
      </c>
      <c r="C21" s="814">
        <f>E21</f>
        <v>203266666.66666669</v>
      </c>
      <c r="D21" s="359">
        <f t="shared" si="8"/>
        <v>0.11876626710182014</v>
      </c>
      <c r="E21" s="371">
        <f>G21</f>
        <v>203266666.66666669</v>
      </c>
      <c r="F21" s="359">
        <f t="shared" si="9"/>
        <v>0.11876626710182014</v>
      </c>
      <c r="G21" s="371">
        <f>'SID BI dan Historis PNM VC'!F28+'SID BI dan Historis PNM VC'!F59</f>
        <v>203266666.66666669</v>
      </c>
      <c r="H21" s="359">
        <f t="shared" si="10"/>
        <v>0.11876626710182014</v>
      </c>
      <c r="I21" s="360">
        <f t="shared" si="11"/>
        <v>0</v>
      </c>
      <c r="J21" s="361">
        <f t="shared" si="12"/>
        <v>0</v>
      </c>
      <c r="K21" s="362">
        <f t="shared" si="5"/>
        <v>1</v>
      </c>
    </row>
    <row r="22" spans="2:19" s="349" customFormat="1" ht="12">
      <c r="B22" s="365" t="s">
        <v>8</v>
      </c>
      <c r="C22" s="366">
        <f>SUM(C20:C21)</f>
        <v>210766666.66666669</v>
      </c>
      <c r="D22" s="359">
        <f t="shared" si="8"/>
        <v>0.12314842684237599</v>
      </c>
      <c r="E22" s="366">
        <f>SUM(E20:E21)</f>
        <v>213266666.66666669</v>
      </c>
      <c r="F22" s="359">
        <f t="shared" si="9"/>
        <v>0.1246091467558946</v>
      </c>
      <c r="G22" s="366">
        <f>SUM(G20:G21)</f>
        <v>213266666.66666669</v>
      </c>
      <c r="H22" s="359">
        <f t="shared" si="10"/>
        <v>0.1246091467558946</v>
      </c>
      <c r="I22" s="368">
        <f>G22-C22</f>
        <v>2500000</v>
      </c>
      <c r="J22" s="369">
        <f>I22/C22</f>
        <v>1.1861458168590858E-2</v>
      </c>
      <c r="K22" s="370">
        <f>G22/C22</f>
        <v>1.011861458168591</v>
      </c>
      <c r="M22" s="345"/>
      <c r="N22" s="346"/>
      <c r="O22" s="346"/>
      <c r="P22" s="346"/>
      <c r="Q22" s="346"/>
      <c r="R22" s="346"/>
      <c r="S22" s="346"/>
    </row>
    <row r="23" spans="2:19">
      <c r="B23" s="358" t="s">
        <v>90</v>
      </c>
      <c r="C23" s="814">
        <f>C21+E23</f>
        <v>655500000</v>
      </c>
      <c r="D23" s="359">
        <f t="shared" si="8"/>
        <v>0.38300076132458066</v>
      </c>
      <c r="E23" s="371">
        <f>('SID BI dan Historis PNM VC'!F29+'SID BI dan Historis PNM VC'!F60+'SID BI dan Historis PNM VC'!F28+'SID BI dan Historis PNM VC'!F59)-E21</f>
        <v>452233333.33333331</v>
      </c>
      <c r="F23" s="359">
        <f t="shared" si="9"/>
        <v>0.26423449422276052</v>
      </c>
      <c r="G23" s="371">
        <f>E23-G21</f>
        <v>248966666.66666663</v>
      </c>
      <c r="H23" s="359">
        <f t="shared" si="10"/>
        <v>0.14546822712094037</v>
      </c>
      <c r="I23" s="360">
        <f t="shared" ref="I23:I26" si="13">G23-C23</f>
        <v>-406533333.33333337</v>
      </c>
      <c r="J23" s="361">
        <f t="shared" ref="J23:J26" si="14">I23/C23</f>
        <v>-0.62018815153826601</v>
      </c>
      <c r="K23" s="362">
        <f t="shared" si="5"/>
        <v>0.37981184846173399</v>
      </c>
    </row>
    <row r="24" spans="2:19">
      <c r="B24" s="358" t="s">
        <v>91</v>
      </c>
      <c r="C24" s="491">
        <v>0</v>
      </c>
      <c r="D24" s="359">
        <f t="shared" si="8"/>
        <v>0</v>
      </c>
      <c r="E24" s="491">
        <v>0</v>
      </c>
      <c r="F24" s="359">
        <f t="shared" si="9"/>
        <v>0</v>
      </c>
      <c r="G24" s="491">
        <v>0</v>
      </c>
      <c r="H24" s="359">
        <f t="shared" si="10"/>
        <v>0</v>
      </c>
      <c r="I24" s="360">
        <f t="shared" si="13"/>
        <v>0</v>
      </c>
      <c r="J24" s="361" t="e">
        <f t="shared" si="14"/>
        <v>#DIV/0!</v>
      </c>
      <c r="K24" s="362" t="e">
        <f t="shared" si="5"/>
        <v>#DIV/0!</v>
      </c>
    </row>
    <row r="25" spans="2:19" s="349" customFormat="1" ht="12">
      <c r="B25" s="365" t="s">
        <v>9</v>
      </c>
      <c r="C25" s="366">
        <f>SUM(C23:C24)</f>
        <v>655500000</v>
      </c>
      <c r="D25" s="367">
        <f t="shared" si="8"/>
        <v>0.38300076132458066</v>
      </c>
      <c r="E25" s="366">
        <f>SUM(E23:E24)</f>
        <v>452233333.33333331</v>
      </c>
      <c r="F25" s="367">
        <f t="shared" si="9"/>
        <v>0.26423449422276052</v>
      </c>
      <c r="G25" s="366">
        <f>SUM(G23:G24)</f>
        <v>248966666.66666663</v>
      </c>
      <c r="H25" s="367">
        <f t="shared" si="10"/>
        <v>0.14546822712094037</v>
      </c>
      <c r="I25" s="368">
        <f t="shared" si="13"/>
        <v>-406533333.33333337</v>
      </c>
      <c r="J25" s="369">
        <f t="shared" si="14"/>
        <v>-0.62018815153826601</v>
      </c>
      <c r="K25" s="370">
        <f t="shared" si="5"/>
        <v>0.37981184846173399</v>
      </c>
      <c r="M25" s="345"/>
      <c r="N25" s="346"/>
      <c r="O25" s="346"/>
      <c r="P25" s="346"/>
      <c r="Q25" s="346"/>
      <c r="R25" s="346"/>
      <c r="S25" s="346"/>
    </row>
    <row r="26" spans="2:19" s="349" customFormat="1" ht="12">
      <c r="B26" s="365" t="s">
        <v>249</v>
      </c>
      <c r="C26" s="366">
        <f>C22+C25</f>
        <v>866266666.66666675</v>
      </c>
      <c r="D26" s="367">
        <f t="shared" si="8"/>
        <v>0.50614918816695675</v>
      </c>
      <c r="E26" s="366">
        <f>E22+E25</f>
        <v>665500000</v>
      </c>
      <c r="F26" s="367">
        <f t="shared" si="9"/>
        <v>0.38884364097865515</v>
      </c>
      <c r="G26" s="366">
        <f>G22+G25</f>
        <v>462233333.33333331</v>
      </c>
      <c r="H26" s="367">
        <f t="shared" si="10"/>
        <v>0.270077373876835</v>
      </c>
      <c r="I26" s="368">
        <f t="shared" si="13"/>
        <v>-404033333.33333343</v>
      </c>
      <c r="J26" s="369">
        <f t="shared" si="14"/>
        <v>-0.46640757272587358</v>
      </c>
      <c r="K26" s="370">
        <f t="shared" si="5"/>
        <v>0.53359242727412648</v>
      </c>
      <c r="M26" s="345"/>
      <c r="N26" s="346"/>
      <c r="O26" s="346"/>
      <c r="P26" s="346"/>
      <c r="Q26" s="346"/>
      <c r="R26" s="346"/>
      <c r="S26" s="346"/>
    </row>
    <row r="27" spans="2:19" s="349" customFormat="1" ht="12.75" thickBot="1">
      <c r="B27" s="388" t="s">
        <v>345</v>
      </c>
      <c r="C27" s="389">
        <f>O8</f>
        <v>845218181.90909111</v>
      </c>
      <c r="D27" s="390">
        <f t="shared" si="8"/>
        <v>0.49385081183304319</v>
      </c>
      <c r="E27" s="389">
        <f>Q8</f>
        <v>958996931.90909111</v>
      </c>
      <c r="F27" s="390">
        <f t="shared" si="9"/>
        <v>0.5603303661771456</v>
      </c>
      <c r="G27" s="389">
        <f>S8</f>
        <v>1300333181.909091</v>
      </c>
      <c r="H27" s="390">
        <f t="shared" si="10"/>
        <v>0.75976902920945277</v>
      </c>
      <c r="I27" s="391">
        <f t="shared" ref="I27:I28" si="15">G27-C27</f>
        <v>455114999.99999988</v>
      </c>
      <c r="J27" s="392">
        <f t="shared" ref="J27:J28" si="16">I27/C27</f>
        <v>0.5384586012714887</v>
      </c>
      <c r="K27" s="393">
        <f>G27/C27</f>
        <v>1.5384586012714887</v>
      </c>
      <c r="M27" s="345"/>
      <c r="N27" s="346"/>
      <c r="O27" s="346"/>
      <c r="P27" s="346"/>
      <c r="Q27" s="346"/>
      <c r="R27" s="346"/>
      <c r="S27" s="346"/>
    </row>
    <row r="28" spans="2:19" s="349" customFormat="1" ht="12.75" thickBot="1">
      <c r="B28" s="382" t="s">
        <v>10</v>
      </c>
      <c r="C28" s="383">
        <f>C26+C27</f>
        <v>1711484848.575758</v>
      </c>
      <c r="D28" s="384">
        <f t="shared" si="8"/>
        <v>1</v>
      </c>
      <c r="E28" s="383">
        <f>E26+E27</f>
        <v>1624496931.909091</v>
      </c>
      <c r="F28" s="384">
        <f t="shared" si="9"/>
        <v>0.94917400715580069</v>
      </c>
      <c r="G28" s="383">
        <f>G26+G27</f>
        <v>1762566515.2424242</v>
      </c>
      <c r="H28" s="384">
        <f t="shared" si="10"/>
        <v>1.0298464030862877</v>
      </c>
      <c r="I28" s="385">
        <f t="shared" si="15"/>
        <v>51081666.666666269</v>
      </c>
      <c r="J28" s="386">
        <f t="shared" si="16"/>
        <v>2.9846403086287776E-2</v>
      </c>
      <c r="K28" s="387">
        <f>G28/C28</f>
        <v>1.0298464030862877</v>
      </c>
      <c r="M28" s="345"/>
      <c r="N28" s="346"/>
      <c r="O28" s="346"/>
      <c r="P28" s="346"/>
      <c r="Q28" s="346"/>
      <c r="R28" s="346"/>
      <c r="S28" s="346"/>
    </row>
    <row r="29" spans="2:19" s="400" customFormat="1" ht="12.75" thickBot="1">
      <c r="B29" s="394"/>
      <c r="C29" s="395"/>
      <c r="D29" s="396"/>
      <c r="E29" s="395"/>
      <c r="F29" s="396"/>
      <c r="G29" s="395"/>
      <c r="H29" s="396"/>
      <c r="I29" s="397"/>
      <c r="J29" s="398"/>
      <c r="K29" s="399"/>
      <c r="M29" s="345"/>
      <c r="N29" s="346"/>
      <c r="O29" s="346"/>
      <c r="P29" s="346"/>
      <c r="Q29" s="346"/>
      <c r="R29" s="346"/>
      <c r="S29" s="346"/>
    </row>
    <row r="30" spans="2:19" s="400" customFormat="1" ht="12.75" thickBot="1">
      <c r="B30" s="401" t="s">
        <v>198</v>
      </c>
      <c r="C30" s="402">
        <f>C18-C28</f>
        <v>-0.24242472648620605</v>
      </c>
      <c r="D30" s="403"/>
      <c r="E30" s="402">
        <f>E18-E28</f>
        <v>-0.24242424964904785</v>
      </c>
      <c r="F30" s="403"/>
      <c r="G30" s="404">
        <f>G18-G28</f>
        <v>0.42424225807189941</v>
      </c>
      <c r="H30" s="405"/>
      <c r="I30" s="406"/>
      <c r="J30" s="407"/>
      <c r="K30" s="408"/>
      <c r="M30" s="345"/>
      <c r="N30" s="346"/>
      <c r="O30" s="346"/>
      <c r="P30" s="346"/>
      <c r="Q30" s="346"/>
      <c r="R30" s="346"/>
      <c r="S30" s="346"/>
    </row>
    <row r="31" spans="2:19" ht="15.75" thickBot="1"/>
    <row r="32" spans="2:19" ht="15.75" thickBot="1">
      <c r="B32" s="663" t="s">
        <v>356</v>
      </c>
      <c r="C32" s="664"/>
      <c r="D32" s="664"/>
      <c r="E32" s="664"/>
      <c r="F32" s="664"/>
      <c r="G32" s="664"/>
      <c r="H32" s="664"/>
      <c r="I32" s="664"/>
      <c r="J32" s="664"/>
      <c r="K32" s="665"/>
      <c r="M32" s="660" t="s">
        <v>354</v>
      </c>
      <c r="N32" s="661"/>
      <c r="O32" s="661"/>
      <c r="P32" s="661"/>
      <c r="Q32" s="661"/>
      <c r="R32" s="661"/>
      <c r="S32" s="662"/>
    </row>
    <row r="33" spans="2:19" ht="7.5" customHeight="1" thickBot="1"/>
    <row r="34" spans="2:19" s="349" customFormat="1" ht="15.75" customHeight="1" thickBot="1">
      <c r="B34" s="654" t="s">
        <v>1</v>
      </c>
      <c r="C34" s="347" t="s">
        <v>287</v>
      </c>
      <c r="D34" s="652" t="s">
        <v>272</v>
      </c>
      <c r="E34" s="348" t="str">
        <f>E3</f>
        <v>31 Maret 2017</v>
      </c>
      <c r="F34" s="650" t="s">
        <v>272</v>
      </c>
      <c r="G34" s="348" t="str">
        <f>G3</f>
        <v>2017 disetahunkan</v>
      </c>
      <c r="H34" s="650" t="s">
        <v>272</v>
      </c>
      <c r="I34" s="656" t="s">
        <v>29</v>
      </c>
      <c r="J34" s="657"/>
      <c r="K34" s="658" t="s">
        <v>31</v>
      </c>
      <c r="M34" s="350" t="s">
        <v>1</v>
      </c>
      <c r="N34" s="649" t="str">
        <f>NERACA!C34</f>
        <v>31 Desember 2016</v>
      </c>
      <c r="O34" s="649"/>
      <c r="P34" s="649" t="str">
        <f>NERACA!E34</f>
        <v>31 Maret 2017</v>
      </c>
      <c r="Q34" s="649"/>
      <c r="R34" s="649" t="str">
        <f>NERACA!G34</f>
        <v>2017 disetahunkan</v>
      </c>
      <c r="S34" s="649"/>
    </row>
    <row r="35" spans="2:19" s="349" customFormat="1" ht="15.75" customHeight="1" thickBot="1">
      <c r="B35" s="655"/>
      <c r="C35" s="351" t="s">
        <v>202</v>
      </c>
      <c r="D35" s="653"/>
      <c r="E35" s="351" t="s">
        <v>202</v>
      </c>
      <c r="F35" s="651"/>
      <c r="G35" s="351" t="s">
        <v>202</v>
      </c>
      <c r="H35" s="651"/>
      <c r="I35" s="352" t="s">
        <v>30</v>
      </c>
      <c r="J35" s="353" t="s">
        <v>0</v>
      </c>
      <c r="K35" s="659"/>
      <c r="M35" s="354" t="s">
        <v>342</v>
      </c>
      <c r="N35" s="355"/>
      <c r="O35" s="355">
        <f>C58+C59</f>
        <v>452694091</v>
      </c>
      <c r="P35" s="355"/>
      <c r="Q35" s="355">
        <f>O39</f>
        <v>845218181.90909111</v>
      </c>
      <c r="R35" s="355"/>
      <c r="S35" s="355">
        <f>O39</f>
        <v>845218181.90909111</v>
      </c>
    </row>
    <row r="36" spans="2:19" ht="15" customHeight="1">
      <c r="B36" s="646" t="s">
        <v>2</v>
      </c>
      <c r="C36" s="647"/>
      <c r="D36" s="647"/>
      <c r="E36" s="647"/>
      <c r="F36" s="647"/>
      <c r="G36" s="647"/>
      <c r="H36" s="647"/>
      <c r="I36" s="647"/>
      <c r="J36" s="647"/>
      <c r="K36" s="648"/>
      <c r="M36" s="356" t="s">
        <v>344</v>
      </c>
      <c r="N36" s="357">
        <f>'LABA RUGI'!C21</f>
        <v>392524090.90909111</v>
      </c>
      <c r="O36" s="357"/>
      <c r="P36" s="357">
        <f>'LABA RUGI'!E21</f>
        <v>113778750</v>
      </c>
      <c r="Q36" s="357"/>
      <c r="R36" s="357">
        <f>'LABA RUGI'!G21</f>
        <v>455114999.99999994</v>
      </c>
      <c r="S36" s="357"/>
    </row>
    <row r="37" spans="2:19">
      <c r="B37" s="358" t="s">
        <v>59</v>
      </c>
      <c r="C37" s="491">
        <v>48401515</v>
      </c>
      <c r="D37" s="359">
        <f t="shared" ref="D37:D49" si="17">C37/$C$18</f>
        <v>2.8280422725993772E-2</v>
      </c>
      <c r="E37" s="491">
        <v>8830265</v>
      </c>
      <c r="F37" s="359">
        <f t="shared" ref="F37:F49" si="18">E37/$C$18</f>
        <v>5.159417571589389E-3</v>
      </c>
      <c r="G37" s="491">
        <v>124149849</v>
      </c>
      <c r="H37" s="359">
        <f t="shared" ref="H37:H49" si="19">G37/$C$18</f>
        <v>7.2539262688126493E-2</v>
      </c>
      <c r="I37" s="360">
        <f>G37-C37</f>
        <v>75748334</v>
      </c>
      <c r="J37" s="361">
        <f>I37/C37</f>
        <v>1.564999236077631</v>
      </c>
      <c r="K37" s="362">
        <f>G37/C37</f>
        <v>2.564999236077631</v>
      </c>
      <c r="M37" s="356" t="s">
        <v>351</v>
      </c>
      <c r="N37" s="493">
        <v>0</v>
      </c>
      <c r="O37" s="357"/>
      <c r="P37" s="493">
        <v>0</v>
      </c>
      <c r="Q37" s="357"/>
      <c r="R37" s="493">
        <v>0</v>
      </c>
      <c r="S37" s="357"/>
    </row>
    <row r="38" spans="2:19">
      <c r="B38" s="358" t="s">
        <v>15</v>
      </c>
      <c r="C38" s="491">
        <v>140000000</v>
      </c>
      <c r="D38" s="359">
        <f t="shared" si="17"/>
        <v>8.1800315168629081E-2</v>
      </c>
      <c r="E38" s="491">
        <v>35000000</v>
      </c>
      <c r="F38" s="359">
        <f t="shared" si="18"/>
        <v>2.045007879215727E-2</v>
      </c>
      <c r="G38" s="491">
        <v>75000000</v>
      </c>
      <c r="H38" s="359">
        <f t="shared" si="19"/>
        <v>4.3821597411765577E-2</v>
      </c>
      <c r="I38" s="360">
        <f t="shared" ref="I38:I40" si="20">G38-C38</f>
        <v>-65000000</v>
      </c>
      <c r="J38" s="361">
        <f>I38/C38</f>
        <v>-0.4642857142857143</v>
      </c>
      <c r="K38" s="362">
        <f t="shared" ref="K38:K40" si="21">G38/C38</f>
        <v>0.5357142857142857</v>
      </c>
      <c r="M38" s="363" t="s">
        <v>353</v>
      </c>
      <c r="N38" s="363"/>
      <c r="O38" s="364">
        <f>N36-N37</f>
        <v>392524090.90909111</v>
      </c>
      <c r="P38" s="363"/>
      <c r="Q38" s="364">
        <f>P36-P37</f>
        <v>113778750</v>
      </c>
      <c r="R38" s="363"/>
      <c r="S38" s="364">
        <f>R36-R37</f>
        <v>455114999.99999994</v>
      </c>
    </row>
    <row r="39" spans="2:19">
      <c r="B39" s="358" t="s">
        <v>16</v>
      </c>
      <c r="C39" s="491">
        <v>450000000</v>
      </c>
      <c r="D39" s="359">
        <f t="shared" si="17"/>
        <v>0.26292958447059345</v>
      </c>
      <c r="E39" s="491">
        <v>435000000</v>
      </c>
      <c r="F39" s="359">
        <f t="shared" si="18"/>
        <v>0.25416526498824038</v>
      </c>
      <c r="G39" s="491">
        <v>500000000</v>
      </c>
      <c r="H39" s="359">
        <f t="shared" si="19"/>
        <v>0.29214398274510384</v>
      </c>
      <c r="I39" s="360">
        <f t="shared" si="20"/>
        <v>50000000</v>
      </c>
      <c r="J39" s="361">
        <f t="shared" ref="J39:J40" si="22">I39/C39</f>
        <v>0.1111111111111111</v>
      </c>
      <c r="K39" s="362">
        <f t="shared" si="21"/>
        <v>1.1111111111111112</v>
      </c>
      <c r="M39" s="354" t="s">
        <v>343</v>
      </c>
      <c r="N39" s="355"/>
      <c r="O39" s="355">
        <f>O35+O38</f>
        <v>845218181.90909111</v>
      </c>
      <c r="P39" s="355"/>
      <c r="Q39" s="355">
        <f>Q35+Q38</f>
        <v>958996931.90909111</v>
      </c>
      <c r="R39" s="355"/>
      <c r="S39" s="355">
        <f>S35+S38</f>
        <v>1300333181.909091</v>
      </c>
    </row>
    <row r="40" spans="2:19">
      <c r="B40" s="358" t="s">
        <v>87</v>
      </c>
      <c r="C40" s="491">
        <v>0</v>
      </c>
      <c r="D40" s="359">
        <f t="shared" si="17"/>
        <v>0</v>
      </c>
      <c r="E40" s="491">
        <v>0</v>
      </c>
      <c r="F40" s="359">
        <f t="shared" si="18"/>
        <v>0</v>
      </c>
      <c r="G40" s="491">
        <v>0</v>
      </c>
      <c r="H40" s="359">
        <f t="shared" si="19"/>
        <v>0</v>
      </c>
      <c r="I40" s="360">
        <f t="shared" si="20"/>
        <v>0</v>
      </c>
      <c r="J40" s="361" t="e">
        <f t="shared" si="22"/>
        <v>#DIV/0!</v>
      </c>
      <c r="K40" s="362" t="e">
        <f t="shared" si="21"/>
        <v>#DIV/0!</v>
      </c>
    </row>
    <row r="41" spans="2:19" s="349" customFormat="1" ht="12">
      <c r="B41" s="365" t="s">
        <v>3</v>
      </c>
      <c r="C41" s="366">
        <f>SUM(C37:C40)</f>
        <v>638401515</v>
      </c>
      <c r="D41" s="367">
        <f t="shared" si="17"/>
        <v>0.37301032236521631</v>
      </c>
      <c r="E41" s="366">
        <f>SUM(E37:E40)</f>
        <v>478830265</v>
      </c>
      <c r="F41" s="367">
        <f t="shared" si="18"/>
        <v>0.27977476135198703</v>
      </c>
      <c r="G41" s="366">
        <f>SUM(G37:G40)</f>
        <v>699149849</v>
      </c>
      <c r="H41" s="367">
        <f t="shared" si="19"/>
        <v>0.40850484284499594</v>
      </c>
      <c r="I41" s="368">
        <f>G41-C41</f>
        <v>60748334</v>
      </c>
      <c r="J41" s="369">
        <f>I41/C41</f>
        <v>9.5156938968103802E-2</v>
      </c>
      <c r="K41" s="370">
        <f>G41/C41</f>
        <v>1.0951569389681037</v>
      </c>
      <c r="M41" s="345"/>
      <c r="N41" s="346"/>
      <c r="O41" s="346"/>
      <c r="P41" s="346"/>
      <c r="Q41" s="346"/>
      <c r="R41" s="346"/>
      <c r="S41" s="346"/>
    </row>
    <row r="42" spans="2:19">
      <c r="B42" s="358" t="s">
        <v>11</v>
      </c>
      <c r="C42" s="371">
        <f>C11</f>
        <v>250000000</v>
      </c>
      <c r="D42" s="359">
        <f t="shared" si="17"/>
        <v>0.14607199137255192</v>
      </c>
      <c r="E42" s="371">
        <f>E11</f>
        <v>350000000</v>
      </c>
      <c r="F42" s="359">
        <f t="shared" si="18"/>
        <v>0.2045007879215727</v>
      </c>
      <c r="G42" s="371">
        <f>G11</f>
        <v>350000000</v>
      </c>
      <c r="H42" s="359">
        <f t="shared" si="19"/>
        <v>0.2045007879215727</v>
      </c>
      <c r="I42" s="360">
        <f t="shared" ref="I42:I46" si="23">G42-C42</f>
        <v>100000000</v>
      </c>
      <c r="J42" s="361">
        <f t="shared" ref="J42:J46" si="24">I42/C42</f>
        <v>0.4</v>
      </c>
      <c r="K42" s="362">
        <f t="shared" ref="K42:K46" si="25">G42/C42</f>
        <v>1.4</v>
      </c>
    </row>
    <row r="43" spans="2:19">
      <c r="B43" s="358" t="s">
        <v>12</v>
      </c>
      <c r="C43" s="371">
        <f t="shared" ref="C43:C46" si="26">C12</f>
        <v>750000000</v>
      </c>
      <c r="D43" s="359">
        <f t="shared" si="17"/>
        <v>0.43821597411765578</v>
      </c>
      <c r="E43" s="371">
        <f t="shared" ref="E43:E46" si="27">E12</f>
        <v>750000000</v>
      </c>
      <c r="F43" s="359">
        <f t="shared" si="18"/>
        <v>0.43821597411765578</v>
      </c>
      <c r="G43" s="371">
        <f t="shared" ref="G43:G46" si="28">G12</f>
        <v>750000000</v>
      </c>
      <c r="H43" s="359">
        <f t="shared" si="19"/>
        <v>0.43821597411765578</v>
      </c>
      <c r="I43" s="360">
        <f t="shared" si="23"/>
        <v>0</v>
      </c>
      <c r="J43" s="361">
        <f t="shared" si="24"/>
        <v>0</v>
      </c>
      <c r="K43" s="362">
        <f t="shared" si="25"/>
        <v>1</v>
      </c>
    </row>
    <row r="44" spans="2:19">
      <c r="B44" s="358" t="s">
        <v>191</v>
      </c>
      <c r="C44" s="371">
        <f t="shared" si="26"/>
        <v>215000000</v>
      </c>
      <c r="D44" s="359">
        <f t="shared" si="17"/>
        <v>0.12562191258039465</v>
      </c>
      <c r="E44" s="371">
        <f t="shared" si="27"/>
        <v>215000000</v>
      </c>
      <c r="F44" s="359">
        <f t="shared" si="18"/>
        <v>0.12562191258039465</v>
      </c>
      <c r="G44" s="371">
        <f t="shared" si="28"/>
        <v>215000000</v>
      </c>
      <c r="H44" s="359">
        <f t="shared" si="19"/>
        <v>0.12562191258039465</v>
      </c>
      <c r="I44" s="360">
        <f t="shared" si="23"/>
        <v>0</v>
      </c>
      <c r="J44" s="361">
        <f t="shared" si="24"/>
        <v>0</v>
      </c>
      <c r="K44" s="362">
        <f t="shared" si="25"/>
        <v>1</v>
      </c>
    </row>
    <row r="45" spans="2:19" s="373" customFormat="1" ht="12">
      <c r="B45" s="372" t="s">
        <v>88</v>
      </c>
      <c r="C45" s="371">
        <f t="shared" si="26"/>
        <v>50000000</v>
      </c>
      <c r="D45" s="359">
        <f t="shared" si="17"/>
        <v>2.9214398274510386E-2</v>
      </c>
      <c r="E45" s="371">
        <f t="shared" si="27"/>
        <v>50000000</v>
      </c>
      <c r="F45" s="359">
        <f t="shared" si="18"/>
        <v>2.9214398274510386E-2</v>
      </c>
      <c r="G45" s="371">
        <f t="shared" si="28"/>
        <v>50000000</v>
      </c>
      <c r="H45" s="359">
        <f t="shared" si="19"/>
        <v>2.9214398274510386E-2</v>
      </c>
      <c r="I45" s="360">
        <f t="shared" si="23"/>
        <v>0</v>
      </c>
      <c r="J45" s="361">
        <f t="shared" si="24"/>
        <v>0</v>
      </c>
      <c r="K45" s="362">
        <f t="shared" si="25"/>
        <v>1</v>
      </c>
      <c r="M45" s="345"/>
      <c r="N45" s="346"/>
      <c r="O45" s="346"/>
      <c r="P45" s="346"/>
      <c r="Q45" s="346"/>
      <c r="R45" s="346"/>
      <c r="S45" s="346"/>
    </row>
    <row r="46" spans="2:19">
      <c r="B46" s="374" t="s">
        <v>56</v>
      </c>
      <c r="C46" s="513">
        <f t="shared" si="26"/>
        <v>-191916666.66666669</v>
      </c>
      <c r="D46" s="359">
        <f t="shared" si="17"/>
        <v>-0.11213459871032905</v>
      </c>
      <c r="E46" s="371">
        <f t="shared" si="27"/>
        <v>-219333333.33333334</v>
      </c>
      <c r="F46" s="359">
        <f t="shared" si="18"/>
        <v>-0.12815382709751891</v>
      </c>
      <c r="G46" s="371">
        <f t="shared" si="28"/>
        <v>-301583333.33333337</v>
      </c>
      <c r="H46" s="359">
        <f t="shared" si="19"/>
        <v>-0.17621151225908849</v>
      </c>
      <c r="I46" s="360">
        <f t="shared" si="23"/>
        <v>-109666666.66666669</v>
      </c>
      <c r="J46" s="361">
        <f t="shared" si="24"/>
        <v>0.57142857142857151</v>
      </c>
      <c r="K46" s="362">
        <f t="shared" si="25"/>
        <v>1.5714285714285714</v>
      </c>
    </row>
    <row r="47" spans="2:19" s="349" customFormat="1" ht="12">
      <c r="B47" s="365" t="s">
        <v>4</v>
      </c>
      <c r="C47" s="366">
        <f>SUM(C42:C46)</f>
        <v>1073083333.3333333</v>
      </c>
      <c r="D47" s="367">
        <f t="shared" si="17"/>
        <v>0.62698967763478364</v>
      </c>
      <c r="E47" s="366">
        <f>SUM(E42:E46)</f>
        <v>1145666666.6666667</v>
      </c>
      <c r="F47" s="367">
        <f t="shared" si="18"/>
        <v>0.66939924579661469</v>
      </c>
      <c r="G47" s="366">
        <f>SUM(G42:G46)</f>
        <v>1063416666.6666666</v>
      </c>
      <c r="H47" s="367">
        <f t="shared" si="19"/>
        <v>0.62134156063504498</v>
      </c>
      <c r="I47" s="368">
        <f>G47-C47</f>
        <v>-9666666.6666666269</v>
      </c>
      <c r="J47" s="369">
        <f>I47/C47</f>
        <v>-9.0083093888327671E-3</v>
      </c>
      <c r="K47" s="370">
        <f>G47/C47</f>
        <v>0.99099169061116721</v>
      </c>
      <c r="M47" s="345"/>
      <c r="N47" s="346"/>
      <c r="O47" s="346"/>
      <c r="P47" s="346"/>
      <c r="Q47" s="346"/>
      <c r="R47" s="346"/>
      <c r="S47" s="346"/>
    </row>
    <row r="48" spans="2:19" ht="15.75" thickBot="1">
      <c r="B48" s="376" t="s">
        <v>61</v>
      </c>
      <c r="C48" s="492">
        <v>0</v>
      </c>
      <c r="D48" s="378">
        <f t="shared" si="17"/>
        <v>0</v>
      </c>
      <c r="E48" s="492">
        <v>0</v>
      </c>
      <c r="F48" s="378">
        <f t="shared" si="18"/>
        <v>0</v>
      </c>
      <c r="G48" s="492">
        <v>0</v>
      </c>
      <c r="H48" s="378">
        <f t="shared" si="19"/>
        <v>0</v>
      </c>
      <c r="I48" s="379">
        <f t="shared" ref="I48" si="29">G48-E48</f>
        <v>0</v>
      </c>
      <c r="J48" s="380" t="e">
        <f>I48/C48</f>
        <v>#DIV/0!</v>
      </c>
      <c r="K48" s="381" t="e">
        <f t="shared" ref="K48" si="30">G48/C48</f>
        <v>#DIV/0!</v>
      </c>
    </row>
    <row r="49" spans="2:19" s="349" customFormat="1" ht="12.75" thickBot="1">
      <c r="B49" s="382" t="s">
        <v>5</v>
      </c>
      <c r="C49" s="383">
        <f>C41+C47</f>
        <v>1711484848.3333333</v>
      </c>
      <c r="D49" s="384">
        <f t="shared" si="17"/>
        <v>1</v>
      </c>
      <c r="E49" s="383">
        <f>E41+E47</f>
        <v>1624496931.6666667</v>
      </c>
      <c r="F49" s="384">
        <f t="shared" si="18"/>
        <v>0.94917400714860167</v>
      </c>
      <c r="G49" s="383">
        <f>G41+G47</f>
        <v>1762566515.6666665</v>
      </c>
      <c r="H49" s="384">
        <f t="shared" si="19"/>
        <v>1.029846403480041</v>
      </c>
      <c r="I49" s="385">
        <f>G49-C49</f>
        <v>51081667.333333254</v>
      </c>
      <c r="J49" s="386">
        <f>I49/C49</f>
        <v>2.9846403480040889E-2</v>
      </c>
      <c r="K49" s="387">
        <f>G49/C49</f>
        <v>1.029846403480041</v>
      </c>
      <c r="M49" s="345"/>
      <c r="N49" s="346"/>
      <c r="O49" s="346"/>
      <c r="P49" s="346"/>
      <c r="Q49" s="346"/>
      <c r="R49" s="346"/>
      <c r="S49" s="346"/>
    </row>
    <row r="50" spans="2:19">
      <c r="B50" s="646" t="s">
        <v>6</v>
      </c>
      <c r="C50" s="647"/>
      <c r="D50" s="647"/>
      <c r="E50" s="647"/>
      <c r="F50" s="647"/>
      <c r="G50" s="647"/>
      <c r="H50" s="647"/>
      <c r="I50" s="647"/>
      <c r="J50" s="647"/>
      <c r="K50" s="648"/>
    </row>
    <row r="51" spans="2:19">
      <c r="B51" s="358" t="s">
        <v>7</v>
      </c>
      <c r="C51" s="491">
        <v>7500000</v>
      </c>
      <c r="D51" s="359">
        <f t="shared" ref="D51:D57" si="31">C51/$C$28</f>
        <v>4.3821597405558433E-3</v>
      </c>
      <c r="E51" s="491">
        <v>10000000</v>
      </c>
      <c r="F51" s="359">
        <f t="shared" ref="F51:F57" si="32">E51/$C$28</f>
        <v>5.8428796540744574E-3</v>
      </c>
      <c r="G51" s="491">
        <v>10000000</v>
      </c>
      <c r="H51" s="359">
        <f t="shared" ref="H51:H57" si="33">G51/$C$28</f>
        <v>5.8428796540744574E-3</v>
      </c>
      <c r="I51" s="360">
        <f t="shared" ref="I51:I52" si="34">G51-C51</f>
        <v>2500000</v>
      </c>
      <c r="J51" s="361">
        <f t="shared" ref="J51:J52" si="35">I51/C51</f>
        <v>0.33333333333333331</v>
      </c>
      <c r="K51" s="362">
        <f t="shared" ref="K51:K52" si="36">G51/C51</f>
        <v>1.3333333333333333</v>
      </c>
    </row>
    <row r="52" spans="2:19">
      <c r="B52" s="358" t="s">
        <v>89</v>
      </c>
      <c r="C52" s="814">
        <f>E52</f>
        <v>203266666.66666669</v>
      </c>
      <c r="D52" s="359">
        <f t="shared" si="31"/>
        <v>0.11876626710182014</v>
      </c>
      <c r="E52" s="371">
        <f>E21</f>
        <v>203266666.66666669</v>
      </c>
      <c r="F52" s="359">
        <f t="shared" si="32"/>
        <v>0.11876626710182014</v>
      </c>
      <c r="G52" s="371">
        <f>G21</f>
        <v>203266666.66666669</v>
      </c>
      <c r="H52" s="359">
        <f t="shared" si="33"/>
        <v>0.11876626710182014</v>
      </c>
      <c r="I52" s="360">
        <f t="shared" si="34"/>
        <v>0</v>
      </c>
      <c r="J52" s="361">
        <f t="shared" si="35"/>
        <v>0</v>
      </c>
      <c r="K52" s="362">
        <f t="shared" si="36"/>
        <v>1</v>
      </c>
    </row>
    <row r="53" spans="2:19" s="349" customFormat="1" ht="12">
      <c r="B53" s="365" t="s">
        <v>8</v>
      </c>
      <c r="C53" s="366">
        <f>SUM(C51:C52)</f>
        <v>210766666.66666669</v>
      </c>
      <c r="D53" s="359">
        <f t="shared" si="31"/>
        <v>0.12314842684237599</v>
      </c>
      <c r="E53" s="366">
        <f>SUM(E51:E52)</f>
        <v>213266666.66666669</v>
      </c>
      <c r="F53" s="359">
        <f t="shared" si="32"/>
        <v>0.1246091467558946</v>
      </c>
      <c r="G53" s="366">
        <f>SUM(G51:G52)</f>
        <v>213266666.66666669</v>
      </c>
      <c r="H53" s="359">
        <f t="shared" si="33"/>
        <v>0.1246091467558946</v>
      </c>
      <c r="I53" s="368">
        <f>G53-C53</f>
        <v>2500000</v>
      </c>
      <c r="J53" s="369">
        <f>I53/C53</f>
        <v>1.1861458168590858E-2</v>
      </c>
      <c r="K53" s="370">
        <f>G53/C53</f>
        <v>1.011861458168591</v>
      </c>
      <c r="M53" s="345"/>
      <c r="N53" s="346"/>
      <c r="O53" s="346"/>
      <c r="P53" s="346"/>
      <c r="Q53" s="346"/>
      <c r="R53" s="346"/>
      <c r="S53" s="346"/>
    </row>
    <row r="54" spans="2:19">
      <c r="B54" s="358" t="s">
        <v>90</v>
      </c>
      <c r="C54" s="814">
        <f>C52+E54</f>
        <v>655500000</v>
      </c>
      <c r="D54" s="359">
        <f t="shared" si="31"/>
        <v>0.38300076132458066</v>
      </c>
      <c r="E54" s="371">
        <f>E23</f>
        <v>452233333.33333331</v>
      </c>
      <c r="F54" s="359">
        <f t="shared" si="32"/>
        <v>0.26423449422276052</v>
      </c>
      <c r="G54" s="371">
        <f>G23</f>
        <v>248966666.66666663</v>
      </c>
      <c r="H54" s="359">
        <f t="shared" si="33"/>
        <v>0.14546822712094037</v>
      </c>
      <c r="I54" s="360">
        <f t="shared" ref="I54:I62" si="37">G54-C54</f>
        <v>-406533333.33333337</v>
      </c>
      <c r="J54" s="361">
        <f t="shared" ref="J54:J62" si="38">I54/C54</f>
        <v>-0.62018815153826601</v>
      </c>
      <c r="K54" s="362">
        <f t="shared" ref="K54:K57" si="39">G54/C54</f>
        <v>0.37981184846173399</v>
      </c>
    </row>
    <row r="55" spans="2:19">
      <c r="B55" s="358" t="s">
        <v>91</v>
      </c>
      <c r="C55" s="491">
        <v>0</v>
      </c>
      <c r="D55" s="359">
        <f t="shared" si="31"/>
        <v>0</v>
      </c>
      <c r="E55" s="491">
        <v>0</v>
      </c>
      <c r="F55" s="359">
        <f t="shared" si="32"/>
        <v>0</v>
      </c>
      <c r="G55" s="491">
        <v>0</v>
      </c>
      <c r="H55" s="359">
        <f t="shared" si="33"/>
        <v>0</v>
      </c>
      <c r="I55" s="360">
        <f t="shared" si="37"/>
        <v>0</v>
      </c>
      <c r="J55" s="361" t="e">
        <f t="shared" si="38"/>
        <v>#DIV/0!</v>
      </c>
      <c r="K55" s="362" t="e">
        <f t="shared" si="39"/>
        <v>#DIV/0!</v>
      </c>
    </row>
    <row r="56" spans="2:19" s="349" customFormat="1" ht="12">
      <c r="B56" s="365" t="s">
        <v>9</v>
      </c>
      <c r="C56" s="366">
        <f>SUM(C54:C55)</f>
        <v>655500000</v>
      </c>
      <c r="D56" s="367">
        <f t="shared" si="31"/>
        <v>0.38300076132458066</v>
      </c>
      <c r="E56" s="366">
        <f>SUM(E54:E55)</f>
        <v>452233333.33333331</v>
      </c>
      <c r="F56" s="367">
        <f t="shared" si="32"/>
        <v>0.26423449422276052</v>
      </c>
      <c r="G56" s="366">
        <f>SUM(G54:G55)</f>
        <v>248966666.66666663</v>
      </c>
      <c r="H56" s="367">
        <f t="shared" si="33"/>
        <v>0.14546822712094037</v>
      </c>
      <c r="I56" s="368">
        <f t="shared" si="37"/>
        <v>-406533333.33333337</v>
      </c>
      <c r="J56" s="369">
        <f t="shared" si="38"/>
        <v>-0.62018815153826601</v>
      </c>
      <c r="K56" s="370">
        <f t="shared" si="39"/>
        <v>0.37981184846173399</v>
      </c>
      <c r="M56" s="345"/>
      <c r="N56" s="346"/>
      <c r="O56" s="346"/>
      <c r="P56" s="346"/>
      <c r="Q56" s="346"/>
      <c r="R56" s="346"/>
      <c r="S56" s="346"/>
    </row>
    <row r="57" spans="2:19" s="349" customFormat="1" ht="12">
      <c r="B57" s="365" t="s">
        <v>249</v>
      </c>
      <c r="C57" s="366">
        <f>C53+C56</f>
        <v>866266666.66666675</v>
      </c>
      <c r="D57" s="367">
        <f t="shared" si="31"/>
        <v>0.50614918816695675</v>
      </c>
      <c r="E57" s="366">
        <f>E53+E56</f>
        <v>665500000</v>
      </c>
      <c r="F57" s="367">
        <f t="shared" si="32"/>
        <v>0.38884364097865515</v>
      </c>
      <c r="G57" s="366">
        <f>G53+G56</f>
        <v>462233333.33333331</v>
      </c>
      <c r="H57" s="367">
        <f t="shared" si="33"/>
        <v>0.270077373876835</v>
      </c>
      <c r="I57" s="368">
        <f t="shared" si="37"/>
        <v>-404033333.33333343</v>
      </c>
      <c r="J57" s="369">
        <f t="shared" si="38"/>
        <v>-0.46640757272587358</v>
      </c>
      <c r="K57" s="370">
        <f t="shared" si="39"/>
        <v>0.53359242727412648</v>
      </c>
      <c r="M57" s="345"/>
      <c r="N57" s="346"/>
      <c r="O57" s="346"/>
      <c r="P57" s="346"/>
      <c r="Q57" s="346"/>
      <c r="R57" s="346"/>
      <c r="S57" s="346"/>
    </row>
    <row r="58" spans="2:19" ht="12">
      <c r="B58" s="376" t="s">
        <v>347</v>
      </c>
      <c r="C58" s="377">
        <f>'Saham, Pengurus, dan legalitas'!D24</f>
        <v>100000000</v>
      </c>
      <c r="D58" s="378"/>
      <c r="E58" s="377">
        <f>C58</f>
        <v>100000000</v>
      </c>
      <c r="F58" s="378"/>
      <c r="G58" s="377">
        <f>E58</f>
        <v>100000000</v>
      </c>
      <c r="H58" s="378"/>
      <c r="I58" s="379"/>
      <c r="J58" s="380"/>
      <c r="K58" s="381"/>
      <c r="L58" s="338"/>
    </row>
    <row r="59" spans="2:19" ht="12">
      <c r="B59" s="376" t="s">
        <v>348</v>
      </c>
      <c r="C59" s="492">
        <v>352694091</v>
      </c>
      <c r="D59" s="378"/>
      <c r="E59" s="377">
        <f>C59+C60</f>
        <v>745218181.90909111</v>
      </c>
      <c r="F59" s="378"/>
      <c r="G59" s="377">
        <f>E59</f>
        <v>745218181.90909111</v>
      </c>
      <c r="H59" s="378"/>
      <c r="I59" s="379"/>
      <c r="J59" s="380"/>
      <c r="K59" s="381"/>
      <c r="L59" s="338"/>
    </row>
    <row r="60" spans="2:19" ht="12">
      <c r="B60" s="376" t="s">
        <v>349</v>
      </c>
      <c r="C60" s="377">
        <f>O38</f>
        <v>392524090.90909111</v>
      </c>
      <c r="D60" s="378"/>
      <c r="E60" s="377">
        <f>Q38</f>
        <v>113778750</v>
      </c>
      <c r="F60" s="378"/>
      <c r="G60" s="377">
        <f>S38</f>
        <v>455114999.99999994</v>
      </c>
      <c r="H60" s="378"/>
      <c r="I60" s="379"/>
      <c r="J60" s="380"/>
      <c r="K60" s="381"/>
      <c r="L60" s="338"/>
    </row>
    <row r="61" spans="2:19" s="349" customFormat="1" ht="12.75" thickBot="1">
      <c r="B61" s="388" t="s">
        <v>350</v>
      </c>
      <c r="C61" s="389">
        <f>SUM(C58:C60)</f>
        <v>845218181.90909111</v>
      </c>
      <c r="D61" s="390">
        <f>C61/$C$28</f>
        <v>0.49385081183304319</v>
      </c>
      <c r="E61" s="389">
        <f>SUM(E58:E60)</f>
        <v>958996931.90909111</v>
      </c>
      <c r="F61" s="390">
        <f>E61/$C$28</f>
        <v>0.5603303661771456</v>
      </c>
      <c r="G61" s="389">
        <f>SUM(G58:G60)</f>
        <v>1300333181.909091</v>
      </c>
      <c r="H61" s="390">
        <f>G61/$C$28</f>
        <v>0.75976902920945277</v>
      </c>
      <c r="I61" s="391">
        <f t="shared" si="37"/>
        <v>455114999.99999988</v>
      </c>
      <c r="J61" s="392">
        <f t="shared" si="38"/>
        <v>0.5384586012714887</v>
      </c>
      <c r="K61" s="393">
        <f>G61/C61</f>
        <v>1.5384586012714887</v>
      </c>
      <c r="M61" s="345"/>
      <c r="N61" s="346"/>
      <c r="O61" s="346"/>
      <c r="P61" s="346"/>
      <c r="Q61" s="346"/>
      <c r="R61" s="346"/>
      <c r="S61" s="346"/>
    </row>
    <row r="62" spans="2:19" s="349" customFormat="1" ht="12.75" thickBot="1">
      <c r="B62" s="382" t="s">
        <v>10</v>
      </c>
      <c r="C62" s="383">
        <f>C57+C61</f>
        <v>1711484848.575758</v>
      </c>
      <c r="D62" s="384">
        <f>C62/$C$28</f>
        <v>1</v>
      </c>
      <c r="E62" s="383">
        <f>E57+E61</f>
        <v>1624496931.909091</v>
      </c>
      <c r="F62" s="384">
        <f>E62/$C$28</f>
        <v>0.94917400715580069</v>
      </c>
      <c r="G62" s="383">
        <f>G57+G61</f>
        <v>1762566515.2424242</v>
      </c>
      <c r="H62" s="384">
        <f>G62/$C$28</f>
        <v>1.0298464030862877</v>
      </c>
      <c r="I62" s="385">
        <f t="shared" si="37"/>
        <v>51081666.666666269</v>
      </c>
      <c r="J62" s="386">
        <f t="shared" si="38"/>
        <v>2.9846403086287776E-2</v>
      </c>
      <c r="K62" s="387">
        <f>G62/C62</f>
        <v>1.0298464030862877</v>
      </c>
      <c r="M62" s="345"/>
      <c r="N62" s="346"/>
      <c r="O62" s="346"/>
      <c r="P62" s="346"/>
      <c r="Q62" s="346"/>
      <c r="R62" s="346"/>
      <c r="S62" s="346"/>
    </row>
    <row r="63" spans="2:19" s="400" customFormat="1" ht="12.75" thickBot="1">
      <c r="B63" s="394"/>
      <c r="C63" s="395"/>
      <c r="D63" s="396"/>
      <c r="E63" s="395"/>
      <c r="F63" s="396"/>
      <c r="G63" s="395"/>
      <c r="H63" s="396"/>
      <c r="I63" s="397"/>
      <c r="J63" s="398"/>
      <c r="K63" s="399"/>
      <c r="M63" s="345"/>
      <c r="N63" s="346"/>
      <c r="O63" s="346"/>
      <c r="P63" s="346"/>
      <c r="Q63" s="346"/>
      <c r="R63" s="346"/>
      <c r="S63" s="346"/>
    </row>
    <row r="64" spans="2:19" s="400" customFormat="1" ht="12.75" thickBot="1">
      <c r="B64" s="401" t="s">
        <v>198</v>
      </c>
      <c r="C64" s="402">
        <f>C49-C62</f>
        <v>-0.24242472648620605</v>
      </c>
      <c r="D64" s="403"/>
      <c r="E64" s="402">
        <f>E49-E62</f>
        <v>-0.24242424964904785</v>
      </c>
      <c r="F64" s="403"/>
      <c r="G64" s="404">
        <f>G49-G62</f>
        <v>0.42424225807189941</v>
      </c>
      <c r="H64" s="405"/>
      <c r="I64" s="406"/>
      <c r="J64" s="407"/>
      <c r="K64" s="408"/>
      <c r="M64" s="345"/>
      <c r="N64" s="346"/>
      <c r="O64" s="346"/>
      <c r="P64" s="346"/>
      <c r="Q64" s="346"/>
      <c r="R64" s="346"/>
      <c r="S64" s="346"/>
    </row>
    <row r="66" spans="2:2">
      <c r="B66" s="267" t="s">
        <v>325</v>
      </c>
    </row>
    <row r="67" spans="2:2">
      <c r="B67" s="267" t="s">
        <v>361</v>
      </c>
    </row>
  </sheetData>
  <sheetProtection selectLockedCells="1"/>
  <customSheetViews>
    <customSheetView guid="{EB924B51-01F3-412F-ABF4-73B7E6F19BA6}" scale="85" topLeftCell="A4">
      <selection activeCell="J8" sqref="J8"/>
      <pageMargins left="0.7" right="0.7" top="0.75" bottom="0.75" header="0.3" footer="0.3"/>
      <pageSetup orientation="portrait" r:id="rId1"/>
    </customSheetView>
  </customSheetViews>
  <mergeCells count="26">
    <mergeCell ref="B50:K50"/>
    <mergeCell ref="M1:S1"/>
    <mergeCell ref="M32:S32"/>
    <mergeCell ref="B1:K1"/>
    <mergeCell ref="B32:K32"/>
    <mergeCell ref="K34:K35"/>
    <mergeCell ref="N34:O34"/>
    <mergeCell ref="P34:Q34"/>
    <mergeCell ref="R34:S34"/>
    <mergeCell ref="B36:K36"/>
    <mergeCell ref="B34:B35"/>
    <mergeCell ref="D34:D35"/>
    <mergeCell ref="F34:F35"/>
    <mergeCell ref="H34:H35"/>
    <mergeCell ref="I34:J34"/>
    <mergeCell ref="B5:K5"/>
    <mergeCell ref="B19:K19"/>
    <mergeCell ref="N3:O3"/>
    <mergeCell ref="P3:Q3"/>
    <mergeCell ref="R3:S3"/>
    <mergeCell ref="F3:F4"/>
    <mergeCell ref="D3:D4"/>
    <mergeCell ref="B3:B4"/>
    <mergeCell ref="H3:H4"/>
    <mergeCell ref="I3:J3"/>
    <mergeCell ref="K3:K4"/>
  </mergeCells>
  <phoneticPr fontId="13" type="noConversion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AF64"/>
  <sheetViews>
    <sheetView tabSelected="1" topLeftCell="A37" workbookViewId="0">
      <selection activeCell="U31" sqref="U31"/>
    </sheetView>
  </sheetViews>
  <sheetFormatPr defaultRowHeight="15.75"/>
  <cols>
    <col min="1" max="1" width="4" style="416" customWidth="1"/>
    <col min="2" max="2" width="5.42578125" style="416" customWidth="1"/>
    <col min="3" max="3" width="31.5703125" style="416" customWidth="1"/>
    <col min="4" max="4" width="12.140625" style="415" customWidth="1"/>
    <col min="5" max="5" width="6.28515625" style="415" customWidth="1"/>
    <col min="6" max="6" width="12.140625" style="415" customWidth="1"/>
    <col min="7" max="7" width="6.28515625" style="416" customWidth="1"/>
    <col min="8" max="8" width="2.7109375" style="416" customWidth="1"/>
    <col min="9" max="12" width="9.140625" style="416"/>
    <col min="13" max="13" width="49" style="416" customWidth="1"/>
    <col min="14" max="14" width="6.7109375" style="416" customWidth="1"/>
    <col min="15" max="15" width="44.28515625" style="416" bestFit="1" customWidth="1"/>
    <col min="16" max="16" width="19.28515625" style="416" customWidth="1"/>
    <col min="17" max="17" width="4" style="416" customWidth="1"/>
    <col min="18" max="18" width="9.140625" style="417"/>
    <col min="19" max="19" width="33.7109375" style="416" customWidth="1"/>
    <col min="20" max="20" width="5.140625" style="416" customWidth="1"/>
    <col min="21" max="21" width="13.7109375" style="416" customWidth="1"/>
    <col min="22" max="22" width="9.85546875" style="416" customWidth="1"/>
    <col min="23" max="23" width="2" style="416" customWidth="1"/>
    <col min="24" max="16384" width="9.140625" style="416"/>
  </cols>
  <sheetData>
    <row r="2" spans="2:32">
      <c r="B2" s="730" t="s">
        <v>207</v>
      </c>
      <c r="C2" s="730"/>
      <c r="D2" s="414">
        <f>'Assumsi untuk Laba rugi'!C4</f>
        <v>3</v>
      </c>
    </row>
    <row r="3" spans="2:32">
      <c r="B3" s="730" t="s">
        <v>209</v>
      </c>
      <c r="C3" s="730"/>
      <c r="D3" s="418">
        <v>30</v>
      </c>
    </row>
    <row r="4" spans="2:32">
      <c r="B4" s="730" t="s">
        <v>208</v>
      </c>
      <c r="C4" s="730"/>
      <c r="D4" s="414">
        <f>D2*D3</f>
        <v>90</v>
      </c>
    </row>
    <row r="5" spans="2:32">
      <c r="B5" s="419"/>
      <c r="C5" s="419"/>
      <c r="D5" s="508"/>
    </row>
    <row r="6" spans="2:32" s="423" customFormat="1">
      <c r="B6" s="420" t="s">
        <v>358</v>
      </c>
      <c r="C6" s="420"/>
      <c r="D6" s="421"/>
      <c r="E6" s="422"/>
      <c r="F6" s="422"/>
      <c r="R6" s="424"/>
    </row>
    <row r="7" spans="2:32">
      <c r="N7" s="425"/>
      <c r="O7" s="425"/>
      <c r="P7" s="425"/>
      <c r="Q7" s="425"/>
      <c r="R7" s="426"/>
      <c r="S7" s="731" t="s">
        <v>72</v>
      </c>
      <c r="T7" s="731"/>
      <c r="U7" s="731"/>
      <c r="V7" s="731"/>
    </row>
    <row r="8" spans="2:32">
      <c r="B8" s="717" t="s">
        <v>21</v>
      </c>
      <c r="C8" s="718"/>
      <c r="D8" s="719" t="str">
        <f>NERACA!C3</f>
        <v>31 Desember 2016</v>
      </c>
      <c r="E8" s="720"/>
      <c r="F8" s="721" t="str">
        <f>NERACA!G3</f>
        <v>2017 disetahunkan</v>
      </c>
      <c r="G8" s="722"/>
      <c r="H8" s="427"/>
      <c r="N8" s="425"/>
      <c r="R8" s="723"/>
      <c r="S8" s="724" t="s">
        <v>73</v>
      </c>
      <c r="T8" s="725"/>
      <c r="U8" s="726"/>
      <c r="V8" s="727"/>
      <c r="W8" s="428"/>
      <c r="X8" s="428"/>
    </row>
    <row r="9" spans="2:32" ht="15.75" customHeight="1">
      <c r="B9" s="669" t="s">
        <v>74</v>
      </c>
      <c r="C9" s="670"/>
      <c r="D9" s="677"/>
      <c r="E9" s="678"/>
      <c r="F9" s="677"/>
      <c r="G9" s="678"/>
      <c r="H9" s="429"/>
      <c r="N9" s="425"/>
      <c r="O9" s="430" t="s">
        <v>341</v>
      </c>
      <c r="P9" s="431" t="str">
        <f>'Assumsi untuk Laba rugi'!D3</f>
        <v>31 Maret 2017</v>
      </c>
      <c r="Q9" s="432"/>
      <c r="R9" s="723"/>
      <c r="S9" s="703"/>
      <c r="T9" s="704"/>
      <c r="U9" s="433"/>
      <c r="V9" s="434"/>
      <c r="W9" s="428"/>
      <c r="X9" s="428"/>
    </row>
    <row r="10" spans="2:32">
      <c r="B10" s="435">
        <v>1</v>
      </c>
      <c r="C10" s="436" t="s">
        <v>40</v>
      </c>
      <c r="D10" s="683">
        <f>NERACA!C10/NERACA!C22</f>
        <v>3.0289491459750115</v>
      </c>
      <c r="E10" s="684"/>
      <c r="F10" s="683">
        <f>NERACA!G10/NERACA!G22</f>
        <v>3.2782893826195685</v>
      </c>
      <c r="G10" s="684"/>
      <c r="H10" s="429"/>
      <c r="I10" s="689" t="s">
        <v>124</v>
      </c>
      <c r="J10" s="689"/>
      <c r="K10" s="689"/>
      <c r="L10" s="689"/>
      <c r="M10" s="689"/>
      <c r="N10" s="425"/>
      <c r="O10" s="728"/>
      <c r="P10" s="729"/>
      <c r="Q10" s="437"/>
      <c r="R10" s="723"/>
      <c r="S10" s="695" t="s">
        <v>141</v>
      </c>
      <c r="T10" s="696"/>
      <c r="U10" s="438">
        <f>F20/D3</f>
        <v>0.26470588235294118</v>
      </c>
      <c r="V10" s="439" t="s">
        <v>50</v>
      </c>
      <c r="W10" s="428"/>
      <c r="X10" s="666" t="s">
        <v>155</v>
      </c>
      <c r="Y10" s="666"/>
      <c r="Z10" s="666"/>
      <c r="AA10" s="666"/>
    </row>
    <row r="11" spans="2:32">
      <c r="B11" s="440">
        <v>2</v>
      </c>
      <c r="C11" s="441" t="s">
        <v>75</v>
      </c>
      <c r="D11" s="715">
        <f>NERACA!C10-NERACA!C22</f>
        <v>427634848.33333331</v>
      </c>
      <c r="E11" s="716"/>
      <c r="F11" s="715">
        <f>NERACA!G10-NERACA!G22</f>
        <v>485883182.33333331</v>
      </c>
      <c r="G11" s="716"/>
      <c r="H11" s="442"/>
      <c r="I11" s="689" t="s">
        <v>76</v>
      </c>
      <c r="J11" s="689"/>
      <c r="K11" s="689"/>
      <c r="L11" s="689"/>
      <c r="M11" s="689"/>
      <c r="N11" s="425"/>
      <c r="O11" s="443" t="s">
        <v>136</v>
      </c>
      <c r="P11" s="444">
        <f>'LABA RUGI'!E6/'Assumsi untuk Laba rugi'!C4</f>
        <v>283333333.33333331</v>
      </c>
      <c r="Q11" s="445"/>
      <c r="R11" s="723"/>
      <c r="S11" s="695" t="s">
        <v>142</v>
      </c>
      <c r="T11" s="696"/>
      <c r="U11" s="438">
        <f>F21/D3</f>
        <v>2.5210084033613445</v>
      </c>
      <c r="V11" s="439" t="s">
        <v>50</v>
      </c>
      <c r="W11" s="428"/>
      <c r="X11" s="666" t="s">
        <v>156</v>
      </c>
      <c r="Y11" s="666"/>
      <c r="Z11" s="666"/>
      <c r="AA11" s="666"/>
    </row>
    <row r="12" spans="2:32">
      <c r="B12" s="669" t="s">
        <v>77</v>
      </c>
      <c r="C12" s="670"/>
      <c r="D12" s="677"/>
      <c r="E12" s="678"/>
      <c r="F12" s="677"/>
      <c r="G12" s="678"/>
      <c r="H12" s="429"/>
      <c r="I12" s="446"/>
      <c r="J12" s="446"/>
      <c r="K12" s="446"/>
      <c r="L12" s="446"/>
      <c r="M12" s="446"/>
      <c r="N12" s="425"/>
      <c r="O12" s="447" t="s">
        <v>137</v>
      </c>
      <c r="P12" s="448">
        <f>'LABA RUGI'!E9/'Assumsi untuk Laba rugi'!C4</f>
        <v>198333333.33333334</v>
      </c>
      <c r="Q12" s="445"/>
      <c r="R12" s="723"/>
      <c r="S12" s="679" t="s">
        <v>143</v>
      </c>
      <c r="T12" s="680"/>
      <c r="U12" s="449">
        <f>F22/D3</f>
        <v>5.0420168067226892E-2</v>
      </c>
      <c r="V12" s="450" t="s">
        <v>50</v>
      </c>
      <c r="W12" s="428"/>
      <c r="X12" s="666" t="s">
        <v>157</v>
      </c>
      <c r="Y12" s="666"/>
      <c r="Z12" s="666"/>
      <c r="AA12" s="666"/>
    </row>
    <row r="13" spans="2:32">
      <c r="B13" s="435">
        <v>1</v>
      </c>
      <c r="C13" s="436" t="s">
        <v>39</v>
      </c>
      <c r="D13" s="683">
        <f>'LABA RUGI'!C21/NERACA!C27</f>
        <v>0.46440564023658182</v>
      </c>
      <c r="E13" s="684"/>
      <c r="F13" s="683">
        <f>'LABA RUGI'!G21/NERACA!G27</f>
        <v>0.34999875903483479</v>
      </c>
      <c r="G13" s="684"/>
      <c r="H13" s="429"/>
      <c r="I13" s="689" t="s">
        <v>206</v>
      </c>
      <c r="J13" s="689"/>
      <c r="K13" s="689"/>
      <c r="L13" s="689"/>
      <c r="M13" s="689"/>
      <c r="N13" s="425"/>
      <c r="O13" s="443" t="s">
        <v>138</v>
      </c>
      <c r="P13" s="444">
        <f>P11-P12</f>
        <v>84999999.99999997</v>
      </c>
      <c r="Q13" s="445"/>
      <c r="R13" s="723"/>
      <c r="S13" s="690" t="s">
        <v>144</v>
      </c>
      <c r="T13" s="691"/>
      <c r="U13" s="451">
        <f>(U10+U11)-U12</f>
        <v>2.7352941176470589</v>
      </c>
      <c r="V13" s="452" t="s">
        <v>50</v>
      </c>
      <c r="W13" s="428"/>
      <c r="X13" s="428"/>
    </row>
    <row r="14" spans="2:32">
      <c r="B14" s="435">
        <v>2</v>
      </c>
      <c r="C14" s="436" t="s">
        <v>38</v>
      </c>
      <c r="D14" s="683">
        <f>'LABA RUGI'!C21/NERACA!C18</f>
        <v>0.22934710248316617</v>
      </c>
      <c r="E14" s="684"/>
      <c r="F14" s="683">
        <f>'LABA RUGI'!G21/NERACA!G18</f>
        <v>0.25821153185124418</v>
      </c>
      <c r="G14" s="684"/>
      <c r="H14" s="429"/>
      <c r="I14" s="689" t="s">
        <v>125</v>
      </c>
      <c r="J14" s="689"/>
      <c r="K14" s="689"/>
      <c r="L14" s="689"/>
      <c r="M14" s="689"/>
      <c r="N14" s="425"/>
      <c r="O14" s="447" t="s">
        <v>301</v>
      </c>
      <c r="P14" s="448">
        <f>('LABA RUGI'!E11+'LABA RUGI'!E20+'LABA RUGI'!E18)/'Assumsi untuk Laba rugi'!C4</f>
        <v>30464027.77777778</v>
      </c>
      <c r="Q14" s="445"/>
      <c r="R14" s="723"/>
      <c r="S14" s="703" t="s">
        <v>145</v>
      </c>
      <c r="T14" s="704"/>
      <c r="U14" s="705">
        <f>'LABA RUGI'!E9/'Assumsi untuk Laba rugi'!C4</f>
        <v>198333333.33333334</v>
      </c>
      <c r="V14" s="706"/>
      <c r="W14" s="428"/>
      <c r="X14" s="428"/>
      <c r="AF14" s="416" t="s">
        <v>78</v>
      </c>
    </row>
    <row r="15" spans="2:32">
      <c r="B15" s="440">
        <v>3</v>
      </c>
      <c r="C15" s="441" t="s">
        <v>135</v>
      </c>
      <c r="D15" s="683">
        <f>'LABA RUGI'!C21/'LABA RUGI'!C7</f>
        <v>0.1269930882352942</v>
      </c>
      <c r="E15" s="684"/>
      <c r="F15" s="667">
        <f>'LABA RUGI'!G21/'LABA RUGI'!G7</f>
        <v>0.13385735294117646</v>
      </c>
      <c r="G15" s="668"/>
      <c r="H15" s="429"/>
      <c r="I15" s="689" t="s">
        <v>127</v>
      </c>
      <c r="J15" s="689"/>
      <c r="K15" s="689"/>
      <c r="L15" s="689"/>
      <c r="M15" s="689"/>
      <c r="N15" s="425"/>
      <c r="O15" s="443" t="s">
        <v>139</v>
      </c>
      <c r="P15" s="444">
        <f>P13-P14</f>
        <v>54535972.222222194</v>
      </c>
      <c r="Q15" s="445"/>
      <c r="R15" s="723"/>
      <c r="S15" s="679"/>
      <c r="T15" s="680"/>
      <c r="U15" s="453"/>
      <c r="V15" s="450"/>
      <c r="W15" s="428"/>
      <c r="X15" s="428"/>
    </row>
    <row r="16" spans="2:32">
      <c r="B16" s="669" t="s">
        <v>22</v>
      </c>
      <c r="C16" s="670"/>
      <c r="D16" s="677"/>
      <c r="E16" s="678"/>
      <c r="F16" s="683"/>
      <c r="G16" s="684"/>
      <c r="H16" s="429"/>
      <c r="I16" s="446"/>
      <c r="J16" s="446"/>
      <c r="K16" s="446"/>
      <c r="L16" s="446"/>
      <c r="M16" s="446"/>
      <c r="N16" s="425"/>
      <c r="O16" s="701"/>
      <c r="P16" s="702"/>
      <c r="Q16" s="445"/>
      <c r="R16" s="723"/>
      <c r="S16" s="679" t="s">
        <v>146</v>
      </c>
      <c r="T16" s="680"/>
      <c r="U16" s="681">
        <f>U13*U14</f>
        <v>542500000</v>
      </c>
      <c r="V16" s="682"/>
      <c r="W16" s="428"/>
      <c r="X16" s="428"/>
    </row>
    <row r="17" spans="1:27">
      <c r="B17" s="454">
        <v>1</v>
      </c>
      <c r="C17" s="455" t="s">
        <v>79</v>
      </c>
      <c r="D17" s="456">
        <f>NERACA!C26/NERACA!C27</f>
        <v>1.0249030193719135</v>
      </c>
      <c r="E17" s="457" t="s">
        <v>51</v>
      </c>
      <c r="F17" s="456">
        <f>NERACA!G26/NERACA!G27</f>
        <v>0.3554729970473437</v>
      </c>
      <c r="G17" s="458" t="s">
        <v>80</v>
      </c>
      <c r="H17" s="459"/>
      <c r="I17" s="689" t="s">
        <v>126</v>
      </c>
      <c r="J17" s="689"/>
      <c r="K17" s="689"/>
      <c r="L17" s="689"/>
      <c r="M17" s="689"/>
      <c r="N17" s="425"/>
      <c r="O17" s="460" t="s">
        <v>140</v>
      </c>
      <c r="P17" s="444">
        <f>P15</f>
        <v>54535972.222222194</v>
      </c>
      <c r="Q17" s="445"/>
      <c r="R17" s="723"/>
      <c r="S17" s="707"/>
      <c r="T17" s="708"/>
      <c r="U17" s="709"/>
      <c r="V17" s="710"/>
      <c r="W17" s="428"/>
      <c r="X17" s="428"/>
    </row>
    <row r="18" spans="1:27">
      <c r="B18" s="440">
        <v>2</v>
      </c>
      <c r="C18" s="461" t="s">
        <v>81</v>
      </c>
      <c r="D18" s="462">
        <f>NERACA!C26/NERACA!C28</f>
        <v>0.50614918816695675</v>
      </c>
      <c r="E18" s="463" t="s">
        <v>51</v>
      </c>
      <c r="F18" s="462">
        <f>NERACA!G26/NERACA!G28</f>
        <v>0.26225015018497472</v>
      </c>
      <c r="G18" s="464" t="s">
        <v>80</v>
      </c>
      <c r="H18" s="459"/>
      <c r="I18" s="689" t="s">
        <v>128</v>
      </c>
      <c r="J18" s="689"/>
      <c r="K18" s="689"/>
      <c r="L18" s="689"/>
      <c r="M18" s="689"/>
      <c r="N18" s="425"/>
      <c r="O18" s="465" t="s">
        <v>250</v>
      </c>
      <c r="P18" s="448">
        <f>'SID BI dan Historis PNM VC'!J22</f>
        <v>20243055.55555556</v>
      </c>
      <c r="Q18" s="445"/>
      <c r="R18" s="723"/>
      <c r="S18" s="711" t="s">
        <v>52</v>
      </c>
      <c r="T18" s="712"/>
      <c r="U18" s="713"/>
      <c r="V18" s="714"/>
      <c r="W18" s="428"/>
      <c r="X18" s="428"/>
    </row>
    <row r="19" spans="1:27">
      <c r="B19" s="669" t="s">
        <v>82</v>
      </c>
      <c r="C19" s="670"/>
      <c r="D19" s="683"/>
      <c r="E19" s="684"/>
      <c r="F19" s="683"/>
      <c r="G19" s="684"/>
      <c r="H19" s="429"/>
      <c r="I19" s="446"/>
      <c r="J19" s="446"/>
      <c r="K19" s="446"/>
      <c r="L19" s="446"/>
      <c r="M19" s="446"/>
      <c r="N19" s="425"/>
      <c r="O19" s="465" t="s">
        <v>251</v>
      </c>
      <c r="P19" s="448">
        <f>'SID BI dan Historis PNM VC'!D56</f>
        <v>15000000</v>
      </c>
      <c r="R19" s="723"/>
      <c r="S19" s="466" t="s">
        <v>210</v>
      </c>
      <c r="T19" s="248">
        <v>0.2</v>
      </c>
      <c r="U19" s="705">
        <f>U14*(100%+T19)</f>
        <v>238000000</v>
      </c>
      <c r="V19" s="706"/>
      <c r="W19" s="428"/>
      <c r="X19" s="666" t="s">
        <v>158</v>
      </c>
      <c r="Y19" s="666"/>
      <c r="Z19" s="666"/>
      <c r="AA19" s="666"/>
    </row>
    <row r="20" spans="1:27">
      <c r="B20" s="454">
        <v>1</v>
      </c>
      <c r="C20" s="467" t="s">
        <v>153</v>
      </c>
      <c r="D20" s="468">
        <f>(NERACA!C7/'LABA RUGI'!C7)*360</f>
        <v>16.305882352941179</v>
      </c>
      <c r="E20" s="469" t="s">
        <v>83</v>
      </c>
      <c r="F20" s="468">
        <f>(NERACA!G7/'LABA RUGI'!G7)*360</f>
        <v>7.9411764705882355</v>
      </c>
      <c r="G20" s="469" t="s">
        <v>83</v>
      </c>
      <c r="H20" s="470"/>
      <c r="I20" s="689" t="s">
        <v>129</v>
      </c>
      <c r="J20" s="689"/>
      <c r="K20" s="689"/>
      <c r="L20" s="689"/>
      <c r="M20" s="689"/>
      <c r="N20" s="425"/>
      <c r="O20" s="460" t="s">
        <v>253</v>
      </c>
      <c r="P20" s="444">
        <f>P17-P18-P19</f>
        <v>19292916.666666634</v>
      </c>
      <c r="Q20" s="445"/>
      <c r="R20" s="723"/>
      <c r="S20" s="471" t="s">
        <v>211</v>
      </c>
      <c r="T20" s="472"/>
      <c r="U20" s="453"/>
      <c r="V20" s="450"/>
      <c r="W20" s="428"/>
      <c r="X20" s="428"/>
    </row>
    <row r="21" spans="1:27">
      <c r="B21" s="454">
        <v>2</v>
      </c>
      <c r="C21" s="455" t="s">
        <v>154</v>
      </c>
      <c r="D21" s="468">
        <f>(NERACA!C8/'LABA RUGI'!C9)*360</f>
        <v>74.873949579831958</v>
      </c>
      <c r="E21" s="473" t="s">
        <v>83</v>
      </c>
      <c r="F21" s="468">
        <f>(NERACA!G8/'LABA RUGI'!G9)*360</f>
        <v>75.630252100840337</v>
      </c>
      <c r="G21" s="469" t="s">
        <v>83</v>
      </c>
      <c r="H21" s="470"/>
      <c r="I21" s="689" t="s">
        <v>130</v>
      </c>
      <c r="J21" s="689"/>
      <c r="K21" s="689"/>
      <c r="L21" s="689"/>
      <c r="M21" s="689"/>
      <c r="N21" s="425"/>
      <c r="O21" s="465" t="s">
        <v>254</v>
      </c>
      <c r="P21" s="448">
        <f>'Angsuran Modal Kerja'!M11</f>
        <v>8725000.9217137098</v>
      </c>
      <c r="Q21" s="445"/>
      <c r="R21" s="723"/>
      <c r="S21" s="699" t="s">
        <v>53</v>
      </c>
      <c r="T21" s="700"/>
      <c r="U21" s="474"/>
      <c r="V21" s="434"/>
      <c r="W21" s="428"/>
      <c r="X21" s="428"/>
    </row>
    <row r="22" spans="1:27">
      <c r="B22" s="454">
        <v>3</v>
      </c>
      <c r="C22" s="467" t="s">
        <v>152</v>
      </c>
      <c r="D22" s="468">
        <f>(NERACA!C20/'LABA RUGI'!C9)*360</f>
        <v>1.247899159663866</v>
      </c>
      <c r="E22" s="469" t="s">
        <v>83</v>
      </c>
      <c r="F22" s="468">
        <f>(NERACA!G20/'LABA RUGI'!G9)*360</f>
        <v>1.5126050420168067</v>
      </c>
      <c r="G22" s="469" t="s">
        <v>83</v>
      </c>
      <c r="H22" s="470"/>
      <c r="I22" s="689" t="s">
        <v>131</v>
      </c>
      <c r="J22" s="689"/>
      <c r="K22" s="689"/>
      <c r="L22" s="689"/>
      <c r="M22" s="689"/>
      <c r="N22" s="425"/>
      <c r="O22" s="701"/>
      <c r="P22" s="702"/>
      <c r="Q22" s="445"/>
      <c r="R22" s="723"/>
      <c r="S22" s="695" t="s">
        <v>147</v>
      </c>
      <c r="T22" s="696"/>
      <c r="U22" s="475">
        <f>U10*(100%+T19)</f>
        <v>0.31764705882352939</v>
      </c>
      <c r="V22" s="439" t="s">
        <v>50</v>
      </c>
      <c r="W22" s="428"/>
      <c r="X22" s="666" t="s">
        <v>159</v>
      </c>
      <c r="Y22" s="666"/>
      <c r="Z22" s="666"/>
      <c r="AA22" s="666"/>
    </row>
    <row r="23" spans="1:27">
      <c r="B23" s="454">
        <v>4</v>
      </c>
      <c r="C23" s="455" t="s">
        <v>84</v>
      </c>
      <c r="D23" s="683">
        <f>'LABA RUGI'!C7/NERACA!C18</f>
        <v>1.8059809842424599</v>
      </c>
      <c r="E23" s="684"/>
      <c r="F23" s="683">
        <f>'LABA RUGI'!G7/NERACA!G18</f>
        <v>1.929005214713271</v>
      </c>
      <c r="G23" s="684"/>
      <c r="H23" s="429"/>
      <c r="I23" s="689" t="s">
        <v>132</v>
      </c>
      <c r="J23" s="689"/>
      <c r="K23" s="689"/>
      <c r="L23" s="689"/>
      <c r="M23" s="689"/>
      <c r="N23" s="425"/>
      <c r="O23" s="476" t="s">
        <v>255</v>
      </c>
      <c r="P23" s="692">
        <f>P20/P21</f>
        <v>2.2112223069974464</v>
      </c>
      <c r="Q23" s="445"/>
      <c r="R23" s="723"/>
      <c r="S23" s="695" t="s">
        <v>148</v>
      </c>
      <c r="T23" s="696"/>
      <c r="U23" s="413">
        <f>U11*(100%+T19)</f>
        <v>3.0252100840336134</v>
      </c>
      <c r="V23" s="439" t="s">
        <v>50</v>
      </c>
      <c r="W23" s="428"/>
      <c r="X23" s="666" t="s">
        <v>159</v>
      </c>
      <c r="Y23" s="666"/>
      <c r="Z23" s="666"/>
      <c r="AA23" s="666"/>
    </row>
    <row r="24" spans="1:27">
      <c r="B24" s="669" t="s">
        <v>23</v>
      </c>
      <c r="C24" s="670"/>
      <c r="D24" s="677"/>
      <c r="E24" s="678"/>
      <c r="F24" s="677"/>
      <c r="G24" s="678"/>
      <c r="H24" s="429"/>
      <c r="I24" s="446"/>
      <c r="J24" s="446"/>
      <c r="K24" s="446"/>
      <c r="L24" s="446"/>
      <c r="M24" s="446"/>
      <c r="N24" s="425"/>
      <c r="O24" s="477" t="s">
        <v>257</v>
      </c>
      <c r="P24" s="693"/>
      <c r="Q24" s="478"/>
      <c r="R24" s="723"/>
      <c r="S24" s="679" t="s">
        <v>149</v>
      </c>
      <c r="T24" s="680"/>
      <c r="U24" s="479">
        <f>U12*(100%+T19)</f>
        <v>6.0504201680672269E-2</v>
      </c>
      <c r="V24" s="450" t="s">
        <v>50</v>
      </c>
      <c r="W24" s="428"/>
      <c r="X24" s="666" t="s">
        <v>159</v>
      </c>
      <c r="Y24" s="666"/>
      <c r="Z24" s="666"/>
      <c r="AA24" s="666"/>
    </row>
    <row r="25" spans="1:27">
      <c r="B25" s="435">
        <v>1</v>
      </c>
      <c r="C25" s="436" t="s">
        <v>85</v>
      </c>
      <c r="D25" s="683">
        <f>'LABA RUGI'!C10/'LABA RUGI'!C7</f>
        <v>0.3000000000000001</v>
      </c>
      <c r="E25" s="684"/>
      <c r="F25" s="683">
        <f>'LABA RUGI'!G10/'LABA RUGI'!G7</f>
        <v>0.3</v>
      </c>
      <c r="G25" s="684"/>
      <c r="H25" s="429"/>
      <c r="I25" s="689" t="s">
        <v>133</v>
      </c>
      <c r="J25" s="689"/>
      <c r="K25" s="689"/>
      <c r="L25" s="689"/>
      <c r="M25" s="689"/>
      <c r="N25" s="425"/>
      <c r="O25" s="480" t="s">
        <v>256</v>
      </c>
      <c r="P25" s="694"/>
      <c r="Q25" s="481" t="s">
        <v>41</v>
      </c>
      <c r="R25" s="723"/>
      <c r="S25" s="697" t="s">
        <v>150</v>
      </c>
      <c r="T25" s="698"/>
      <c r="U25" s="451">
        <f>(U22+U23)-U24</f>
        <v>3.2823529411764705</v>
      </c>
      <c r="V25" s="452" t="s">
        <v>50</v>
      </c>
      <c r="W25" s="428"/>
      <c r="X25" s="428"/>
    </row>
    <row r="26" spans="1:27">
      <c r="B26" s="482">
        <v>2</v>
      </c>
      <c r="C26" s="483" t="s">
        <v>86</v>
      </c>
      <c r="D26" s="667">
        <f>'LABA RUGI'!C15/'LABA RUGI'!C7</f>
        <v>0.13948480392156862</v>
      </c>
      <c r="E26" s="668"/>
      <c r="F26" s="667">
        <f>'LABA RUGI'!G15/'LABA RUGI'!G7</f>
        <v>0.13362254901960785</v>
      </c>
      <c r="G26" s="668"/>
      <c r="H26" s="429"/>
      <c r="I26" s="689" t="s">
        <v>134</v>
      </c>
      <c r="J26" s="689"/>
      <c r="K26" s="689"/>
      <c r="L26" s="689"/>
      <c r="M26" s="689"/>
      <c r="N26" s="425"/>
      <c r="O26" s="484" t="s">
        <v>258</v>
      </c>
      <c r="R26" s="723"/>
      <c r="S26" s="690" t="s">
        <v>151</v>
      </c>
      <c r="T26" s="691"/>
      <c r="U26" s="681">
        <f>U19*U25</f>
        <v>781200000</v>
      </c>
      <c r="V26" s="682"/>
      <c r="W26" s="428"/>
      <c r="X26" s="428"/>
    </row>
    <row r="27" spans="1:27">
      <c r="A27" s="425"/>
      <c r="B27" s="669" t="s">
        <v>24</v>
      </c>
      <c r="C27" s="670"/>
      <c r="D27" s="671"/>
      <c r="E27" s="672"/>
      <c r="F27" s="677"/>
      <c r="G27" s="678"/>
      <c r="I27" s="425"/>
      <c r="K27" s="425"/>
      <c r="L27" s="425"/>
      <c r="M27" s="425"/>
      <c r="N27" s="425"/>
      <c r="O27" s="484" t="s">
        <v>260</v>
      </c>
      <c r="R27" s="723"/>
      <c r="S27" s="679" t="s">
        <v>212</v>
      </c>
      <c r="T27" s="680"/>
      <c r="U27" s="681">
        <f>U26-U16</f>
        <v>238700000</v>
      </c>
      <c r="V27" s="682"/>
      <c r="W27" s="428"/>
      <c r="X27" s="428"/>
    </row>
    <row r="28" spans="1:27">
      <c r="A28" s="425"/>
      <c r="B28" s="546"/>
      <c r="C28" s="547"/>
      <c r="D28" s="673"/>
      <c r="E28" s="674"/>
      <c r="F28" s="511"/>
      <c r="G28" s="512"/>
      <c r="I28" s="425"/>
      <c r="K28" s="425"/>
      <c r="L28" s="425"/>
      <c r="M28" s="425"/>
      <c r="N28" s="425"/>
      <c r="O28" s="484"/>
      <c r="R28" s="723"/>
      <c r="S28" s="679" t="s">
        <v>366</v>
      </c>
      <c r="T28" s="680"/>
      <c r="U28" s="687">
        <v>0</v>
      </c>
      <c r="V28" s="688"/>
      <c r="W28" s="428"/>
      <c r="X28" s="428"/>
    </row>
    <row r="29" spans="1:27">
      <c r="A29" s="425"/>
      <c r="B29" s="546"/>
      <c r="C29" s="547"/>
      <c r="D29" s="673"/>
      <c r="E29" s="674"/>
      <c r="F29" s="511"/>
      <c r="G29" s="512"/>
      <c r="I29" s="425"/>
      <c r="K29" s="425"/>
      <c r="L29" s="425"/>
      <c r="M29" s="425"/>
      <c r="N29" s="425"/>
      <c r="O29" s="484"/>
      <c r="R29" s="723"/>
      <c r="S29" s="679" t="s">
        <v>367</v>
      </c>
      <c r="T29" s="680"/>
      <c r="U29" s="681">
        <f>U27+U28</f>
        <v>238700000</v>
      </c>
      <c r="V29" s="682"/>
      <c r="W29" s="428"/>
      <c r="X29" s="428"/>
    </row>
    <row r="30" spans="1:27">
      <c r="B30" s="435">
        <v>1</v>
      </c>
      <c r="C30" s="436" t="s">
        <v>282</v>
      </c>
      <c r="D30" s="673"/>
      <c r="E30" s="674"/>
      <c r="F30" s="683">
        <f>'LABA RUGI'!G7/'LABA RUGI'!C7</f>
        <v>1.1000000000000001</v>
      </c>
      <c r="G30" s="684"/>
      <c r="I30" s="485" t="s">
        <v>284</v>
      </c>
      <c r="K30" s="425"/>
      <c r="L30" s="425"/>
      <c r="M30" s="425"/>
      <c r="N30" s="425"/>
      <c r="O30" s="484" t="s">
        <v>259</v>
      </c>
      <c r="P30" s="425"/>
      <c r="Q30" s="425"/>
      <c r="R30" s="723"/>
      <c r="S30" s="685" t="s">
        <v>368</v>
      </c>
      <c r="T30" s="686"/>
      <c r="U30" s="815">
        <v>225000000</v>
      </c>
      <c r="V30" s="816"/>
      <c r="W30" s="428"/>
      <c r="X30" s="666" t="s">
        <v>369</v>
      </c>
      <c r="Y30" s="666"/>
      <c r="Z30" s="666"/>
      <c r="AA30" s="666"/>
    </row>
    <row r="31" spans="1:27">
      <c r="B31" s="482">
        <v>2</v>
      </c>
      <c r="C31" s="483" t="s">
        <v>283</v>
      </c>
      <c r="D31" s="675"/>
      <c r="E31" s="676"/>
      <c r="F31" s="667">
        <f>'LABA RUGI'!G21/'LABA RUGI'!C21</f>
        <v>1.1594574971078779</v>
      </c>
      <c r="G31" s="668"/>
      <c r="H31" s="486"/>
      <c r="I31" s="485" t="s">
        <v>285</v>
      </c>
      <c r="P31" s="425"/>
      <c r="Q31" s="425"/>
      <c r="R31" s="426"/>
      <c r="S31" s="425"/>
      <c r="T31" s="425"/>
    </row>
    <row r="32" spans="1:27">
      <c r="B32" s="486"/>
      <c r="C32" s="486"/>
      <c r="D32" s="487"/>
      <c r="E32" s="487"/>
      <c r="F32" s="487"/>
      <c r="G32" s="486"/>
      <c r="H32" s="486"/>
      <c r="I32" s="486"/>
      <c r="P32" s="425"/>
      <c r="Q32" s="425"/>
      <c r="R32" s="426"/>
      <c r="S32" s="425"/>
      <c r="T32" s="425"/>
      <c r="U32" s="488"/>
    </row>
    <row r="33" spans="2:32">
      <c r="B33" s="486"/>
      <c r="C33" s="486"/>
      <c r="D33" s="487"/>
      <c r="E33" s="487"/>
      <c r="F33" s="487"/>
      <c r="G33" s="489"/>
      <c r="H33" s="489"/>
      <c r="I33" s="486"/>
      <c r="U33" s="490"/>
    </row>
    <row r="34" spans="2:32" s="423" customFormat="1">
      <c r="B34" s="420" t="s">
        <v>359</v>
      </c>
      <c r="C34" s="420"/>
      <c r="D34" s="421"/>
      <c r="E34" s="422"/>
      <c r="F34" s="422"/>
      <c r="R34" s="424"/>
    </row>
    <row r="35" spans="2:32">
      <c r="U35" s="490"/>
    </row>
    <row r="37" spans="2:32">
      <c r="B37" s="717" t="s">
        <v>21</v>
      </c>
      <c r="C37" s="718"/>
      <c r="D37" s="719" t="str">
        <f>NERACA!C34</f>
        <v>31 Desember 2016</v>
      </c>
      <c r="E37" s="720"/>
      <c r="F37" s="721" t="str">
        <f>NERACA!G34</f>
        <v>2017 disetahunkan</v>
      </c>
      <c r="G37" s="722"/>
      <c r="H37" s="427"/>
      <c r="N37" s="425"/>
      <c r="R37" s="723"/>
      <c r="S37" s="724" t="s">
        <v>73</v>
      </c>
      <c r="T37" s="725"/>
      <c r="U37" s="726"/>
      <c r="V37" s="727"/>
      <c r="W37" s="428"/>
      <c r="X37" s="428"/>
    </row>
    <row r="38" spans="2:32" ht="15.75" customHeight="1">
      <c r="B38" s="669" t="s">
        <v>74</v>
      </c>
      <c r="C38" s="670"/>
      <c r="D38" s="677"/>
      <c r="E38" s="678"/>
      <c r="F38" s="677"/>
      <c r="G38" s="678"/>
      <c r="H38" s="429"/>
      <c r="N38" s="425"/>
      <c r="O38" s="430" t="s">
        <v>341</v>
      </c>
      <c r="P38" s="431">
        <f>'Assumsi untuk Laba rugi'!D24</f>
        <v>0</v>
      </c>
      <c r="Q38" s="432"/>
      <c r="R38" s="723"/>
      <c r="S38" s="703"/>
      <c r="T38" s="704"/>
      <c r="U38" s="433"/>
      <c r="V38" s="434"/>
      <c r="W38" s="428"/>
      <c r="X38" s="428"/>
    </row>
    <row r="39" spans="2:32">
      <c r="B39" s="435">
        <v>1</v>
      </c>
      <c r="C39" s="436" t="s">
        <v>40</v>
      </c>
      <c r="D39" s="683">
        <f>NERACA!C41/NERACA!C53</f>
        <v>3.0289491459750115</v>
      </c>
      <c r="E39" s="684"/>
      <c r="F39" s="683">
        <f>NERACA!G41/NERACA!G53</f>
        <v>3.2782893826195685</v>
      </c>
      <c r="G39" s="684"/>
      <c r="H39" s="429"/>
      <c r="I39" s="689" t="s">
        <v>124</v>
      </c>
      <c r="J39" s="689"/>
      <c r="K39" s="689"/>
      <c r="L39" s="689"/>
      <c r="M39" s="689"/>
      <c r="N39" s="425"/>
      <c r="O39" s="728"/>
      <c r="P39" s="729"/>
      <c r="Q39" s="437"/>
      <c r="R39" s="723"/>
      <c r="S39" s="695" t="s">
        <v>141</v>
      </c>
      <c r="T39" s="696"/>
      <c r="U39" s="438">
        <f>F49/D3</f>
        <v>0.26470588235294118</v>
      </c>
      <c r="V39" s="439" t="s">
        <v>50</v>
      </c>
      <c r="W39" s="428"/>
      <c r="X39" s="666" t="s">
        <v>155</v>
      </c>
      <c r="Y39" s="666"/>
      <c r="Z39" s="666"/>
      <c r="AA39" s="666"/>
    </row>
    <row r="40" spans="2:32">
      <c r="B40" s="440">
        <v>2</v>
      </c>
      <c r="C40" s="441" t="s">
        <v>75</v>
      </c>
      <c r="D40" s="715">
        <f>NERACA!C41-NERACA!C53</f>
        <v>427634848.33333331</v>
      </c>
      <c r="E40" s="716"/>
      <c r="F40" s="715">
        <f>NERACA!G41-NERACA!G53</f>
        <v>485883182.33333331</v>
      </c>
      <c r="G40" s="716"/>
      <c r="H40" s="442"/>
      <c r="I40" s="689" t="s">
        <v>76</v>
      </c>
      <c r="J40" s="689"/>
      <c r="K40" s="689"/>
      <c r="L40" s="689"/>
      <c r="M40" s="689"/>
      <c r="N40" s="425"/>
      <c r="O40" s="443" t="s">
        <v>136</v>
      </c>
      <c r="P40" s="444">
        <f>P11</f>
        <v>283333333.33333331</v>
      </c>
      <c r="Q40" s="445"/>
      <c r="R40" s="723"/>
      <c r="S40" s="695" t="s">
        <v>142</v>
      </c>
      <c r="T40" s="696"/>
      <c r="U40" s="438">
        <f>F50/D3</f>
        <v>2.5210084033613445</v>
      </c>
      <c r="V40" s="439" t="s">
        <v>50</v>
      </c>
      <c r="W40" s="428"/>
      <c r="X40" s="666" t="s">
        <v>156</v>
      </c>
      <c r="Y40" s="666"/>
      <c r="Z40" s="666"/>
      <c r="AA40" s="666"/>
    </row>
    <row r="41" spans="2:32">
      <c r="B41" s="669" t="s">
        <v>77</v>
      </c>
      <c r="C41" s="670"/>
      <c r="D41" s="677"/>
      <c r="E41" s="678"/>
      <c r="F41" s="677"/>
      <c r="G41" s="678"/>
      <c r="H41" s="429"/>
      <c r="I41" s="446"/>
      <c r="J41" s="446"/>
      <c r="K41" s="446"/>
      <c r="L41" s="446"/>
      <c r="M41" s="446"/>
      <c r="N41" s="425"/>
      <c r="O41" s="447" t="s">
        <v>137</v>
      </c>
      <c r="P41" s="448">
        <f>P12</f>
        <v>198333333.33333334</v>
      </c>
      <c r="Q41" s="445"/>
      <c r="R41" s="723"/>
      <c r="S41" s="679" t="s">
        <v>143</v>
      </c>
      <c r="T41" s="680"/>
      <c r="U41" s="449">
        <f>F51/D3</f>
        <v>5.0420168067226892E-2</v>
      </c>
      <c r="V41" s="450" t="s">
        <v>50</v>
      </c>
      <c r="W41" s="428"/>
      <c r="X41" s="666" t="s">
        <v>157</v>
      </c>
      <c r="Y41" s="666"/>
      <c r="Z41" s="666"/>
      <c r="AA41" s="666"/>
    </row>
    <row r="42" spans="2:32">
      <c r="B42" s="435">
        <v>1</v>
      </c>
      <c r="C42" s="436" t="s">
        <v>39</v>
      </c>
      <c r="D42" s="683">
        <f>'LABA RUGI'!C21/NERACA!C61</f>
        <v>0.46440564023658182</v>
      </c>
      <c r="E42" s="684"/>
      <c r="F42" s="683">
        <f>'LABA RUGI'!G21/NERACA!G61</f>
        <v>0.34999875903483479</v>
      </c>
      <c r="G42" s="684"/>
      <c r="H42" s="429"/>
      <c r="I42" s="689" t="s">
        <v>206</v>
      </c>
      <c r="J42" s="689"/>
      <c r="K42" s="689"/>
      <c r="L42" s="689"/>
      <c r="M42" s="689"/>
      <c r="N42" s="425"/>
      <c r="O42" s="443" t="s">
        <v>138</v>
      </c>
      <c r="P42" s="444">
        <f>P40-P41</f>
        <v>84999999.99999997</v>
      </c>
      <c r="Q42" s="445"/>
      <c r="R42" s="723"/>
      <c r="S42" s="690" t="s">
        <v>144</v>
      </c>
      <c r="T42" s="691"/>
      <c r="U42" s="451">
        <f>(U39+U40)-U41</f>
        <v>2.7352941176470589</v>
      </c>
      <c r="V42" s="452" t="s">
        <v>50</v>
      </c>
      <c r="W42" s="428"/>
      <c r="X42" s="428"/>
    </row>
    <row r="43" spans="2:32">
      <c r="B43" s="435">
        <v>2</v>
      </c>
      <c r="C43" s="436" t="s">
        <v>38</v>
      </c>
      <c r="D43" s="683">
        <f>'LABA RUGI'!C21/NERACA!C49</f>
        <v>0.22934710248316617</v>
      </c>
      <c r="E43" s="684"/>
      <c r="F43" s="683">
        <f>'LABA RUGI'!G21/NERACA!G49</f>
        <v>0.25821153185124418</v>
      </c>
      <c r="G43" s="684"/>
      <c r="H43" s="429"/>
      <c r="I43" s="689" t="s">
        <v>125</v>
      </c>
      <c r="J43" s="689"/>
      <c r="K43" s="689"/>
      <c r="L43" s="689"/>
      <c r="M43" s="689"/>
      <c r="N43" s="425"/>
      <c r="O43" s="447" t="s">
        <v>301</v>
      </c>
      <c r="P43" s="448">
        <f>P14</f>
        <v>30464027.77777778</v>
      </c>
      <c r="Q43" s="445"/>
      <c r="R43" s="723"/>
      <c r="S43" s="703" t="s">
        <v>145</v>
      </c>
      <c r="T43" s="704"/>
      <c r="U43" s="705">
        <f>U14</f>
        <v>198333333.33333334</v>
      </c>
      <c r="V43" s="706"/>
      <c r="W43" s="428"/>
      <c r="X43" s="428"/>
      <c r="AF43" s="416" t="s">
        <v>78</v>
      </c>
    </row>
    <row r="44" spans="2:32">
      <c r="B44" s="440">
        <v>3</v>
      </c>
      <c r="C44" s="441" t="s">
        <v>135</v>
      </c>
      <c r="D44" s="683">
        <f>'LABA RUGI'!C21/'LABA RUGI'!C7</f>
        <v>0.1269930882352942</v>
      </c>
      <c r="E44" s="684"/>
      <c r="F44" s="667">
        <f>'LABA RUGI'!G21/'LABA RUGI'!G7</f>
        <v>0.13385735294117646</v>
      </c>
      <c r="G44" s="668"/>
      <c r="H44" s="429"/>
      <c r="I44" s="689" t="s">
        <v>127</v>
      </c>
      <c r="J44" s="689"/>
      <c r="K44" s="689"/>
      <c r="L44" s="689"/>
      <c r="M44" s="689"/>
      <c r="N44" s="425"/>
      <c r="O44" s="443" t="s">
        <v>139</v>
      </c>
      <c r="P44" s="444">
        <f>P42-P43</f>
        <v>54535972.222222194</v>
      </c>
      <c r="Q44" s="445"/>
      <c r="R44" s="723"/>
      <c r="S44" s="679"/>
      <c r="T44" s="680"/>
      <c r="U44" s="453"/>
      <c r="V44" s="450"/>
      <c r="W44" s="428"/>
      <c r="X44" s="428"/>
    </row>
    <row r="45" spans="2:32">
      <c r="B45" s="669" t="s">
        <v>22</v>
      </c>
      <c r="C45" s="670"/>
      <c r="D45" s="677"/>
      <c r="E45" s="678"/>
      <c r="F45" s="683"/>
      <c r="G45" s="684"/>
      <c r="H45" s="429"/>
      <c r="I45" s="446"/>
      <c r="J45" s="446"/>
      <c r="K45" s="446"/>
      <c r="L45" s="446"/>
      <c r="M45" s="446"/>
      <c r="N45" s="425"/>
      <c r="O45" s="701"/>
      <c r="P45" s="702"/>
      <c r="Q45" s="445"/>
      <c r="R45" s="723"/>
      <c r="S45" s="679" t="s">
        <v>146</v>
      </c>
      <c r="T45" s="680"/>
      <c r="U45" s="681">
        <f>U42*U43</f>
        <v>542500000</v>
      </c>
      <c r="V45" s="682"/>
      <c r="W45" s="428"/>
      <c r="X45" s="428"/>
    </row>
    <row r="46" spans="2:32">
      <c r="B46" s="454">
        <v>1</v>
      </c>
      <c r="C46" s="455" t="s">
        <v>79</v>
      </c>
      <c r="D46" s="456">
        <f>NERACA!C57/NERACA!C61</f>
        <v>1.0249030193719135</v>
      </c>
      <c r="E46" s="457" t="s">
        <v>51</v>
      </c>
      <c r="F46" s="456">
        <f>NERACA!G57/NERACA!G61</f>
        <v>0.3554729970473437</v>
      </c>
      <c r="G46" s="458" t="s">
        <v>80</v>
      </c>
      <c r="H46" s="459"/>
      <c r="I46" s="689" t="s">
        <v>126</v>
      </c>
      <c r="J46" s="689"/>
      <c r="K46" s="689"/>
      <c r="L46" s="689"/>
      <c r="M46" s="689"/>
      <c r="N46" s="425"/>
      <c r="O46" s="460" t="s">
        <v>140</v>
      </c>
      <c r="P46" s="444">
        <f>P44</f>
        <v>54535972.222222194</v>
      </c>
      <c r="Q46" s="445"/>
      <c r="R46" s="723"/>
      <c r="S46" s="707"/>
      <c r="T46" s="708"/>
      <c r="U46" s="709"/>
      <c r="V46" s="710"/>
      <c r="W46" s="428"/>
      <c r="X46" s="428"/>
    </row>
    <row r="47" spans="2:32">
      <c r="B47" s="440">
        <v>2</v>
      </c>
      <c r="C47" s="461" t="s">
        <v>81</v>
      </c>
      <c r="D47" s="462">
        <f>NERACA!C57/NERACA!C62</f>
        <v>0.50614918816695675</v>
      </c>
      <c r="E47" s="463" t="s">
        <v>51</v>
      </c>
      <c r="F47" s="462">
        <f>NERACA!G57/NERACA!G62</f>
        <v>0.26225015018497472</v>
      </c>
      <c r="G47" s="464" t="s">
        <v>80</v>
      </c>
      <c r="H47" s="459"/>
      <c r="I47" s="689" t="s">
        <v>128</v>
      </c>
      <c r="J47" s="689"/>
      <c r="K47" s="689"/>
      <c r="L47" s="689"/>
      <c r="M47" s="689"/>
      <c r="N47" s="425"/>
      <c r="O47" s="465" t="s">
        <v>250</v>
      </c>
      <c r="P47" s="448">
        <f>P18</f>
        <v>20243055.55555556</v>
      </c>
      <c r="Q47" s="445"/>
      <c r="R47" s="723"/>
      <c r="S47" s="711" t="s">
        <v>52</v>
      </c>
      <c r="T47" s="712"/>
      <c r="U47" s="713"/>
      <c r="V47" s="714"/>
      <c r="W47" s="428"/>
      <c r="X47" s="428"/>
    </row>
    <row r="48" spans="2:32">
      <c r="B48" s="669" t="s">
        <v>82</v>
      </c>
      <c r="C48" s="670"/>
      <c r="D48" s="683"/>
      <c r="E48" s="684"/>
      <c r="F48" s="683"/>
      <c r="G48" s="684"/>
      <c r="H48" s="429"/>
      <c r="I48" s="446"/>
      <c r="J48" s="446"/>
      <c r="K48" s="446"/>
      <c r="L48" s="446"/>
      <c r="M48" s="446"/>
      <c r="N48" s="425"/>
      <c r="O48" s="465" t="s">
        <v>251</v>
      </c>
      <c r="P48" s="448">
        <f>P19</f>
        <v>15000000</v>
      </c>
      <c r="R48" s="723"/>
      <c r="S48" s="466" t="s">
        <v>210</v>
      </c>
      <c r="T48" s="248">
        <v>0.2</v>
      </c>
      <c r="U48" s="705">
        <f>U43*(100%+T48)</f>
        <v>238000000</v>
      </c>
      <c r="V48" s="706"/>
      <c r="W48" s="428"/>
      <c r="X48" s="666" t="s">
        <v>158</v>
      </c>
      <c r="Y48" s="666"/>
      <c r="Z48" s="666"/>
      <c r="AA48" s="666"/>
    </row>
    <row r="49" spans="1:27">
      <c r="B49" s="454">
        <v>1</v>
      </c>
      <c r="C49" s="467" t="s">
        <v>153</v>
      </c>
      <c r="D49" s="468">
        <f>(NERACA!C38/'LABA RUGI'!C7)*360</f>
        <v>16.305882352941179</v>
      </c>
      <c r="E49" s="469" t="s">
        <v>83</v>
      </c>
      <c r="F49" s="468">
        <f>(NERACA!G38/'LABA RUGI'!G7)*360</f>
        <v>7.9411764705882355</v>
      </c>
      <c r="G49" s="469" t="s">
        <v>83</v>
      </c>
      <c r="H49" s="470"/>
      <c r="I49" s="689" t="s">
        <v>129</v>
      </c>
      <c r="J49" s="689"/>
      <c r="K49" s="689"/>
      <c r="L49" s="689"/>
      <c r="M49" s="689"/>
      <c r="N49" s="425"/>
      <c r="O49" s="460" t="s">
        <v>253</v>
      </c>
      <c r="P49" s="444">
        <f>P46-P47-P48</f>
        <v>19292916.666666634</v>
      </c>
      <c r="Q49" s="445"/>
      <c r="R49" s="723"/>
      <c r="S49" s="471" t="s">
        <v>211</v>
      </c>
      <c r="T49" s="472"/>
      <c r="U49" s="453"/>
      <c r="V49" s="450"/>
      <c r="W49" s="428"/>
      <c r="X49" s="428"/>
    </row>
    <row r="50" spans="1:27">
      <c r="B50" s="454">
        <v>2</v>
      </c>
      <c r="C50" s="455" t="s">
        <v>154</v>
      </c>
      <c r="D50" s="468">
        <f>(NERACA!C39/'LABA RUGI'!C9)*360</f>
        <v>74.873949579831958</v>
      </c>
      <c r="E50" s="473" t="s">
        <v>83</v>
      </c>
      <c r="F50" s="468">
        <f>(NERACA!G39/'LABA RUGI'!G9)*360</f>
        <v>75.630252100840337</v>
      </c>
      <c r="G50" s="469" t="s">
        <v>83</v>
      </c>
      <c r="H50" s="470"/>
      <c r="I50" s="689" t="s">
        <v>130</v>
      </c>
      <c r="J50" s="689"/>
      <c r="K50" s="689"/>
      <c r="L50" s="689"/>
      <c r="M50" s="689"/>
      <c r="N50" s="425"/>
      <c r="O50" s="465" t="s">
        <v>254</v>
      </c>
      <c r="P50" s="448">
        <f>'Angsuran Modal Kerja'!M11</f>
        <v>8725000.9217137098</v>
      </c>
      <c r="Q50" s="445"/>
      <c r="R50" s="723"/>
      <c r="S50" s="699" t="s">
        <v>53</v>
      </c>
      <c r="T50" s="700"/>
      <c r="U50" s="474"/>
      <c r="V50" s="434"/>
      <c r="W50" s="428"/>
      <c r="X50" s="428"/>
    </row>
    <row r="51" spans="1:27">
      <c r="B51" s="454">
        <v>3</v>
      </c>
      <c r="C51" s="467" t="s">
        <v>152</v>
      </c>
      <c r="D51" s="468">
        <f>(NERACA!C51/'LABA RUGI'!C9)*360</f>
        <v>1.247899159663866</v>
      </c>
      <c r="E51" s="469" t="s">
        <v>83</v>
      </c>
      <c r="F51" s="468">
        <f>(NERACA!G51/'LABA RUGI'!G9)*360</f>
        <v>1.5126050420168067</v>
      </c>
      <c r="G51" s="469" t="s">
        <v>83</v>
      </c>
      <c r="H51" s="470"/>
      <c r="I51" s="689" t="s">
        <v>131</v>
      </c>
      <c r="J51" s="689"/>
      <c r="K51" s="689"/>
      <c r="L51" s="689"/>
      <c r="M51" s="689"/>
      <c r="N51" s="425"/>
      <c r="O51" s="701"/>
      <c r="P51" s="702"/>
      <c r="Q51" s="445"/>
      <c r="R51" s="723"/>
      <c r="S51" s="695" t="s">
        <v>147</v>
      </c>
      <c r="T51" s="696"/>
      <c r="U51" s="475">
        <f>U39*(100%+T48)</f>
        <v>0.31764705882352939</v>
      </c>
      <c r="V51" s="439" t="s">
        <v>50</v>
      </c>
      <c r="W51" s="428"/>
      <c r="X51" s="666" t="s">
        <v>159</v>
      </c>
      <c r="Y51" s="666"/>
      <c r="Z51" s="666"/>
      <c r="AA51" s="666"/>
    </row>
    <row r="52" spans="1:27">
      <c r="B52" s="454">
        <v>4</v>
      </c>
      <c r="C52" s="455" t="s">
        <v>84</v>
      </c>
      <c r="D52" s="683">
        <f>'LABA RUGI'!C7/NERACA!C62</f>
        <v>1.8059809839866503</v>
      </c>
      <c r="E52" s="684"/>
      <c r="F52" s="683">
        <f>'LABA RUGI'!G7/NERACA!G62</f>
        <v>1.9290052151775743</v>
      </c>
      <c r="G52" s="684"/>
      <c r="H52" s="429"/>
      <c r="I52" s="689" t="s">
        <v>132</v>
      </c>
      <c r="J52" s="689"/>
      <c r="K52" s="689"/>
      <c r="L52" s="689"/>
      <c r="M52" s="689"/>
      <c r="N52" s="425"/>
      <c r="O52" s="476" t="s">
        <v>255</v>
      </c>
      <c r="P52" s="692">
        <f>P49/P50</f>
        <v>2.2112223069974464</v>
      </c>
      <c r="Q52" s="445"/>
      <c r="R52" s="723"/>
      <c r="S52" s="695" t="s">
        <v>148</v>
      </c>
      <c r="T52" s="696"/>
      <c r="U52" s="413">
        <f>U40*(100%+T48)</f>
        <v>3.0252100840336134</v>
      </c>
      <c r="V52" s="439" t="s">
        <v>50</v>
      </c>
      <c r="W52" s="428"/>
      <c r="X52" s="666" t="s">
        <v>159</v>
      </c>
      <c r="Y52" s="666"/>
      <c r="Z52" s="666"/>
      <c r="AA52" s="666"/>
    </row>
    <row r="53" spans="1:27">
      <c r="B53" s="669" t="s">
        <v>23</v>
      </c>
      <c r="C53" s="670"/>
      <c r="D53" s="677"/>
      <c r="E53" s="678"/>
      <c r="F53" s="677"/>
      <c r="G53" s="678"/>
      <c r="H53" s="429"/>
      <c r="I53" s="446"/>
      <c r="J53" s="446"/>
      <c r="K53" s="446"/>
      <c r="L53" s="446"/>
      <c r="M53" s="446"/>
      <c r="N53" s="425"/>
      <c r="O53" s="477" t="s">
        <v>257</v>
      </c>
      <c r="P53" s="693"/>
      <c r="Q53" s="478"/>
      <c r="R53" s="723"/>
      <c r="S53" s="679" t="s">
        <v>149</v>
      </c>
      <c r="T53" s="680"/>
      <c r="U53" s="479">
        <f>U41*(100%+T48)</f>
        <v>6.0504201680672269E-2</v>
      </c>
      <c r="V53" s="450" t="s">
        <v>50</v>
      </c>
      <c r="W53" s="428"/>
      <c r="X53" s="666" t="s">
        <v>159</v>
      </c>
      <c r="Y53" s="666"/>
      <c r="Z53" s="666"/>
      <c r="AA53" s="666"/>
    </row>
    <row r="54" spans="1:27">
      <c r="B54" s="435">
        <v>1</v>
      </c>
      <c r="C54" s="436" t="s">
        <v>85</v>
      </c>
      <c r="D54" s="683">
        <f>'LABA RUGI'!C10/'LABA RUGI'!C7</f>
        <v>0.3000000000000001</v>
      </c>
      <c r="E54" s="684"/>
      <c r="F54" s="683">
        <f>'LABA RUGI'!G10/'LABA RUGI'!G7</f>
        <v>0.3</v>
      </c>
      <c r="G54" s="684"/>
      <c r="H54" s="429"/>
      <c r="I54" s="689" t="s">
        <v>133</v>
      </c>
      <c r="J54" s="689"/>
      <c r="K54" s="689"/>
      <c r="L54" s="689"/>
      <c r="M54" s="689"/>
      <c r="N54" s="425"/>
      <c r="O54" s="480" t="s">
        <v>256</v>
      </c>
      <c r="P54" s="694"/>
      <c r="Q54" s="481" t="s">
        <v>41</v>
      </c>
      <c r="R54" s="723"/>
      <c r="S54" s="697" t="s">
        <v>150</v>
      </c>
      <c r="T54" s="698"/>
      <c r="U54" s="451">
        <f>(U51+U52)-U53</f>
        <v>3.2823529411764705</v>
      </c>
      <c r="V54" s="452" t="s">
        <v>50</v>
      </c>
      <c r="W54" s="428"/>
      <c r="X54" s="428"/>
    </row>
    <row r="55" spans="1:27">
      <c r="B55" s="482">
        <v>2</v>
      </c>
      <c r="C55" s="483" t="s">
        <v>86</v>
      </c>
      <c r="D55" s="667">
        <f>'LABA RUGI'!C15/'LABA RUGI'!C7</f>
        <v>0.13948480392156862</v>
      </c>
      <c r="E55" s="668"/>
      <c r="F55" s="667">
        <f>'LABA RUGI'!G15/'LABA RUGI'!G7</f>
        <v>0.13362254901960785</v>
      </c>
      <c r="G55" s="668"/>
      <c r="H55" s="429"/>
      <c r="I55" s="689" t="s">
        <v>134</v>
      </c>
      <c r="J55" s="689"/>
      <c r="K55" s="689"/>
      <c r="L55" s="689"/>
      <c r="M55" s="689"/>
      <c r="N55" s="425"/>
      <c r="O55" s="484" t="s">
        <v>258</v>
      </c>
      <c r="R55" s="723"/>
      <c r="S55" s="690" t="s">
        <v>151</v>
      </c>
      <c r="T55" s="691"/>
      <c r="U55" s="681">
        <f>U48*U54</f>
        <v>781200000</v>
      </c>
      <c r="V55" s="682"/>
      <c r="W55" s="428"/>
      <c r="X55" s="428"/>
    </row>
    <row r="56" spans="1:27">
      <c r="A56" s="425"/>
      <c r="B56" s="669" t="s">
        <v>24</v>
      </c>
      <c r="C56" s="670"/>
      <c r="D56" s="671"/>
      <c r="E56" s="672"/>
      <c r="F56" s="677"/>
      <c r="G56" s="678"/>
      <c r="I56" s="425"/>
      <c r="K56" s="425"/>
      <c r="L56" s="425"/>
      <c r="M56" s="425"/>
      <c r="N56" s="425"/>
      <c r="O56" s="484" t="s">
        <v>260</v>
      </c>
      <c r="R56" s="723"/>
      <c r="S56" s="679" t="s">
        <v>212</v>
      </c>
      <c r="T56" s="680"/>
      <c r="U56" s="681">
        <f>U55-U45</f>
        <v>238700000</v>
      </c>
      <c r="V56" s="682"/>
      <c r="W56" s="428"/>
      <c r="X56" s="428"/>
    </row>
    <row r="57" spans="1:27">
      <c r="A57" s="425"/>
      <c r="B57" s="546"/>
      <c r="C57" s="547"/>
      <c r="D57" s="673"/>
      <c r="E57" s="674"/>
      <c r="F57" s="511"/>
      <c r="G57" s="512"/>
      <c r="I57" s="425"/>
      <c r="K57" s="425"/>
      <c r="L57" s="425"/>
      <c r="M57" s="425"/>
      <c r="N57" s="425"/>
      <c r="O57" s="484"/>
      <c r="R57" s="723"/>
      <c r="S57" s="679" t="s">
        <v>366</v>
      </c>
      <c r="T57" s="680"/>
      <c r="U57" s="687">
        <v>0</v>
      </c>
      <c r="V57" s="688"/>
      <c r="W57" s="428"/>
      <c r="X57" s="428"/>
    </row>
    <row r="58" spans="1:27">
      <c r="A58" s="425"/>
      <c r="B58" s="546"/>
      <c r="C58" s="547"/>
      <c r="D58" s="673"/>
      <c r="E58" s="674"/>
      <c r="F58" s="511"/>
      <c r="G58" s="512"/>
      <c r="I58" s="425"/>
      <c r="K58" s="425"/>
      <c r="L58" s="425"/>
      <c r="M58" s="425"/>
      <c r="N58" s="425"/>
      <c r="O58" s="484"/>
      <c r="R58" s="723"/>
      <c r="S58" s="679" t="s">
        <v>367</v>
      </c>
      <c r="T58" s="680"/>
      <c r="U58" s="681">
        <f>U56+U57</f>
        <v>238700000</v>
      </c>
      <c r="V58" s="682"/>
      <c r="W58" s="428"/>
      <c r="X58" s="428"/>
    </row>
    <row r="59" spans="1:27">
      <c r="B59" s="435">
        <v>1</v>
      </c>
      <c r="C59" s="436" t="s">
        <v>282</v>
      </c>
      <c r="D59" s="673"/>
      <c r="E59" s="674"/>
      <c r="F59" s="683">
        <f>'LABA RUGI'!G7/'LABA RUGI'!C7</f>
        <v>1.1000000000000001</v>
      </c>
      <c r="G59" s="684"/>
      <c r="I59" s="485" t="s">
        <v>284</v>
      </c>
      <c r="K59" s="425"/>
      <c r="L59" s="425"/>
      <c r="M59" s="425"/>
      <c r="N59" s="425"/>
      <c r="O59" s="484" t="s">
        <v>259</v>
      </c>
      <c r="P59" s="425"/>
      <c r="Q59" s="425"/>
      <c r="R59" s="723"/>
      <c r="S59" s="685" t="s">
        <v>368</v>
      </c>
      <c r="T59" s="686"/>
      <c r="U59" s="815">
        <v>225000000</v>
      </c>
      <c r="V59" s="816"/>
      <c r="W59" s="428"/>
      <c r="X59" s="666" t="s">
        <v>369</v>
      </c>
      <c r="Y59" s="666"/>
      <c r="Z59" s="666"/>
      <c r="AA59" s="666"/>
    </row>
    <row r="60" spans="1:27">
      <c r="B60" s="482">
        <v>2</v>
      </c>
      <c r="C60" s="483" t="s">
        <v>283</v>
      </c>
      <c r="D60" s="675"/>
      <c r="E60" s="676"/>
      <c r="F60" s="667">
        <f>'LABA RUGI'!G21/'LABA RUGI'!C21</f>
        <v>1.1594574971078779</v>
      </c>
      <c r="G60" s="668"/>
      <c r="H60" s="486"/>
      <c r="I60" s="485" t="s">
        <v>285</v>
      </c>
      <c r="P60" s="425"/>
      <c r="Q60" s="425"/>
      <c r="R60" s="426"/>
      <c r="S60" s="425"/>
      <c r="T60" s="425"/>
    </row>
    <row r="61" spans="1:27">
      <c r="B61" s="486"/>
      <c r="C61" s="486"/>
      <c r="D61" s="487"/>
      <c r="E61" s="487"/>
      <c r="F61" s="487"/>
      <c r="G61" s="486"/>
      <c r="H61" s="486"/>
      <c r="I61" s="486"/>
      <c r="P61" s="425"/>
      <c r="Q61" s="425"/>
      <c r="R61" s="426"/>
      <c r="S61" s="425"/>
      <c r="T61" s="425"/>
      <c r="U61" s="488"/>
    </row>
    <row r="62" spans="1:27">
      <c r="B62" s="486"/>
      <c r="C62" s="486"/>
      <c r="D62" s="487"/>
      <c r="E62" s="487"/>
      <c r="F62" s="487"/>
      <c r="G62" s="489"/>
      <c r="H62" s="489"/>
      <c r="I62" s="486"/>
      <c r="U62" s="490"/>
    </row>
    <row r="63" spans="1:27">
      <c r="B63" s="267" t="s">
        <v>325</v>
      </c>
      <c r="U63" s="490"/>
    </row>
    <row r="64" spans="1:27">
      <c r="B64" s="267" t="s">
        <v>361</v>
      </c>
    </row>
  </sheetData>
  <sheetProtection selectLockedCells="1"/>
  <customSheetViews>
    <customSheetView guid="{EB924B51-01F3-412F-ABF4-73B7E6F19BA6}" topLeftCell="P7">
      <selection activeCell="O7" sqref="O7:Q26"/>
      <pageMargins left="0.7" right="0.7" top="0.75" bottom="0.75" header="0.3" footer="0.3"/>
      <pageSetup paperSize="9" orientation="portrait" horizontalDpi="4294967292" verticalDpi="0" r:id="rId1"/>
    </customSheetView>
  </customSheetViews>
  <mergeCells count="192">
    <mergeCell ref="B2:C2"/>
    <mergeCell ref="B3:C3"/>
    <mergeCell ref="B4:C4"/>
    <mergeCell ref="F14:G14"/>
    <mergeCell ref="D15:E15"/>
    <mergeCell ref="F15:G15"/>
    <mergeCell ref="S7:V7"/>
    <mergeCell ref="B8:C8"/>
    <mergeCell ref="D8:E8"/>
    <mergeCell ref="F8:G8"/>
    <mergeCell ref="B9:C9"/>
    <mergeCell ref="D9:E9"/>
    <mergeCell ref="F9:G9"/>
    <mergeCell ref="S9:T9"/>
    <mergeCell ref="O10:P10"/>
    <mergeCell ref="D11:E11"/>
    <mergeCell ref="F11:G11"/>
    <mergeCell ref="I10:M10"/>
    <mergeCell ref="I11:M11"/>
    <mergeCell ref="D10:E10"/>
    <mergeCell ref="F10:G10"/>
    <mergeCell ref="B12:C12"/>
    <mergeCell ref="D12:E12"/>
    <mergeCell ref="F12:G12"/>
    <mergeCell ref="I13:M13"/>
    <mergeCell ref="I14:M14"/>
    <mergeCell ref="I15:M15"/>
    <mergeCell ref="I17:M17"/>
    <mergeCell ref="I20:M20"/>
    <mergeCell ref="B16:C16"/>
    <mergeCell ref="D16:E16"/>
    <mergeCell ref="F16:G16"/>
    <mergeCell ref="S17:V17"/>
    <mergeCell ref="S15:T15"/>
    <mergeCell ref="R8:R30"/>
    <mergeCell ref="S8:V8"/>
    <mergeCell ref="U16:V16"/>
    <mergeCell ref="B24:C24"/>
    <mergeCell ref="D24:E24"/>
    <mergeCell ref="B19:C19"/>
    <mergeCell ref="D19:E19"/>
    <mergeCell ref="F19:G19"/>
    <mergeCell ref="I18:M18"/>
    <mergeCell ref="I21:M21"/>
    <mergeCell ref="I22:M22"/>
    <mergeCell ref="D13:E13"/>
    <mergeCell ref="F13:G13"/>
    <mergeCell ref="D14:E14"/>
    <mergeCell ref="O16:P16"/>
    <mergeCell ref="O22:P22"/>
    <mergeCell ref="D26:E26"/>
    <mergeCell ref="F26:G26"/>
    <mergeCell ref="D23:E23"/>
    <mergeCell ref="F23:G23"/>
    <mergeCell ref="D25:E25"/>
    <mergeCell ref="F25:G25"/>
    <mergeCell ref="I23:M23"/>
    <mergeCell ref="I25:M25"/>
    <mergeCell ref="S21:T21"/>
    <mergeCell ref="S24:T24"/>
    <mergeCell ref="S25:T25"/>
    <mergeCell ref="S16:T16"/>
    <mergeCell ref="S26:T26"/>
    <mergeCell ref="S18:V18"/>
    <mergeCell ref="S22:T22"/>
    <mergeCell ref="S23:T23"/>
    <mergeCell ref="S10:T10"/>
    <mergeCell ref="S11:T11"/>
    <mergeCell ref="S12:T12"/>
    <mergeCell ref="S13:T13"/>
    <mergeCell ref="S14:T14"/>
    <mergeCell ref="X10:AA10"/>
    <mergeCell ref="X11:AA11"/>
    <mergeCell ref="X12:AA12"/>
    <mergeCell ref="X19:AA19"/>
    <mergeCell ref="X22:AA22"/>
    <mergeCell ref="U19:V19"/>
    <mergeCell ref="U14:V14"/>
    <mergeCell ref="U27:V27"/>
    <mergeCell ref="U30:V30"/>
    <mergeCell ref="X23:AA23"/>
    <mergeCell ref="U28:V28"/>
    <mergeCell ref="U29:V29"/>
    <mergeCell ref="B27:C27"/>
    <mergeCell ref="F27:G27"/>
    <mergeCell ref="F30:G30"/>
    <mergeCell ref="F31:G31"/>
    <mergeCell ref="D27:E31"/>
    <mergeCell ref="X24:AA24"/>
    <mergeCell ref="X30:AA30"/>
    <mergeCell ref="S27:T27"/>
    <mergeCell ref="S30:T30"/>
    <mergeCell ref="U26:V26"/>
    <mergeCell ref="I26:M26"/>
    <mergeCell ref="P23:P25"/>
    <mergeCell ref="F24:G24"/>
    <mergeCell ref="S28:T28"/>
    <mergeCell ref="S29:T29"/>
    <mergeCell ref="B37:C37"/>
    <mergeCell ref="D37:E37"/>
    <mergeCell ref="F37:G37"/>
    <mergeCell ref="R37:R59"/>
    <mergeCell ref="S37:V37"/>
    <mergeCell ref="B38:C38"/>
    <mergeCell ref="D38:E38"/>
    <mergeCell ref="F38:G38"/>
    <mergeCell ref="S38:T38"/>
    <mergeCell ref="D39:E39"/>
    <mergeCell ref="F39:G39"/>
    <mergeCell ref="I39:M39"/>
    <mergeCell ref="O39:P39"/>
    <mergeCell ref="S39:T39"/>
    <mergeCell ref="B41:C41"/>
    <mergeCell ref="D41:E41"/>
    <mergeCell ref="U43:V43"/>
    <mergeCell ref="F41:G41"/>
    <mergeCell ref="S41:T41"/>
    <mergeCell ref="B45:C45"/>
    <mergeCell ref="D45:E45"/>
    <mergeCell ref="F45:G45"/>
    <mergeCell ref="O45:P45"/>
    <mergeCell ref="S45:T45"/>
    <mergeCell ref="X41:AA41"/>
    <mergeCell ref="D42:E42"/>
    <mergeCell ref="F42:G42"/>
    <mergeCell ref="I42:M42"/>
    <mergeCell ref="S42:T42"/>
    <mergeCell ref="X39:AA39"/>
    <mergeCell ref="D40:E40"/>
    <mergeCell ref="F40:G40"/>
    <mergeCell ref="I40:M40"/>
    <mergeCell ref="S40:T40"/>
    <mergeCell ref="X40:AA40"/>
    <mergeCell ref="D43:E43"/>
    <mergeCell ref="F43:G43"/>
    <mergeCell ref="I43:M43"/>
    <mergeCell ref="S43:T43"/>
    <mergeCell ref="U48:V48"/>
    <mergeCell ref="X48:AA48"/>
    <mergeCell ref="U45:V45"/>
    <mergeCell ref="I46:M46"/>
    <mergeCell ref="S46:V46"/>
    <mergeCell ref="I47:M47"/>
    <mergeCell ref="S47:V47"/>
    <mergeCell ref="D44:E44"/>
    <mergeCell ref="F44:G44"/>
    <mergeCell ref="I44:M44"/>
    <mergeCell ref="S44:T44"/>
    <mergeCell ref="I49:M49"/>
    <mergeCell ref="I50:M50"/>
    <mergeCell ref="S50:T50"/>
    <mergeCell ref="I51:M51"/>
    <mergeCell ref="O51:P51"/>
    <mergeCell ref="S51:T51"/>
    <mergeCell ref="B48:C48"/>
    <mergeCell ref="D48:E48"/>
    <mergeCell ref="F48:G48"/>
    <mergeCell ref="X53:AA53"/>
    <mergeCell ref="X51:AA51"/>
    <mergeCell ref="D52:E52"/>
    <mergeCell ref="F52:G52"/>
    <mergeCell ref="I52:M52"/>
    <mergeCell ref="P52:P54"/>
    <mergeCell ref="S52:T52"/>
    <mergeCell ref="X52:AA52"/>
    <mergeCell ref="D54:E54"/>
    <mergeCell ref="F54:G54"/>
    <mergeCell ref="I54:M54"/>
    <mergeCell ref="S54:T54"/>
    <mergeCell ref="D55:E55"/>
    <mergeCell ref="F55:G55"/>
    <mergeCell ref="I55:M55"/>
    <mergeCell ref="S55:T55"/>
    <mergeCell ref="U55:V55"/>
    <mergeCell ref="B53:C53"/>
    <mergeCell ref="D53:E53"/>
    <mergeCell ref="F53:G53"/>
    <mergeCell ref="S53:T53"/>
    <mergeCell ref="X59:AA59"/>
    <mergeCell ref="F60:G60"/>
    <mergeCell ref="B56:C56"/>
    <mergeCell ref="D56:E60"/>
    <mergeCell ref="F56:G56"/>
    <mergeCell ref="S56:T56"/>
    <mergeCell ref="U56:V56"/>
    <mergeCell ref="F59:G59"/>
    <mergeCell ref="S59:T59"/>
    <mergeCell ref="U59:V59"/>
    <mergeCell ref="S57:T57"/>
    <mergeCell ref="U57:V57"/>
    <mergeCell ref="S58:T58"/>
    <mergeCell ref="U58:V58"/>
  </mergeCells>
  <pageMargins left="0.7" right="0.7" top="0.75" bottom="0.75" header="0.3" footer="0.3"/>
  <pageSetup paperSize="9" orientation="portrait" horizontalDpi="4294967292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Saham, Pengurus, dan legalitas</vt:lpstr>
      <vt:lpstr>SID BI dan Historis PNM VC</vt:lpstr>
      <vt:lpstr>Mutasi Rek Bank</vt:lpstr>
      <vt:lpstr>Rekap Penjualan</vt:lpstr>
      <vt:lpstr>Assumsi untuk Laba rugi</vt:lpstr>
      <vt:lpstr>LABA RUGI</vt:lpstr>
      <vt:lpstr>Aktiva tetap dan biaya penyusut</vt:lpstr>
      <vt:lpstr>NERACA</vt:lpstr>
      <vt:lpstr>analisa ratio, RPC dan Keb. MK</vt:lpstr>
      <vt:lpstr>RAB</vt:lpstr>
      <vt:lpstr>LPJ</vt:lpstr>
      <vt:lpstr>Calculator Konversi Bunga</vt:lpstr>
      <vt:lpstr>Angsuran Modal Kerja</vt:lpstr>
      <vt:lpstr>Angsuran Investasi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NAL-Zaenal</dc:creator>
  <cp:lastModifiedBy>utu</cp:lastModifiedBy>
  <cp:lastPrinted>2017-04-04T02:42:01Z</cp:lastPrinted>
  <dcterms:created xsi:type="dcterms:W3CDTF">2012-05-07T09:16:02Z</dcterms:created>
  <dcterms:modified xsi:type="dcterms:W3CDTF">2017-05-12T06:43:36Z</dcterms:modified>
</cp:coreProperties>
</file>