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enni\Downloads\"/>
    </mc:Choice>
  </mc:AlternateContent>
  <xr:revisionPtr revIDLastSave="0" documentId="13_ncr:1_{5E083E97-7DD1-4FEE-B092-990C3C39ED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MG Calc" sheetId="1" r:id="rId1"/>
    <sheet name="Dungeon Ranking Calc" sheetId="2" r:id="rId2"/>
    <sheet name="Memoria EXP Table" sheetId="3" r:id="rId3"/>
    <sheet name="GuildShop" sheetId="4" r:id="rId4"/>
    <sheet name="Data Table" sheetId="5" r:id="rId5"/>
  </sheets>
  <definedNames>
    <definedName name="AbilityPot">'DMG Calc'!$G$9</definedName>
    <definedName name="ElementalPot">'DMG Calc'!$G$12</definedName>
    <definedName name="HighwindCC">'DMG Calc'!$B$5</definedName>
    <definedName name="Int.Arcanum">'DMG Calc'!$B$27</definedName>
    <definedName name="Int.Mastery">'DMG Calc'!$B$26</definedName>
    <definedName name="MemoriaAbilityPots">'DMG Calc'!$B$21</definedName>
    <definedName name="MemoriaElePot">'DMG Calc'!$B$19</definedName>
    <definedName name="MemoriaSpeciesPot">'DMG Calc'!$B$22</definedName>
    <definedName name="OutfitboostAllAllies">'DMG Calc'!$B$17</definedName>
    <definedName name="OutfitPot">'DMG Calc'!$G$14</definedName>
    <definedName name="PATKMATK">'DMG Calc'!$B$3</definedName>
    <definedName name="PhysMagAbilityPot">'DMG Calc'!$G$10</definedName>
    <definedName name="WeaponCC">'DMG Calc'!$B$4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1" i="5" l="1"/>
  <c r="M57" i="5"/>
  <c r="K32" i="4"/>
  <c r="K30" i="4"/>
  <c r="K25" i="4"/>
  <c r="L24" i="4"/>
  <c r="L28" i="4" s="1"/>
  <c r="K21" i="4"/>
  <c r="K16" i="4"/>
  <c r="C15" i="4"/>
  <c r="E13" i="4"/>
  <c r="K10" i="4"/>
  <c r="E9" i="4"/>
  <c r="D9" i="4"/>
  <c r="C9" i="4"/>
  <c r="E8" i="4"/>
  <c r="D8" i="4"/>
  <c r="O6" i="4"/>
  <c r="P3" i="4" s="1"/>
  <c r="P6" i="4" s="1"/>
  <c r="Q3" i="4" s="1"/>
  <c r="Q6" i="4" s="1"/>
  <c r="R3" i="4" s="1"/>
  <c r="R6" i="4" s="1"/>
  <c r="S3" i="4" s="1"/>
  <c r="S6" i="4" s="1"/>
  <c r="T3" i="4" s="1"/>
  <c r="T6" i="4" s="1"/>
  <c r="U3" i="4" s="1"/>
  <c r="U6" i="4" s="1"/>
  <c r="V3" i="4" s="1"/>
  <c r="V6" i="4" s="1"/>
  <c r="C5" i="4"/>
  <c r="E4" i="4"/>
  <c r="E5" i="4" s="1"/>
  <c r="D4" i="4"/>
  <c r="D5" i="4" s="1"/>
  <c r="F16" i="3"/>
  <c r="D16" i="3"/>
  <c r="I15" i="3"/>
  <c r="G15" i="3"/>
  <c r="F15" i="3"/>
  <c r="I14" i="3"/>
  <c r="J14" i="3" s="1"/>
  <c r="F14" i="3"/>
  <c r="G14" i="3" s="1"/>
  <c r="I13" i="3"/>
  <c r="J13" i="3" s="1"/>
  <c r="F13" i="3"/>
  <c r="G13" i="3" s="1"/>
  <c r="I12" i="3"/>
  <c r="J12" i="3" s="1"/>
  <c r="F12" i="3"/>
  <c r="G12" i="3" s="1"/>
  <c r="I11" i="3"/>
  <c r="J11" i="3" s="1"/>
  <c r="F11" i="3"/>
  <c r="G11" i="3" s="1"/>
  <c r="I10" i="3"/>
  <c r="J10" i="3" s="1"/>
  <c r="F10" i="3"/>
  <c r="G10" i="3" s="1"/>
  <c r="I9" i="3"/>
  <c r="J9" i="3" s="1"/>
  <c r="F9" i="3"/>
  <c r="G9" i="3" s="1"/>
  <c r="I8" i="3"/>
  <c r="J8" i="3" s="1"/>
  <c r="F8" i="3"/>
  <c r="G8" i="3" s="1"/>
  <c r="I7" i="3"/>
  <c r="J7" i="3" s="1"/>
  <c r="F7" i="3"/>
  <c r="G7" i="3" s="1"/>
  <c r="I6" i="3"/>
  <c r="J6" i="3" s="1"/>
  <c r="F6" i="3"/>
  <c r="G6" i="3" s="1"/>
  <c r="G16" i="3" s="1"/>
  <c r="G17" i="3" s="1"/>
  <c r="H18" i="2"/>
  <c r="H14" i="2"/>
  <c r="E14" i="2"/>
  <c r="J53" i="1"/>
  <c r="I53" i="1"/>
  <c r="H53" i="1"/>
  <c r="G53" i="1"/>
  <c r="J50" i="1"/>
  <c r="E58" i="1" s="1"/>
  <c r="I50" i="1"/>
  <c r="D58" i="1" s="1"/>
  <c r="H50" i="1"/>
  <c r="C58" i="1" s="1"/>
  <c r="G50" i="1"/>
  <c r="B58" i="1" s="1"/>
  <c r="J49" i="1"/>
  <c r="E57" i="1" s="1"/>
  <c r="I49" i="1"/>
  <c r="D57" i="1" s="1"/>
  <c r="H49" i="1"/>
  <c r="C57" i="1" s="1"/>
  <c r="G49" i="1"/>
  <c r="B57" i="1" s="1"/>
  <c r="J34" i="1"/>
  <c r="I34" i="1"/>
  <c r="H34" i="1"/>
  <c r="G34" i="1"/>
  <c r="J33" i="1"/>
  <c r="I33" i="1"/>
  <c r="H33" i="1"/>
  <c r="G33" i="1"/>
  <c r="J32" i="1"/>
  <c r="I32" i="1"/>
  <c r="H32" i="1"/>
  <c r="G32" i="1"/>
  <c r="J30" i="1"/>
  <c r="I30" i="1"/>
  <c r="H30" i="1"/>
  <c r="G30" i="1"/>
  <c r="J29" i="1"/>
  <c r="I29" i="1"/>
  <c r="H29" i="1"/>
  <c r="G29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B66" i="1" s="1"/>
  <c r="E66" i="1" l="1"/>
  <c r="E65" i="1" s="1"/>
  <c r="E61" i="1"/>
  <c r="D66" i="1"/>
  <c r="D61" i="1"/>
  <c r="C61" i="1"/>
  <c r="C66" i="1"/>
  <c r="B73" i="1"/>
  <c r="B61" i="1"/>
  <c r="B60" i="1" s="1"/>
  <c r="I16" i="3"/>
  <c r="J15" i="3"/>
  <c r="J16" i="3" s="1"/>
  <c r="J17" i="3" s="1"/>
  <c r="H22" i="2"/>
  <c r="E18" i="2" s="1"/>
  <c r="E20" i="2" s="1"/>
  <c r="H20" i="2"/>
  <c r="E73" i="1"/>
  <c r="D73" i="1"/>
  <c r="C73" i="1"/>
  <c r="B65" i="1"/>
  <c r="E67" i="1" l="1"/>
  <c r="E62" i="1"/>
  <c r="E63" i="1" s="1"/>
  <c r="E60" i="1"/>
  <c r="E74" i="1"/>
  <c r="E75" i="1"/>
  <c r="D74" i="1"/>
  <c r="D75" i="1"/>
  <c r="D67" i="1"/>
  <c r="D65" i="1"/>
  <c r="D62" i="1"/>
  <c r="D63" i="1" s="1"/>
  <c r="D60" i="1"/>
  <c r="C74" i="1"/>
  <c r="C75" i="1"/>
  <c r="C67" i="1"/>
  <c r="C65" i="1"/>
  <c r="C62" i="1"/>
  <c r="C63" i="1" s="1"/>
  <c r="C60" i="1"/>
  <c r="B74" i="1"/>
  <c r="B75" i="1"/>
  <c r="B62" i="1"/>
  <c r="B63" i="1" s="1"/>
  <c r="H25" i="2"/>
  <c r="H29" i="2" s="1"/>
  <c r="E64" i="1" l="1"/>
  <c r="D64" i="1"/>
  <c r="C64" i="1"/>
</calcChain>
</file>

<file path=xl/sharedStrings.xml><?xml version="1.0" encoding="utf-8"?>
<sst xmlns="http://schemas.openxmlformats.org/spreadsheetml/2006/main" count="312" uniqueCount="192">
  <si>
    <t>Build 1</t>
  </si>
  <si>
    <t>Build 2</t>
  </si>
  <si>
    <t>Build 3</t>
  </si>
  <si>
    <t>Build 4</t>
  </si>
  <si>
    <t>P.Atk</t>
  </si>
  <si>
    <t>M.Atk</t>
  </si>
  <si>
    <t>Weapons Ability Potency (C.Ability)</t>
  </si>
  <si>
    <t>Highwind Wpn C. Ability Potency</t>
  </si>
  <si>
    <t>Sum of Elemental Potency from Materia</t>
  </si>
  <si>
    <t>Damage Type</t>
  </si>
  <si>
    <t>Physical</t>
  </si>
  <si>
    <t>Magical</t>
  </si>
  <si>
    <t>R.Ability settings</t>
  </si>
  <si>
    <t>Ability Potency</t>
  </si>
  <si>
    <t>No Points</t>
  </si>
  <si>
    <t>Phys. Ability Potency</t>
  </si>
  <si>
    <t>Lv. 5 (35 Points)</t>
  </si>
  <si>
    <t>Mag. Ability Potency</t>
  </si>
  <si>
    <t>Elemental Potency</t>
  </si>
  <si>
    <t>Outfit/Gear/UW settings</t>
  </si>
  <si>
    <t>Outfit Ability (Arcanum, Mastery, Elements)</t>
  </si>
  <si>
    <t>Outfit Ability Phys. Cmd. Stance Dmg</t>
  </si>
  <si>
    <t>Outfit Ability Mag. Cmd. Stance Dmg</t>
  </si>
  <si>
    <t>Boost Elemental Pot.(All Allies)</t>
  </si>
  <si>
    <t>Memoria settings</t>
  </si>
  <si>
    <t>Memoria Elemental Potency</t>
  </si>
  <si>
    <t>Memoria Phys. Ability Potency</t>
  </si>
  <si>
    <t>Memoria Mag. Ability Potency</t>
  </si>
  <si>
    <t>Memoria Species Potency</t>
  </si>
  <si>
    <t>Interruption settings</t>
  </si>
  <si>
    <t>Interruption Sigil Damage Boost</t>
  </si>
  <si>
    <t>Interruption R. Abilites</t>
  </si>
  <si>
    <t>Interruption Mastery</t>
  </si>
  <si>
    <t xml:space="preserve">Interruption Arcanum </t>
  </si>
  <si>
    <t>Overspeed settings</t>
  </si>
  <si>
    <t>Overspeed Passive Elemental Potency</t>
  </si>
  <si>
    <t>Overspeed Buff</t>
  </si>
  <si>
    <t>No OS</t>
  </si>
  <si>
    <t>Buff settings</t>
  </si>
  <si>
    <t>atlea</t>
  </si>
  <si>
    <t>P.Atk Buff</t>
  </si>
  <si>
    <t>No Buff</t>
  </si>
  <si>
    <t>M.Atk Buff</t>
  </si>
  <si>
    <t>Elemental Potency Up Buff</t>
  </si>
  <si>
    <t>No Elem. Pot. Buff</t>
  </si>
  <si>
    <t xml:space="preserve">Exploit Weakness </t>
  </si>
  <si>
    <t xml:space="preserve">Phys./Mag. Weapon C./U.C Buff </t>
  </si>
  <si>
    <t>Elemental Weapon Boost C./U.C Buff</t>
  </si>
  <si>
    <t>Amplification Phys./Mag. C. Abilitiy</t>
  </si>
  <si>
    <t>Elemental Amplification</t>
  </si>
  <si>
    <t>Phys./Mag. Bonus Additional Damage</t>
  </si>
  <si>
    <t>Elemental Bonus Additional Damage</t>
  </si>
  <si>
    <t>Guild Battle settings</t>
  </si>
  <si>
    <t>Guild Battle Mag. Ability Potency</t>
  </si>
  <si>
    <t>Guild Battle Phys. Ability Potency</t>
  </si>
  <si>
    <t>Guild Battle Elemental Potency</t>
  </si>
  <si>
    <t>Enemy Stats / Debuff settings</t>
  </si>
  <si>
    <t>Enemy PDEF</t>
  </si>
  <si>
    <t>Enemy MDEF</t>
  </si>
  <si>
    <t>PDEF Debuff</t>
  </si>
  <si>
    <t>No Debuff</t>
  </si>
  <si>
    <t>MDEF Debuff</t>
  </si>
  <si>
    <t>Initial Elemental Weakness OR Elemental Weakness Debuff</t>
  </si>
  <si>
    <t>Elemental Resistance Debuff</t>
  </si>
  <si>
    <t>No Elem. Res. Debuff</t>
  </si>
  <si>
    <t>Torpor</t>
  </si>
  <si>
    <t>Single/Multi-Tgt. Phys./Mag. Dmg. Rcvd. Up</t>
  </si>
  <si>
    <t>Multi-Tgt/Single. Elemental Dmg. Rcvd. Up (not in game yet)</t>
  </si>
  <si>
    <t>Enemy PDEF after Multi</t>
  </si>
  <si>
    <t>Enemy MDEF after Multi</t>
  </si>
  <si>
    <t>Damage Range</t>
  </si>
  <si>
    <t>Average Damage</t>
  </si>
  <si>
    <t>Additional Bonus Damage</t>
  </si>
  <si>
    <t>Total Damage</t>
  </si>
  <si>
    <t>Compared to Build 1</t>
  </si>
  <si>
    <t>Interruption Phase Damage Range</t>
  </si>
  <si>
    <t>Interruption Phase Average Damage</t>
  </si>
  <si>
    <t>Compared to Build 1-Interruption Phase-</t>
  </si>
  <si>
    <t>Summon / Limit Break Damage</t>
  </si>
  <si>
    <t>Physical/Magical</t>
  </si>
  <si>
    <t xml:space="preserve">Highwind Limit Ability Pot. </t>
  </si>
  <si>
    <t>Skill Potency</t>
  </si>
  <si>
    <t>Limit Combo</t>
  </si>
  <si>
    <t>Average LB/Summon Damage</t>
  </si>
  <si>
    <t>Variable Scores</t>
  </si>
  <si>
    <t>Fixed Scores</t>
  </si>
  <si>
    <t>Total Score</t>
  </si>
  <si>
    <t>Item Usage</t>
  </si>
  <si>
    <t>- Score Buff 15%</t>
  </si>
  <si>
    <t>Extra Bonus</t>
  </si>
  <si>
    <t>Dungeon Clear</t>
  </si>
  <si>
    <t>Score without Buff</t>
  </si>
  <si>
    <t>1)</t>
  </si>
  <si>
    <t>Battle Score</t>
  </si>
  <si>
    <t>Check Result</t>
  </si>
  <si>
    <t>Speed Run Bonus</t>
  </si>
  <si>
    <t>2)</t>
  </si>
  <si>
    <t>15% Score Buff</t>
  </si>
  <si>
    <t>Result 1) + 2)</t>
  </si>
  <si>
    <t>Multi x 0.9 
Boss Takedown Bonus</t>
  </si>
  <si>
    <t>Total Score without Bonus</t>
  </si>
  <si>
    <t>15% Trance Bonus</t>
  </si>
  <si>
    <t>Dungeon Score</t>
  </si>
  <si>
    <t xml:space="preserve">Memoria EXP </t>
  </si>
  <si>
    <t>Lv.</t>
  </si>
  <si>
    <t>Exp to Lv. Up</t>
  </si>
  <si>
    <t>x9 Runs / 180 Stamina</t>
  </si>
  <si>
    <t>Stamina</t>
  </si>
  <si>
    <t>x12 Runs / 180 Stamina</t>
  </si>
  <si>
    <t>Memorial Shards EXP</t>
  </si>
  <si>
    <t>Small</t>
  </si>
  <si>
    <t>Medium</t>
  </si>
  <si>
    <t>Large</t>
  </si>
  <si>
    <t>?</t>
  </si>
  <si>
    <t>Total</t>
  </si>
  <si>
    <t>Stamina Pots</t>
  </si>
  <si>
    <t>Level 4</t>
  </si>
  <si>
    <t>Level 5</t>
  </si>
  <si>
    <t>Level 1</t>
  </si>
  <si>
    <t>Guild Points per Player</t>
  </si>
  <si>
    <t>Daily</t>
  </si>
  <si>
    <t>Weekly</t>
  </si>
  <si>
    <t>Monthly</t>
  </si>
  <si>
    <t>1x</t>
  </si>
  <si>
    <t>Gr. Atk. Branding</t>
  </si>
  <si>
    <t>Held</t>
  </si>
  <si>
    <t>Gr. Def. Branding</t>
  </si>
  <si>
    <t>Gain</t>
  </si>
  <si>
    <t>Guild Total</t>
  </si>
  <si>
    <t>10x</t>
  </si>
  <si>
    <t>Atk. Branding</t>
  </si>
  <si>
    <t>Used</t>
  </si>
  <si>
    <t>Def. Branding</t>
  </si>
  <si>
    <t>Left overs</t>
  </si>
  <si>
    <t>Guild EXP per Player</t>
  </si>
  <si>
    <t>Draw Ticket</t>
  </si>
  <si>
    <t>100x</t>
  </si>
  <si>
    <t>Less. Atk. Branding</t>
  </si>
  <si>
    <t>Less. Def. Branding</t>
  </si>
  <si>
    <t>Level 1 &gt; 2</t>
  </si>
  <si>
    <t>Level 2 &gt; 3</t>
  </si>
  <si>
    <t>Level 2</t>
  </si>
  <si>
    <t>Level 3 &gt; 4</t>
  </si>
  <si>
    <t>&gt;</t>
  </si>
  <si>
    <t>Level 4 &gt; 5</t>
  </si>
  <si>
    <t>5 Star Ticket</t>
  </si>
  <si>
    <t>Level 3</t>
  </si>
  <si>
    <t>4 Star Ticket</t>
  </si>
  <si>
    <t>200x</t>
  </si>
  <si>
    <t>Stamina Tonic</t>
  </si>
  <si>
    <t>Defence Debuff</t>
  </si>
  <si>
    <t>Offensiv Buffs</t>
  </si>
  <si>
    <t xml:space="preserve">Ability Pot. </t>
  </si>
  <si>
    <t xml:space="preserve">Ele Pot. </t>
  </si>
  <si>
    <t>Low</t>
  </si>
  <si>
    <t>Lv. 1 (1 Point)</t>
  </si>
  <si>
    <t>Mid</t>
  </si>
  <si>
    <t>Lv. 2 (5 Points)</t>
  </si>
  <si>
    <t>High</t>
  </si>
  <si>
    <t>Lv. 3 (15 Points)</t>
  </si>
  <si>
    <t>Extra High</t>
  </si>
  <si>
    <t>Lv. 4 (25 Points)</t>
  </si>
  <si>
    <t>Extreme High</t>
  </si>
  <si>
    <t>Extreme High+</t>
  </si>
  <si>
    <t>Lv. 6 (45 Points)</t>
  </si>
  <si>
    <t>Extreme High++</t>
  </si>
  <si>
    <t>Lv. 7 (55 Points)</t>
  </si>
  <si>
    <t>Lv. 8 (65 Points)</t>
  </si>
  <si>
    <t>Lv. 9 (80 Points)</t>
  </si>
  <si>
    <t>Lv. 10 (100 Points)</t>
  </si>
  <si>
    <t>OS Ele Pot</t>
  </si>
  <si>
    <t>Elemental Buff</t>
  </si>
  <si>
    <t>Phys&amp;Mag Pot</t>
  </si>
  <si>
    <t>OS Lv</t>
  </si>
  <si>
    <t>Elem. Ress Debuff</t>
  </si>
  <si>
    <t>OS Attacker Lv 1</t>
  </si>
  <si>
    <t>OS Attacker Lv 2</t>
  </si>
  <si>
    <t>Cmd Stance</t>
  </si>
  <si>
    <t>OS Attacker Lv 3</t>
  </si>
  <si>
    <t>OS Attacker Lv 4</t>
  </si>
  <si>
    <t>OS Attacker Lv 5</t>
  </si>
  <si>
    <t>OS Supporter Lv 1</t>
  </si>
  <si>
    <t>Elem. Ability (All Allies)</t>
  </si>
  <si>
    <t>OS Supporter Lv 2</t>
  </si>
  <si>
    <t>No Pot.</t>
  </si>
  <si>
    <t>OS Supporter Lv 3</t>
  </si>
  <si>
    <t>OS Supporter Lv 4</t>
  </si>
  <si>
    <t>OS Supporter Lv 5</t>
  </si>
  <si>
    <t>mag amp</t>
  </si>
  <si>
    <t>fire ampp</t>
  </si>
  <si>
    <t>mag + fire amp</t>
  </si>
  <si>
    <t>no 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</si>
</sst>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m/d"/>
    <numFmt numFmtId="166" formatCode="mm/dd"/>
  </numFmts>
  <fonts count="20">
    <font>
      <sz val="10"/>
      <color rgb="FF000000"/>
      <name val="Arial"/>
      <scheme val="minor"/>
    </font>
    <font>
      <b/>
      <sz val="17"/>
      <color rgb="FFFFFFFF"/>
      <name val="Oswald"/>
    </font>
    <font>
      <sz val="10"/>
      <color theme="1"/>
      <name val="Arial"/>
    </font>
    <font>
      <b/>
      <sz val="23"/>
      <color theme="1"/>
      <name val="Arial"/>
    </font>
    <font>
      <sz val="10"/>
      <color theme="1"/>
      <name val="Arial"/>
      <scheme val="minor"/>
    </font>
    <font>
      <sz val="12"/>
      <color rgb="FFFFFFFF"/>
      <name val="Oswald"/>
    </font>
    <font>
      <sz val="17"/>
      <color rgb="FFFFFFFF"/>
      <name val="Oswald"/>
    </font>
    <font>
      <sz val="17"/>
      <color theme="1"/>
      <name val="Arial"/>
      <scheme val="minor"/>
    </font>
    <font>
      <sz val="10"/>
      <color rgb="FFFFFFFF"/>
      <name val="Oswald"/>
    </font>
    <font>
      <sz val="10"/>
      <name val="Arial"/>
    </font>
    <font>
      <sz val="10"/>
      <color rgb="FFFFFFFF"/>
      <name val="Oswald"/>
    </font>
    <font>
      <b/>
      <sz val="27"/>
      <color theme="1"/>
      <name val="Arial"/>
      <scheme val="minor"/>
    </font>
    <font>
      <sz val="11"/>
      <color rgb="FF000000"/>
      <name val="Calibri"/>
    </font>
    <font>
      <b/>
      <sz val="10"/>
      <color theme="1"/>
      <name val="Arial"/>
      <scheme val="minor"/>
    </font>
    <font>
      <b/>
      <sz val="11"/>
      <color rgb="FF000000"/>
      <name val="Calibri"/>
    </font>
    <font>
      <sz val="11"/>
      <color rgb="FF000000"/>
      <name val="&quot;Aptos Narrow&quot;"/>
    </font>
    <font>
      <sz val="11"/>
      <color rgb="FF000000"/>
      <name val="Arial"/>
    </font>
    <font>
      <b/>
      <sz val="11"/>
      <color rgb="FF000000"/>
      <name val="&quot;Aptos Narrow&quot;"/>
    </font>
    <font>
      <b/>
      <sz val="11"/>
      <color rgb="FF000000"/>
      <name val="Arial"/>
    </font>
    <font>
      <b/>
      <sz val="12"/>
      <color theme="1"/>
      <name val="Arial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00B0"/>
        <bgColor rgb="FF0000B0"/>
      </patternFill>
    </fill>
    <fill>
      <patternFill patternType="solid">
        <fgColor rgb="FF000080"/>
        <bgColor rgb="FF000080"/>
      </patternFill>
    </fill>
    <fill>
      <patternFill patternType="solid">
        <fgColor rgb="FF999999"/>
        <bgColor rgb="FF999999"/>
      </patternFill>
    </fill>
    <fill>
      <patternFill patternType="solid">
        <fgColor rgb="FF000050"/>
        <bgColor rgb="FF000050"/>
      </patternFill>
    </fill>
    <fill>
      <patternFill patternType="solid">
        <fgColor rgb="FF000020"/>
        <bgColor rgb="FF000020"/>
      </patternFill>
    </fill>
    <fill>
      <patternFill patternType="solid">
        <fgColor rgb="FFCCCCCC"/>
        <bgColor rgb="FFCCCCCC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29">
    <border>
      <left/>
      <right/>
      <top/>
      <bottom/>
      <diagonal/>
    </border>
    <border>
      <left style="thick">
        <color rgb="FF999999"/>
      </left>
      <right style="thick">
        <color rgb="FF999999"/>
      </right>
      <top style="thick">
        <color rgb="FF999999"/>
      </top>
      <bottom style="thick">
        <color rgb="FF999999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rgb="FF999999"/>
      </left>
      <right style="thick">
        <color rgb="FF999999"/>
      </right>
      <top style="thick">
        <color rgb="FF999999"/>
      </top>
      <bottom style="thin">
        <color rgb="FF999999"/>
      </bottom>
      <diagonal/>
    </border>
    <border>
      <left style="thick">
        <color rgb="FF999999"/>
      </left>
      <right style="thick">
        <color rgb="FF999999"/>
      </right>
      <top style="thin">
        <color rgb="FF999999"/>
      </top>
      <bottom style="thick">
        <color rgb="FF999999"/>
      </bottom>
      <diagonal/>
    </border>
    <border>
      <left style="thick">
        <color rgb="FF999999"/>
      </left>
      <right style="thick">
        <color rgb="FF999999"/>
      </right>
      <top/>
      <bottom style="thin">
        <color rgb="FF999999"/>
      </bottom>
      <diagonal/>
    </border>
    <border>
      <left style="thick">
        <color rgb="FF999999"/>
      </left>
      <right style="thick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ck">
        <color rgb="FF000000"/>
      </top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 style="thick">
        <color rgb="FF999999"/>
      </left>
      <right style="thick">
        <color rgb="FF999999"/>
      </right>
      <top style="thin">
        <color rgb="FF999999"/>
      </top>
      <bottom/>
      <diagonal/>
    </border>
    <border>
      <left/>
      <right style="thick">
        <color rgb="FF999999"/>
      </right>
      <top/>
      <bottom style="thin">
        <color rgb="FF999999"/>
      </bottom>
      <diagonal/>
    </border>
    <border>
      <left/>
      <right style="thick">
        <color rgb="FF999999"/>
      </right>
      <top style="thin">
        <color rgb="FF999999"/>
      </top>
      <bottom style="thin">
        <color rgb="FF999999"/>
      </bottom>
      <diagonal/>
    </border>
    <border>
      <left/>
      <right style="thick">
        <color rgb="FF999999"/>
      </right>
      <top/>
      <bottom/>
      <diagonal/>
    </border>
    <border>
      <left style="thick">
        <color rgb="FF999999"/>
      </left>
      <right style="thick">
        <color rgb="FF999999"/>
      </right>
      <top/>
      <bottom/>
      <diagonal/>
    </border>
    <border>
      <left style="thick">
        <color rgb="FF999999"/>
      </left>
      <right/>
      <top/>
      <bottom style="thin">
        <color rgb="FF999999"/>
      </bottom>
      <diagonal/>
    </border>
    <border>
      <left/>
      <right style="thick">
        <color rgb="FF999999"/>
      </right>
      <top style="thin">
        <color rgb="FF999999"/>
      </top>
      <bottom style="thick">
        <color rgb="FF999999"/>
      </bottom>
      <diagonal/>
    </border>
    <border>
      <left style="thick">
        <color rgb="FF999999"/>
      </left>
      <right/>
      <top style="thin">
        <color rgb="FF999999"/>
      </top>
      <bottom style="thick">
        <color rgb="FF999999"/>
      </bottom>
      <diagonal/>
    </border>
    <border>
      <left style="thick">
        <color rgb="FF999999"/>
      </left>
      <right style="thick">
        <color rgb="FF000000"/>
      </right>
      <top style="thin">
        <color rgb="FF999999"/>
      </top>
      <bottom style="thin">
        <color rgb="FF999999"/>
      </bottom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9" fontId="5" fillId="2" borderId="7" xfId="0" applyNumberFormat="1" applyFont="1" applyFill="1" applyBorder="1" applyAlignment="1">
      <alignment horizontal="center"/>
    </xf>
    <xf numFmtId="9" fontId="5" fillId="3" borderId="7" xfId="0" applyNumberFormat="1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9" fontId="5" fillId="2" borderId="8" xfId="0" applyNumberFormat="1" applyFont="1" applyFill="1" applyBorder="1" applyAlignment="1">
      <alignment horizontal="center"/>
    </xf>
    <xf numFmtId="9" fontId="5" fillId="3" borderId="8" xfId="0" applyNumberFormat="1" applyFont="1" applyFill="1" applyBorder="1" applyAlignment="1">
      <alignment horizontal="center"/>
    </xf>
    <xf numFmtId="10" fontId="5" fillId="2" borderId="6" xfId="0" applyNumberFormat="1" applyFont="1" applyFill="1" applyBorder="1" applyAlignment="1">
      <alignment horizontal="center"/>
    </xf>
    <xf numFmtId="10" fontId="5" fillId="3" borderId="6" xfId="0" applyNumberFormat="1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9" fontId="4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4" borderId="0" xfId="0" applyFont="1" applyFill="1" applyAlignment="1">
      <alignment horizontal="center"/>
    </xf>
    <xf numFmtId="9" fontId="5" fillId="2" borderId="6" xfId="0" applyNumberFormat="1" applyFont="1" applyFill="1" applyBorder="1" applyAlignment="1">
      <alignment horizontal="center"/>
    </xf>
    <xf numFmtId="9" fontId="5" fillId="3" borderId="6" xfId="0" applyNumberFormat="1" applyFont="1" applyFill="1" applyBorder="1" applyAlignment="1">
      <alignment horizontal="center"/>
    </xf>
    <xf numFmtId="0" fontId="4" fillId="0" borderId="9" xfId="0" applyFont="1" applyBorder="1" applyAlignment="1">
      <alignment horizontal="center"/>
    </xf>
    <xf numFmtId="9" fontId="4" fillId="0" borderId="9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9" fontId="4" fillId="0" borderId="10" xfId="0" applyNumberFormat="1" applyFont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9" fontId="5" fillId="2" borderId="11" xfId="0" applyNumberFormat="1" applyFont="1" applyFill="1" applyBorder="1" applyAlignment="1">
      <alignment horizontal="center"/>
    </xf>
    <xf numFmtId="9" fontId="5" fillId="3" borderId="11" xfId="0" applyNumberFormat="1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 vertical="center"/>
    </xf>
    <xf numFmtId="9" fontId="8" fillId="5" borderId="6" xfId="0" applyNumberFormat="1" applyFont="1" applyFill="1" applyBorder="1" applyAlignment="1">
      <alignment horizontal="center"/>
    </xf>
    <xf numFmtId="9" fontId="8" fillId="6" borderId="6" xfId="0" applyNumberFormat="1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9" fontId="5" fillId="2" borderId="12" xfId="0" applyNumberFormat="1" applyFont="1" applyFill="1" applyBorder="1" applyAlignment="1">
      <alignment horizontal="center"/>
    </xf>
    <xf numFmtId="9" fontId="5" fillId="3" borderId="16" xfId="0" applyNumberFormat="1" applyFont="1" applyFill="1" applyBorder="1" applyAlignment="1">
      <alignment horizontal="center"/>
    </xf>
    <xf numFmtId="0" fontId="10" fillId="7" borderId="14" xfId="0" applyFont="1" applyFill="1" applyBorder="1" applyAlignment="1">
      <alignment horizontal="center"/>
    </xf>
    <xf numFmtId="9" fontId="5" fillId="7" borderId="17" xfId="0" applyNumberFormat="1" applyFont="1" applyFill="1" applyBorder="1" applyAlignment="1">
      <alignment horizontal="center"/>
    </xf>
    <xf numFmtId="9" fontId="5" fillId="7" borderId="6" xfId="0" applyNumberFormat="1" applyFont="1" applyFill="1" applyBorder="1" applyAlignment="1">
      <alignment horizontal="center"/>
    </xf>
    <xf numFmtId="9" fontId="5" fillId="7" borderId="18" xfId="0" applyNumberFormat="1" applyFont="1" applyFill="1" applyBorder="1" applyAlignment="1">
      <alignment horizontal="center"/>
    </xf>
    <xf numFmtId="0" fontId="5" fillId="3" borderId="19" xfId="0" applyFont="1" applyFill="1" applyBorder="1" applyAlignment="1">
      <alignment horizontal="center"/>
    </xf>
    <xf numFmtId="4" fontId="4" fillId="4" borderId="0" xfId="0" applyNumberFormat="1" applyFont="1" applyFill="1" applyAlignment="1">
      <alignment horizontal="center"/>
    </xf>
    <xf numFmtId="0" fontId="4" fillId="8" borderId="0" xfId="0" applyFont="1" applyFill="1" applyAlignment="1">
      <alignment horizontal="center"/>
    </xf>
    <xf numFmtId="4" fontId="4" fillId="8" borderId="0" xfId="0" applyNumberFormat="1" applyFont="1" applyFill="1" applyAlignment="1">
      <alignment horizontal="center"/>
    </xf>
    <xf numFmtId="0" fontId="4" fillId="9" borderId="0" xfId="0" applyFont="1" applyFill="1" applyAlignment="1">
      <alignment horizontal="center"/>
    </xf>
    <xf numFmtId="3" fontId="4" fillId="9" borderId="0" xfId="0" applyNumberFormat="1" applyFont="1" applyFill="1" applyAlignment="1">
      <alignment horizontal="center"/>
    </xf>
    <xf numFmtId="0" fontId="4" fillId="10" borderId="0" xfId="0" applyFont="1" applyFill="1" applyAlignment="1">
      <alignment horizontal="center"/>
    </xf>
    <xf numFmtId="10" fontId="4" fillId="10" borderId="0" xfId="0" applyNumberFormat="1" applyFont="1" applyFill="1" applyAlignment="1">
      <alignment horizontal="center"/>
    </xf>
    <xf numFmtId="0" fontId="4" fillId="11" borderId="0" xfId="0" applyFont="1" applyFill="1" applyAlignment="1">
      <alignment horizontal="center"/>
    </xf>
    <xf numFmtId="0" fontId="4" fillId="0" borderId="20" xfId="0" applyFont="1" applyBorder="1" applyAlignment="1">
      <alignment horizontal="center"/>
    </xf>
    <xf numFmtId="9" fontId="4" fillId="0" borderId="20" xfId="0" applyNumberFormat="1" applyFont="1" applyBorder="1" applyAlignment="1">
      <alignment horizontal="center"/>
    </xf>
    <xf numFmtId="9" fontId="4" fillId="0" borderId="21" xfId="0" applyNumberFormat="1" applyFont="1" applyBorder="1" applyAlignment="1">
      <alignment horizontal="center"/>
    </xf>
    <xf numFmtId="3" fontId="4" fillId="0" borderId="0" xfId="0" applyNumberFormat="1" applyFont="1" applyAlignment="1">
      <alignment horizontal="center"/>
    </xf>
    <xf numFmtId="3" fontId="4" fillId="9" borderId="20" xfId="0" applyNumberFormat="1" applyFont="1" applyFill="1" applyBorder="1" applyAlignment="1">
      <alignment horizontal="center"/>
    </xf>
    <xf numFmtId="4" fontId="4" fillId="8" borderId="22" xfId="0" applyNumberFormat="1" applyFont="1" applyFill="1" applyBorder="1" applyAlignment="1">
      <alignment horizontal="center"/>
    </xf>
    <xf numFmtId="4" fontId="4" fillId="8" borderId="23" xfId="0" applyNumberFormat="1" applyFont="1" applyFill="1" applyBorder="1" applyAlignment="1">
      <alignment horizontal="center"/>
    </xf>
    <xf numFmtId="0" fontId="4" fillId="0" borderId="0" xfId="0" applyFont="1"/>
    <xf numFmtId="1" fontId="4" fillId="0" borderId="0" xfId="0" applyNumberFormat="1" applyFont="1"/>
    <xf numFmtId="0" fontId="4" fillId="11" borderId="0" xfId="0" applyFont="1" applyFill="1"/>
    <xf numFmtId="0" fontId="12" fillId="11" borderId="0" xfId="0" applyFont="1" applyFill="1" applyAlignment="1">
      <alignment horizontal="left"/>
    </xf>
    <xf numFmtId="0" fontId="12" fillId="11" borderId="0" xfId="0" applyFont="1" applyFill="1"/>
    <xf numFmtId="0" fontId="12" fillId="12" borderId="0" xfId="0" applyFont="1" applyFill="1" applyAlignment="1">
      <alignment horizontal="left"/>
    </xf>
    <xf numFmtId="0" fontId="12" fillId="12" borderId="0" xfId="0" applyFont="1" applyFill="1"/>
    <xf numFmtId="0" fontId="12" fillId="0" borderId="0" xfId="0" applyFont="1" applyAlignment="1">
      <alignment horizontal="right"/>
    </xf>
    <xf numFmtId="2" fontId="12" fillId="11" borderId="0" xfId="0" applyNumberFormat="1" applyFont="1" applyFill="1" applyAlignment="1">
      <alignment horizontal="right"/>
    </xf>
    <xf numFmtId="2" fontId="12" fillId="0" borderId="0" xfId="0" applyNumberFormat="1" applyFont="1" applyAlignment="1">
      <alignment horizontal="right"/>
    </xf>
    <xf numFmtId="1" fontId="12" fillId="0" borderId="0" xfId="0" applyNumberFormat="1" applyFont="1" applyAlignment="1">
      <alignment horizontal="right"/>
    </xf>
    <xf numFmtId="0" fontId="13" fillId="0" borderId="24" xfId="0" applyFont="1" applyBorder="1"/>
    <xf numFmtId="0" fontId="4" fillId="0" borderId="25" xfId="0" applyFont="1" applyBorder="1"/>
    <xf numFmtId="0" fontId="4" fillId="0" borderId="26" xfId="0" applyFont="1" applyBorder="1"/>
    <xf numFmtId="164" fontId="4" fillId="0" borderId="20" xfId="0" applyNumberFormat="1" applyFont="1" applyBorder="1"/>
    <xf numFmtId="0" fontId="4" fillId="0" borderId="27" xfId="0" applyFont="1" applyBorder="1"/>
    <xf numFmtId="0" fontId="4" fillId="0" borderId="22" xfId="0" applyFont="1" applyBorder="1" applyAlignment="1">
      <alignment horizontal="right"/>
    </xf>
    <xf numFmtId="0" fontId="4" fillId="12" borderId="0" xfId="0" applyFont="1" applyFill="1"/>
    <xf numFmtId="2" fontId="12" fillId="12" borderId="0" xfId="0" applyNumberFormat="1" applyFont="1" applyFill="1"/>
    <xf numFmtId="0" fontId="14" fillId="12" borderId="0" xfId="0" applyFont="1" applyFill="1" applyAlignment="1">
      <alignment horizontal="right"/>
    </xf>
    <xf numFmtId="1" fontId="14" fillId="12" borderId="0" xfId="0" applyNumberFormat="1" applyFont="1" applyFill="1" applyAlignment="1">
      <alignment horizontal="right"/>
    </xf>
    <xf numFmtId="0" fontId="13" fillId="11" borderId="0" xfId="0" applyFont="1" applyFill="1"/>
    <xf numFmtId="0" fontId="13" fillId="10" borderId="0" xfId="0" applyFont="1" applyFill="1"/>
    <xf numFmtId="165" fontId="4" fillId="0" borderId="0" xfId="0" applyNumberFormat="1" applyFont="1"/>
    <xf numFmtId="0" fontId="15" fillId="0" borderId="24" xfId="0" applyFont="1" applyBorder="1"/>
    <xf numFmtId="0" fontId="15" fillId="0" borderId="9" xfId="0" applyFont="1" applyBorder="1"/>
    <xf numFmtId="0" fontId="15" fillId="0" borderId="25" xfId="0" applyFont="1" applyBorder="1"/>
    <xf numFmtId="166" fontId="13" fillId="0" borderId="0" xfId="0" applyNumberFormat="1" applyFont="1"/>
    <xf numFmtId="165" fontId="13" fillId="0" borderId="0" xfId="0" applyNumberFormat="1" applyFont="1"/>
    <xf numFmtId="0" fontId="4" fillId="0" borderId="24" xfId="0" applyFont="1" applyBorder="1"/>
    <xf numFmtId="0" fontId="4" fillId="0" borderId="9" xfId="0" applyFont="1" applyBorder="1"/>
    <xf numFmtId="0" fontId="15" fillId="0" borderId="26" xfId="0" applyFont="1" applyBorder="1"/>
    <xf numFmtId="0" fontId="15" fillId="0" borderId="0" xfId="0" applyFont="1"/>
    <xf numFmtId="0" fontId="15" fillId="0" borderId="0" xfId="0" applyFont="1" applyAlignment="1">
      <alignment horizontal="right"/>
    </xf>
    <xf numFmtId="3" fontId="16" fillId="13" borderId="20" xfId="0" applyNumberFormat="1" applyFont="1" applyFill="1" applyBorder="1" applyAlignment="1">
      <alignment horizontal="right"/>
    </xf>
    <xf numFmtId="3" fontId="4" fillId="0" borderId="0" xfId="0" applyNumberFormat="1" applyFont="1"/>
    <xf numFmtId="0" fontId="4" fillId="0" borderId="20" xfId="0" applyFont="1" applyBorder="1"/>
    <xf numFmtId="0" fontId="4" fillId="13" borderId="20" xfId="0" applyFont="1" applyFill="1" applyBorder="1"/>
    <xf numFmtId="3" fontId="16" fillId="0" borderId="20" xfId="0" applyNumberFormat="1" applyFont="1" applyBorder="1" applyAlignment="1">
      <alignment horizontal="right"/>
    </xf>
    <xf numFmtId="0" fontId="4" fillId="0" borderId="28" xfId="0" applyFont="1" applyBorder="1"/>
    <xf numFmtId="0" fontId="4" fillId="0" borderId="22" xfId="0" applyFont="1" applyBorder="1"/>
    <xf numFmtId="3" fontId="17" fillId="0" borderId="20" xfId="0" applyNumberFormat="1" applyFont="1" applyBorder="1" applyAlignment="1">
      <alignment horizontal="right"/>
    </xf>
    <xf numFmtId="3" fontId="4" fillId="0" borderId="20" xfId="0" applyNumberFormat="1" applyFont="1" applyBorder="1"/>
    <xf numFmtId="3" fontId="15" fillId="0" borderId="20" xfId="0" applyNumberFormat="1" applyFont="1" applyBorder="1"/>
    <xf numFmtId="3" fontId="4" fillId="13" borderId="0" xfId="0" applyNumberFormat="1" applyFont="1" applyFill="1"/>
    <xf numFmtId="0" fontId="15" fillId="0" borderId="20" xfId="0" applyFont="1" applyBorder="1"/>
    <xf numFmtId="0" fontId="16" fillId="13" borderId="20" xfId="0" applyFont="1" applyFill="1" applyBorder="1" applyAlignment="1">
      <alignment horizontal="right"/>
    </xf>
    <xf numFmtId="0" fontId="17" fillId="0" borderId="20" xfId="0" applyFont="1" applyBorder="1" applyAlignment="1">
      <alignment horizontal="right"/>
    </xf>
    <xf numFmtId="10" fontId="4" fillId="0" borderId="0" xfId="0" applyNumberFormat="1" applyFont="1"/>
    <xf numFmtId="3" fontId="16" fillId="14" borderId="20" xfId="0" applyNumberFormat="1" applyFont="1" applyFill="1" applyBorder="1" applyAlignment="1">
      <alignment horizontal="right"/>
    </xf>
    <xf numFmtId="3" fontId="18" fillId="0" borderId="20" xfId="0" applyNumberFormat="1" applyFont="1" applyBorder="1" applyAlignment="1">
      <alignment horizontal="right"/>
    </xf>
    <xf numFmtId="0" fontId="19" fillId="0" borderId="28" xfId="0" applyFont="1" applyBorder="1"/>
    <xf numFmtId="3" fontId="19" fillId="0" borderId="22" xfId="0" applyNumberFormat="1" applyFont="1" applyBorder="1"/>
    <xf numFmtId="4" fontId="4" fillId="0" borderId="0" xfId="0" applyNumberFormat="1" applyFont="1" applyAlignment="1">
      <alignment horizontal="center"/>
    </xf>
    <xf numFmtId="9" fontId="4" fillId="0" borderId="0" xfId="0" applyNumberFormat="1" applyFont="1"/>
    <xf numFmtId="9" fontId="2" fillId="0" borderId="0" xfId="0" applyNumberFormat="1" applyFont="1"/>
    <xf numFmtId="0" fontId="2" fillId="0" borderId="0" xfId="0" applyFont="1"/>
    <xf numFmtId="4" fontId="4" fillId="0" borderId="0" xfId="0" applyNumberFormat="1" applyFont="1"/>
    <xf numFmtId="4" fontId="13" fillId="0" borderId="0" xfId="0" applyNumberFormat="1" applyFont="1"/>
    <xf numFmtId="0" fontId="13" fillId="0" borderId="0" xfId="0" applyFont="1"/>
    <xf numFmtId="0" fontId="5" fillId="2" borderId="14" xfId="0" applyFont="1" applyFill="1" applyBorder="1" applyAlignment="1">
      <alignment horizontal="center" vertical="center" wrapText="1"/>
    </xf>
    <xf numFmtId="0" fontId="9" fillId="0" borderId="12" xfId="0" applyFont="1" applyBorder="1"/>
    <xf numFmtId="9" fontId="5" fillId="2" borderId="14" xfId="0" applyNumberFormat="1" applyFont="1" applyFill="1" applyBorder="1" applyAlignment="1">
      <alignment horizontal="center" vertical="center"/>
    </xf>
    <xf numFmtId="9" fontId="5" fillId="2" borderId="15" xfId="0" applyNumberFormat="1" applyFont="1" applyFill="1" applyBorder="1" applyAlignment="1">
      <alignment horizontal="center" vertical="center"/>
    </xf>
    <xf numFmtId="0" fontId="9" fillId="0" borderId="7" xfId="0" applyFont="1" applyBorder="1"/>
    <xf numFmtId="9" fontId="5" fillId="3" borderId="15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0" fillId="0" borderId="0" xfId="0"/>
    <xf numFmtId="3" fontId="13" fillId="1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1085850</xdr:colOff>
      <xdr:row>29</xdr:row>
      <xdr:rowOff>142875</xdr:rowOff>
    </xdr:from>
    <xdr:ext cx="4714875" cy="2019300"/>
    <xdr:pic>
      <xdr:nvPicPr>
        <xdr:cNvPr id="2" name="image3.png" title="Bild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51</xdr:row>
      <xdr:rowOff>0</xdr:rowOff>
    </xdr:from>
    <xdr:ext cx="4543425" cy="2714625"/>
    <xdr:pic>
      <xdr:nvPicPr>
        <xdr:cNvPr id="2" name="image1.png" title="Bild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51</xdr:row>
      <xdr:rowOff>0</xdr:rowOff>
    </xdr:from>
    <xdr:ext cx="5343525" cy="1971675"/>
    <xdr:pic>
      <xdr:nvPicPr>
        <xdr:cNvPr id="3" name="image5.png" title="Bild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65</xdr:row>
      <xdr:rowOff>200025</xdr:rowOff>
    </xdr:from>
    <xdr:ext cx="5495925" cy="1971675"/>
    <xdr:pic>
      <xdr:nvPicPr>
        <xdr:cNvPr id="4" name="image4.png" title="Bild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819150</xdr:colOff>
      <xdr:row>65</xdr:row>
      <xdr:rowOff>190500</xdr:rowOff>
    </xdr:from>
    <xdr:ext cx="4791075" cy="1990725"/>
    <xdr:pic>
      <xdr:nvPicPr>
        <xdr:cNvPr id="5" name="image2.png" title="Bild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000000"/>
      </a:lt1>
      <a:dk2>
        <a:srgbClr val="000000"/>
      </a:dk2>
      <a:lt2>
        <a:srgbClr val="000000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76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E66" sqref="E66"/>
    </sheetView>
  </sheetViews>
  <sheetFormatPr defaultColWidth="12.5703125" defaultRowHeight="15.75" customHeight="1" outlineLevelRow="1"/>
  <cols>
    <col min="1" max="1" width="32.85546875" customWidth="1"/>
    <col min="2" max="2" width="29.140625" customWidth="1"/>
    <col min="3" max="3" width="24.28515625" customWidth="1"/>
    <col min="4" max="4" width="29.140625" customWidth="1"/>
    <col min="5" max="5" width="18.7109375" bestFit="1" customWidth="1"/>
    <col min="6" max="6" width="14.85546875" customWidth="1"/>
    <col min="7" max="7" width="22.140625" customWidth="1"/>
    <col min="8" max="8" width="12.140625" customWidth="1"/>
    <col min="9" max="9" width="16.28515625" customWidth="1"/>
    <col min="10" max="10" width="16.42578125" bestFit="1" customWidth="1"/>
    <col min="11" max="11" width="19.7109375" customWidth="1"/>
  </cols>
  <sheetData>
    <row r="1" spans="1:11" ht="29.25">
      <c r="A1" s="1"/>
      <c r="B1" s="1" t="s">
        <v>0</v>
      </c>
      <c r="C1" s="1" t="s">
        <v>1</v>
      </c>
      <c r="D1" s="2" t="s">
        <v>2</v>
      </c>
      <c r="E1" s="2" t="s">
        <v>3</v>
      </c>
      <c r="F1" s="3"/>
      <c r="G1" s="4" t="s">
        <v>0</v>
      </c>
      <c r="H1" s="5" t="s">
        <v>1</v>
      </c>
      <c r="I1" s="6" t="s">
        <v>2</v>
      </c>
      <c r="J1" s="7" t="s">
        <v>3</v>
      </c>
      <c r="K1" s="8"/>
    </row>
    <row r="2" spans="1:11">
      <c r="A2" s="9" t="s">
        <v>4</v>
      </c>
      <c r="B2" s="9">
        <v>3715</v>
      </c>
      <c r="C2" s="9">
        <v>3715</v>
      </c>
      <c r="D2" s="10">
        <v>3715</v>
      </c>
      <c r="E2" s="10">
        <v>0</v>
      </c>
      <c r="F2" s="11"/>
      <c r="G2" s="11"/>
      <c r="H2" s="11"/>
      <c r="I2" s="11"/>
      <c r="J2" s="11"/>
      <c r="K2" s="8"/>
    </row>
    <row r="3" spans="1:11">
      <c r="A3" s="12" t="s">
        <v>5</v>
      </c>
      <c r="B3" s="12">
        <v>0</v>
      </c>
      <c r="C3" s="12">
        <v>0</v>
      </c>
      <c r="D3" s="13">
        <v>0</v>
      </c>
      <c r="E3" s="13">
        <v>0</v>
      </c>
      <c r="F3" s="11"/>
      <c r="G3" s="11"/>
      <c r="H3" s="11"/>
      <c r="I3" s="11"/>
      <c r="J3" s="11"/>
      <c r="K3" s="8"/>
    </row>
    <row r="4" spans="1:11">
      <c r="A4" s="14" t="s">
        <v>6</v>
      </c>
      <c r="B4" s="15">
        <v>17.97</v>
      </c>
      <c r="C4" s="15">
        <v>17.97</v>
      </c>
      <c r="D4" s="16">
        <v>17.97</v>
      </c>
      <c r="E4" s="16">
        <v>0</v>
      </c>
      <c r="F4" s="11"/>
      <c r="G4" s="11"/>
      <c r="H4" s="11"/>
      <c r="I4" s="11"/>
      <c r="J4" s="11"/>
      <c r="K4" s="8"/>
    </row>
    <row r="5" spans="1:11">
      <c r="A5" s="17" t="s">
        <v>7</v>
      </c>
      <c r="B5" s="18">
        <v>0.3</v>
      </c>
      <c r="C5" s="18">
        <v>0.3</v>
      </c>
      <c r="D5" s="19">
        <v>0.3</v>
      </c>
      <c r="E5" s="19">
        <v>0</v>
      </c>
      <c r="F5" s="11"/>
      <c r="G5" s="11"/>
      <c r="H5" s="11"/>
      <c r="I5" s="11"/>
      <c r="J5" s="11"/>
      <c r="K5" s="8"/>
    </row>
    <row r="6" spans="1:11">
      <c r="A6" s="12" t="s">
        <v>8</v>
      </c>
      <c r="B6" s="20">
        <v>0</v>
      </c>
      <c r="C6" s="20">
        <v>0</v>
      </c>
      <c r="D6" s="21">
        <v>0</v>
      </c>
      <c r="E6" s="21">
        <v>0</v>
      </c>
      <c r="F6" s="11"/>
      <c r="G6" s="11"/>
      <c r="H6" s="11"/>
      <c r="I6" s="11"/>
      <c r="J6" s="11"/>
      <c r="K6" s="8"/>
    </row>
    <row r="7" spans="1:11">
      <c r="A7" s="17" t="s">
        <v>9</v>
      </c>
      <c r="B7" s="17" t="s">
        <v>10</v>
      </c>
      <c r="C7" s="17" t="s">
        <v>10</v>
      </c>
      <c r="D7" s="22" t="s">
        <v>10</v>
      </c>
      <c r="E7" s="22" t="s">
        <v>11</v>
      </c>
      <c r="F7" s="11"/>
      <c r="G7" s="11"/>
      <c r="H7" s="11"/>
      <c r="I7" s="11"/>
      <c r="J7" s="11"/>
      <c r="K7" s="8"/>
    </row>
    <row r="8" spans="1:11" ht="22.5">
      <c r="A8" s="23" t="s">
        <v>12</v>
      </c>
      <c r="B8" s="23"/>
      <c r="C8" s="23"/>
      <c r="D8" s="24"/>
      <c r="E8" s="24"/>
      <c r="F8" s="11"/>
      <c r="G8" s="11"/>
      <c r="H8" s="11"/>
      <c r="I8" s="11"/>
      <c r="J8" s="11"/>
      <c r="K8" s="8"/>
    </row>
    <row r="9" spans="1:11" outlineLevel="1">
      <c r="A9" s="17" t="s">
        <v>13</v>
      </c>
      <c r="B9" s="17" t="s">
        <v>14</v>
      </c>
      <c r="C9" s="17" t="s">
        <v>14</v>
      </c>
      <c r="D9" s="22" t="s">
        <v>14</v>
      </c>
      <c r="E9" s="22" t="s">
        <v>14</v>
      </c>
      <c r="F9" s="11"/>
      <c r="G9" s="25">
        <f>VLOOKUP(B9,'Data Table'!$J$3:$K$10,2,FALSE)</f>
        <v>0</v>
      </c>
      <c r="H9" s="25">
        <f>VLOOKUP(C9,'Data Table'!$J$3:$K$10,2,FALSE)</f>
        <v>0</v>
      </c>
      <c r="I9" s="25">
        <f>VLOOKUP(D9,'Data Table'!$J$3:$K$10,2,FALSE)</f>
        <v>0</v>
      </c>
      <c r="J9" s="25">
        <f>VLOOKUP(E9,'Data Table'!$J$3:$K$10,2,FALSE)</f>
        <v>0</v>
      </c>
      <c r="K9" s="8"/>
    </row>
    <row r="10" spans="1:11" outlineLevel="1">
      <c r="A10" s="17" t="s">
        <v>15</v>
      </c>
      <c r="B10" s="17" t="s">
        <v>16</v>
      </c>
      <c r="C10" s="17" t="s">
        <v>16</v>
      </c>
      <c r="D10" s="22" t="s">
        <v>16</v>
      </c>
      <c r="E10" s="22" t="s">
        <v>14</v>
      </c>
      <c r="F10" s="11"/>
      <c r="G10" s="25">
        <f>VLOOKUP(B10,'Data Table'!$J$15:$K$22,2,FALSE)</f>
        <v>0.6</v>
      </c>
      <c r="H10" s="25">
        <f>VLOOKUP(C10,'Data Table'!$J$15:$K$22,2,FALSE)</f>
        <v>0.6</v>
      </c>
      <c r="I10" s="25">
        <f>VLOOKUP(D10,'Data Table'!$J$15:$K$22,2,FALSE)</f>
        <v>0.6</v>
      </c>
      <c r="J10" s="25">
        <f>VLOOKUP(E10,'Data Table'!$J$15:$K$22,2,FALSE)</f>
        <v>0</v>
      </c>
      <c r="K10" s="8"/>
    </row>
    <row r="11" spans="1:11" outlineLevel="1">
      <c r="A11" s="17" t="s">
        <v>17</v>
      </c>
      <c r="B11" s="17" t="s">
        <v>14</v>
      </c>
      <c r="C11" s="17" t="s">
        <v>14</v>
      </c>
      <c r="D11" s="22" t="s">
        <v>14</v>
      </c>
      <c r="E11" s="22" t="s">
        <v>14</v>
      </c>
      <c r="F11" s="11"/>
      <c r="G11" s="25">
        <f>VLOOKUP(B11,'Data Table'!$J$15:$K$22,2,FALSE)</f>
        <v>0</v>
      </c>
      <c r="H11" s="25">
        <f>VLOOKUP(C11,'Data Table'!$J$15:$K$22,2,FALSE)</f>
        <v>0</v>
      </c>
      <c r="I11" s="25">
        <f>VLOOKUP(D11,'Data Table'!$J$15:$K$22,2,FALSE)</f>
        <v>0</v>
      </c>
      <c r="J11" s="25">
        <f>VLOOKUP(E11,'Data Table'!$J$15:$K$22,2,FALSE)</f>
        <v>0</v>
      </c>
      <c r="K11" s="8"/>
    </row>
    <row r="12" spans="1:11" outlineLevel="1">
      <c r="A12" s="12" t="s">
        <v>18</v>
      </c>
      <c r="B12" s="12" t="s">
        <v>14</v>
      </c>
      <c r="C12" s="12" t="s">
        <v>14</v>
      </c>
      <c r="D12" s="13" t="s">
        <v>14</v>
      </c>
      <c r="E12" s="13" t="s">
        <v>14</v>
      </c>
      <c r="F12" s="11"/>
      <c r="G12" s="25">
        <f>VLOOKUP(B12,'Data Table'!$N$3:$O$13,2,FALSE)</f>
        <v>0</v>
      </c>
      <c r="H12" s="25">
        <f>VLOOKUP(C12,'Data Table'!$N$3:$O$13,2,FALSE)</f>
        <v>0</v>
      </c>
      <c r="I12" s="25">
        <f>VLOOKUP(D12,'Data Table'!$N$3:$O$13,2,FALSE)</f>
        <v>0</v>
      </c>
      <c r="J12" s="25">
        <f>VLOOKUP(E12,'Data Table'!$N$3:$O$13,2,FALSE)</f>
        <v>0</v>
      </c>
      <c r="K12" s="8"/>
    </row>
    <row r="13" spans="1:11" ht="22.5">
      <c r="A13" s="23" t="s">
        <v>19</v>
      </c>
      <c r="B13" s="23"/>
      <c r="C13" s="23"/>
      <c r="D13" s="24"/>
      <c r="E13" s="24"/>
      <c r="F13" s="11"/>
      <c r="G13" s="11"/>
      <c r="H13" s="11"/>
      <c r="I13" s="11"/>
      <c r="J13" s="11"/>
      <c r="K13" s="8"/>
    </row>
    <row r="14" spans="1:11" ht="15.75" customHeight="1" outlineLevel="1">
      <c r="A14" s="17" t="s">
        <v>20</v>
      </c>
      <c r="B14" s="18">
        <v>0.3</v>
      </c>
      <c r="C14" s="18">
        <v>0.3</v>
      </c>
      <c r="D14" s="19">
        <v>0.3</v>
      </c>
      <c r="E14" s="19">
        <v>0</v>
      </c>
      <c r="F14" s="11"/>
      <c r="G14" s="11"/>
      <c r="H14" s="11"/>
      <c r="I14" s="11"/>
      <c r="J14" s="11"/>
      <c r="K14" s="8"/>
    </row>
    <row r="15" spans="1:11" ht="15.75" customHeight="1" outlineLevel="1">
      <c r="A15" s="17" t="s">
        <v>21</v>
      </c>
      <c r="B15" s="18">
        <v>0</v>
      </c>
      <c r="C15" s="18">
        <v>0</v>
      </c>
      <c r="D15" s="19">
        <v>0</v>
      </c>
      <c r="E15" s="19">
        <v>0</v>
      </c>
      <c r="F15" s="11"/>
      <c r="G15" s="11"/>
      <c r="H15" s="11"/>
      <c r="I15" s="11"/>
      <c r="J15" s="11"/>
      <c r="K15" s="8"/>
    </row>
    <row r="16" spans="1:11" ht="15.75" customHeight="1" outlineLevel="1">
      <c r="A16" s="17" t="s">
        <v>22</v>
      </c>
      <c r="B16" s="18">
        <v>0</v>
      </c>
      <c r="C16" s="18">
        <v>0</v>
      </c>
      <c r="D16" s="19">
        <v>0</v>
      </c>
      <c r="E16" s="19">
        <v>0</v>
      </c>
      <c r="F16" s="11"/>
      <c r="G16" s="11"/>
      <c r="H16" s="11"/>
      <c r="I16" s="11"/>
      <c r="J16" s="11"/>
      <c r="K16" s="8"/>
    </row>
    <row r="17" spans="1:11" outlineLevel="1">
      <c r="A17" s="17" t="s">
        <v>23</v>
      </c>
      <c r="B17" s="18">
        <v>0.15</v>
      </c>
      <c r="C17" s="18">
        <v>0.15</v>
      </c>
      <c r="D17" s="19">
        <v>0.15</v>
      </c>
      <c r="E17" s="19">
        <v>0</v>
      </c>
      <c r="F17" s="11"/>
      <c r="G17" s="11"/>
      <c r="H17" s="11"/>
      <c r="I17" s="11"/>
      <c r="J17" s="11"/>
      <c r="K17" s="8"/>
    </row>
    <row r="18" spans="1:11" ht="22.5">
      <c r="A18" s="23" t="s">
        <v>24</v>
      </c>
      <c r="B18" s="23"/>
      <c r="C18" s="23"/>
      <c r="D18" s="24"/>
      <c r="E18" s="24"/>
      <c r="F18" s="26"/>
      <c r="G18" s="26"/>
      <c r="H18" s="26"/>
      <c r="I18" s="26"/>
      <c r="J18" s="26"/>
      <c r="K18" s="27"/>
    </row>
    <row r="19" spans="1:11" outlineLevel="1">
      <c r="A19" s="17" t="s">
        <v>25</v>
      </c>
      <c r="B19" s="18">
        <v>0</v>
      </c>
      <c r="C19" s="18">
        <v>0</v>
      </c>
      <c r="D19" s="19">
        <v>0</v>
      </c>
      <c r="E19" s="19">
        <v>0.2</v>
      </c>
      <c r="F19" s="11"/>
      <c r="G19" s="11"/>
      <c r="H19" s="11"/>
      <c r="I19" s="11"/>
      <c r="J19" s="11"/>
      <c r="K19" s="8"/>
    </row>
    <row r="20" spans="1:11" outlineLevel="1">
      <c r="A20" s="17" t="s">
        <v>26</v>
      </c>
      <c r="B20" s="18">
        <v>0</v>
      </c>
      <c r="C20" s="18">
        <v>0</v>
      </c>
      <c r="D20" s="19">
        <v>0</v>
      </c>
      <c r="E20" s="19">
        <v>0</v>
      </c>
      <c r="F20" s="11"/>
      <c r="G20" s="11"/>
      <c r="H20" s="11"/>
      <c r="I20" s="11"/>
      <c r="J20" s="11"/>
      <c r="K20" s="8"/>
    </row>
    <row r="21" spans="1:11" outlineLevel="1">
      <c r="A21" s="17" t="s">
        <v>27</v>
      </c>
      <c r="B21" s="18">
        <v>0</v>
      </c>
      <c r="C21" s="18">
        <v>0</v>
      </c>
      <c r="D21" s="19">
        <v>0</v>
      </c>
      <c r="E21" s="19">
        <v>0.15</v>
      </c>
      <c r="F21" s="11"/>
      <c r="G21" s="11"/>
      <c r="H21" s="11"/>
      <c r="I21" s="11"/>
      <c r="J21" s="11"/>
      <c r="K21" s="8"/>
    </row>
    <row r="22" spans="1:11" outlineLevel="1">
      <c r="A22" s="17" t="s">
        <v>28</v>
      </c>
      <c r="B22" s="18">
        <v>0</v>
      </c>
      <c r="C22" s="18">
        <v>0</v>
      </c>
      <c r="D22" s="19">
        <v>0</v>
      </c>
      <c r="E22" s="19">
        <v>0</v>
      </c>
      <c r="F22" s="11"/>
      <c r="G22" s="11"/>
      <c r="H22" s="11"/>
      <c r="I22" s="11"/>
      <c r="J22" s="11"/>
      <c r="K22" s="8"/>
    </row>
    <row r="23" spans="1:11" ht="22.5">
      <c r="A23" s="23" t="s">
        <v>29</v>
      </c>
      <c r="B23" s="23"/>
      <c r="C23" s="23"/>
      <c r="D23" s="24"/>
      <c r="E23" s="24"/>
      <c r="F23" s="11"/>
      <c r="G23" s="11"/>
      <c r="H23" s="11"/>
      <c r="I23" s="11"/>
      <c r="J23" s="11"/>
      <c r="K23" s="8"/>
    </row>
    <row r="24" spans="1:11" outlineLevel="1">
      <c r="A24" s="14" t="s">
        <v>30</v>
      </c>
      <c r="B24" s="15">
        <v>0</v>
      </c>
      <c r="C24" s="15">
        <v>0</v>
      </c>
      <c r="D24" s="16">
        <v>0</v>
      </c>
      <c r="E24" s="16">
        <v>0</v>
      </c>
      <c r="F24" s="11"/>
      <c r="G24" s="11"/>
      <c r="H24" s="11"/>
      <c r="I24" s="11"/>
      <c r="J24" s="11"/>
      <c r="K24" s="8"/>
    </row>
    <row r="25" spans="1:11" outlineLevel="1">
      <c r="A25" s="14" t="s">
        <v>31</v>
      </c>
      <c r="B25" s="15">
        <v>0</v>
      </c>
      <c r="C25" s="15">
        <v>0</v>
      </c>
      <c r="D25" s="16">
        <v>0</v>
      </c>
      <c r="E25" s="16">
        <v>0</v>
      </c>
      <c r="F25" s="11"/>
      <c r="G25" s="11"/>
      <c r="H25" s="11"/>
      <c r="I25" s="11"/>
      <c r="J25" s="11"/>
      <c r="K25" s="8"/>
    </row>
    <row r="26" spans="1:11" outlineLevel="1">
      <c r="A26" s="17" t="s">
        <v>32</v>
      </c>
      <c r="B26" s="18">
        <v>0</v>
      </c>
      <c r="C26" s="18">
        <v>0</v>
      </c>
      <c r="D26" s="19">
        <v>0</v>
      </c>
      <c r="E26" s="19">
        <v>0</v>
      </c>
      <c r="F26" s="11"/>
      <c r="G26" s="11"/>
      <c r="H26" s="11"/>
      <c r="I26" s="11"/>
      <c r="J26" s="11"/>
      <c r="K26" s="8"/>
    </row>
    <row r="27" spans="1:11" outlineLevel="1">
      <c r="A27" s="12" t="s">
        <v>33</v>
      </c>
      <c r="B27" s="28">
        <v>0</v>
      </c>
      <c r="C27" s="28">
        <v>0</v>
      </c>
      <c r="D27" s="29">
        <v>0</v>
      </c>
      <c r="E27" s="29">
        <v>0</v>
      </c>
      <c r="F27" s="11"/>
      <c r="G27" s="11"/>
      <c r="H27" s="11"/>
      <c r="I27" s="11"/>
      <c r="J27" s="11"/>
      <c r="K27" s="8"/>
    </row>
    <row r="28" spans="1:11" ht="22.5">
      <c r="A28" s="23" t="s">
        <v>34</v>
      </c>
      <c r="B28" s="23"/>
      <c r="C28" s="23"/>
      <c r="D28" s="24"/>
      <c r="E28" s="24"/>
      <c r="F28" s="11"/>
      <c r="G28" s="11"/>
      <c r="H28" s="11"/>
      <c r="I28" s="11"/>
      <c r="J28" s="11"/>
      <c r="K28" s="8"/>
    </row>
    <row r="29" spans="1:11" outlineLevel="1">
      <c r="A29" s="14" t="s">
        <v>35</v>
      </c>
      <c r="B29" s="15">
        <v>0.1</v>
      </c>
      <c r="C29" s="15">
        <v>0.1</v>
      </c>
      <c r="D29" s="16">
        <v>0.1</v>
      </c>
      <c r="E29" s="16">
        <v>0.1</v>
      </c>
      <c r="F29" s="30"/>
      <c r="G29" s="31">
        <f>VLOOKUP(B29,'Data Table'!$B$15:$C$16,2,FALSE)</f>
        <v>0.1</v>
      </c>
      <c r="H29" s="31">
        <f>VLOOKUP(C29,'Data Table'!$B$15:$C$16,2,FALSE)</f>
        <v>0.1</v>
      </c>
      <c r="I29" s="31">
        <f>VLOOKUP(D29,'Data Table'!$B$15:$C$16,2,FALSE)</f>
        <v>0.1</v>
      </c>
      <c r="J29" s="31">
        <f>VLOOKUP(E29,'Data Table'!$B$15:$C$16,2,FALSE)</f>
        <v>0.1</v>
      </c>
      <c r="K29" s="8"/>
    </row>
    <row r="30" spans="1:11" outlineLevel="1">
      <c r="A30" s="17" t="s">
        <v>36</v>
      </c>
      <c r="B30" s="17" t="s">
        <v>37</v>
      </c>
      <c r="C30" s="17" t="s">
        <v>37</v>
      </c>
      <c r="D30" s="22" t="s">
        <v>37</v>
      </c>
      <c r="E30" s="22" t="s">
        <v>37</v>
      </c>
      <c r="F30" s="11"/>
      <c r="G30" s="25">
        <f>VLOOKUP(B30,'Data Table'!$B$25:$C$35,2,FALSE)</f>
        <v>0</v>
      </c>
      <c r="H30" s="25">
        <f>VLOOKUP(C30,'Data Table'!$B$25:$C$35,2,FALSE)</f>
        <v>0</v>
      </c>
      <c r="I30" s="25">
        <f>VLOOKUP(D30,'Data Table'!$B$25:$C$35,2,FALSE)</f>
        <v>0</v>
      </c>
      <c r="J30" s="25">
        <f>VLOOKUP(E30,'Data Table'!$B$25:$C$35,2,FALSE)</f>
        <v>0</v>
      </c>
      <c r="K30" s="8"/>
    </row>
    <row r="31" spans="1:11" ht="22.5">
      <c r="A31" s="23" t="s">
        <v>38</v>
      </c>
      <c r="B31" s="23"/>
      <c r="C31" s="23"/>
      <c r="D31" s="24"/>
      <c r="E31" s="24"/>
      <c r="F31" s="11"/>
      <c r="G31" s="11"/>
      <c r="H31" s="11"/>
      <c r="I31" s="11"/>
      <c r="J31" s="11"/>
      <c r="K31" s="8" t="s">
        <v>39</v>
      </c>
    </row>
    <row r="32" spans="1:11" outlineLevel="1">
      <c r="A32" s="17" t="s">
        <v>40</v>
      </c>
      <c r="B32" s="17" t="s">
        <v>41</v>
      </c>
      <c r="C32" s="17" t="s">
        <v>41</v>
      </c>
      <c r="D32" s="22" t="s">
        <v>41</v>
      </c>
      <c r="E32" s="22" t="s">
        <v>41</v>
      </c>
      <c r="F32" s="11"/>
      <c r="G32" s="25">
        <f>VLOOKUP(B32,'Data Table'!$F$3:$G$10,2,FALSE)</f>
        <v>0</v>
      </c>
      <c r="H32" s="25">
        <f>VLOOKUP(C32,'Data Table'!$F$3:$G$10,2,FALSE)</f>
        <v>0</v>
      </c>
      <c r="I32" s="25">
        <f>VLOOKUP(D32,'Data Table'!$F$3:$G$10,2,FALSE)</f>
        <v>0</v>
      </c>
      <c r="J32" s="25">
        <f>VLOOKUP(E32,'Data Table'!$F$3:$G$10,2,FALSE)</f>
        <v>0</v>
      </c>
      <c r="K32" s="8"/>
    </row>
    <row r="33" spans="1:11" outlineLevel="1">
      <c r="A33" s="17" t="s">
        <v>42</v>
      </c>
      <c r="B33" s="17" t="s">
        <v>41</v>
      </c>
      <c r="C33" s="17" t="s">
        <v>41</v>
      </c>
      <c r="D33" s="22" t="s">
        <v>41</v>
      </c>
      <c r="E33" s="22" t="s">
        <v>41</v>
      </c>
      <c r="F33" s="11"/>
      <c r="G33" s="25">
        <f>VLOOKUP(B33,'Data Table'!$F$3:$G$10,2,FALSE)</f>
        <v>0</v>
      </c>
      <c r="H33" s="25">
        <f>VLOOKUP(C33,'Data Table'!$F$3:$G$10,2,FALSE)</f>
        <v>0</v>
      </c>
      <c r="I33" s="25">
        <f>VLOOKUP(D33,'Data Table'!$F$3:$G$10,2,FALSE)</f>
        <v>0</v>
      </c>
      <c r="J33" s="25">
        <f>VLOOKUP(E33,'Data Table'!$F$3:$G$10,2,FALSE)</f>
        <v>0</v>
      </c>
      <c r="K33" s="8"/>
    </row>
    <row r="34" spans="1:11" outlineLevel="1">
      <c r="A34" s="17" t="s">
        <v>43</v>
      </c>
      <c r="B34" s="17" t="s">
        <v>44</v>
      </c>
      <c r="C34" s="17" t="s">
        <v>44</v>
      </c>
      <c r="D34" s="22" t="s">
        <v>44</v>
      </c>
      <c r="E34" s="22" t="s">
        <v>44</v>
      </c>
      <c r="F34" s="32"/>
      <c r="G34" s="33">
        <f>VLOOKUP(B34,'Data Table'!$F$15:$G$22,2,FALSE)</f>
        <v>0</v>
      </c>
      <c r="H34" s="33">
        <f>VLOOKUP(C34,'Data Table'!$F$15:$G$22,2,FALSE)</f>
        <v>0</v>
      </c>
      <c r="I34" s="33">
        <f>VLOOKUP(D34,'Data Table'!$F$15:$G$22,2,FALSE)</f>
        <v>0</v>
      </c>
      <c r="J34" s="33">
        <f>VLOOKUP(E34,'Data Table'!$F$15:$G$22,2,FALSE)</f>
        <v>0</v>
      </c>
      <c r="K34" s="8"/>
    </row>
    <row r="35" spans="1:11" outlineLevel="1">
      <c r="A35" s="17" t="s">
        <v>45</v>
      </c>
      <c r="B35" s="18">
        <v>0.4</v>
      </c>
      <c r="C35" s="18">
        <v>0.4</v>
      </c>
      <c r="D35" s="19">
        <v>0</v>
      </c>
      <c r="E35" s="19">
        <v>0</v>
      </c>
      <c r="F35" s="32"/>
      <c r="G35" s="32"/>
      <c r="H35" s="32"/>
      <c r="I35" s="32"/>
      <c r="J35" s="32"/>
      <c r="K35" s="8"/>
    </row>
    <row r="36" spans="1:11" outlineLevel="1">
      <c r="A36" s="17" t="s">
        <v>46</v>
      </c>
      <c r="B36" s="18">
        <v>0.4</v>
      </c>
      <c r="C36" s="18">
        <v>0.4</v>
      </c>
      <c r="D36" s="19">
        <v>0</v>
      </c>
      <c r="E36" s="19">
        <v>0</v>
      </c>
      <c r="F36" s="11"/>
      <c r="G36" s="11"/>
      <c r="H36" s="11"/>
      <c r="I36" s="11"/>
      <c r="J36" s="11"/>
      <c r="K36" s="8"/>
    </row>
    <row r="37" spans="1:11" outlineLevel="1">
      <c r="A37" s="17" t="s">
        <v>47</v>
      </c>
      <c r="B37" s="18">
        <v>0.4</v>
      </c>
      <c r="C37" s="18">
        <v>0</v>
      </c>
      <c r="D37" s="19">
        <v>0</v>
      </c>
      <c r="E37" s="19">
        <v>0</v>
      </c>
      <c r="F37" s="11"/>
      <c r="G37" s="11"/>
      <c r="H37" s="11"/>
      <c r="I37" s="11"/>
      <c r="J37" s="11"/>
      <c r="K37" s="8"/>
    </row>
    <row r="38" spans="1:11" outlineLevel="1">
      <c r="A38" s="17" t="s">
        <v>48</v>
      </c>
      <c r="B38" s="18">
        <v>0</v>
      </c>
      <c r="C38" s="18">
        <v>0</v>
      </c>
      <c r="D38" s="19">
        <v>0</v>
      </c>
      <c r="E38" s="19">
        <v>0</v>
      </c>
      <c r="F38" s="32"/>
      <c r="G38" s="32"/>
      <c r="H38" s="32"/>
      <c r="I38" s="32"/>
      <c r="J38" s="32"/>
      <c r="K38" s="8"/>
    </row>
    <row r="39" spans="1:11" outlineLevel="1">
      <c r="A39" s="17" t="s">
        <v>49</v>
      </c>
      <c r="B39" s="18">
        <v>0</v>
      </c>
      <c r="C39" s="18">
        <v>0</v>
      </c>
      <c r="D39" s="19">
        <v>0</v>
      </c>
      <c r="E39" s="19">
        <v>0</v>
      </c>
      <c r="F39" s="11"/>
      <c r="G39" s="11"/>
      <c r="H39" s="11"/>
      <c r="I39" s="11"/>
      <c r="J39" s="11"/>
      <c r="K39" s="8"/>
    </row>
    <row r="40" spans="1:11" outlineLevel="1">
      <c r="A40" s="17" t="s">
        <v>50</v>
      </c>
      <c r="B40" s="18">
        <v>0</v>
      </c>
      <c r="C40" s="18">
        <v>0.3</v>
      </c>
      <c r="D40" s="19">
        <v>0</v>
      </c>
      <c r="E40" s="19">
        <v>0</v>
      </c>
      <c r="F40" s="11"/>
      <c r="G40" s="11"/>
      <c r="H40" s="11"/>
      <c r="I40" s="11"/>
      <c r="J40" s="11"/>
      <c r="K40" s="8"/>
    </row>
    <row r="41" spans="1:11" outlineLevel="1">
      <c r="A41" s="34" t="s">
        <v>51</v>
      </c>
      <c r="B41" s="35">
        <v>0</v>
      </c>
      <c r="C41" s="35">
        <v>0</v>
      </c>
      <c r="D41" s="36">
        <v>0</v>
      </c>
      <c r="E41" s="36">
        <v>0</v>
      </c>
      <c r="F41" s="11"/>
      <c r="G41" s="11"/>
      <c r="H41" s="11"/>
      <c r="I41" s="11"/>
      <c r="J41" s="11"/>
      <c r="K41" s="8"/>
    </row>
    <row r="42" spans="1:11" ht="22.5">
      <c r="A42" s="23" t="s">
        <v>52</v>
      </c>
      <c r="B42" s="23"/>
      <c r="C42" s="23"/>
      <c r="D42" s="24"/>
      <c r="E42" s="24"/>
      <c r="F42" s="26"/>
      <c r="G42" s="26"/>
      <c r="H42" s="26"/>
      <c r="I42" s="26"/>
      <c r="J42" s="26"/>
      <c r="K42" s="27"/>
    </row>
    <row r="43" spans="1:11" outlineLevel="1">
      <c r="A43" s="14" t="s">
        <v>53</v>
      </c>
      <c r="B43" s="15">
        <v>0</v>
      </c>
      <c r="C43" s="15">
        <v>0</v>
      </c>
      <c r="D43" s="16">
        <v>0</v>
      </c>
      <c r="E43" s="16">
        <v>0</v>
      </c>
      <c r="F43" s="11"/>
      <c r="G43" s="11"/>
      <c r="H43" s="11"/>
      <c r="I43" s="11"/>
      <c r="J43" s="11"/>
      <c r="K43" s="8"/>
    </row>
    <row r="44" spans="1:11" outlineLevel="1">
      <c r="A44" s="17" t="s">
        <v>54</v>
      </c>
      <c r="B44" s="18">
        <v>0</v>
      </c>
      <c r="C44" s="18">
        <v>0</v>
      </c>
      <c r="D44" s="19">
        <v>0</v>
      </c>
      <c r="E44" s="19">
        <v>0</v>
      </c>
      <c r="F44" s="11"/>
      <c r="G44" s="11"/>
      <c r="H44" s="11"/>
      <c r="I44" s="11"/>
      <c r="J44" s="11"/>
      <c r="K44" s="8"/>
    </row>
    <row r="45" spans="1:11" outlineLevel="1">
      <c r="A45" s="17" t="s">
        <v>55</v>
      </c>
      <c r="B45" s="18">
        <v>0</v>
      </c>
      <c r="C45" s="18">
        <v>0</v>
      </c>
      <c r="D45" s="19">
        <v>0</v>
      </c>
      <c r="E45" s="19">
        <v>0</v>
      </c>
      <c r="F45" s="11"/>
      <c r="G45" s="11"/>
      <c r="H45" s="11"/>
      <c r="I45" s="11"/>
      <c r="J45" s="11"/>
      <c r="K45" s="8"/>
    </row>
    <row r="46" spans="1:11" ht="22.5">
      <c r="A46" s="37" t="s">
        <v>56</v>
      </c>
      <c r="B46" s="38"/>
      <c r="C46" s="38"/>
      <c r="D46" s="39"/>
      <c r="E46" s="39"/>
      <c r="F46" s="11"/>
      <c r="G46" s="11"/>
      <c r="H46" s="11"/>
      <c r="I46" s="11"/>
      <c r="J46" s="11"/>
      <c r="K46" s="8"/>
    </row>
    <row r="47" spans="1:11" outlineLevel="1">
      <c r="A47" s="40" t="s">
        <v>57</v>
      </c>
      <c r="B47" s="14">
        <v>100</v>
      </c>
      <c r="C47" s="14">
        <v>100</v>
      </c>
      <c r="D47" s="41">
        <v>100</v>
      </c>
      <c r="E47" s="41">
        <v>100</v>
      </c>
      <c r="F47" s="11"/>
      <c r="G47" s="11"/>
      <c r="H47" s="11"/>
      <c r="I47" s="11"/>
      <c r="J47" s="11"/>
      <c r="K47" s="8"/>
    </row>
    <row r="48" spans="1:11" outlineLevel="1">
      <c r="A48" s="42" t="s">
        <v>58</v>
      </c>
      <c r="B48" s="17">
        <v>100</v>
      </c>
      <c r="C48" s="17">
        <v>100</v>
      </c>
      <c r="D48" s="22">
        <v>100</v>
      </c>
      <c r="E48" s="22">
        <v>100</v>
      </c>
      <c r="F48" s="11"/>
      <c r="G48" s="11"/>
      <c r="H48" s="11"/>
      <c r="I48" s="11"/>
      <c r="J48" s="11"/>
      <c r="K48" s="8"/>
    </row>
    <row r="49" spans="1:11" outlineLevel="1">
      <c r="A49" s="42" t="s">
        <v>59</v>
      </c>
      <c r="B49" s="17" t="s">
        <v>60</v>
      </c>
      <c r="C49" s="17" t="s">
        <v>60</v>
      </c>
      <c r="D49" s="22" t="s">
        <v>60</v>
      </c>
      <c r="E49" s="22" t="s">
        <v>60</v>
      </c>
      <c r="F49" s="11"/>
      <c r="G49" s="25">
        <f>VLOOKUP(B49,'Data Table'!$B$3:$C$8,2,FALSE)</f>
        <v>0</v>
      </c>
      <c r="H49" s="25">
        <f>VLOOKUP(C49,'Data Table'!$B$3:$C$8,2,FALSE)</f>
        <v>0</v>
      </c>
      <c r="I49" s="25">
        <f>VLOOKUP(D49,'Data Table'!$B$3:$C$8,2,FALSE)</f>
        <v>0</v>
      </c>
      <c r="J49" s="25">
        <f>VLOOKUP(E49,'Data Table'!$B$3:$C$8,2,FALSE)</f>
        <v>0</v>
      </c>
      <c r="K49" s="8"/>
    </row>
    <row r="50" spans="1:11" outlineLevel="1">
      <c r="A50" s="42" t="s">
        <v>61</v>
      </c>
      <c r="B50" s="17" t="s">
        <v>60</v>
      </c>
      <c r="C50" s="17" t="s">
        <v>60</v>
      </c>
      <c r="D50" s="22" t="s">
        <v>60</v>
      </c>
      <c r="E50" s="22" t="s">
        <v>60</v>
      </c>
      <c r="F50" s="11"/>
      <c r="G50" s="25">
        <f>VLOOKUP(B50,'Data Table'!$B$3:$C$8,2,FALSE)</f>
        <v>0</v>
      </c>
      <c r="H50" s="25">
        <f>VLOOKUP(C50,'Data Table'!$B$3:$C$8,2,FALSE)</f>
        <v>0</v>
      </c>
      <c r="I50" s="25">
        <f>VLOOKUP(D50,'Data Table'!$B$3:$C$8,2,FALSE)</f>
        <v>0</v>
      </c>
      <c r="J50" s="25">
        <f>VLOOKUP(E50,'Data Table'!$B$3:$C$8,2,FALSE)</f>
        <v>0</v>
      </c>
      <c r="K50" s="8"/>
    </row>
    <row r="51" spans="1:11" ht="12.75" outlineLevel="1">
      <c r="A51" s="125" t="s">
        <v>62</v>
      </c>
      <c r="B51" s="127">
        <v>-2</v>
      </c>
      <c r="C51" s="128">
        <v>-2</v>
      </c>
      <c r="D51" s="130">
        <v>-2</v>
      </c>
      <c r="E51" s="130">
        <v>0</v>
      </c>
      <c r="F51" s="11"/>
      <c r="G51" s="11"/>
      <c r="H51" s="11"/>
      <c r="I51" s="11"/>
      <c r="J51" s="11"/>
      <c r="K51" s="8"/>
    </row>
    <row r="52" spans="1:11" ht="12.75" outlineLevel="1">
      <c r="A52" s="126"/>
      <c r="B52" s="126"/>
      <c r="C52" s="129"/>
      <c r="D52" s="129"/>
      <c r="E52" s="129"/>
      <c r="F52" s="11"/>
      <c r="G52" s="11"/>
      <c r="H52" s="11"/>
      <c r="I52" s="25"/>
      <c r="J52" s="11"/>
      <c r="K52" s="8">
        <v>1</v>
      </c>
    </row>
    <row r="53" spans="1:11" outlineLevel="1">
      <c r="A53" s="17" t="s">
        <v>63</v>
      </c>
      <c r="B53" s="17" t="s">
        <v>64</v>
      </c>
      <c r="C53" s="17" t="s">
        <v>64</v>
      </c>
      <c r="D53" s="22" t="s">
        <v>64</v>
      </c>
      <c r="E53" s="22" t="s">
        <v>64</v>
      </c>
      <c r="F53" s="11"/>
      <c r="G53" s="25">
        <f>VLOOKUP(B53,'Data Table'!$F$25:$G$30,2,FALSE)</f>
        <v>0</v>
      </c>
      <c r="H53" s="25">
        <f>VLOOKUP(C53,'Data Table'!$F$25:$G$30,2,FALSE)</f>
        <v>0</v>
      </c>
      <c r="I53" s="25">
        <f>VLOOKUP(D53,'Data Table'!$F$25:$G$30,2,FALSE)</f>
        <v>0</v>
      </c>
      <c r="J53" s="25">
        <f>VLOOKUP(E53,'Data Table'!$F$25:$G$30,2,FALSE)</f>
        <v>0</v>
      </c>
      <c r="K53" s="8"/>
    </row>
    <row r="54" spans="1:11" outlineLevel="1">
      <c r="A54" s="40" t="s">
        <v>65</v>
      </c>
      <c r="B54" s="43">
        <v>0.5</v>
      </c>
      <c r="C54" s="15">
        <v>0.5</v>
      </c>
      <c r="D54" s="16">
        <v>0.5</v>
      </c>
      <c r="E54" s="44">
        <v>0</v>
      </c>
      <c r="F54" s="11"/>
      <c r="G54" s="11"/>
      <c r="H54" s="11"/>
      <c r="I54" s="11"/>
      <c r="J54" s="11"/>
      <c r="K54" s="8"/>
    </row>
    <row r="55" spans="1:11" outlineLevel="1">
      <c r="A55" s="40" t="s">
        <v>66</v>
      </c>
      <c r="B55" s="43">
        <v>0.5</v>
      </c>
      <c r="C55" s="15">
        <v>0.5</v>
      </c>
      <c r="D55" s="16">
        <v>0.5</v>
      </c>
      <c r="E55" s="44">
        <v>0</v>
      </c>
      <c r="F55" s="11"/>
      <c r="G55" s="11"/>
      <c r="H55" s="11"/>
      <c r="I55" s="11"/>
      <c r="J55" s="11"/>
      <c r="K55" s="8"/>
    </row>
    <row r="56" spans="1:11" ht="60" customHeight="1" outlineLevel="1">
      <c r="A56" s="45" t="s">
        <v>67</v>
      </c>
      <c r="B56" s="46">
        <v>0</v>
      </c>
      <c r="C56" s="47">
        <v>0</v>
      </c>
      <c r="D56" s="47">
        <v>0</v>
      </c>
      <c r="E56" s="48">
        <v>0</v>
      </c>
      <c r="F56" s="11"/>
      <c r="G56" s="11"/>
      <c r="H56" s="11"/>
      <c r="I56" s="11"/>
      <c r="J56" s="11"/>
      <c r="K56" s="8"/>
    </row>
    <row r="57" spans="1:11">
      <c r="A57" s="42" t="s">
        <v>68</v>
      </c>
      <c r="B57" s="17">
        <f t="shared" ref="B57:E57" si="0">(B47*(1-G49))*2.2+100</f>
        <v>320</v>
      </c>
      <c r="C57" s="17">
        <f t="shared" si="0"/>
        <v>320</v>
      </c>
      <c r="D57" s="22">
        <f t="shared" si="0"/>
        <v>320</v>
      </c>
      <c r="E57" s="49">
        <f t="shared" si="0"/>
        <v>320</v>
      </c>
      <c r="F57" s="11"/>
      <c r="G57" s="11"/>
      <c r="H57" s="11"/>
      <c r="I57" s="11"/>
      <c r="J57" s="11"/>
      <c r="K57" s="8"/>
    </row>
    <row r="58" spans="1:11">
      <c r="A58" s="42" t="s">
        <v>69</v>
      </c>
      <c r="B58" s="17">
        <f t="shared" ref="B58:E58" si="1">(B48*(1-G50))*2.2+100</f>
        <v>320</v>
      </c>
      <c r="C58" s="17">
        <f t="shared" si="1"/>
        <v>320</v>
      </c>
      <c r="D58" s="22">
        <f t="shared" si="1"/>
        <v>320</v>
      </c>
      <c r="E58" s="49">
        <f t="shared" si="1"/>
        <v>320</v>
      </c>
      <c r="F58" s="11"/>
      <c r="G58" s="11"/>
      <c r="H58" s="11"/>
      <c r="I58" s="11"/>
      <c r="J58" s="11"/>
      <c r="K58" s="8"/>
    </row>
    <row r="59" spans="1:11" ht="12.75">
      <c r="A59" s="8">
        <v>3</v>
      </c>
      <c r="B59" s="50"/>
      <c r="C59" s="8"/>
      <c r="D59" s="8"/>
      <c r="E59" s="8"/>
      <c r="F59" s="11"/>
      <c r="G59" s="11"/>
      <c r="H59" s="11"/>
      <c r="I59" s="11"/>
      <c r="J59" s="11"/>
      <c r="K59" s="8"/>
    </row>
    <row r="60" spans="1:11" ht="12.75">
      <c r="A60" s="51" t="s">
        <v>70</v>
      </c>
      <c r="B60" s="52" t="str">
        <f>ROUNDDOWN((B61)*0.9874375,0)&amp;"~" &amp;ROUNDDOWN((B61)*1.015625,0)</f>
        <v>770410~792402</v>
      </c>
      <c r="C60" s="52" t="str">
        <f t="shared" ref="B60:E60" si="2">ROUNDDOWN((C61)*0.9874375,0)&amp;"~" &amp;ROUNDDOWN((C61)*1.015625,0)</f>
        <v>599207~616312</v>
      </c>
      <c r="D60" s="52" t="str">
        <f t="shared" si="2"/>
        <v>305718~314445</v>
      </c>
      <c r="E60" s="52" t="str">
        <f t="shared" si="2"/>
        <v>0~0</v>
      </c>
      <c r="F60" s="11"/>
      <c r="G60" s="11"/>
      <c r="H60" s="11"/>
      <c r="I60" s="11"/>
      <c r="J60" s="11"/>
      <c r="K60" s="8"/>
    </row>
    <row r="61" spans="1:11" ht="12.75">
      <c r="A61" s="53" t="s">
        <v>71</v>
      </c>
      <c r="B61" s="54">
        <f>_xlfn.IFS(B7="Magical",(B3*50*(B4*(1+B5)*1.5*(1+(G9+G11+G12+B14+B17+B19+B21+B16)))*(1+G29)*(1+G30)*(1+B6)*(1+G33)*(1+G34)*(1+G53)*(1+B35)*(1+B38+B39)*(1+B36+B37)*(1-B51)*(1+B43+B45)*(1+B22)*(1+B55)*(1+B54)/B58),B7="Physical",(B2*50*(B4*(1+B5)*1.5*(1+(G9+G10+G12+B14+B17+B19+B20+B15)))*(1+G29)*(1+G30)*(1+B6)*(1+G32)*(1+G34)*(1+G53)*(1+B35)*(1+B38+B39)*(1+B36+B37)*(1-B51)*(1+B44+B45)*(1+B22)*(1+B55)*(1+B54)/B57))</f>
        <v>780211.58095740224</v>
      </c>
      <c r="C61" s="54">
        <f>_xlfn.IFS(C7="Magical",(C3*50*(C4*(1+C5)*1.5*(1+(H9+H11+H12+C14+C17+C19+C21+C16)))*(1+H29)*(1+H30)*(1+C6)*(1+H33)*(1+H34)*(1+H53)*(1+C35)*(1+C38+C39)*(1+C36+C37)*(1-C51)*(1+C43+C45)*(1+C22)*(1+C55)*(1+C54)/C58),C7="Physical",(C2*50*(C4*(1+C5)*1.5*(1+(H9+H10+H12+C14+C17+C19+C20+C15)))*(1+H29)*(1+H30)*(1+C6)*(1+H32)*(1+H34)*(1+H53)*(1+C35)*(1+C38+C39)*(1+C36+C37)*(1-C51)*(1+C44+C45)*(1+C22)*(1+C55)*(1+C54)/C57))</f>
        <v>606831.22963353503</v>
      </c>
      <c r="D61" s="54">
        <f>_xlfn.IFS(D7="Magical",(D3*50*(D4*(1+D5)*1.5*(1+(I9+I11+I12+D14+D17+D19+D21+D16)))*(1+I29)*(1+I30)*(1+D6)*(1+I33)*(1+I34)*(1+I53)*(1+D35)*(1+D38+D39)*(1+D36+D37)*(1-D51)*(1+D43+D45)*(1+D22)*(1+D55)*(1+D54)/D58),D7="Physical",(D2*50*(D4*(1+D5)*1.5*(1+(I9+I10+I12+D14+D17+D19+D20+D15)))*(1+I29)*(1+I30)*(1+D6)*(1+I32)*(1+I34)*(1+I53)*(1+D35)*(1+D38+D39)*(1+D36+D37)*(1-D51)*(1+D44+D45)*(1+D22)*(1+D55)*(1+D54)/D57))</f>
        <v>309607.77022119134</v>
      </c>
      <c r="E61" s="54">
        <f>_xlfn.IFS(E7="Magical",(E3*50*(E4*(1+E5)*1.5*(1+(J9+J11+J12+E14+E17+E19+E21+E16)))*(1+J29)*(1+J30)*(1+E6)*(1+J33)*(1+J34)*(1+J53)*(1+E35)*(1+E38+E39)*(1+E36+E37)*(1-E51)*(1+E43+E45)*(1+E22)*(1+E55)*(1+E54)/E58),E7="Physical",(E2*50*(E4*(1+E5)*1.5*(1+(J9+J10+J12+E14+E17+E19+E20+E15)))*(1+J29)*(1+J30)*(1+E6)*(1+J32)*(1+J34)*(1+J53)*(1+E35)*(1+E38+E39)*(1+E36+E37)*(1-E51)*(1+E44+E45)*(1+E22)*(1+E55)*(1+E54)/E57))</f>
        <v>0</v>
      </c>
      <c r="F61" s="11"/>
      <c r="G61" s="11"/>
      <c r="H61" s="11"/>
      <c r="I61" s="11"/>
      <c r="J61" s="11"/>
      <c r="K61" s="8"/>
    </row>
    <row r="62" spans="1:11" ht="12.75">
      <c r="A62" s="53" t="s">
        <v>72</v>
      </c>
      <c r="B62" s="54">
        <f t="shared" ref="B62:E62" si="3">B61*((B41+B40))</f>
        <v>0</v>
      </c>
      <c r="C62" s="54">
        <f t="shared" si="3"/>
        <v>182049.36889006049</v>
      </c>
      <c r="D62" s="54">
        <f t="shared" si="3"/>
        <v>0</v>
      </c>
      <c r="E62" s="54">
        <f t="shared" si="3"/>
        <v>0</v>
      </c>
      <c r="F62" s="11"/>
      <c r="G62" s="11"/>
      <c r="H62" s="11"/>
      <c r="I62" s="11"/>
      <c r="J62" s="11"/>
      <c r="K62" s="8"/>
    </row>
    <row r="63" spans="1:11" ht="12.75">
      <c r="A63" s="53" t="s">
        <v>73</v>
      </c>
      <c r="B63" s="54">
        <f t="shared" ref="B63:E63" si="4">SUM(B61:B62)</f>
        <v>780211.58095740224</v>
      </c>
      <c r="C63" s="54">
        <f t="shared" si="4"/>
        <v>788880.59852359549</v>
      </c>
      <c r="D63" s="54">
        <f t="shared" si="4"/>
        <v>309607.77022119134</v>
      </c>
      <c r="E63" s="54">
        <f t="shared" si="4"/>
        <v>0</v>
      </c>
      <c r="F63" s="11"/>
      <c r="G63" s="25"/>
      <c r="H63" s="11"/>
      <c r="I63" s="11"/>
      <c r="J63" s="11"/>
      <c r="K63" s="8"/>
    </row>
    <row r="64" spans="1:11" ht="12.75">
      <c r="A64" s="55" t="s">
        <v>74</v>
      </c>
      <c r="B64" s="55"/>
      <c r="C64" s="56">
        <f t="shared" ref="C64:E64" si="5">(C$63-$B$63)/$B$63</f>
        <v>1.1111111111110966E-2</v>
      </c>
      <c r="D64" s="56">
        <f t="shared" si="5"/>
        <v>-0.60317460317460325</v>
      </c>
      <c r="E64" s="56">
        <f t="shared" si="5"/>
        <v>-1</v>
      </c>
      <c r="F64" s="11"/>
      <c r="G64" s="11"/>
      <c r="H64" s="11"/>
      <c r="I64" s="11"/>
      <c r="J64" s="11"/>
      <c r="K64" s="8"/>
    </row>
    <row r="65" spans="1:11" ht="12.75">
      <c r="A65" s="52" t="s">
        <v>75</v>
      </c>
      <c r="B65" s="52" t="str">
        <f>ROUNDDOWN(B66*0.9874375,0)&amp;"~" &amp;ROUNDDOWN(B66*1.015625,0)</f>
        <v>770410~792402</v>
      </c>
      <c r="C65" s="52" t="str">
        <f t="shared" ref="B65:E65" si="6">ROUNDDOWN(C66*0.9874375,0)&amp;"~" &amp;ROUNDDOWN(C66*1.015625,0)</f>
        <v>599207~616312</v>
      </c>
      <c r="D65" s="52" t="str">
        <f t="shared" si="6"/>
        <v>305718~314445</v>
      </c>
      <c r="E65" s="52" t="str">
        <f t="shared" si="6"/>
        <v>0~0</v>
      </c>
      <c r="F65" s="11"/>
      <c r="G65" s="11"/>
      <c r="H65" s="11"/>
      <c r="I65" s="11"/>
      <c r="J65" s="11"/>
      <c r="K65" s="8"/>
    </row>
    <row r="66" spans="1:11" ht="12.75">
      <c r="A66" s="53" t="s">
        <v>76</v>
      </c>
      <c r="B66" s="54">
        <f>_xlfn.IFS(B7="Magical",(B3*50*(B4*(1+B5)*1.5*(1+(G9+G11+G12+B14+B17+B19+B21+B16+B26+B27+B25)))*(1+G29)*(1+G30)*(1+B6)*(1+G33)*(1+G34)*(1+G53)*(1+B35)*(1+B38+B39)*(1+B36+B37)*(1-B51)*(1+B24)*(1+B43+B45)*(1+B22)*(1+B55)*(1+B54)/B58),B7="Physical",(B2*50*(B4*(1+B5)*1.5*(1+(G9+G10+G12+B14+B17+B19+B20+B15+B26+B27+B25)))*(1+G29)*(1+G30)*(1+B6)*(1+G32)*(1+G34)*(1+G53)*(1+B35)*(1+B38+B39)*(1+B36+B37)*(1-B51)*(1+B24)*(1+B44+B45)*(1+B22)*(1+B55)*(1+B54)/B57))</f>
        <v>780211.58095740224</v>
      </c>
      <c r="C66" s="54">
        <f>_xlfn.IFS(C7="Magical",(C3*50*(C4*(1+C5)*1.5*(1+(H9+H11+H12+C14+C17+C19+C21+C16+C26+C27+C25)))*(1+H29)*(1+H30)*(1+C6)*(1+H33)*(1+H34)*(1+H53)*(1+C35)*(1+C38+C39)*(1+C36+C37)*(1-C51)*(1+C24)*(1+C43+C45)*(1+C22)*(1+C55)*(1+C54)/C58),C7="Physical",(C2*50*(C4*(1+C5)*1.5*(1+(H9+H10+H12+C14+C17+C19+C20+C15+C26+C27+C25)))*(1+H29)*(1+H30)*(1+C6)*(1+H32)*(1+H34)*(1+H53)*(1+C35)*(1+C38+C39)*(1+C36+C37)*(1-C51)*(1+C24)*(1+C44+C45)*(1+C22)*(1+C55)*(1+C54)/C57))</f>
        <v>606831.22963353503</v>
      </c>
      <c r="D66" s="54">
        <f>_xlfn.IFS(D7="Magical",(D3*50*(D4*(1+D5)*1.5*(1+(I9+I11+I12+D14+D17+D19+D21+D16+D26+D27+D25)))*(1+I29)*(1+I30)*(1+D6)*(1+I33)*(1+I34)*(1+I53)*(1+D35)*(1+D38+D39)*(1+D36+D37)*(1-D51)*(1+D24)*(1+D43+D45)*(1+D22)*(1+D55)*(1+D54)/D58),D7="Physical",(D2*50*(D4*(1+D5)*1.5*(1+(I9+I10+I12+D14+D17+D19+D20+D15+D26+D27+D25)))*(1+I29)*(1+I30)*(1+D6)*(1+I32)*(1+I34)*(1+I53)*(1+D35)*(1+D38+D39)*(1+D36+D37)*(1-D51)*(1+D24)*(1+D44+D45)*(1+D22)*(1+D55)*(1+D54)/D57))</f>
        <v>309607.77022119134</v>
      </c>
      <c r="E66" s="54">
        <f>_xlfn.IFS(E7="Magical",(E3*50*(E4*(1+E5)*1.5*(1+(J9+J11+J12+E14+E17+E19+E21+E16+E26+E27+E25)))*(1+J29)*(1+J30)*(1+E6)*(1+J33)*(1+J34)*(1+J53)*(1+E35)*(1+E38+E39)*(1+E36+E37)*(1-E51)*(1+E24)*(1+E43+E45)*(1+E22)*(1+E55)*(1+E54)/E58),E7="Physical",(E2*50*(E4*(1+E5)*1.5*(1+(J9+J10+J12+E14+E17+E19+E20+E15+E26+E27+E25)))*(1+J29)*(1+J30)*(1+E6)*(1+J32)*(1+J34)*(1+J53)*(1+E35)*(1+E38+E39)*(1+E36+E37)*(1-E51)*(1+E24)*(1+E44+E45)*(1+E22)*(1+E55)*(1+E54)/E57))</f>
        <v>0</v>
      </c>
      <c r="F66" s="11"/>
      <c r="G66" s="11"/>
      <c r="H66" s="11"/>
      <c r="I66" s="11"/>
      <c r="J66" s="11"/>
      <c r="K66" s="8"/>
    </row>
    <row r="67" spans="1:11" ht="12.75">
      <c r="A67" s="55" t="s">
        <v>77</v>
      </c>
      <c r="B67" s="55"/>
      <c r="C67" s="56">
        <f t="shared" ref="C67:D67" si="7">(C$66-$B$66)/$B$66</f>
        <v>-0.22222222222222229</v>
      </c>
      <c r="D67" s="56">
        <f t="shared" si="7"/>
        <v>-0.60317460317460325</v>
      </c>
      <c r="E67" s="56">
        <f>(E$61-$B$61)/$B$61</f>
        <v>-1</v>
      </c>
      <c r="F67" s="11"/>
      <c r="G67" s="11"/>
      <c r="H67" s="11"/>
      <c r="I67" s="11"/>
      <c r="J67" s="11"/>
      <c r="K67" s="8"/>
    </row>
    <row r="68" spans="1:11" ht="7.5" customHeight="1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8"/>
    </row>
    <row r="69" spans="1:11" ht="15.75" customHeight="1">
      <c r="A69" s="11" t="s">
        <v>78</v>
      </c>
      <c r="B69" s="58" t="s">
        <v>79</v>
      </c>
      <c r="C69" s="58" t="s">
        <v>79</v>
      </c>
      <c r="D69" s="58" t="s">
        <v>79</v>
      </c>
      <c r="E69" s="58" t="s">
        <v>79</v>
      </c>
      <c r="F69" s="11"/>
      <c r="G69" s="11"/>
      <c r="H69" s="11"/>
      <c r="I69" s="11"/>
      <c r="J69" s="11"/>
      <c r="K69" s="8"/>
    </row>
    <row r="70" spans="1:11" ht="15.75" customHeight="1">
      <c r="A70" s="11" t="s">
        <v>80</v>
      </c>
      <c r="B70" s="59">
        <v>0.31</v>
      </c>
      <c r="C70" s="59">
        <v>0.31</v>
      </c>
      <c r="D70" s="59">
        <v>0.31</v>
      </c>
      <c r="E70" s="59">
        <v>0.31</v>
      </c>
      <c r="F70" s="11"/>
      <c r="G70" s="11"/>
      <c r="H70" s="11"/>
      <c r="I70" s="11"/>
      <c r="J70" s="11"/>
      <c r="K70" s="8"/>
    </row>
    <row r="71" spans="1:11" ht="15.75" customHeight="1">
      <c r="A71" s="11" t="s">
        <v>81</v>
      </c>
      <c r="B71" s="59">
        <v>41.39</v>
      </c>
      <c r="C71" s="59">
        <v>75</v>
      </c>
      <c r="D71" s="59">
        <v>75</v>
      </c>
      <c r="E71" s="59">
        <v>75</v>
      </c>
      <c r="F71" s="11"/>
      <c r="G71" s="11"/>
      <c r="H71" s="11"/>
      <c r="I71" s="11"/>
      <c r="J71" s="11"/>
      <c r="K71" s="8"/>
    </row>
    <row r="72" spans="1:11" ht="15.75" customHeight="1">
      <c r="A72" s="11" t="s">
        <v>82</v>
      </c>
      <c r="B72" s="25">
        <v>1.1000000000000001</v>
      </c>
      <c r="C72" s="60">
        <v>1.1000000000000001</v>
      </c>
      <c r="D72" s="25">
        <v>1.25</v>
      </c>
      <c r="E72" s="60">
        <v>1.25</v>
      </c>
      <c r="F72" s="11"/>
      <c r="G72" s="61"/>
      <c r="H72" s="11"/>
      <c r="I72" s="11"/>
      <c r="J72" s="11"/>
      <c r="K72" s="8"/>
    </row>
    <row r="73" spans="1:11" ht="15.75" customHeight="1">
      <c r="A73" s="53" t="s">
        <v>83</v>
      </c>
      <c r="B73" s="62">
        <f>_xlfn.IFS(B69="Magical",(B3*50*(B71*(1+B70)*1.5*(1+(G9+G11+G12+B14+B17+B19+B21+B16)))*(1+G29)*(1+G30)*(1+B6)*(1+G33)*(1+G34)*(1+G53)*(1+B35)*(1-B51)*(1+B43+B45)*(1+B22)/B58),B69="Physical",(B2*50*(B71*(1+B70)*1.5*(1+(G9+G10+G12+B14+B17+B19+B20+B15)))*(1+G29)*(1+G30)*(1+B6)*(1+G32)*(1+G34)*(1+G53)*(1+B35)*(1-B51)*(1+B44+B45)*(1+B22)/B57),B69="Physical/Magical",(((((B2+B3)/2)*50)*(B71*(1+B70))*1.5*(1+(G9+G10+G12+B14+B17+B19+B20+B15))*(1+G29)*(1+G30)*(1+B6)*(1+G32)*(1+G34)*(1+G53)*(1+B35)*(1-B51)*(1+B44+B45)*(1+B22)*B72)/(ROUNDUP((((B47+B48)/2)*(1-G49)),0)*2.2+100)+((((B2+B3)/2)*50)*(B71*(1+B70))*1.5*(1+(G9+G11+G12+B14+B17+B19+B21+B16))*(1+G29)*(1+G30)*(1+B6)*(1+G33)*(1+G34)*(1+G53)*(1+B35)*(1-B51)*(1+B43+B45)*(1+B22)*B72)/(ROUNDUP((((B47+B48)/2)*(1-G50)),0)*2.2+100))/2)</f>
        <v>209932.43296491212</v>
      </c>
      <c r="C73" s="62" t="e">
        <f t="shared" ref="B73:E73" ca="1" si="8">_xludf.IFS(C69="Magical",(C3*50*(C71*(1+C70)*1.5*(1+(H9+H11+H12+C14+C17+C19+C21+C16)))*(1+H29)*(1+H30)*(1+C6)*(1+H33)*(1+H34)*(1+H53)*(1+C35)*(1-C51)*(1+C43+C45)*(1+C22)/C58),C69="Physical",(C2*50*(C71*(1+C70)*1.5*(1+(H9+H10+H12+C14+C17+C19+C20+C15)))*(1+H29)*(1+H30)*(1+C6)*(1+H32)*(1+H34)*(1+H53)*(1+C35)*(1-C51)*(1+C44+C45)*(1+C22)/C57),C69="Physical/Magical",(((((C2+C3)/2)*50)*(C71*(1+C70))*1.5*(1+(H9+H10+H12+C14+C17+C19+C20+C15))*(1+H29)*(1+H30)*(1+C6)*(1+H32)*(1+H34)*(1+H53)*(1+C35)*(1-C51)*(1+C44+C45)*(1+C22)*C72)/(ROUNDUP((((C47+C48)/2)*(1-H49)),0)*2.2+100)+((((C2+C3)/2)*50)*(C71*(1+C70))*1.5*(1+(H9+H11+H12+C14+C17+C19+C21+C16))*(1+H29)*(1+H30)*(1+C6)*(1+H33)*(1+H34)*(1+H53)*(1+C35)*(1-C51)*(1+C43+C45)*(1+C22)*C72)/(ROUNDUP((((C47+C48)/2)*(1-H50)),0)*2.2+100))/2)</f>
        <v>#NAME?</v>
      </c>
      <c r="D73" s="62" t="e">
        <f t="shared" ca="1" si="8"/>
        <v>#NAME?</v>
      </c>
      <c r="E73" s="62" t="e">
        <f t="shared" ca="1" si="8"/>
        <v>#NAME?</v>
      </c>
      <c r="F73" s="11"/>
      <c r="G73" s="11"/>
      <c r="H73" s="11"/>
      <c r="I73" s="11"/>
      <c r="J73" s="11"/>
      <c r="K73" s="8"/>
    </row>
    <row r="74" spans="1:11" ht="15.75" customHeight="1">
      <c r="A74" s="53" t="s">
        <v>72</v>
      </c>
      <c r="B74" s="62">
        <f t="shared" ref="B74:E74" si="9">B73*((B41+B40))</f>
        <v>0</v>
      </c>
      <c r="C74" s="62" t="e">
        <f t="shared" ca="1" si="9"/>
        <v>#NAME?</v>
      </c>
      <c r="D74" s="62" t="e">
        <f t="shared" ca="1" si="9"/>
        <v>#NAME?</v>
      </c>
      <c r="E74" s="62" t="e">
        <f t="shared" ca="1" si="9"/>
        <v>#NAME?</v>
      </c>
      <c r="F74" s="11"/>
      <c r="G74" s="11"/>
      <c r="H74" s="11"/>
      <c r="I74" s="11"/>
      <c r="J74" s="11"/>
      <c r="K74" s="8"/>
    </row>
    <row r="75" spans="1:11" ht="15.75" customHeight="1">
      <c r="A75" s="11"/>
      <c r="B75" s="63" t="str">
        <f t="shared" ref="B75:E75" si="10">ROUNDDOWN(B73*0.9874375,0)&amp;"~" &amp;ROUNDDOWN(B73*1.015625,0)</f>
        <v>207295~213212</v>
      </c>
      <c r="C75" s="64" t="e">
        <f t="shared" ca="1" si="10"/>
        <v>#NAME?</v>
      </c>
      <c r="D75" s="64" t="e">
        <f t="shared" ca="1" si="10"/>
        <v>#NAME?</v>
      </c>
      <c r="E75" s="64" t="e">
        <f t="shared" ca="1" si="10"/>
        <v>#NAME?</v>
      </c>
      <c r="F75" s="11"/>
      <c r="G75" s="11"/>
      <c r="H75" s="11"/>
      <c r="I75" s="11"/>
      <c r="J75" s="11"/>
      <c r="K75" s="8"/>
    </row>
    <row r="76" spans="1:11" ht="7.5" customHeight="1">
      <c r="A76" s="57"/>
      <c r="B76" s="57"/>
      <c r="C76" s="57"/>
      <c r="D76" s="57"/>
      <c r="E76" s="57"/>
      <c r="F76" s="57"/>
      <c r="G76" s="57"/>
      <c r="H76" s="57"/>
      <c r="I76" s="57"/>
      <c r="J76" s="57"/>
      <c r="K76" s="8"/>
    </row>
  </sheetData>
  <mergeCells count="5">
    <mergeCell ref="A51:A52"/>
    <mergeCell ref="B51:B52"/>
    <mergeCell ref="C51:C52"/>
    <mergeCell ref="D51:D52"/>
    <mergeCell ref="E51:E52"/>
  </mergeCells>
  <dataValidations count="11">
    <dataValidation type="list" allowBlank="1" showErrorMessage="1" sqref="B69:E69" xr:uid="{00000000-0002-0000-0000-000000000000}">
      <formula1>"Physical,Magical,Physical/Magical"</formula1>
    </dataValidation>
    <dataValidation type="list" allowBlank="1" showErrorMessage="1" sqref="B53:E53" xr:uid="{00000000-0002-0000-0000-000001000000}">
      <formula1>"No Elem. Res. Debuff,Low,Mid,High,Extra High,Extreme High"</formula1>
    </dataValidation>
    <dataValidation type="list" allowBlank="1" showErrorMessage="1" sqref="B72:E72" xr:uid="{00000000-0002-0000-0000-000002000000}">
      <formula1>"100%,110%,125%"</formula1>
    </dataValidation>
    <dataValidation type="list" allowBlank="1" showErrorMessage="1" sqref="B29:E29" xr:uid="{00000000-0002-0000-0000-000003000000}">
      <formula1>"0%,10%"</formula1>
    </dataValidation>
    <dataValidation type="list" allowBlank="1" showErrorMessage="1" sqref="B30:E30" xr:uid="{00000000-0002-0000-0000-000004000000}">
      <formula1>"No OS,OS Attacker Lv 1,OS Attacker Lv 2,OS Attacker Lv 3,OS Attacker Lv 4,OS Attacker Lv 5,OS Supporter Lv 1,OS Supporter Lv 2,OS Supporter Lv 3,OS Supporter Lv 4,OS Supporter Lv 5"</formula1>
    </dataValidation>
    <dataValidation type="list" allowBlank="1" showErrorMessage="1" sqref="B49:E50" xr:uid="{00000000-0002-0000-0000-000005000000}">
      <formula1>"No Debuff,Low,Mid,High,Extra High,Extreme High"</formula1>
    </dataValidation>
    <dataValidation type="list" allowBlank="1" showErrorMessage="1" sqref="B34:E34" xr:uid="{00000000-0002-0000-0000-000006000000}">
      <formula1>"No Elem. Pot. Buff,Low,Mid,High,Extra High,Extreme High,Extreme High+,Extreme High++"</formula1>
    </dataValidation>
    <dataValidation type="list" allowBlank="1" showErrorMessage="1" sqref="B7:E7" xr:uid="{00000000-0002-0000-0000-000007000000}">
      <formula1>"Physical,Magical"</formula1>
    </dataValidation>
    <dataValidation type="list" allowBlank="1" showErrorMessage="1" sqref="B9:E11" xr:uid="{00000000-0002-0000-0000-000008000000}">
      <formula1>"No Points,Lv. 1 (1 Point),Lv. 2 (5 Points),Lv. 3 (15 Points),Lv. 4 (25 Points),Lv. 5 (35 Points),Lv. 6 (45 Points),Lv. 7 (55 Points)"</formula1>
    </dataValidation>
    <dataValidation type="list" allowBlank="1" showErrorMessage="1" sqref="B12:E12" xr:uid="{00000000-0002-0000-0000-000009000000}">
      <formula1>"No Points,Lv. 1 (1 Point),Lv. 2 (5 Points),Lv. 3 (15 Points),Lv. 4 (25 Points),Lv. 5 (35 Points),Lv. 6 (45 Points),Lv. 7 (55 Points),Lv. 8 (65 Points),Lv. 9 (80 Points),Lv. 10 (100 Points)"</formula1>
    </dataValidation>
    <dataValidation type="list" allowBlank="1" showErrorMessage="1" sqref="B32:E33" xr:uid="{00000000-0002-0000-0000-00000A000000}">
      <formula1>"No Buff,Low,Mid,High,Extra High,Extreme High,Extreme High+,Extreme High++"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D9:M29"/>
  <sheetViews>
    <sheetView workbookViewId="0"/>
  </sheetViews>
  <sheetFormatPr defaultColWidth="12.5703125" defaultRowHeight="15.75" customHeight="1"/>
  <cols>
    <col min="4" max="4" width="18.140625" customWidth="1"/>
    <col min="17" max="17" width="6.140625" customWidth="1"/>
  </cols>
  <sheetData>
    <row r="9" spans="4:13">
      <c r="D9" s="65" t="s">
        <v>84</v>
      </c>
      <c r="G9" s="65" t="s">
        <v>85</v>
      </c>
    </row>
    <row r="11" spans="4:13">
      <c r="D11" s="65" t="s">
        <v>86</v>
      </c>
      <c r="E11" s="65">
        <v>5783049</v>
      </c>
      <c r="G11" s="65" t="s">
        <v>87</v>
      </c>
      <c r="H11" s="65">
        <v>1434000</v>
      </c>
    </row>
    <row r="12" spans="4:13">
      <c r="D12" s="65" t="s">
        <v>88</v>
      </c>
      <c r="E12" s="66">
        <v>0</v>
      </c>
      <c r="G12" s="65" t="s">
        <v>89</v>
      </c>
      <c r="H12" s="65">
        <v>120000</v>
      </c>
      <c r="M12" s="65">
        <v>135640</v>
      </c>
    </row>
    <row r="13" spans="4:13">
      <c r="G13" s="65" t="s">
        <v>90</v>
      </c>
      <c r="H13" s="65">
        <v>10000</v>
      </c>
      <c r="M13" s="65">
        <v>206356</v>
      </c>
    </row>
    <row r="14" spans="4:13">
      <c r="D14" s="65" t="s">
        <v>91</v>
      </c>
      <c r="E14" s="66">
        <f>E11+E12</f>
        <v>5783049</v>
      </c>
      <c r="G14" s="65" t="s">
        <v>92</v>
      </c>
      <c r="H14" s="65">
        <f>SUM(H11:H13)</f>
        <v>1564000</v>
      </c>
      <c r="M14" s="65">
        <v>308685</v>
      </c>
    </row>
    <row r="16" spans="4:13">
      <c r="G16" s="65" t="s">
        <v>93</v>
      </c>
      <c r="H16" s="65">
        <v>877875</v>
      </c>
    </row>
    <row r="17" spans="4:13">
      <c r="D17" s="65" t="s">
        <v>94</v>
      </c>
      <c r="G17" s="65" t="s">
        <v>95</v>
      </c>
      <c r="H17" s="65">
        <v>352700</v>
      </c>
      <c r="M17" s="65">
        <v>135640</v>
      </c>
    </row>
    <row r="18" spans="4:13">
      <c r="D18" s="65" t="s">
        <v>86</v>
      </c>
      <c r="E18" s="66">
        <f>H18+H14+H22</f>
        <v>5309692.5</v>
      </c>
      <c r="G18" s="65" t="s">
        <v>96</v>
      </c>
      <c r="H18" s="65">
        <f>SUM(H16:H17)</f>
        <v>1230575</v>
      </c>
      <c r="M18" s="65">
        <v>206785</v>
      </c>
    </row>
    <row r="19" spans="4:13">
      <c r="D19" s="65" t="s">
        <v>97</v>
      </c>
      <c r="E19" s="66">
        <v>0</v>
      </c>
    </row>
    <row r="20" spans="4:13">
      <c r="E20" s="66">
        <f>SUM(E18:E19)</f>
        <v>5309692.5</v>
      </c>
      <c r="G20" s="65" t="s">
        <v>98</v>
      </c>
      <c r="H20" s="65">
        <f>H14+H18</f>
        <v>2794575</v>
      </c>
    </row>
    <row r="22" spans="4:13">
      <c r="G22" s="65" t="s">
        <v>99</v>
      </c>
      <c r="H22" s="66">
        <f>(H14+H18)*0.9</f>
        <v>2515117.5</v>
      </c>
    </row>
    <row r="25" spans="4:13">
      <c r="G25" s="65" t="s">
        <v>100</v>
      </c>
      <c r="H25" s="66">
        <f>H20+H22</f>
        <v>5309692.5</v>
      </c>
    </row>
    <row r="27" spans="4:13">
      <c r="G27" s="65" t="s">
        <v>101</v>
      </c>
      <c r="H27" s="66">
        <v>0</v>
      </c>
    </row>
    <row r="29" spans="4:13">
      <c r="G29" s="65" t="s">
        <v>102</v>
      </c>
      <c r="H29" s="66">
        <f>H25+H27</f>
        <v>5309692.5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N18"/>
  <sheetViews>
    <sheetView workbookViewId="0"/>
  </sheetViews>
  <sheetFormatPr defaultColWidth="12.5703125" defaultRowHeight="15.75" customHeight="1"/>
  <cols>
    <col min="1" max="1" width="12.5703125" customWidth="1"/>
    <col min="2" max="2" width="1.42578125" customWidth="1"/>
    <col min="3" max="3" width="5.28515625" customWidth="1"/>
    <col min="4" max="4" width="13.42578125" customWidth="1"/>
    <col min="5" max="5" width="1.42578125" customWidth="1"/>
    <col min="6" max="6" width="17.5703125" customWidth="1"/>
    <col min="7" max="7" width="9.140625" customWidth="1"/>
    <col min="8" max="8" width="1.42578125" customWidth="1"/>
    <col min="9" max="9" width="18.42578125" customWidth="1"/>
    <col min="10" max="10" width="9.42578125" customWidth="1"/>
    <col min="11" max="11" width="1.42578125" customWidth="1"/>
    <col min="13" max="13" width="19" customWidth="1"/>
    <col min="14" max="14" width="6.140625" customWidth="1"/>
  </cols>
  <sheetData>
    <row r="2" spans="2:14" ht="15.75" customHeight="1">
      <c r="B2" s="131" t="s">
        <v>103</v>
      </c>
      <c r="C2" s="132"/>
      <c r="D2" s="132"/>
      <c r="E2" s="132"/>
      <c r="F2" s="132"/>
      <c r="G2" s="132"/>
      <c r="H2" s="132"/>
      <c r="I2" s="132"/>
      <c r="J2" s="132"/>
      <c r="K2" s="132"/>
    </row>
    <row r="3" spans="2:14" ht="15.75" customHeight="1">
      <c r="B3" s="132"/>
      <c r="C3" s="132"/>
      <c r="D3" s="132"/>
      <c r="E3" s="132"/>
      <c r="F3" s="132"/>
      <c r="G3" s="132"/>
      <c r="H3" s="132"/>
      <c r="I3" s="132"/>
      <c r="J3" s="132"/>
      <c r="K3" s="132"/>
    </row>
    <row r="4" spans="2:14" ht="7.5" customHeight="1">
      <c r="B4" s="67"/>
      <c r="C4" s="68"/>
      <c r="D4" s="68"/>
      <c r="E4" s="68"/>
      <c r="F4" s="68"/>
      <c r="G4" s="69"/>
      <c r="H4" s="68"/>
      <c r="I4" s="68"/>
      <c r="J4" s="69"/>
      <c r="K4" s="67"/>
    </row>
    <row r="5" spans="2:14" ht="15">
      <c r="B5" s="67"/>
      <c r="C5" s="70" t="s">
        <v>104</v>
      </c>
      <c r="D5" s="70" t="s">
        <v>105</v>
      </c>
      <c r="E5" s="68"/>
      <c r="F5" s="70" t="s">
        <v>106</v>
      </c>
      <c r="G5" s="71" t="s">
        <v>107</v>
      </c>
      <c r="H5" s="68"/>
      <c r="I5" s="70" t="s">
        <v>108</v>
      </c>
      <c r="J5" s="71" t="s">
        <v>107</v>
      </c>
      <c r="K5" s="67"/>
    </row>
    <row r="6" spans="2:14" ht="15">
      <c r="B6" s="67"/>
      <c r="C6" s="72">
        <v>1</v>
      </c>
      <c r="D6" s="72">
        <v>4000</v>
      </c>
      <c r="E6" s="73"/>
      <c r="F6" s="74">
        <f t="shared" ref="F6:F15" si="0">D6/1800</f>
        <v>2.2222222222222223</v>
      </c>
      <c r="G6" s="72">
        <f t="shared" ref="G6:G15" si="1">F6*180</f>
        <v>400</v>
      </c>
      <c r="H6" s="73"/>
      <c r="I6" s="74">
        <f t="shared" ref="I6:I15" si="2">D6/2400</f>
        <v>1.6666666666666667</v>
      </c>
      <c r="J6" s="75">
        <f t="shared" ref="J6:J15" si="3">I6*180</f>
        <v>300</v>
      </c>
      <c r="K6" s="67"/>
      <c r="M6" s="76" t="s">
        <v>109</v>
      </c>
      <c r="N6" s="77"/>
    </row>
    <row r="7" spans="2:14" ht="15">
      <c r="B7" s="67"/>
      <c r="C7" s="72">
        <v>2</v>
      </c>
      <c r="D7" s="72">
        <v>5000</v>
      </c>
      <c r="E7" s="73"/>
      <c r="F7" s="74">
        <f t="shared" si="0"/>
        <v>2.7777777777777777</v>
      </c>
      <c r="G7" s="72">
        <f t="shared" si="1"/>
        <v>500</v>
      </c>
      <c r="H7" s="73"/>
      <c r="I7" s="74">
        <f t="shared" si="2"/>
        <v>2.0833333333333335</v>
      </c>
      <c r="J7" s="75">
        <f t="shared" si="3"/>
        <v>375</v>
      </c>
      <c r="K7" s="67"/>
      <c r="M7" s="78" t="s">
        <v>110</v>
      </c>
      <c r="N7" s="79">
        <v>4</v>
      </c>
    </row>
    <row r="8" spans="2:14" ht="15">
      <c r="B8" s="67"/>
      <c r="C8" s="72">
        <v>3</v>
      </c>
      <c r="D8" s="72">
        <v>6200</v>
      </c>
      <c r="E8" s="73"/>
      <c r="F8" s="74">
        <f t="shared" si="0"/>
        <v>3.4444444444444446</v>
      </c>
      <c r="G8" s="72">
        <f t="shared" si="1"/>
        <v>620</v>
      </c>
      <c r="H8" s="73"/>
      <c r="I8" s="74">
        <f t="shared" si="2"/>
        <v>2.5833333333333335</v>
      </c>
      <c r="J8" s="75">
        <f t="shared" si="3"/>
        <v>465</v>
      </c>
      <c r="K8" s="67"/>
      <c r="M8" s="78" t="s">
        <v>111</v>
      </c>
      <c r="N8" s="79">
        <v>22.8</v>
      </c>
    </row>
    <row r="9" spans="2:14" ht="15">
      <c r="B9" s="67"/>
      <c r="C9" s="72">
        <v>4</v>
      </c>
      <c r="D9" s="72">
        <v>7600</v>
      </c>
      <c r="E9" s="73"/>
      <c r="F9" s="74">
        <f t="shared" si="0"/>
        <v>4.2222222222222223</v>
      </c>
      <c r="G9" s="72">
        <f t="shared" si="1"/>
        <v>760</v>
      </c>
      <c r="H9" s="73"/>
      <c r="I9" s="74">
        <f t="shared" si="2"/>
        <v>3.1666666666666665</v>
      </c>
      <c r="J9" s="75">
        <f t="shared" si="3"/>
        <v>570</v>
      </c>
      <c r="K9" s="67"/>
      <c r="M9" s="80" t="s">
        <v>112</v>
      </c>
      <c r="N9" s="81" t="s">
        <v>113</v>
      </c>
    </row>
    <row r="10" spans="2:14" ht="15">
      <c r="B10" s="67"/>
      <c r="C10" s="72">
        <v>5</v>
      </c>
      <c r="D10" s="72">
        <v>9500</v>
      </c>
      <c r="E10" s="73"/>
      <c r="F10" s="74">
        <f t="shared" si="0"/>
        <v>5.2777777777777777</v>
      </c>
      <c r="G10" s="72">
        <f t="shared" si="1"/>
        <v>950</v>
      </c>
      <c r="H10" s="73"/>
      <c r="I10" s="74">
        <f t="shared" si="2"/>
        <v>3.9583333333333335</v>
      </c>
      <c r="J10" s="75">
        <f t="shared" si="3"/>
        <v>712.5</v>
      </c>
      <c r="K10" s="67"/>
    </row>
    <row r="11" spans="2:14" ht="15">
      <c r="B11" s="67"/>
      <c r="C11" s="72">
        <v>6</v>
      </c>
      <c r="D11" s="72">
        <v>11700</v>
      </c>
      <c r="E11" s="73"/>
      <c r="F11" s="74">
        <f t="shared" si="0"/>
        <v>6.5</v>
      </c>
      <c r="G11" s="72">
        <f t="shared" si="1"/>
        <v>1170</v>
      </c>
      <c r="H11" s="73"/>
      <c r="I11" s="74">
        <f t="shared" si="2"/>
        <v>4.875</v>
      </c>
      <c r="J11" s="75">
        <f t="shared" si="3"/>
        <v>877.5</v>
      </c>
      <c r="K11" s="67"/>
    </row>
    <row r="12" spans="2:14" ht="15">
      <c r="B12" s="67"/>
      <c r="C12" s="72">
        <v>7</v>
      </c>
      <c r="D12" s="72">
        <v>14500</v>
      </c>
      <c r="E12" s="73"/>
      <c r="F12" s="74">
        <f t="shared" si="0"/>
        <v>8.0555555555555554</v>
      </c>
      <c r="G12" s="72">
        <f t="shared" si="1"/>
        <v>1450</v>
      </c>
      <c r="H12" s="73"/>
      <c r="I12" s="74">
        <f t="shared" si="2"/>
        <v>6.041666666666667</v>
      </c>
      <c r="J12" s="75">
        <f t="shared" si="3"/>
        <v>1087.5</v>
      </c>
      <c r="K12" s="67"/>
    </row>
    <row r="13" spans="2:14" ht="15">
      <c r="B13" s="67"/>
      <c r="C13" s="72">
        <v>8</v>
      </c>
      <c r="D13" s="72">
        <v>18000</v>
      </c>
      <c r="E13" s="73"/>
      <c r="F13" s="74">
        <f t="shared" si="0"/>
        <v>10</v>
      </c>
      <c r="G13" s="72">
        <f t="shared" si="1"/>
        <v>1800</v>
      </c>
      <c r="H13" s="73"/>
      <c r="I13" s="74">
        <f t="shared" si="2"/>
        <v>7.5</v>
      </c>
      <c r="J13" s="75">
        <f t="shared" si="3"/>
        <v>1350</v>
      </c>
      <c r="K13" s="67"/>
    </row>
    <row r="14" spans="2:14" ht="15">
      <c r="B14" s="67"/>
      <c r="C14" s="72">
        <v>9</v>
      </c>
      <c r="D14" s="72">
        <v>23500</v>
      </c>
      <c r="E14" s="73"/>
      <c r="F14" s="74">
        <f t="shared" si="0"/>
        <v>13.055555555555555</v>
      </c>
      <c r="G14" s="72">
        <f t="shared" si="1"/>
        <v>2350</v>
      </c>
      <c r="H14" s="73"/>
      <c r="I14" s="74">
        <f t="shared" si="2"/>
        <v>9.7916666666666661</v>
      </c>
      <c r="J14" s="75">
        <f t="shared" si="3"/>
        <v>1762.5</v>
      </c>
      <c r="K14" s="67"/>
    </row>
    <row r="15" spans="2:14" ht="15">
      <c r="B15" s="67"/>
      <c r="C15" s="72">
        <v>10</v>
      </c>
      <c r="D15" s="72">
        <v>0</v>
      </c>
      <c r="E15" s="73"/>
      <c r="F15" s="74">
        <f t="shared" si="0"/>
        <v>0</v>
      </c>
      <c r="G15" s="72">
        <f t="shared" si="1"/>
        <v>0</v>
      </c>
      <c r="H15" s="73"/>
      <c r="I15" s="74">
        <f t="shared" si="2"/>
        <v>0</v>
      </c>
      <c r="J15" s="75">
        <f t="shared" si="3"/>
        <v>0</v>
      </c>
      <c r="K15" s="67"/>
    </row>
    <row r="16" spans="2:14" ht="15">
      <c r="B16" s="67"/>
      <c r="C16" s="82" t="s">
        <v>114</v>
      </c>
      <c r="D16" s="71">
        <f>SUM(D6:D15)</f>
        <v>100000</v>
      </c>
      <c r="E16" s="69"/>
      <c r="F16" s="83">
        <f t="shared" ref="F16:G16" si="4">SUM(F6:F15)</f>
        <v>55.555555555555557</v>
      </c>
      <c r="G16" s="84">
        <f t="shared" si="4"/>
        <v>10000</v>
      </c>
      <c r="H16" s="69"/>
      <c r="I16" s="83">
        <f t="shared" ref="I16:J16" si="5">SUM(I6:I15)</f>
        <v>41.666666666666671</v>
      </c>
      <c r="J16" s="85">
        <f t="shared" si="5"/>
        <v>7500</v>
      </c>
      <c r="K16" s="67"/>
    </row>
    <row r="17" spans="2:11" ht="12.75">
      <c r="B17" s="67"/>
      <c r="E17" s="86"/>
      <c r="F17" s="87" t="s">
        <v>115</v>
      </c>
      <c r="G17" s="87">
        <f>G16/50</f>
        <v>200</v>
      </c>
      <c r="H17" s="67"/>
      <c r="I17" s="87" t="s">
        <v>115</v>
      </c>
      <c r="J17" s="87">
        <f>J16/50</f>
        <v>150</v>
      </c>
      <c r="K17" s="67"/>
    </row>
    <row r="18" spans="2:11" ht="7.5" customHeight="1">
      <c r="B18" s="67"/>
      <c r="C18" s="67"/>
      <c r="D18" s="67"/>
      <c r="E18" s="67"/>
      <c r="F18" s="67"/>
      <c r="G18" s="67"/>
      <c r="H18" s="67"/>
      <c r="I18" s="67"/>
      <c r="J18" s="67"/>
      <c r="K18" s="67"/>
    </row>
  </sheetData>
  <mergeCells count="1">
    <mergeCell ref="B2:K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1:W65"/>
  <sheetViews>
    <sheetView workbookViewId="0"/>
  </sheetViews>
  <sheetFormatPr defaultColWidth="12.5703125" defaultRowHeight="15.75" customHeight="1"/>
  <cols>
    <col min="2" max="2" width="19" customWidth="1"/>
    <col min="6" max="6" width="2.42578125" customWidth="1"/>
    <col min="13" max="13" width="2.42578125" customWidth="1"/>
    <col min="14" max="14" width="8.42578125" customWidth="1"/>
  </cols>
  <sheetData>
    <row r="1" spans="2:23">
      <c r="O1" s="65" t="s">
        <v>116</v>
      </c>
      <c r="P1" s="65" t="s">
        <v>116</v>
      </c>
      <c r="Q1" s="65" t="s">
        <v>116</v>
      </c>
      <c r="R1" s="65" t="s">
        <v>116</v>
      </c>
      <c r="S1" s="65" t="s">
        <v>117</v>
      </c>
      <c r="T1" s="65" t="s">
        <v>116</v>
      </c>
      <c r="U1" s="65" t="s">
        <v>116</v>
      </c>
      <c r="V1" s="65" t="s">
        <v>116</v>
      </c>
      <c r="W1" s="88"/>
    </row>
    <row r="2" spans="2:23">
      <c r="G2" s="89" t="s">
        <v>118</v>
      </c>
      <c r="H2" s="90"/>
      <c r="I2" s="90"/>
      <c r="J2" s="90"/>
      <c r="K2" s="91" t="s">
        <v>114</v>
      </c>
      <c r="O2" s="92">
        <v>46198</v>
      </c>
      <c r="P2" s="92">
        <v>46228</v>
      </c>
      <c r="Q2" s="92">
        <v>46259</v>
      </c>
      <c r="R2" s="92">
        <v>46290</v>
      </c>
      <c r="S2" s="93">
        <v>46320</v>
      </c>
      <c r="T2" s="93">
        <v>46351</v>
      </c>
      <c r="U2" s="93">
        <v>46381</v>
      </c>
      <c r="V2" s="93">
        <v>46048</v>
      </c>
    </row>
    <row r="3" spans="2:23">
      <c r="B3" s="94" t="s">
        <v>119</v>
      </c>
      <c r="C3" s="95" t="s">
        <v>120</v>
      </c>
      <c r="D3" s="95" t="s">
        <v>121</v>
      </c>
      <c r="E3" s="77" t="s">
        <v>122</v>
      </c>
      <c r="G3" s="96"/>
      <c r="H3" s="97" t="s">
        <v>123</v>
      </c>
      <c r="I3" s="97" t="s">
        <v>124</v>
      </c>
      <c r="J3" s="98">
        <v>2500</v>
      </c>
      <c r="K3" s="99">
        <v>2500</v>
      </c>
      <c r="M3" s="65"/>
      <c r="N3" s="65" t="s">
        <v>125</v>
      </c>
      <c r="O3" s="100">
        <v>0</v>
      </c>
      <c r="P3" s="100">
        <f t="shared" ref="P3:V3" si="0">O6</f>
        <v>11500</v>
      </c>
      <c r="Q3" s="100">
        <f t="shared" si="0"/>
        <v>23000</v>
      </c>
      <c r="R3" s="100">
        <f t="shared" si="0"/>
        <v>34500</v>
      </c>
      <c r="S3" s="100">
        <f t="shared" si="0"/>
        <v>46000</v>
      </c>
      <c r="T3" s="100">
        <f t="shared" si="0"/>
        <v>0</v>
      </c>
      <c r="U3" s="100">
        <f t="shared" si="0"/>
        <v>11500</v>
      </c>
      <c r="V3" s="100">
        <f t="shared" si="0"/>
        <v>23000</v>
      </c>
    </row>
    <row r="4" spans="2:23">
      <c r="B4" s="78"/>
      <c r="C4" s="65">
        <v>160</v>
      </c>
      <c r="D4" s="65">
        <f>C4*7</f>
        <v>1120</v>
      </c>
      <c r="E4" s="101">
        <f>C4*30</f>
        <v>4800</v>
      </c>
      <c r="G4" s="96"/>
      <c r="H4" s="97" t="s">
        <v>123</v>
      </c>
      <c r="I4" s="97" t="s">
        <v>126</v>
      </c>
      <c r="J4" s="98">
        <v>2500</v>
      </c>
      <c r="K4" s="99">
        <v>2500</v>
      </c>
      <c r="M4" s="65"/>
      <c r="N4" s="65" t="s">
        <v>127</v>
      </c>
      <c r="O4" s="100">
        <v>50000</v>
      </c>
      <c r="P4" s="100">
        <v>50000</v>
      </c>
      <c r="Q4" s="100">
        <v>50000</v>
      </c>
      <c r="R4" s="100">
        <v>50000</v>
      </c>
      <c r="S4" s="100">
        <v>50000</v>
      </c>
      <c r="T4" s="100">
        <v>50000</v>
      </c>
      <c r="U4" s="100">
        <v>50000</v>
      </c>
      <c r="V4" s="100">
        <v>50000</v>
      </c>
    </row>
    <row r="5" spans="2:23">
      <c r="B5" s="78" t="s">
        <v>128</v>
      </c>
      <c r="C5" s="65">
        <f t="shared" ref="C5:E5" si="1">C4*30</f>
        <v>4800</v>
      </c>
      <c r="D5" s="65">
        <f t="shared" si="1"/>
        <v>33600</v>
      </c>
      <c r="E5" s="102">
        <f t="shared" si="1"/>
        <v>144000</v>
      </c>
      <c r="G5" s="96"/>
      <c r="H5" s="97" t="s">
        <v>129</v>
      </c>
      <c r="I5" s="97" t="s">
        <v>130</v>
      </c>
      <c r="J5" s="98">
        <v>500</v>
      </c>
      <c r="K5" s="99">
        <v>5000</v>
      </c>
      <c r="M5" s="65"/>
      <c r="N5" s="65" t="s">
        <v>131</v>
      </c>
      <c r="O5" s="100">
        <v>38500</v>
      </c>
      <c r="P5" s="100">
        <v>38500</v>
      </c>
      <c r="Q5" s="100">
        <v>38500</v>
      </c>
      <c r="R5" s="100">
        <v>38500</v>
      </c>
      <c r="S5" s="100">
        <v>96000</v>
      </c>
      <c r="T5" s="100">
        <v>38500</v>
      </c>
      <c r="U5" s="100">
        <v>38500</v>
      </c>
      <c r="V5" s="100">
        <v>38500</v>
      </c>
    </row>
    <row r="6" spans="2:23">
      <c r="B6" s="78"/>
      <c r="E6" s="101"/>
      <c r="G6" s="96"/>
      <c r="H6" s="97" t="s">
        <v>129</v>
      </c>
      <c r="I6" s="97" t="s">
        <v>132</v>
      </c>
      <c r="J6" s="98">
        <v>500</v>
      </c>
      <c r="K6" s="99">
        <v>5000</v>
      </c>
      <c r="M6" s="65"/>
      <c r="N6" s="65" t="s">
        <v>133</v>
      </c>
      <c r="O6" s="100">
        <f t="shared" ref="O6:V6" si="2">O3+O4-O5</f>
        <v>11500</v>
      </c>
      <c r="P6" s="100">
        <f t="shared" si="2"/>
        <v>23000</v>
      </c>
      <c r="Q6" s="100">
        <f t="shared" si="2"/>
        <v>34500</v>
      </c>
      <c r="R6" s="100">
        <f t="shared" si="2"/>
        <v>46000</v>
      </c>
      <c r="S6" s="100">
        <f t="shared" si="2"/>
        <v>0</v>
      </c>
      <c r="T6" s="100">
        <f t="shared" si="2"/>
        <v>11500</v>
      </c>
      <c r="U6" s="100">
        <f t="shared" si="2"/>
        <v>23000</v>
      </c>
      <c r="V6" s="100">
        <f t="shared" si="2"/>
        <v>34500</v>
      </c>
    </row>
    <row r="7" spans="2:23">
      <c r="B7" s="78" t="s">
        <v>134</v>
      </c>
      <c r="E7" s="101"/>
      <c r="G7" s="96"/>
      <c r="H7" s="97" t="s">
        <v>129</v>
      </c>
      <c r="I7" s="97" t="s">
        <v>135</v>
      </c>
      <c r="J7" s="98">
        <v>200</v>
      </c>
      <c r="K7" s="99">
        <v>2000</v>
      </c>
    </row>
    <row r="8" spans="2:23">
      <c r="B8" s="78"/>
      <c r="C8" s="65">
        <v>400</v>
      </c>
      <c r="D8" s="65">
        <f>C8*7</f>
        <v>2800</v>
      </c>
      <c r="E8" s="101">
        <f>C8*30</f>
        <v>12000</v>
      </c>
      <c r="G8" s="96"/>
      <c r="H8" s="97" t="s">
        <v>136</v>
      </c>
      <c r="I8" s="97" t="s">
        <v>137</v>
      </c>
      <c r="J8" s="98">
        <v>500</v>
      </c>
      <c r="K8" s="103">
        <v>50000</v>
      </c>
    </row>
    <row r="9" spans="2:23">
      <c r="B9" s="80" t="s">
        <v>128</v>
      </c>
      <c r="C9" s="104">
        <f t="shared" ref="C9:E9" si="3">C8*30</f>
        <v>12000</v>
      </c>
      <c r="D9" s="104">
        <f t="shared" si="3"/>
        <v>84000</v>
      </c>
      <c r="E9" s="105">
        <f t="shared" si="3"/>
        <v>360000</v>
      </c>
      <c r="G9" s="96"/>
      <c r="H9" s="97" t="s">
        <v>136</v>
      </c>
      <c r="I9" s="97" t="s">
        <v>138</v>
      </c>
      <c r="J9" s="98">
        <v>500</v>
      </c>
      <c r="K9" s="103">
        <v>50000</v>
      </c>
    </row>
    <row r="10" spans="2:23" ht="15.75" customHeight="1">
      <c r="G10" s="96"/>
      <c r="H10" s="97"/>
      <c r="I10" s="97"/>
      <c r="J10" s="97"/>
      <c r="K10" s="106">
        <f>SUM(K3:K9)</f>
        <v>117000</v>
      </c>
    </row>
    <row r="11" spans="2:23">
      <c r="B11" s="65" t="s">
        <v>139</v>
      </c>
      <c r="C11" s="100">
        <v>4000</v>
      </c>
      <c r="G11" s="78"/>
      <c r="K11" s="107"/>
    </row>
    <row r="12" spans="2:23">
      <c r="B12" s="65" t="s">
        <v>140</v>
      </c>
      <c r="C12" s="100">
        <v>11000</v>
      </c>
      <c r="G12" s="96" t="s">
        <v>141</v>
      </c>
      <c r="H12" s="97"/>
      <c r="I12" s="97"/>
      <c r="J12" s="97"/>
      <c r="K12" s="108"/>
    </row>
    <row r="13" spans="2:23">
      <c r="B13" s="65" t="s">
        <v>142</v>
      </c>
      <c r="C13" s="100">
        <v>55000</v>
      </c>
      <c r="D13" s="11" t="s">
        <v>143</v>
      </c>
      <c r="E13" s="109">
        <f>SUM(C11:C13)</f>
        <v>70000</v>
      </c>
      <c r="G13" s="96"/>
      <c r="H13" s="97" t="s">
        <v>123</v>
      </c>
      <c r="I13" s="97" t="s">
        <v>124</v>
      </c>
      <c r="J13" s="98">
        <v>1500</v>
      </c>
      <c r="K13" s="99">
        <v>1500</v>
      </c>
    </row>
    <row r="14" spans="2:23">
      <c r="B14" s="65" t="s">
        <v>144</v>
      </c>
      <c r="C14" s="100">
        <v>130000</v>
      </c>
      <c r="G14" s="96"/>
      <c r="H14" s="97" t="s">
        <v>123</v>
      </c>
      <c r="I14" s="97" t="s">
        <v>126</v>
      </c>
      <c r="J14" s="98">
        <v>1500</v>
      </c>
      <c r="K14" s="99">
        <v>1500</v>
      </c>
    </row>
    <row r="15" spans="2:23">
      <c r="C15" s="109">
        <f>SUM(C11:C14)</f>
        <v>200000</v>
      </c>
      <c r="G15" s="96"/>
      <c r="H15" s="97" t="s">
        <v>123</v>
      </c>
      <c r="I15" s="97" t="s">
        <v>145</v>
      </c>
      <c r="J15" s="98">
        <v>2500</v>
      </c>
      <c r="K15" s="99">
        <v>2500</v>
      </c>
    </row>
    <row r="16" spans="2:23" ht="15.75" customHeight="1">
      <c r="G16" s="96"/>
      <c r="H16" s="97"/>
      <c r="I16" s="97"/>
      <c r="J16" s="97"/>
      <c r="K16" s="106">
        <f>SUM(K13:K15)</f>
        <v>5500</v>
      </c>
    </row>
    <row r="17" spans="4:12">
      <c r="G17" s="78"/>
      <c r="K17" s="101"/>
    </row>
    <row r="18" spans="4:12">
      <c r="G18" s="96" t="s">
        <v>146</v>
      </c>
      <c r="H18" s="97"/>
      <c r="I18" s="97"/>
      <c r="J18" s="97"/>
      <c r="K18" s="110"/>
    </row>
    <row r="19" spans="4:12">
      <c r="G19" s="96"/>
      <c r="H19" s="97" t="s">
        <v>123</v>
      </c>
      <c r="I19" s="97" t="s">
        <v>145</v>
      </c>
      <c r="J19" s="98">
        <v>1000</v>
      </c>
      <c r="K19" s="99">
        <v>1000</v>
      </c>
    </row>
    <row r="20" spans="4:12">
      <c r="G20" s="96"/>
      <c r="H20" s="97" t="s">
        <v>129</v>
      </c>
      <c r="I20" s="97" t="s">
        <v>147</v>
      </c>
      <c r="J20" s="98">
        <v>500</v>
      </c>
      <c r="K20" s="99">
        <v>5000</v>
      </c>
    </row>
    <row r="21" spans="4:12" ht="15.75" customHeight="1">
      <c r="G21" s="96"/>
      <c r="H21" s="97"/>
      <c r="I21" s="97"/>
      <c r="J21" s="97"/>
      <c r="K21" s="106">
        <f>SUM(K18:K20)</f>
        <v>6000</v>
      </c>
    </row>
    <row r="22" spans="4:12">
      <c r="G22" s="78"/>
      <c r="K22" s="101"/>
    </row>
    <row r="23" spans="4:12">
      <c r="G23" s="96" t="s">
        <v>116</v>
      </c>
      <c r="H23" s="97"/>
      <c r="I23" s="97"/>
      <c r="J23" s="97"/>
      <c r="K23" s="110"/>
    </row>
    <row r="24" spans="4:12">
      <c r="G24" s="96"/>
      <c r="H24" s="97" t="s">
        <v>148</v>
      </c>
      <c r="I24" s="97" t="s">
        <v>149</v>
      </c>
      <c r="J24" s="98">
        <v>50</v>
      </c>
      <c r="K24" s="111">
        <v>10000</v>
      </c>
      <c r="L24" s="109">
        <f>SUM(K3:K7,K13:K15,K19:K20,K24)</f>
        <v>38500</v>
      </c>
    </row>
    <row r="25" spans="4:12" ht="15.75" customHeight="1">
      <c r="G25" s="96"/>
      <c r="H25" s="97"/>
      <c r="I25" s="97"/>
      <c r="J25" s="97"/>
      <c r="K25" s="112">
        <f>SUM(K24)</f>
        <v>10000</v>
      </c>
    </row>
    <row r="26" spans="4:12">
      <c r="G26" s="78"/>
      <c r="K26" s="101"/>
    </row>
    <row r="27" spans="4:12">
      <c r="D27" s="113"/>
      <c r="G27" s="96" t="s">
        <v>117</v>
      </c>
      <c r="H27" s="97"/>
      <c r="I27" s="97"/>
      <c r="J27" s="97"/>
      <c r="K27" s="110"/>
    </row>
    <row r="28" spans="4:12">
      <c r="G28" s="96"/>
      <c r="H28" s="97" t="s">
        <v>136</v>
      </c>
      <c r="I28" s="97" t="s">
        <v>130</v>
      </c>
      <c r="J28" s="98">
        <v>500</v>
      </c>
      <c r="K28" s="114">
        <v>50000</v>
      </c>
      <c r="L28" s="133">
        <f>S5-L24</f>
        <v>57500</v>
      </c>
    </row>
    <row r="29" spans="4:12">
      <c r="G29" s="96"/>
      <c r="H29" s="97" t="s">
        <v>136</v>
      </c>
      <c r="I29" s="97" t="s">
        <v>132</v>
      </c>
      <c r="J29" s="98">
        <v>500</v>
      </c>
      <c r="K29" s="114">
        <v>50000</v>
      </c>
      <c r="L29" s="132"/>
    </row>
    <row r="30" spans="4:12" ht="15.75" customHeight="1">
      <c r="G30" s="96"/>
      <c r="H30" s="97"/>
      <c r="I30" s="97"/>
      <c r="J30" s="97"/>
      <c r="K30" s="115">
        <f>SUM(K28:K29)</f>
        <v>100000</v>
      </c>
    </row>
    <row r="31" spans="4:12">
      <c r="G31" s="78"/>
      <c r="K31" s="101"/>
    </row>
    <row r="32" spans="4:12" ht="15.75" customHeight="1">
      <c r="G32" s="80"/>
      <c r="H32" s="104"/>
      <c r="I32" s="104"/>
      <c r="J32" s="116" t="s">
        <v>114</v>
      </c>
      <c r="K32" s="117">
        <f>SUM(K10,K16,K21,K25,K30)</f>
        <v>238500</v>
      </c>
    </row>
    <row r="61" spans="8:12" ht="12.75">
      <c r="H61" s="118"/>
      <c r="L61" s="118"/>
    </row>
    <row r="62" spans="8:12" ht="12.75">
      <c r="H62" s="118"/>
      <c r="L62" s="118"/>
    </row>
    <row r="63" spans="8:12" ht="12.75">
      <c r="H63" s="118"/>
      <c r="L63" s="118"/>
    </row>
    <row r="64" spans="8:12" ht="12.75">
      <c r="H64" s="118"/>
    </row>
    <row r="65" spans="8:8" ht="12.75">
      <c r="H65" s="118"/>
    </row>
  </sheetData>
  <mergeCells count="1">
    <mergeCell ref="L28:L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2:S71"/>
  <sheetViews>
    <sheetView workbookViewId="0"/>
  </sheetViews>
  <sheetFormatPr defaultColWidth="12.5703125" defaultRowHeight="15.75" customHeight="1"/>
  <cols>
    <col min="2" max="2" width="13.42578125" customWidth="1"/>
    <col min="5" max="5" width="14.85546875" customWidth="1"/>
    <col min="6" max="6" width="21.28515625" customWidth="1"/>
    <col min="14" max="14" width="13.140625" customWidth="1"/>
    <col min="18" max="18" width="15.140625" customWidth="1"/>
  </cols>
  <sheetData>
    <row r="2" spans="1:19">
      <c r="G2" s="119"/>
    </row>
    <row r="3" spans="1:19">
      <c r="A3" s="65" t="s">
        <v>150</v>
      </c>
      <c r="B3" s="65" t="s">
        <v>60</v>
      </c>
      <c r="C3" s="119">
        <v>0</v>
      </c>
      <c r="E3" s="65" t="s">
        <v>151</v>
      </c>
      <c r="F3" s="65" t="s">
        <v>41</v>
      </c>
      <c r="G3" s="120">
        <v>0</v>
      </c>
      <c r="I3" s="121" t="s">
        <v>152</v>
      </c>
      <c r="J3" s="121" t="s">
        <v>14</v>
      </c>
      <c r="K3" s="120">
        <v>0</v>
      </c>
      <c r="M3" s="65" t="s">
        <v>153</v>
      </c>
      <c r="N3" s="121" t="s">
        <v>14</v>
      </c>
      <c r="O3" s="120">
        <v>0</v>
      </c>
      <c r="R3" s="121"/>
      <c r="S3" s="120"/>
    </row>
    <row r="4" spans="1:19">
      <c r="B4" s="65" t="s">
        <v>154</v>
      </c>
      <c r="C4" s="119">
        <v>0.15</v>
      </c>
      <c r="F4" s="65" t="s">
        <v>154</v>
      </c>
      <c r="G4" s="120">
        <v>0.1</v>
      </c>
      <c r="I4" s="121"/>
      <c r="J4" s="121" t="s">
        <v>155</v>
      </c>
      <c r="K4" s="120">
        <v>0.03</v>
      </c>
      <c r="N4" s="121" t="s">
        <v>155</v>
      </c>
      <c r="O4" s="120">
        <v>0.06</v>
      </c>
      <c r="R4" s="121"/>
      <c r="S4" s="120"/>
    </row>
    <row r="5" spans="1:19">
      <c r="B5" s="65" t="s">
        <v>156</v>
      </c>
      <c r="C5" s="119">
        <v>0.25</v>
      </c>
      <c r="F5" s="65" t="s">
        <v>156</v>
      </c>
      <c r="G5" s="120">
        <v>0.2</v>
      </c>
      <c r="I5" s="121"/>
      <c r="J5" s="121" t="s">
        <v>157</v>
      </c>
      <c r="K5" s="120">
        <v>0.08</v>
      </c>
      <c r="N5" s="121" t="s">
        <v>157</v>
      </c>
      <c r="O5" s="120">
        <v>0.15</v>
      </c>
      <c r="R5" s="121"/>
      <c r="S5" s="120"/>
    </row>
    <row r="6" spans="1:19">
      <c r="B6" s="65" t="s">
        <v>158</v>
      </c>
      <c r="C6" s="119">
        <v>0.35</v>
      </c>
      <c r="F6" s="65" t="s">
        <v>158</v>
      </c>
      <c r="G6" s="120">
        <v>0.3</v>
      </c>
      <c r="I6" s="121"/>
      <c r="J6" s="121" t="s">
        <v>159</v>
      </c>
      <c r="K6" s="120">
        <v>0.15</v>
      </c>
      <c r="N6" s="121" t="s">
        <v>159</v>
      </c>
      <c r="O6" s="120">
        <v>0.25</v>
      </c>
      <c r="R6" s="121"/>
      <c r="S6" s="120"/>
    </row>
    <row r="7" spans="1:19">
      <c r="B7" s="65" t="s">
        <v>160</v>
      </c>
      <c r="C7" s="119">
        <v>0.45</v>
      </c>
      <c r="F7" s="65" t="s">
        <v>160</v>
      </c>
      <c r="G7" s="120">
        <v>0.4</v>
      </c>
      <c r="I7" s="121"/>
      <c r="J7" s="121" t="s">
        <v>161</v>
      </c>
      <c r="K7" s="120">
        <v>0.22</v>
      </c>
      <c r="N7" s="121" t="s">
        <v>161</v>
      </c>
      <c r="O7" s="120">
        <v>0.4</v>
      </c>
      <c r="R7" s="121"/>
      <c r="S7" s="120"/>
    </row>
    <row r="8" spans="1:19">
      <c r="B8" s="65" t="s">
        <v>162</v>
      </c>
      <c r="C8" s="119">
        <v>0.55000000000000004</v>
      </c>
      <c r="F8" s="65" t="s">
        <v>162</v>
      </c>
      <c r="G8" s="120">
        <v>0.5</v>
      </c>
      <c r="I8" s="121"/>
      <c r="J8" s="121" t="s">
        <v>16</v>
      </c>
      <c r="K8" s="120">
        <v>0.3</v>
      </c>
      <c r="N8" s="121" t="s">
        <v>16</v>
      </c>
      <c r="O8" s="120">
        <v>0.55000000000000004</v>
      </c>
      <c r="R8" s="121"/>
      <c r="S8" s="120"/>
    </row>
    <row r="9" spans="1:19">
      <c r="F9" s="65" t="s">
        <v>163</v>
      </c>
      <c r="G9" s="120">
        <v>0.6</v>
      </c>
      <c r="I9" s="121"/>
      <c r="J9" s="121" t="s">
        <v>164</v>
      </c>
      <c r="K9" s="120">
        <v>0.35</v>
      </c>
      <c r="N9" s="121" t="s">
        <v>164</v>
      </c>
      <c r="O9" s="120">
        <v>0.7</v>
      </c>
      <c r="R9" s="121"/>
      <c r="S9" s="119"/>
    </row>
    <row r="10" spans="1:19">
      <c r="F10" s="65" t="s">
        <v>165</v>
      </c>
      <c r="G10" s="120">
        <v>0.7</v>
      </c>
      <c r="I10" s="121"/>
      <c r="J10" s="121" t="s">
        <v>166</v>
      </c>
      <c r="K10" s="120">
        <v>0.4</v>
      </c>
      <c r="N10" s="121" t="s">
        <v>166</v>
      </c>
      <c r="O10" s="120">
        <v>0.85</v>
      </c>
      <c r="R10" s="121"/>
      <c r="S10" s="120"/>
    </row>
    <row r="11" spans="1:19">
      <c r="N11" s="121" t="s">
        <v>167</v>
      </c>
      <c r="O11" s="120">
        <v>1</v>
      </c>
    </row>
    <row r="12" spans="1:19">
      <c r="N12" s="121" t="s">
        <v>168</v>
      </c>
      <c r="O12" s="120">
        <v>1.1000000000000001</v>
      </c>
    </row>
    <row r="13" spans="1:19">
      <c r="N13" s="121" t="s">
        <v>169</v>
      </c>
      <c r="O13" s="120">
        <v>1.2</v>
      </c>
    </row>
    <row r="15" spans="1:19">
      <c r="A15" s="65" t="s">
        <v>170</v>
      </c>
      <c r="B15" s="119">
        <v>0</v>
      </c>
      <c r="C15" s="119">
        <v>0</v>
      </c>
      <c r="E15" s="65" t="s">
        <v>171</v>
      </c>
      <c r="F15" s="65" t="s">
        <v>44</v>
      </c>
      <c r="G15" s="120">
        <v>0</v>
      </c>
      <c r="I15" s="65" t="s">
        <v>172</v>
      </c>
      <c r="J15" s="121" t="s">
        <v>14</v>
      </c>
      <c r="K15" s="120">
        <v>0</v>
      </c>
    </row>
    <row r="16" spans="1:19">
      <c r="B16" s="119">
        <v>0.1</v>
      </c>
      <c r="C16" s="119">
        <v>0.1</v>
      </c>
      <c r="F16" s="65" t="s">
        <v>154</v>
      </c>
      <c r="G16" s="120">
        <v>0.1</v>
      </c>
      <c r="J16" s="121" t="s">
        <v>155</v>
      </c>
      <c r="K16" s="120">
        <v>0.05</v>
      </c>
      <c r="N16" s="121"/>
      <c r="O16" s="120"/>
    </row>
    <row r="17" spans="1:19">
      <c r="F17" s="65" t="s">
        <v>156</v>
      </c>
      <c r="G17" s="120">
        <v>0.25</v>
      </c>
      <c r="J17" s="121" t="s">
        <v>157</v>
      </c>
      <c r="K17" s="120">
        <v>0.15</v>
      </c>
      <c r="N17" s="121"/>
      <c r="O17" s="120"/>
      <c r="R17" s="121"/>
      <c r="S17" s="120"/>
    </row>
    <row r="18" spans="1:19">
      <c r="F18" s="65" t="s">
        <v>158</v>
      </c>
      <c r="G18" s="120">
        <v>0.4</v>
      </c>
      <c r="J18" s="121" t="s">
        <v>159</v>
      </c>
      <c r="K18" s="120">
        <v>0.3</v>
      </c>
      <c r="N18" s="121"/>
      <c r="O18" s="120"/>
      <c r="R18" s="121"/>
      <c r="S18" s="120"/>
    </row>
    <row r="19" spans="1:19">
      <c r="F19" s="65" t="s">
        <v>160</v>
      </c>
      <c r="G19" s="120">
        <v>0.6</v>
      </c>
      <c r="J19" s="121" t="s">
        <v>161</v>
      </c>
      <c r="K19" s="120">
        <v>0.45</v>
      </c>
      <c r="N19" s="121"/>
      <c r="O19" s="120"/>
      <c r="R19" s="121"/>
      <c r="S19" s="120"/>
    </row>
    <row r="20" spans="1:19">
      <c r="F20" s="65" t="s">
        <v>162</v>
      </c>
      <c r="G20" s="120">
        <v>0.8</v>
      </c>
      <c r="J20" s="121" t="s">
        <v>16</v>
      </c>
      <c r="K20" s="120">
        <v>0.6</v>
      </c>
      <c r="N20" s="121"/>
      <c r="O20" s="120"/>
      <c r="R20" s="121"/>
      <c r="S20" s="120"/>
    </row>
    <row r="21" spans="1:19">
      <c r="F21" s="65" t="s">
        <v>163</v>
      </c>
      <c r="G21" s="120">
        <v>1</v>
      </c>
      <c r="J21" s="121" t="s">
        <v>164</v>
      </c>
      <c r="K21" s="120">
        <v>0.7</v>
      </c>
      <c r="N21" s="121"/>
      <c r="O21" s="120"/>
      <c r="R21" s="121"/>
      <c r="S21" s="120"/>
    </row>
    <row r="22" spans="1:19">
      <c r="F22" s="65" t="s">
        <v>165</v>
      </c>
      <c r="G22" s="120">
        <v>1.2</v>
      </c>
      <c r="J22" s="121" t="s">
        <v>166</v>
      </c>
      <c r="K22" s="120">
        <v>0.8</v>
      </c>
      <c r="N22" s="121"/>
      <c r="O22" s="119"/>
      <c r="R22" s="121"/>
      <c r="S22" s="120"/>
    </row>
    <row r="23" spans="1:19">
      <c r="N23" s="121"/>
      <c r="O23" s="119"/>
      <c r="R23" s="119"/>
    </row>
    <row r="24" spans="1:19">
      <c r="N24" s="121"/>
      <c r="O24" s="120"/>
      <c r="R24" s="121"/>
      <c r="S24" s="119"/>
    </row>
    <row r="25" spans="1:19">
      <c r="A25" s="65" t="s">
        <v>173</v>
      </c>
      <c r="B25" s="65" t="s">
        <v>37</v>
      </c>
      <c r="C25" s="119">
        <v>0</v>
      </c>
      <c r="E25" s="65" t="s">
        <v>174</v>
      </c>
      <c r="F25" s="65" t="s">
        <v>64</v>
      </c>
      <c r="G25" s="120">
        <v>0</v>
      </c>
      <c r="O25" s="119"/>
      <c r="R25" s="121"/>
      <c r="S25" s="120"/>
    </row>
    <row r="26" spans="1:19">
      <c r="B26" s="65" t="s">
        <v>175</v>
      </c>
      <c r="C26" s="119">
        <v>0</v>
      </c>
      <c r="F26" s="65" t="s">
        <v>154</v>
      </c>
      <c r="G26" s="120">
        <v>0.15</v>
      </c>
      <c r="O26" s="119"/>
    </row>
    <row r="27" spans="1:19">
      <c r="B27" s="65" t="s">
        <v>176</v>
      </c>
      <c r="C27" s="119">
        <v>0.05</v>
      </c>
      <c r="F27" s="65" t="s">
        <v>156</v>
      </c>
      <c r="G27" s="120">
        <v>0.3</v>
      </c>
      <c r="I27" s="65" t="s">
        <v>177</v>
      </c>
      <c r="J27" s="119">
        <v>0.5</v>
      </c>
      <c r="K27" s="119">
        <v>0.5</v>
      </c>
    </row>
    <row r="28" spans="1:19">
      <c r="B28" s="65" t="s">
        <v>178</v>
      </c>
      <c r="C28" s="119">
        <v>0.1</v>
      </c>
      <c r="F28" s="65" t="s">
        <v>158</v>
      </c>
      <c r="G28" s="120">
        <v>0.5</v>
      </c>
      <c r="J28" s="119">
        <v>0.65</v>
      </c>
      <c r="K28" s="119">
        <v>0.65</v>
      </c>
    </row>
    <row r="29" spans="1:19">
      <c r="B29" s="65" t="s">
        <v>179</v>
      </c>
      <c r="C29" s="119">
        <v>0.15</v>
      </c>
      <c r="F29" s="65" t="s">
        <v>160</v>
      </c>
      <c r="G29" s="120">
        <v>0.75</v>
      </c>
    </row>
    <row r="30" spans="1:19">
      <c r="B30" s="65" t="s">
        <v>180</v>
      </c>
      <c r="C30" s="119">
        <v>0.2</v>
      </c>
      <c r="F30" s="65" t="s">
        <v>162</v>
      </c>
      <c r="G30" s="120">
        <v>1</v>
      </c>
    </row>
    <row r="31" spans="1:19">
      <c r="B31" s="65" t="s">
        <v>181</v>
      </c>
      <c r="C31" s="119">
        <v>0</v>
      </c>
      <c r="I31" s="65" t="s">
        <v>182</v>
      </c>
    </row>
    <row r="32" spans="1:19">
      <c r="B32" s="65" t="s">
        <v>183</v>
      </c>
      <c r="C32" s="119">
        <v>0</v>
      </c>
      <c r="J32" s="121" t="s">
        <v>184</v>
      </c>
      <c r="K32" s="120">
        <v>0</v>
      </c>
    </row>
    <row r="33" spans="2:11">
      <c r="B33" s="65" t="s">
        <v>185</v>
      </c>
      <c r="C33" s="119">
        <v>0.05</v>
      </c>
      <c r="J33" s="121" t="s">
        <v>155</v>
      </c>
      <c r="K33" s="119">
        <v>0.05</v>
      </c>
    </row>
    <row r="34" spans="2:11">
      <c r="B34" s="65" t="s">
        <v>186</v>
      </c>
      <c r="C34" s="119">
        <v>0.1</v>
      </c>
      <c r="J34" s="121" t="s">
        <v>157</v>
      </c>
      <c r="K34" s="119">
        <v>0.1</v>
      </c>
    </row>
    <row r="35" spans="2:11">
      <c r="B35" s="65" t="s">
        <v>187</v>
      </c>
      <c r="C35" s="119">
        <v>0.1</v>
      </c>
      <c r="J35" s="121" t="s">
        <v>159</v>
      </c>
      <c r="K35" s="119">
        <v>0.15</v>
      </c>
    </row>
    <row r="51" spans="2:13">
      <c r="B51" s="65" t="s">
        <v>188</v>
      </c>
      <c r="G51" s="65" t="s">
        <v>189</v>
      </c>
    </row>
    <row r="53" spans="2:13">
      <c r="M53" s="122">
        <v>58297475</v>
      </c>
    </row>
    <row r="54" spans="2:13">
      <c r="M54" s="122">
        <v>34978485</v>
      </c>
    </row>
    <row r="55" spans="2:13">
      <c r="M55" s="122">
        <v>57187710</v>
      </c>
    </row>
    <row r="56" spans="2:13">
      <c r="M56" s="122">
        <v>34312626</v>
      </c>
    </row>
    <row r="57" spans="2:13">
      <c r="M57" s="123">
        <f>SUM(M53:M56)</f>
        <v>184776296</v>
      </c>
    </row>
    <row r="66" spans="2:13">
      <c r="B66" s="65" t="s">
        <v>190</v>
      </c>
      <c r="H66" s="65" t="s">
        <v>191</v>
      </c>
    </row>
    <row r="67" spans="2:13">
      <c r="M67" s="65">
        <v>99234133</v>
      </c>
    </row>
    <row r="68" spans="2:13">
      <c r="M68" s="65">
        <v>59540479</v>
      </c>
    </row>
    <row r="69" spans="2:13">
      <c r="M69" s="65">
        <v>16745308</v>
      </c>
    </row>
    <row r="70" spans="2:13">
      <c r="M70" s="65">
        <v>10047184</v>
      </c>
    </row>
    <row r="71" spans="2:13">
      <c r="M71" s="124">
        <f>SUM(M67:M70)</f>
        <v>185567104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13</vt:i4>
      </vt:variant>
    </vt:vector>
  </HeadingPairs>
  <TitlesOfParts>
    <vt:vector size="18" baseType="lpstr">
      <vt:lpstr>DMG Calc</vt:lpstr>
      <vt:lpstr>Dungeon Ranking Calc</vt:lpstr>
      <vt:lpstr>Memoria EXP Table</vt:lpstr>
      <vt:lpstr>GuildShop</vt:lpstr>
      <vt:lpstr>Data Table</vt:lpstr>
      <vt:lpstr>AbilityPot</vt:lpstr>
      <vt:lpstr>ElementalPot</vt:lpstr>
      <vt:lpstr>HighwindCC</vt:lpstr>
      <vt:lpstr>Int.Arcanum</vt:lpstr>
      <vt:lpstr>Int.Mastery</vt:lpstr>
      <vt:lpstr>MemoriaAbilityPots</vt:lpstr>
      <vt:lpstr>MemoriaElePot</vt:lpstr>
      <vt:lpstr>MemoriaSpeciesPot</vt:lpstr>
      <vt:lpstr>OutfitboostAllAllies</vt:lpstr>
      <vt:lpstr>OutfitPot</vt:lpstr>
      <vt:lpstr>PATKMATK</vt:lpstr>
      <vt:lpstr>PhysMagAbilityPot</vt:lpstr>
      <vt:lpstr>WeaponCC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Dennis Delaney</cp:lastModifiedBy>
  <dcterms:modified xsi:type="dcterms:W3CDTF">2026-04-13T00:19:41Z</dcterms:modified>
</cp:coreProperties>
</file>