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70D0BF5D-CE36-4F5F-AD74-3A02FF594E78}" xr6:coauthVersionLast="47" xr6:coauthVersionMax="47" xr10:uidLastSave="{00000000-0000-0000-0000-000000000000}"/>
  <bookViews>
    <workbookView xWindow="2295" yWindow="2295" windowWidth="28800" windowHeight="15435" tabRatio="900" activeTab="8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BinomialAmerican" sheetId="18" r:id="rId6"/>
    <sheet name="TrinomialAmerican" sheetId="20" r:id="rId7"/>
    <sheet name="Comparison-American" sheetId="19" r:id="rId8"/>
    <sheet name="Description" sheetId="7" r:id="rId9"/>
    <sheet name="Special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6" i="3" l="1"/>
  <c r="N49" i="3"/>
  <c r="N50" i="3"/>
  <c r="N51" i="3"/>
  <c r="N52" i="3"/>
  <c r="N53" i="3"/>
  <c r="N54" i="3"/>
  <c r="N5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35" i="3"/>
  <c r="N34" i="3"/>
  <c r="N31" i="3"/>
  <c r="N32" i="3"/>
  <c r="N33" i="3"/>
  <c r="N23" i="3"/>
  <c r="N24" i="3"/>
  <c r="N25" i="3"/>
  <c r="N26" i="3"/>
  <c r="N27" i="3"/>
  <c r="N28" i="3"/>
  <c r="N29" i="3"/>
  <c r="N30" i="3"/>
  <c r="N21" i="3"/>
  <c r="N22" i="3"/>
  <c r="N20" i="3"/>
  <c r="J21" i="18"/>
  <c r="M8" i="18"/>
  <c r="AE29" i="18" s="1"/>
  <c r="M6" i="18"/>
  <c r="AE27" i="18" s="1"/>
  <c r="H28" i="3"/>
  <c r="J25" i="3"/>
  <c r="K25" i="3" s="1"/>
  <c r="J24" i="3"/>
  <c r="K24" i="3" s="1"/>
  <c r="J23" i="3"/>
  <c r="K23" i="3" s="1"/>
  <c r="J22" i="3"/>
  <c r="K22" i="3" s="1"/>
  <c r="J21" i="3"/>
  <c r="K21" i="3" s="1"/>
  <c r="K26" i="3"/>
  <c r="K27" i="3"/>
  <c r="K20" i="3"/>
  <c r="H27" i="3"/>
  <c r="H21" i="3"/>
  <c r="H22" i="3"/>
  <c r="H23" i="3"/>
  <c r="H24" i="3"/>
  <c r="H25" i="3"/>
  <c r="H26" i="3"/>
  <c r="H20" i="3"/>
  <c r="H9" i="3"/>
  <c r="H8" i="3"/>
  <c r="H6" i="3"/>
  <c r="H4" i="3"/>
  <c r="H3" i="3"/>
  <c r="I1" i="19"/>
  <c r="J14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6" i="19"/>
  <c r="X5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6" i="19"/>
  <c r="W5" i="19"/>
  <c r="G48" i="20"/>
  <c r="H48" i="20"/>
  <c r="I48" i="20"/>
  <c r="J48" i="20"/>
  <c r="K48" i="20"/>
  <c r="L48" i="20"/>
  <c r="M48" i="20"/>
  <c r="N48" i="20"/>
  <c r="G49" i="20"/>
  <c r="H49" i="20"/>
  <c r="I49" i="20"/>
  <c r="J49" i="20"/>
  <c r="K49" i="20"/>
  <c r="L49" i="20"/>
  <c r="M49" i="20"/>
  <c r="N49" i="20"/>
  <c r="G50" i="20"/>
  <c r="H50" i="20"/>
  <c r="I50" i="20"/>
  <c r="J50" i="20"/>
  <c r="K50" i="20"/>
  <c r="L50" i="20"/>
  <c r="M50" i="20"/>
  <c r="N50" i="20"/>
  <c r="G51" i="20"/>
  <c r="H51" i="20"/>
  <c r="I51" i="20"/>
  <c r="J51" i="20"/>
  <c r="K51" i="20"/>
  <c r="L51" i="20"/>
  <c r="M51" i="20"/>
  <c r="N51" i="20"/>
  <c r="G52" i="20"/>
  <c r="H52" i="20"/>
  <c r="I52" i="20"/>
  <c r="J52" i="20"/>
  <c r="K52" i="20"/>
  <c r="L52" i="20"/>
  <c r="M52" i="20"/>
  <c r="N52" i="20"/>
  <c r="G53" i="20"/>
  <c r="H53" i="20"/>
  <c r="I53" i="20"/>
  <c r="J53" i="20"/>
  <c r="K53" i="20"/>
  <c r="L53" i="20"/>
  <c r="M53" i="20"/>
  <c r="N53" i="20"/>
  <c r="G54" i="20"/>
  <c r="H54" i="20"/>
  <c r="I54" i="20"/>
  <c r="J54" i="20"/>
  <c r="K54" i="20"/>
  <c r="L54" i="20"/>
  <c r="M54" i="20"/>
  <c r="N54" i="20"/>
  <c r="G55" i="20"/>
  <c r="H55" i="20"/>
  <c r="I55" i="20"/>
  <c r="J55" i="20"/>
  <c r="K55" i="20"/>
  <c r="L55" i="20"/>
  <c r="M55" i="20"/>
  <c r="N55" i="20"/>
  <c r="G56" i="20"/>
  <c r="H56" i="20"/>
  <c r="I56" i="20"/>
  <c r="J56" i="20"/>
  <c r="K56" i="20"/>
  <c r="L56" i="20"/>
  <c r="M56" i="20"/>
  <c r="N56" i="20"/>
  <c r="G57" i="20"/>
  <c r="H57" i="20"/>
  <c r="I57" i="20"/>
  <c r="J57" i="20"/>
  <c r="K57" i="20"/>
  <c r="L57" i="20"/>
  <c r="M57" i="20"/>
  <c r="N57" i="20"/>
  <c r="H47" i="20"/>
  <c r="I47" i="20"/>
  <c r="J47" i="20"/>
  <c r="K47" i="20"/>
  <c r="L47" i="20"/>
  <c r="M47" i="20"/>
  <c r="N47" i="20"/>
  <c r="G47" i="20"/>
  <c r="G33" i="20"/>
  <c r="H33" i="20"/>
  <c r="I33" i="20"/>
  <c r="J33" i="20"/>
  <c r="K33" i="20"/>
  <c r="L33" i="20"/>
  <c r="M33" i="20"/>
  <c r="N33" i="20"/>
  <c r="G34" i="20"/>
  <c r="H34" i="20"/>
  <c r="I34" i="20"/>
  <c r="J34" i="20"/>
  <c r="K34" i="20"/>
  <c r="L34" i="20"/>
  <c r="M34" i="20"/>
  <c r="N34" i="20"/>
  <c r="G35" i="20"/>
  <c r="H35" i="20"/>
  <c r="I35" i="20"/>
  <c r="J35" i="20"/>
  <c r="K35" i="20"/>
  <c r="L35" i="20"/>
  <c r="M35" i="20"/>
  <c r="N35" i="20"/>
  <c r="G36" i="20"/>
  <c r="H36" i="20"/>
  <c r="I36" i="20"/>
  <c r="J36" i="20"/>
  <c r="K36" i="20"/>
  <c r="L36" i="20"/>
  <c r="M36" i="20"/>
  <c r="N36" i="20"/>
  <c r="G37" i="20"/>
  <c r="H37" i="20"/>
  <c r="I37" i="20"/>
  <c r="J37" i="20"/>
  <c r="K37" i="20"/>
  <c r="L37" i="20"/>
  <c r="M37" i="20"/>
  <c r="N37" i="20"/>
  <c r="G38" i="20"/>
  <c r="H38" i="20"/>
  <c r="I38" i="20"/>
  <c r="J38" i="20"/>
  <c r="K38" i="20"/>
  <c r="L38" i="20"/>
  <c r="M38" i="20"/>
  <c r="N38" i="20"/>
  <c r="G39" i="20"/>
  <c r="H39" i="20"/>
  <c r="I39" i="20"/>
  <c r="J39" i="20"/>
  <c r="K39" i="20"/>
  <c r="L39" i="20"/>
  <c r="M39" i="20"/>
  <c r="N39" i="20"/>
  <c r="G40" i="20"/>
  <c r="H40" i="20"/>
  <c r="I40" i="20"/>
  <c r="J40" i="20"/>
  <c r="K40" i="20"/>
  <c r="L40" i="20"/>
  <c r="M40" i="20"/>
  <c r="N40" i="20"/>
  <c r="G41" i="20"/>
  <c r="H41" i="20"/>
  <c r="I41" i="20"/>
  <c r="J41" i="20"/>
  <c r="K41" i="20"/>
  <c r="L41" i="20"/>
  <c r="M41" i="20"/>
  <c r="N41" i="20"/>
  <c r="G42" i="20"/>
  <c r="H42" i="20"/>
  <c r="I42" i="20"/>
  <c r="J42" i="20"/>
  <c r="K42" i="20"/>
  <c r="L42" i="20"/>
  <c r="M42" i="20"/>
  <c r="N42" i="20"/>
  <c r="H32" i="20"/>
  <c r="I32" i="20"/>
  <c r="J32" i="20"/>
  <c r="K32" i="20"/>
  <c r="L32" i="20"/>
  <c r="M32" i="20"/>
  <c r="N32" i="20"/>
  <c r="G32" i="20"/>
  <c r="V6" i="20"/>
  <c r="W6" i="20"/>
  <c r="X6" i="20"/>
  <c r="Y6" i="20"/>
  <c r="Z6" i="20"/>
  <c r="AA6" i="20"/>
  <c r="AB6" i="20"/>
  <c r="V7" i="20"/>
  <c r="W7" i="20"/>
  <c r="X7" i="20"/>
  <c r="Y7" i="20"/>
  <c r="Z7" i="20"/>
  <c r="AA7" i="20"/>
  <c r="AB7" i="20"/>
  <c r="V8" i="20"/>
  <c r="W8" i="20"/>
  <c r="X8" i="20"/>
  <c r="Y8" i="20"/>
  <c r="Z8" i="20"/>
  <c r="AA8" i="20"/>
  <c r="AB8" i="20"/>
  <c r="V9" i="20"/>
  <c r="W9" i="20"/>
  <c r="X9" i="20"/>
  <c r="Y9" i="20"/>
  <c r="Z9" i="20"/>
  <c r="AA9" i="20"/>
  <c r="AB9" i="20"/>
  <c r="V10" i="20"/>
  <c r="W10" i="20"/>
  <c r="X10" i="20"/>
  <c r="Y10" i="20"/>
  <c r="Z10" i="20"/>
  <c r="AA10" i="20"/>
  <c r="AB10" i="20"/>
  <c r="V11" i="20"/>
  <c r="W11" i="20"/>
  <c r="X11" i="20"/>
  <c r="Y11" i="20"/>
  <c r="Z11" i="20"/>
  <c r="AA11" i="20"/>
  <c r="AB11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4" i="20"/>
  <c r="W14" i="20"/>
  <c r="X14" i="20"/>
  <c r="Y14" i="20"/>
  <c r="Z14" i="20"/>
  <c r="AA14" i="20"/>
  <c r="AB14" i="20"/>
  <c r="V15" i="20"/>
  <c r="W15" i="20"/>
  <c r="X15" i="20"/>
  <c r="Y15" i="20"/>
  <c r="Z15" i="20"/>
  <c r="AA15" i="20"/>
  <c r="AB15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19" i="20"/>
  <c r="W19" i="20"/>
  <c r="X19" i="20"/>
  <c r="Y19" i="20"/>
  <c r="Z19" i="20"/>
  <c r="AA19" i="20"/>
  <c r="AB19" i="20"/>
  <c r="V20" i="20"/>
  <c r="W20" i="20"/>
  <c r="X20" i="20"/>
  <c r="Y20" i="20"/>
  <c r="Z20" i="20"/>
  <c r="AA20" i="20"/>
  <c r="AB20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4" i="20"/>
  <c r="W24" i="20"/>
  <c r="X24" i="20"/>
  <c r="Y24" i="20"/>
  <c r="Z24" i="20"/>
  <c r="AA24" i="20"/>
  <c r="AB24" i="20"/>
  <c r="W5" i="20"/>
  <c r="X5" i="20"/>
  <c r="Y5" i="20"/>
  <c r="Z5" i="20"/>
  <c r="AA5" i="20"/>
  <c r="AB5" i="20"/>
  <c r="V5" i="20"/>
  <c r="B17" i="20"/>
  <c r="B16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Z7" i="19" s="1"/>
  <c r="K8" i="19"/>
  <c r="Z8" i="19" s="1"/>
  <c r="K9" i="19"/>
  <c r="K10" i="19"/>
  <c r="Z10" i="19" s="1"/>
  <c r="K11" i="19"/>
  <c r="K12" i="19"/>
  <c r="K13" i="19"/>
  <c r="K14" i="19"/>
  <c r="K15" i="19"/>
  <c r="Z15" i="19" s="1"/>
  <c r="K16" i="19"/>
  <c r="Z16" i="19" s="1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Z56" i="20"/>
  <c r="Y56" i="20"/>
  <c r="X56" i="20"/>
  <c r="W56" i="20"/>
  <c r="V56" i="20"/>
  <c r="U56" i="20"/>
  <c r="T56" i="20"/>
  <c r="S56" i="20"/>
  <c r="Z55" i="20"/>
  <c r="Y55" i="20"/>
  <c r="X55" i="20"/>
  <c r="W55" i="20"/>
  <c r="V55" i="20"/>
  <c r="U55" i="20"/>
  <c r="T55" i="20"/>
  <c r="S55" i="20"/>
  <c r="Z54" i="20"/>
  <c r="Y54" i="20"/>
  <c r="X54" i="20"/>
  <c r="W54" i="20"/>
  <c r="V54" i="20"/>
  <c r="U54" i="20"/>
  <c r="T54" i="20"/>
  <c r="S54" i="20"/>
  <c r="Z53" i="20"/>
  <c r="Y53" i="20"/>
  <c r="X53" i="20"/>
  <c r="W53" i="20"/>
  <c r="V53" i="20"/>
  <c r="U53" i="20"/>
  <c r="T53" i="20"/>
  <c r="S53" i="20"/>
  <c r="Z52" i="20"/>
  <c r="Y52" i="20"/>
  <c r="X52" i="20"/>
  <c r="W52" i="20"/>
  <c r="V52" i="20"/>
  <c r="U52" i="20"/>
  <c r="T52" i="20"/>
  <c r="S52" i="20"/>
  <c r="Z51" i="20"/>
  <c r="Y51" i="20"/>
  <c r="X51" i="20"/>
  <c r="W51" i="20"/>
  <c r="V51" i="20"/>
  <c r="U51" i="20"/>
  <c r="T51" i="20"/>
  <c r="S51" i="20"/>
  <c r="Z50" i="20"/>
  <c r="Y50" i="20"/>
  <c r="X50" i="20"/>
  <c r="W50" i="20"/>
  <c r="V50" i="20"/>
  <c r="U50" i="20"/>
  <c r="T50" i="20"/>
  <c r="S50" i="20"/>
  <c r="Z49" i="20"/>
  <c r="Y49" i="20"/>
  <c r="X49" i="20"/>
  <c r="W49" i="20"/>
  <c r="V49" i="20"/>
  <c r="U49" i="20"/>
  <c r="T49" i="20"/>
  <c r="S49" i="20"/>
  <c r="Z48" i="20"/>
  <c r="Y48" i="20"/>
  <c r="X48" i="20"/>
  <c r="W48" i="20"/>
  <c r="V48" i="20"/>
  <c r="U48" i="20"/>
  <c r="T48" i="20"/>
  <c r="S48" i="20"/>
  <c r="Z47" i="20"/>
  <c r="Y47" i="20"/>
  <c r="X47" i="20"/>
  <c r="W47" i="20"/>
  <c r="V47" i="20"/>
  <c r="U47" i="20"/>
  <c r="T47" i="20"/>
  <c r="S47" i="20"/>
  <c r="Z42" i="20"/>
  <c r="Y42" i="20"/>
  <c r="X42" i="20"/>
  <c r="W42" i="20"/>
  <c r="V42" i="20"/>
  <c r="U42" i="20"/>
  <c r="T42" i="20"/>
  <c r="S42" i="20"/>
  <c r="Z41" i="20"/>
  <c r="Y41" i="20"/>
  <c r="X41" i="20"/>
  <c r="W41" i="20"/>
  <c r="V41" i="20"/>
  <c r="U41" i="20"/>
  <c r="T41" i="20"/>
  <c r="S41" i="20"/>
  <c r="Z40" i="20"/>
  <c r="Y40" i="20"/>
  <c r="X40" i="20"/>
  <c r="W40" i="20"/>
  <c r="V40" i="20"/>
  <c r="U40" i="20"/>
  <c r="T40" i="20"/>
  <c r="S40" i="20"/>
  <c r="Z39" i="20"/>
  <c r="Y39" i="20"/>
  <c r="X39" i="20"/>
  <c r="W39" i="20"/>
  <c r="V39" i="20"/>
  <c r="U39" i="20"/>
  <c r="T39" i="20"/>
  <c r="S39" i="20"/>
  <c r="Z38" i="20"/>
  <c r="Y38" i="20"/>
  <c r="X38" i="20"/>
  <c r="W38" i="20"/>
  <c r="V38" i="20"/>
  <c r="U38" i="20"/>
  <c r="T38" i="20"/>
  <c r="S38" i="20"/>
  <c r="Z37" i="20"/>
  <c r="Y37" i="20"/>
  <c r="X37" i="20"/>
  <c r="W37" i="20"/>
  <c r="V37" i="20"/>
  <c r="U37" i="20"/>
  <c r="T37" i="20"/>
  <c r="S37" i="20"/>
  <c r="Z36" i="20"/>
  <c r="Y36" i="20"/>
  <c r="X36" i="20"/>
  <c r="W36" i="20"/>
  <c r="V36" i="20"/>
  <c r="U36" i="20"/>
  <c r="T36" i="20"/>
  <c r="S36" i="20"/>
  <c r="Z35" i="20"/>
  <c r="Y35" i="20"/>
  <c r="X35" i="20"/>
  <c r="W35" i="20"/>
  <c r="V35" i="20"/>
  <c r="U35" i="20"/>
  <c r="T35" i="20"/>
  <c r="S35" i="20"/>
  <c r="Z34" i="20"/>
  <c r="Y34" i="20"/>
  <c r="X34" i="20"/>
  <c r="W34" i="20"/>
  <c r="V34" i="20"/>
  <c r="U34" i="20"/>
  <c r="T34" i="20"/>
  <c r="S34" i="20"/>
  <c r="Z33" i="20"/>
  <c r="Y33" i="20"/>
  <c r="X33" i="20"/>
  <c r="W33" i="20"/>
  <c r="V33" i="20"/>
  <c r="U33" i="20"/>
  <c r="T33" i="20"/>
  <c r="S33" i="20"/>
  <c r="Z32" i="20"/>
  <c r="Y32" i="20"/>
  <c r="X32" i="20"/>
  <c r="W32" i="20"/>
  <c r="V32" i="20"/>
  <c r="U32" i="20"/>
  <c r="T32" i="20"/>
  <c r="S32" i="20"/>
  <c r="S27" i="20"/>
  <c r="C11" i="20"/>
  <c r="J5" i="20"/>
  <c r="H13" i="19"/>
  <c r="G8" i="19"/>
  <c r="G7" i="19"/>
  <c r="G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AN27" i="18" s="1"/>
  <c r="W6" i="18"/>
  <c r="AO27" i="18" s="1"/>
  <c r="X6" i="18"/>
  <c r="AP27" i="18" s="1"/>
  <c r="Y6" i="18"/>
  <c r="AQ27" i="18" s="1"/>
  <c r="Z6" i="18"/>
  <c r="AR27" i="18" s="1"/>
  <c r="AA6" i="18"/>
  <c r="AS27" i="18" s="1"/>
  <c r="AB6" i="18"/>
  <c r="AT27" i="18" s="1"/>
  <c r="V7" i="18"/>
  <c r="AN28" i="18" s="1"/>
  <c r="W7" i="18"/>
  <c r="AO28" i="18" s="1"/>
  <c r="X7" i="18"/>
  <c r="AP28" i="18" s="1"/>
  <c r="Y7" i="18"/>
  <c r="AQ28" i="18" s="1"/>
  <c r="Z7" i="18"/>
  <c r="AR28" i="18" s="1"/>
  <c r="AA7" i="18"/>
  <c r="AS28" i="18" s="1"/>
  <c r="AB7" i="18"/>
  <c r="AT28" i="18" s="1"/>
  <c r="V8" i="18"/>
  <c r="AN29" i="18" s="1"/>
  <c r="W8" i="18"/>
  <c r="AO29" i="18" s="1"/>
  <c r="X8" i="18"/>
  <c r="AP29" i="18" s="1"/>
  <c r="Y8" i="18"/>
  <c r="AQ29" i="18" s="1"/>
  <c r="Z8" i="18"/>
  <c r="AR29" i="18" s="1"/>
  <c r="AA8" i="18"/>
  <c r="AS29" i="18" s="1"/>
  <c r="AB8" i="18"/>
  <c r="AT29" i="18" s="1"/>
  <c r="V9" i="18"/>
  <c r="AN30" i="18" s="1"/>
  <c r="W9" i="18"/>
  <c r="AO30" i="18" s="1"/>
  <c r="X9" i="18"/>
  <c r="AP30" i="18" s="1"/>
  <c r="Y9" i="18"/>
  <c r="AQ30" i="18" s="1"/>
  <c r="Z9" i="18"/>
  <c r="AR30" i="18" s="1"/>
  <c r="AA9" i="18"/>
  <c r="AS30" i="18" s="1"/>
  <c r="AB9" i="18"/>
  <c r="AT30" i="18" s="1"/>
  <c r="V10" i="18"/>
  <c r="AN31" i="18" s="1"/>
  <c r="W10" i="18"/>
  <c r="AO31" i="18" s="1"/>
  <c r="X10" i="18"/>
  <c r="AP31" i="18" s="1"/>
  <c r="Y10" i="18"/>
  <c r="AQ31" i="18" s="1"/>
  <c r="Z10" i="18"/>
  <c r="AR31" i="18" s="1"/>
  <c r="AA10" i="18"/>
  <c r="AS31" i="18" s="1"/>
  <c r="AB10" i="18"/>
  <c r="AT31" i="18" s="1"/>
  <c r="V11" i="18"/>
  <c r="AN32" i="18" s="1"/>
  <c r="W11" i="18"/>
  <c r="AO32" i="18" s="1"/>
  <c r="X11" i="18"/>
  <c r="AP32" i="18" s="1"/>
  <c r="Y11" i="18"/>
  <c r="AQ32" i="18" s="1"/>
  <c r="Z11" i="18"/>
  <c r="AR32" i="18" s="1"/>
  <c r="AA11" i="18"/>
  <c r="AS32" i="18" s="1"/>
  <c r="AB11" i="18"/>
  <c r="AT32" i="18" s="1"/>
  <c r="V12" i="18"/>
  <c r="AN33" i="18" s="1"/>
  <c r="W12" i="18"/>
  <c r="AO33" i="18" s="1"/>
  <c r="X12" i="18"/>
  <c r="AP33" i="18" s="1"/>
  <c r="Y12" i="18"/>
  <c r="AQ33" i="18" s="1"/>
  <c r="Z12" i="18"/>
  <c r="AR33" i="18" s="1"/>
  <c r="AA12" i="18"/>
  <c r="AS33" i="18" s="1"/>
  <c r="AB12" i="18"/>
  <c r="AT33" i="18" s="1"/>
  <c r="V13" i="18"/>
  <c r="AN34" i="18" s="1"/>
  <c r="W13" i="18"/>
  <c r="AO34" i="18" s="1"/>
  <c r="X13" i="18"/>
  <c r="AP34" i="18" s="1"/>
  <c r="Y13" i="18"/>
  <c r="AQ34" i="18" s="1"/>
  <c r="Z13" i="18"/>
  <c r="AR34" i="18" s="1"/>
  <c r="AA13" i="18"/>
  <c r="AS34" i="18" s="1"/>
  <c r="AB13" i="18"/>
  <c r="AT34" i="18" s="1"/>
  <c r="V14" i="18"/>
  <c r="AN35" i="18" s="1"/>
  <c r="W14" i="18"/>
  <c r="AO35" i="18" s="1"/>
  <c r="X14" i="18"/>
  <c r="AP35" i="18" s="1"/>
  <c r="Y14" i="18"/>
  <c r="AQ35" i="18" s="1"/>
  <c r="Z14" i="18"/>
  <c r="AR35" i="18" s="1"/>
  <c r="AA14" i="18"/>
  <c r="AS35" i="18" s="1"/>
  <c r="AB14" i="18"/>
  <c r="AT35" i="18" s="1"/>
  <c r="V15" i="18"/>
  <c r="AN36" i="18" s="1"/>
  <c r="W15" i="18"/>
  <c r="AO36" i="18" s="1"/>
  <c r="X15" i="18"/>
  <c r="AP36" i="18" s="1"/>
  <c r="Y15" i="18"/>
  <c r="AQ36" i="18" s="1"/>
  <c r="Z15" i="18"/>
  <c r="AR36" i="18" s="1"/>
  <c r="AA15" i="18"/>
  <c r="AS36" i="18" s="1"/>
  <c r="AB15" i="18"/>
  <c r="AT36" i="18" s="1"/>
  <c r="V16" i="18"/>
  <c r="AN37" i="18" s="1"/>
  <c r="W16" i="18"/>
  <c r="AO37" i="18" s="1"/>
  <c r="X16" i="18"/>
  <c r="AP37" i="18" s="1"/>
  <c r="Y16" i="18"/>
  <c r="AQ37" i="18" s="1"/>
  <c r="Z16" i="18"/>
  <c r="AR37" i="18" s="1"/>
  <c r="AA16" i="18"/>
  <c r="AS37" i="18" s="1"/>
  <c r="AB16" i="18"/>
  <c r="AT37" i="18" s="1"/>
  <c r="V17" i="18"/>
  <c r="AN38" i="18" s="1"/>
  <c r="W17" i="18"/>
  <c r="AO38" i="18" s="1"/>
  <c r="X17" i="18"/>
  <c r="AP38" i="18" s="1"/>
  <c r="Y17" i="18"/>
  <c r="AQ38" i="18" s="1"/>
  <c r="Z17" i="18"/>
  <c r="AR38" i="18" s="1"/>
  <c r="AA17" i="18"/>
  <c r="AS38" i="18" s="1"/>
  <c r="AB17" i="18"/>
  <c r="AT38" i="18" s="1"/>
  <c r="V18" i="18"/>
  <c r="AN39" i="18" s="1"/>
  <c r="W18" i="18"/>
  <c r="AO39" i="18" s="1"/>
  <c r="X18" i="18"/>
  <c r="AP39" i="18" s="1"/>
  <c r="Y18" i="18"/>
  <c r="AQ39" i="18" s="1"/>
  <c r="Z18" i="18"/>
  <c r="AR39" i="18" s="1"/>
  <c r="AA18" i="18"/>
  <c r="AS39" i="18" s="1"/>
  <c r="AB18" i="18"/>
  <c r="AT39" i="18" s="1"/>
  <c r="V19" i="18"/>
  <c r="AN40" i="18" s="1"/>
  <c r="W19" i="18"/>
  <c r="AO40" i="18" s="1"/>
  <c r="X19" i="18"/>
  <c r="AP40" i="18" s="1"/>
  <c r="Y19" i="18"/>
  <c r="AQ40" i="18" s="1"/>
  <c r="Z19" i="18"/>
  <c r="AR40" i="18" s="1"/>
  <c r="AA19" i="18"/>
  <c r="AS40" i="18" s="1"/>
  <c r="AB19" i="18"/>
  <c r="AT40" i="18" s="1"/>
  <c r="V20" i="18"/>
  <c r="AN41" i="18" s="1"/>
  <c r="W20" i="18"/>
  <c r="AO41" i="18" s="1"/>
  <c r="X20" i="18"/>
  <c r="AP41" i="18" s="1"/>
  <c r="Y20" i="18"/>
  <c r="AQ41" i="18" s="1"/>
  <c r="Z20" i="18"/>
  <c r="AR41" i="18" s="1"/>
  <c r="AA20" i="18"/>
  <c r="AS41" i="18" s="1"/>
  <c r="AB20" i="18"/>
  <c r="AT41" i="18" s="1"/>
  <c r="V21" i="18"/>
  <c r="AN42" i="18" s="1"/>
  <c r="W21" i="18"/>
  <c r="AO42" i="18" s="1"/>
  <c r="X21" i="18"/>
  <c r="AP42" i="18" s="1"/>
  <c r="Y21" i="18"/>
  <c r="AQ42" i="18" s="1"/>
  <c r="Z21" i="18"/>
  <c r="AR42" i="18" s="1"/>
  <c r="AA21" i="18"/>
  <c r="AS42" i="18" s="1"/>
  <c r="AB21" i="18"/>
  <c r="AT42" i="18" s="1"/>
  <c r="V22" i="18"/>
  <c r="AN43" i="18" s="1"/>
  <c r="W22" i="18"/>
  <c r="AO43" i="18" s="1"/>
  <c r="X22" i="18"/>
  <c r="AP43" i="18" s="1"/>
  <c r="Y22" i="18"/>
  <c r="AQ43" i="18" s="1"/>
  <c r="Z22" i="18"/>
  <c r="AR43" i="18" s="1"/>
  <c r="AA22" i="18"/>
  <c r="AS43" i="18" s="1"/>
  <c r="AB22" i="18"/>
  <c r="AT43" i="18" s="1"/>
  <c r="V23" i="18"/>
  <c r="AN44" i="18" s="1"/>
  <c r="W23" i="18"/>
  <c r="AO44" i="18" s="1"/>
  <c r="X23" i="18"/>
  <c r="AP44" i="18" s="1"/>
  <c r="Y23" i="18"/>
  <c r="AQ44" i="18" s="1"/>
  <c r="Z23" i="18"/>
  <c r="AR44" i="18" s="1"/>
  <c r="AA23" i="18"/>
  <c r="AS44" i="18" s="1"/>
  <c r="AB23" i="18"/>
  <c r="AT44" i="18" s="1"/>
  <c r="V24" i="18"/>
  <c r="AN45" i="18" s="1"/>
  <c r="W24" i="18"/>
  <c r="AO45" i="18" s="1"/>
  <c r="X24" i="18"/>
  <c r="AP45" i="18" s="1"/>
  <c r="Y24" i="18"/>
  <c r="AQ45" i="18" s="1"/>
  <c r="Z24" i="18"/>
  <c r="AR45" i="18" s="1"/>
  <c r="AA24" i="18"/>
  <c r="AS45" i="18" s="1"/>
  <c r="AB24" i="18"/>
  <c r="AT45" i="18" s="1"/>
  <c r="W5" i="18"/>
  <c r="AO26" i="18" s="1"/>
  <c r="X5" i="18"/>
  <c r="AP26" i="18" s="1"/>
  <c r="Y5" i="18"/>
  <c r="AQ26" i="18" s="1"/>
  <c r="Z5" i="18"/>
  <c r="AR26" i="18" s="1"/>
  <c r="AA5" i="18"/>
  <c r="AS26" i="18" s="1"/>
  <c r="AB5" i="18"/>
  <c r="AT26" i="18" s="1"/>
  <c r="V5" i="18"/>
  <c r="AN26" i="18" s="1"/>
  <c r="N6" i="18"/>
  <c r="AF27" i="18" s="1"/>
  <c r="O6" i="18"/>
  <c r="AG27" i="18" s="1"/>
  <c r="P6" i="18"/>
  <c r="AH27" i="18" s="1"/>
  <c r="Q6" i="18"/>
  <c r="AI27" i="18" s="1"/>
  <c r="R6" i="18"/>
  <c r="AJ27" i="18" s="1"/>
  <c r="S6" i="18"/>
  <c r="AK27" i="18" s="1"/>
  <c r="M7" i="18"/>
  <c r="AE28" i="18" s="1"/>
  <c r="N7" i="18"/>
  <c r="AF28" i="18" s="1"/>
  <c r="O7" i="18"/>
  <c r="AG28" i="18" s="1"/>
  <c r="P7" i="18"/>
  <c r="AH28" i="18" s="1"/>
  <c r="Q7" i="18"/>
  <c r="AI28" i="18" s="1"/>
  <c r="R7" i="18"/>
  <c r="AJ28" i="18" s="1"/>
  <c r="S7" i="18"/>
  <c r="AK28" i="18" s="1"/>
  <c r="N8" i="18"/>
  <c r="AF29" i="18" s="1"/>
  <c r="O8" i="18"/>
  <c r="AG29" i="18" s="1"/>
  <c r="P8" i="18"/>
  <c r="AH29" i="18" s="1"/>
  <c r="Q8" i="18"/>
  <c r="AI29" i="18" s="1"/>
  <c r="R8" i="18"/>
  <c r="AJ29" i="18" s="1"/>
  <c r="S8" i="18"/>
  <c r="AK29" i="18" s="1"/>
  <c r="M9" i="18"/>
  <c r="AE30" i="18" s="1"/>
  <c r="N9" i="18"/>
  <c r="AF30" i="18" s="1"/>
  <c r="O9" i="18"/>
  <c r="AG30" i="18" s="1"/>
  <c r="P9" i="18"/>
  <c r="AH30" i="18" s="1"/>
  <c r="Q9" i="18"/>
  <c r="AI30" i="18" s="1"/>
  <c r="R9" i="18"/>
  <c r="AJ30" i="18" s="1"/>
  <c r="S9" i="18"/>
  <c r="AK30" i="18" s="1"/>
  <c r="M10" i="18"/>
  <c r="AE31" i="18" s="1"/>
  <c r="N10" i="18"/>
  <c r="AF31" i="18" s="1"/>
  <c r="O10" i="18"/>
  <c r="AG31" i="18" s="1"/>
  <c r="P10" i="18"/>
  <c r="AH31" i="18" s="1"/>
  <c r="Q10" i="18"/>
  <c r="AI31" i="18" s="1"/>
  <c r="R10" i="18"/>
  <c r="AJ31" i="18" s="1"/>
  <c r="S10" i="18"/>
  <c r="AK31" i="18" s="1"/>
  <c r="M11" i="18"/>
  <c r="AE32" i="18" s="1"/>
  <c r="N11" i="18"/>
  <c r="AF32" i="18" s="1"/>
  <c r="O11" i="18"/>
  <c r="AG32" i="18" s="1"/>
  <c r="P11" i="18"/>
  <c r="AH32" i="18" s="1"/>
  <c r="Q11" i="18"/>
  <c r="AI32" i="18" s="1"/>
  <c r="R11" i="18"/>
  <c r="AJ32" i="18" s="1"/>
  <c r="S11" i="18"/>
  <c r="AK32" i="18" s="1"/>
  <c r="M12" i="18"/>
  <c r="AE33" i="18" s="1"/>
  <c r="N12" i="18"/>
  <c r="AF33" i="18" s="1"/>
  <c r="O12" i="18"/>
  <c r="AG33" i="18" s="1"/>
  <c r="P12" i="18"/>
  <c r="AH33" i="18" s="1"/>
  <c r="Q12" i="18"/>
  <c r="AI33" i="18" s="1"/>
  <c r="R12" i="18"/>
  <c r="AJ33" i="18" s="1"/>
  <c r="S12" i="18"/>
  <c r="AK33" i="18" s="1"/>
  <c r="M13" i="18"/>
  <c r="AE34" i="18" s="1"/>
  <c r="N13" i="18"/>
  <c r="AF34" i="18" s="1"/>
  <c r="O13" i="18"/>
  <c r="AG34" i="18" s="1"/>
  <c r="P13" i="18"/>
  <c r="AH34" i="18" s="1"/>
  <c r="Q13" i="18"/>
  <c r="AI34" i="18" s="1"/>
  <c r="R13" i="18"/>
  <c r="AJ34" i="18" s="1"/>
  <c r="S13" i="18"/>
  <c r="AK34" i="18" s="1"/>
  <c r="M14" i="18"/>
  <c r="AE35" i="18" s="1"/>
  <c r="N14" i="18"/>
  <c r="AF35" i="18" s="1"/>
  <c r="O14" i="18"/>
  <c r="AG35" i="18" s="1"/>
  <c r="P14" i="18"/>
  <c r="AH35" i="18" s="1"/>
  <c r="Q14" i="18"/>
  <c r="AI35" i="18" s="1"/>
  <c r="R14" i="18"/>
  <c r="AJ35" i="18" s="1"/>
  <c r="S14" i="18"/>
  <c r="AK35" i="18" s="1"/>
  <c r="M15" i="18"/>
  <c r="AE36" i="18" s="1"/>
  <c r="N15" i="18"/>
  <c r="AF36" i="18" s="1"/>
  <c r="O15" i="18"/>
  <c r="AG36" i="18" s="1"/>
  <c r="P15" i="18"/>
  <c r="AH36" i="18" s="1"/>
  <c r="Q15" i="18"/>
  <c r="AI36" i="18" s="1"/>
  <c r="R15" i="18"/>
  <c r="AJ36" i="18" s="1"/>
  <c r="S15" i="18"/>
  <c r="AK36" i="18" s="1"/>
  <c r="M16" i="18"/>
  <c r="AE37" i="18" s="1"/>
  <c r="N16" i="18"/>
  <c r="AF37" i="18" s="1"/>
  <c r="O16" i="18"/>
  <c r="AG37" i="18" s="1"/>
  <c r="P16" i="18"/>
  <c r="AH37" i="18" s="1"/>
  <c r="Q16" i="18"/>
  <c r="AI37" i="18" s="1"/>
  <c r="R16" i="18"/>
  <c r="AJ37" i="18" s="1"/>
  <c r="S16" i="18"/>
  <c r="AK37" i="18" s="1"/>
  <c r="M17" i="18"/>
  <c r="AE38" i="18" s="1"/>
  <c r="N17" i="18"/>
  <c r="AF38" i="18" s="1"/>
  <c r="O17" i="18"/>
  <c r="AG38" i="18" s="1"/>
  <c r="P17" i="18"/>
  <c r="AH38" i="18" s="1"/>
  <c r="Q17" i="18"/>
  <c r="AI38" i="18" s="1"/>
  <c r="R17" i="18"/>
  <c r="AJ38" i="18" s="1"/>
  <c r="S17" i="18"/>
  <c r="AK38" i="18" s="1"/>
  <c r="M18" i="18"/>
  <c r="AE39" i="18" s="1"/>
  <c r="N18" i="18"/>
  <c r="AF39" i="18" s="1"/>
  <c r="O18" i="18"/>
  <c r="AG39" i="18" s="1"/>
  <c r="P18" i="18"/>
  <c r="AH39" i="18" s="1"/>
  <c r="Q18" i="18"/>
  <c r="AI39" i="18" s="1"/>
  <c r="R18" i="18"/>
  <c r="AJ39" i="18" s="1"/>
  <c r="S18" i="18"/>
  <c r="AK39" i="18" s="1"/>
  <c r="M19" i="18"/>
  <c r="AE40" i="18" s="1"/>
  <c r="N19" i="18"/>
  <c r="AF40" i="18" s="1"/>
  <c r="O19" i="18"/>
  <c r="AG40" i="18" s="1"/>
  <c r="P19" i="18"/>
  <c r="AH40" i="18" s="1"/>
  <c r="Q19" i="18"/>
  <c r="AI40" i="18" s="1"/>
  <c r="R19" i="18"/>
  <c r="AJ40" i="18" s="1"/>
  <c r="S19" i="18"/>
  <c r="AK40" i="18" s="1"/>
  <c r="M20" i="18"/>
  <c r="AE41" i="18" s="1"/>
  <c r="N20" i="18"/>
  <c r="AF41" i="18" s="1"/>
  <c r="O20" i="18"/>
  <c r="AG41" i="18" s="1"/>
  <c r="P20" i="18"/>
  <c r="AH41" i="18" s="1"/>
  <c r="Q20" i="18"/>
  <c r="AI41" i="18" s="1"/>
  <c r="R20" i="18"/>
  <c r="AJ41" i="18" s="1"/>
  <c r="S20" i="18"/>
  <c r="AK41" i="18" s="1"/>
  <c r="M21" i="18"/>
  <c r="AE42" i="18" s="1"/>
  <c r="N21" i="18"/>
  <c r="AF42" i="18" s="1"/>
  <c r="O21" i="18"/>
  <c r="AG42" i="18" s="1"/>
  <c r="P21" i="18"/>
  <c r="AH42" i="18" s="1"/>
  <c r="Q21" i="18"/>
  <c r="AI42" i="18" s="1"/>
  <c r="R21" i="18"/>
  <c r="AJ42" i="18" s="1"/>
  <c r="S21" i="18"/>
  <c r="AK42" i="18" s="1"/>
  <c r="M22" i="18"/>
  <c r="AE43" i="18" s="1"/>
  <c r="N22" i="18"/>
  <c r="AF43" i="18" s="1"/>
  <c r="O22" i="18"/>
  <c r="AG43" i="18" s="1"/>
  <c r="P22" i="18"/>
  <c r="AH43" i="18" s="1"/>
  <c r="Q22" i="18"/>
  <c r="AI43" i="18" s="1"/>
  <c r="R22" i="18"/>
  <c r="AJ43" i="18" s="1"/>
  <c r="S22" i="18"/>
  <c r="AK43" i="18" s="1"/>
  <c r="M23" i="18"/>
  <c r="AE44" i="18" s="1"/>
  <c r="N23" i="18"/>
  <c r="AF44" i="18" s="1"/>
  <c r="O23" i="18"/>
  <c r="AG44" i="18" s="1"/>
  <c r="P23" i="18"/>
  <c r="AH44" i="18" s="1"/>
  <c r="Q23" i="18"/>
  <c r="AI44" i="18" s="1"/>
  <c r="R23" i="18"/>
  <c r="AJ44" i="18" s="1"/>
  <c r="S23" i="18"/>
  <c r="AK44" i="18" s="1"/>
  <c r="M24" i="18"/>
  <c r="AE45" i="18" s="1"/>
  <c r="N24" i="18"/>
  <c r="AF45" i="18" s="1"/>
  <c r="O24" i="18"/>
  <c r="AG45" i="18" s="1"/>
  <c r="P24" i="18"/>
  <c r="AH45" i="18" s="1"/>
  <c r="Q24" i="18"/>
  <c r="AI45" i="18" s="1"/>
  <c r="R24" i="18"/>
  <c r="AJ45" i="18" s="1"/>
  <c r="S24" i="18"/>
  <c r="AK45" i="18" s="1"/>
  <c r="N5" i="18"/>
  <c r="AF26" i="18" s="1"/>
  <c r="O5" i="18"/>
  <c r="AG26" i="18" s="1"/>
  <c r="P5" i="18"/>
  <c r="AH26" i="18" s="1"/>
  <c r="Q5" i="18"/>
  <c r="AI26" i="18" s="1"/>
  <c r="R5" i="18"/>
  <c r="AJ26" i="18" s="1"/>
  <c r="S5" i="18"/>
  <c r="AK26" i="18" s="1"/>
  <c r="M5" i="18"/>
  <c r="AE26" i="18" s="1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J9" i="3"/>
  <c r="J3" i="3"/>
  <c r="J7" i="3"/>
  <c r="J6" i="3"/>
  <c r="C3" i="3"/>
  <c r="J5" i="3"/>
  <c r="C5" i="3"/>
  <c r="C7" i="3"/>
  <c r="C6" i="3"/>
  <c r="C4" i="3"/>
  <c r="J4" i="3"/>
  <c r="J8" i="3"/>
  <c r="Z18" i="19" l="1"/>
  <c r="Z19" i="19"/>
  <c r="Z21" i="19"/>
  <c r="Z5" i="19"/>
  <c r="Z20" i="19"/>
  <c r="Z17" i="19"/>
  <c r="Z14" i="19"/>
  <c r="Z13" i="19"/>
  <c r="Z12" i="19"/>
  <c r="Z11" i="19"/>
  <c r="Z9" i="19"/>
  <c r="Z6" i="19"/>
  <c r="H10" i="3"/>
  <c r="H16" i="3" s="1"/>
  <c r="H13" i="3"/>
  <c r="H15" i="3"/>
  <c r="C17" i="20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J10" i="3"/>
  <c r="H14" i="3" l="1"/>
  <c r="AI38" i="15"/>
  <c r="AS39" i="14"/>
  <c r="AS40" i="14"/>
  <c r="AE5" i="14"/>
  <c r="AG9" i="14" s="1"/>
  <c r="AG10" i="14" s="1"/>
  <c r="AG5" i="14"/>
  <c r="AF5" i="14"/>
  <c r="AH9" i="14" s="1"/>
  <c r="AH10" i="14" s="1"/>
  <c r="AE18" i="14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F20" i="14"/>
  <c r="AF21" i="14" s="1"/>
  <c r="K199" i="9"/>
  <c r="K167" i="9"/>
  <c r="K135" i="9"/>
  <c r="K179" i="9"/>
  <c r="K147" i="9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E147" i="9"/>
  <c r="E115" i="9"/>
  <c r="E83" i="9"/>
  <c r="E179" i="9"/>
  <c r="AC39" i="13"/>
  <c r="E156" i="9"/>
  <c r="K3" i="9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F20" i="13" l="1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<sst xmlns="http://schemas.openxmlformats.org/spreadsheetml/2006/main" count="620" uniqueCount="178">
  <si>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</si>
  <si>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</si>
  <si>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</si>
  <si>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</si>
  <si>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</si>
  <si>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</si>
  <si>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</si>
  <si>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</si>
  <si>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</si>
  <si>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</si>
  <si>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</si>
  <si>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</si>
  <si>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</si>
  <si>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</si>
  <si>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</si>
  <si>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</si>
  <si>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</si>
  <si>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</si>
  <si>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</si>
  <si>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</si>
  <si>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</si>
  <si>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</si>
  <si>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</si>
  <si>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</si>
  <si>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</si>
  <si>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</si>
  <si>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</si>
  <si>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</si>
  <si>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</si>
  <si>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</si>
  <si>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</si>
  <si>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</si>
  <si>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</si>
  <si>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</si>
  <si>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</si>
  <si>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</si>
  <si>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</si>
  <si>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</si>
  <si>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</si>
  <si>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</si>
  <si>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</si>
  <si>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</si>
  <si>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</si>
  <si>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</si>
  <si>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</si>
  <si>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</si>
  <si>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</si>
  <si>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</si>
  <si>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</si>
  <si>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</si>
  <si>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</si>
  <si>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</si>
  <si>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</si>
  <si>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</si>
  <si>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</si>
  <si>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</si>
  <si>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</si>
  <si>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</si>
  <si>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</si>
  <si>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</si>
  <si>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</si>
  <si>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</si>
  <si>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</si>
  <si>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</si>
  <si>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</si>
  <si>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</si>
  <si>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</si>
  <si>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</si>
  <si>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</si>
  <si>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</si>
  <si>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</si>
  <si>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</si>
  <si>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</si>
  <si>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</si>
  <si>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</si>
  <si>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</si>
  <si>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</si>
  <si>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</si>
  <si>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</si>
  <si>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</si>
  <si>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</si>
  <si>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</si>
  <si>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</si>
  <si>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</si>
  <si>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</si>
  <si>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</si>
  <si>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</si>
  <si>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</si>
  <si>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</si>
  <si>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</si>
  <si>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</si>
  <si>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</si>
  <si>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</si>
  <si>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</si>
  <si>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</si>
  <si>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</si>
  <si>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</si>
  <si>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</si>
  <si>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</si>
  <si>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</si>
  <si>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</si>
  <si>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</si>
  <si>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</si>
  <si>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</si>
  <si>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</si>
  <si>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</si>
  <si>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</si>
  <si>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</si>
  <si>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</si>
  <si>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</si>
  <si>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</si>
  <si>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</si>
  <si>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</si>
  <si>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</si>
  <si>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</si>
  <si>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</si>
  <si>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</si>
  <si>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</si>
  <si>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</si>
  <si>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</si>
  <si>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</si>
  <si>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</si>
  <si>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</si>
  <si>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</si>
  <si>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</si>
  <si>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</si>
  <si>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</si>
  <si>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</si>
  <si>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</si>
  <si>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</si>
  <si>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</si>
  <si>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</si>
  <si>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</si>
  <si>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</si>
  <si>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</si>
  <si>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</si>
  <si>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</si>
  <si>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</si>
  <si>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</si>
  <si>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</si>
  <si>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</si>
  <si>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</si>
  <si>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</si>
  <si>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</si>
  <si>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</si>
  <si>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</si>
  <si>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</si>
  <si>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</si>
  <si>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</si>
  <si>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</si>
  <si>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</si>
  <si>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</si>
  <si>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</si>
  <si>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</si>
  <si>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</si>
  <si>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</si>
  <si>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</si>
  <si>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</si>
  <si>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</si>
  <si>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</si>
  <si>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</si>
  <si>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</si>
  <si>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</si>
  <si>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</si>
  <si>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</si>
  <si>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</si>
  <si>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</si>
  <si>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</si>
  <si>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</si>
  <si>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</si>
  <si>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</si>
  <si>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Trinomial</t>
  </si>
  <si>
    <t>Call Greeks: Trinomial Numerical Greeks</t>
  </si>
  <si>
    <t>Put Greeks: Trinomial Numerical Greeks</t>
  </si>
  <si>
    <t>acq_isprime</t>
  </si>
  <si>
    <t>acq_isinteger</t>
  </si>
  <si>
    <t>acq_isleap_year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</si>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</sst>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19" xfId="3" applyBorder="1"/>
    <xf numFmtId="0" fontId="3" fillId="3" borderId="20" xfId="2" applyBorder="1"/>
    <xf numFmtId="0" fontId="3" fillId="3" borderId="21" xfId="2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0.22798958181441617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'Comparison-American'!$K$5:$K$21</c:f>
              <c:numCache>
                <c:formatCode>General</c:formatCode>
                <c:ptCount val="17"/>
                <c:pt idx="0">
                  <c:v>69.999999999999986</c:v>
                </c:pt>
                <c:pt idx="1">
                  <c:v>59.999999999999986</c:v>
                </c:pt>
                <c:pt idx="2">
                  <c:v>49.999999999999986</c:v>
                </c:pt>
                <c:pt idx="3">
                  <c:v>39.999999999999986</c:v>
                </c:pt>
                <c:pt idx="4">
                  <c:v>30.498380409808711</c:v>
                </c:pt>
                <c:pt idx="5">
                  <c:v>22.446455528312654</c:v>
                </c:pt>
                <c:pt idx="6">
                  <c:v>15.865993500151173</c:v>
                </c:pt>
                <c:pt idx="7">
                  <c:v>10.789799785481252</c:v>
                </c:pt>
                <c:pt idx="8">
                  <c:v>7.1050671839426629</c:v>
                </c:pt>
                <c:pt idx="9">
                  <c:v>4.5576258454195173</c:v>
                </c:pt>
                <c:pt idx="10">
                  <c:v>2.8641484870550871</c:v>
                </c:pt>
                <c:pt idx="11">
                  <c:v>1.7749433956584808</c:v>
                </c:pt>
                <c:pt idx="12">
                  <c:v>1.0875315364274123</c:v>
                </c:pt>
                <c:pt idx="13">
                  <c:v>0.66035216158533605</c:v>
                </c:pt>
                <c:pt idx="14">
                  <c:v>0.40069869352047782</c:v>
                </c:pt>
                <c:pt idx="15">
                  <c:v>0.24197271431601239</c:v>
                </c:pt>
                <c:pt idx="16">
                  <c:v>0.14601281191060614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B-46E0-9543-7836A1C0E5E8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B-46E0-9543-7836A1C0E5E8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B-46E0-9543-7836A1C0E5E8}"/>
            </c:ext>
          </c:extLst>
        </c:ser>
        <c:ser>
          <c:idx val="1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'Comparison-American'!$L$5:$L$21</c:f>
              <c:numCache>
                <c:formatCode>General</c:formatCode>
                <c:ptCount val="17"/>
                <c:pt idx="0">
                  <c:v>7.7531407749717081E-12</c:v>
                </c:pt>
                <c:pt idx="1">
                  <c:v>6.1198396917104289E-6</c:v>
                </c:pt>
                <c:pt idx="2">
                  <c:v>2.0202104753871985E-3</c:v>
                </c:pt>
                <c:pt idx="3">
                  <c:v>5.0745317142587704E-2</c:v>
                </c:pt>
                <c:pt idx="4">
                  <c:v>0.38081386927335337</c:v>
                </c:pt>
                <c:pt idx="5">
                  <c:v>1.480431683143093</c:v>
                </c:pt>
                <c:pt idx="6">
                  <c:v>3.8810475580777197</c:v>
                </c:pt>
                <c:pt idx="7">
                  <c:v>7.9151152949034689</c:v>
                </c:pt>
                <c:pt idx="8">
                  <c:v>13.67667721163852</c:v>
                </c:pt>
                <c:pt idx="9">
                  <c:v>21.090392408953964</c:v>
                </c:pt>
                <c:pt idx="10">
                  <c:v>30.037336547675785</c:v>
                </c:pt>
                <c:pt idx="11">
                  <c:v>40.000000000000014</c:v>
                </c:pt>
                <c:pt idx="12">
                  <c:v>50.000000000000014</c:v>
                </c:pt>
                <c:pt idx="13">
                  <c:v>60.000000000000014</c:v>
                </c:pt>
                <c:pt idx="14">
                  <c:v>70.000000000000014</c:v>
                </c:pt>
                <c:pt idx="15">
                  <c:v>80.000000000000014</c:v>
                </c:pt>
                <c:pt idx="16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B-46E0-9543-7836A1C0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'Comparison-American'!$S$3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'Comparison-American'!$W$3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'Comparison-American'!$W$5:$W$21</c:f>
              <c:numCache>
                <c:formatCode>General</c:formatCode>
                <c:ptCount val="17"/>
                <c:pt idx="0">
                  <c:v>3.2878225846039481E-4</c:v>
                </c:pt>
                <c:pt idx="1">
                  <c:v>4.5362907552770448E-2</c:v>
                </c:pt>
                <c:pt idx="2">
                  <c:v>0.35446037434305855</c:v>
                </c:pt>
                <c:pt idx="3">
                  <c:v>1.3717766118614212</c:v>
                </c:pt>
                <c:pt idx="4">
                  <c:v>3.5552974923851526</c:v>
                </c:pt>
                <c:pt idx="5">
                  <c:v>5.4919312685658506</c:v>
                </c:pt>
                <c:pt idx="6">
                  <c:v>7.1659504190710379</c:v>
                </c:pt>
                <c:pt idx="7">
                  <c:v>8.6155333627550021</c:v>
                </c:pt>
                <c:pt idx="8">
                  <c:v>9.8821952981193775</c:v>
                </c:pt>
                <c:pt idx="9">
                  <c:v>10.9937639191799</c:v>
                </c:pt>
                <c:pt idx="10">
                  <c:v>11.971555048494547</c:v>
                </c:pt>
                <c:pt idx="11">
                  <c:v>12.836507128490545</c:v>
                </c:pt>
                <c:pt idx="12">
                  <c:v>13.610353346017032</c:v>
                </c:pt>
                <c:pt idx="13">
                  <c:v>14.296489058553618</c:v>
                </c:pt>
                <c:pt idx="14">
                  <c:v>14.907287728066489</c:v>
                </c:pt>
                <c:pt idx="15">
                  <c:v>15.457808393273426</c:v>
                </c:pt>
                <c:pt idx="16">
                  <c:v>15.954057435044053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23811</xdr:rowOff>
    </xdr:from>
    <xdr:to>
      <xdr:col>9</xdr:col>
      <xdr:colOff>352425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22</xdr:row>
      <xdr:rowOff>19050</xdr:rowOff>
    </xdr:from>
    <xdr:to>
      <xdr:col>17</xdr:col>
      <xdr:colOff>533400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22</xdr:row>
      <xdr:rowOff>47625</xdr:rowOff>
    </xdr:from>
    <xdr:to>
      <xdr:col>25</xdr:col>
      <xdr:colOff>276225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N56"/>
  <sheetViews>
    <sheetView workbookViewId="0">
      <selection activeCell="C38" sqref="C38"/>
    </sheetView>
  </sheetViews>
  <sheetFormatPr defaultRowHeight="15" x14ac:dyDescent="0.25"/>
  <cols>
    <col min="2" max="2" width="21.28515625" bestFit="1" customWidth="1"/>
    <col min="3" max="3" width="36.28515625" bestFit="1" customWidth="1"/>
    <col min="4" max="4" width="11.85546875" customWidth="1"/>
    <col min="7" max="7" width="24.85546875" customWidth="1"/>
    <col min="8" max="8" width="12.5703125" customWidth="1"/>
    <col min="11" max="11" width="12.85546875" bestFit="1" customWidth="1"/>
    <col min="14" max="14" width="15.28515625" bestFit="1" customWidth="1"/>
  </cols>
  <sheetData>
    <row r="2" spans="2:10" ht="15.75" thickBot="1" x14ac:dyDescent="0.3">
      <c r="B2" s="3" t="s">
        <v>4</v>
      </c>
      <c r="C2" s="3"/>
      <c r="H2" t="s">
        <v>157</v>
      </c>
      <c r="J2" s="3" t="s">
        <v>158</v>
      </c>
    </row>
    <row r="3" spans="2:10" x14ac:dyDescent="0.25">
      <c r="B3" t="s">
        <v>6</v>
      </c>
      <c r="C3" s="6">
        <f>_xll.acq_excel_version()</f>
        <v>16</v>
      </c>
      <c r="G3" t="s">
        <v>153</v>
      </c>
      <c r="H3" s="5">
        <f>PI()</f>
        <v>3.1415926535897931</v>
      </c>
      <c r="J3" s="6" t="str">
        <f>_xll.acq_tostring(H3)</f>
        <v>3.14159265358979</v>
      </c>
    </row>
    <row r="4" spans="2:10" x14ac:dyDescent="0.25">
      <c r="B4" t="s">
        <v>7</v>
      </c>
      <c r="C4" s="6" t="str">
        <f>_xll.acq_version()</f>
        <v>1.4.8035.29285</v>
      </c>
      <c r="G4" t="s">
        <v>1</v>
      </c>
      <c r="H4" s="48">
        <f ca="1">TODAY()</f>
        <v>44561</v>
      </c>
      <c r="J4" s="49" t="str">
        <f ca="1">_xll.acq_tostring(H4)</f>
        <v>44561</v>
      </c>
    </row>
    <row r="5" spans="2:10" x14ac:dyDescent="0.25">
      <c r="B5" t="s">
        <v>5</v>
      </c>
      <c r="C5" s="6" t="str">
        <f>_xll.acq_xllpath()</f>
        <v>D:\Github\ACQ\ACQ.Excel\bin\Debug\ACQ.Excel64.xll</v>
      </c>
      <c r="G5" t="s">
        <v>154</v>
      </c>
      <c r="H5" s="5" t="b">
        <v>1</v>
      </c>
      <c r="J5" s="6" t="str">
        <f>_xll.acq_tostring(H5)</f>
        <v>TRUE</v>
      </c>
    </row>
    <row r="6" spans="2:10" x14ac:dyDescent="0.25">
      <c r="B6" t="s">
        <v>8</v>
      </c>
      <c r="C6" s="6" t="str">
        <f>_xll.acq_exceldna_version()</f>
        <v>1.1.0.3</v>
      </c>
      <c r="G6" t="s">
        <v>111</v>
      </c>
      <c r="H6" s="5" t="e">
        <f>SQRT(-1)</f>
        <v>#NUM!</v>
      </c>
      <c r="J6" s="6" t="str">
        <f>_xll.acq_tostring(H6)</f>
        <v/>
      </c>
    </row>
    <row r="7" spans="2:10" x14ac:dyDescent="0.25">
      <c r="B7" t="s">
        <v>12</v>
      </c>
      <c r="C7" s="6" t="str">
        <f>_xll.acq_dotnet_version()</f>
        <v>4.0.30319.42000</v>
      </c>
      <c r="G7" t="s">
        <v>155</v>
      </c>
      <c r="H7" s="5"/>
      <c r="J7" s="6" t="str">
        <f>_xll.acq_tostring(H7)</f>
        <v/>
      </c>
    </row>
    <row r="8" spans="2:10" x14ac:dyDescent="0.25">
      <c r="G8" t="s">
        <v>111</v>
      </c>
      <c r="H8" s="5" t="e">
        <f ca="1">DS()</f>
        <v>#NAME?</v>
      </c>
      <c r="J8" s="6" t="str">
        <f ca="1">_xll.acq_tostring(H8)</f>
        <v/>
      </c>
    </row>
    <row r="9" spans="2:10" ht="15.75" thickBot="1" x14ac:dyDescent="0.3">
      <c r="B9" s="3" t="s">
        <v>10</v>
      </c>
      <c r="C9" s="3"/>
      <c r="G9" t="s">
        <v>156</v>
      </c>
      <c r="H9" s="5" t="e">
        <f>NA()</f>
        <v>#N/A</v>
      </c>
      <c r="J9" s="6" t="str">
        <f>_xll.acq_tostring(H9)</f>
        <v/>
      </c>
    </row>
    <row r="10" spans="2:10" x14ac:dyDescent="0.25">
      <c r="B10" t="s">
        <v>11</v>
      </c>
      <c r="C10" s="2" t="s">
        <v>9</v>
      </c>
      <c r="G10" t="s">
        <v>159</v>
      </c>
      <c r="H10" s="5" t="e">
        <f>LOOKUP(H3,)</f>
        <v>#VALUE!</v>
      </c>
      <c r="J10" s="6" t="str">
        <f>_xll.acq_tostring(H10)</f>
        <v/>
      </c>
    </row>
    <row r="11" spans="2:10" x14ac:dyDescent="0.25">
      <c r="B11" t="s">
        <v>13</v>
      </c>
      <c r="C11" s="2" t="s">
        <v>14</v>
      </c>
    </row>
    <row r="13" spans="2:10" ht="15.75" thickBot="1" x14ac:dyDescent="0.3">
      <c r="G13" s="3" t="s">
        <v>151</v>
      </c>
      <c r="H13" t="str">
        <f ca="1">_xll.acq_join(H3:H10)</f>
        <v>3.14159265358979,44561,True,,,,,</v>
      </c>
    </row>
    <row r="14" spans="2:10" ht="15.75" thickBot="1" x14ac:dyDescent="0.3">
      <c r="G14" s="3" t="s">
        <v>151</v>
      </c>
      <c r="H14" t="str">
        <f ca="1">_xll.acq_join(J3:J10, "|")</f>
        <v>3.14159265358979|44561|TRUE|||||</v>
      </c>
    </row>
    <row r="15" spans="2:10" ht="15.75" thickBot="1" x14ac:dyDescent="0.3">
      <c r="G15" s="3" t="s">
        <v>160</v>
      </c>
      <c r="H15">
        <f ca="1">_xll.acq_count_unique(H3:H10)</f>
        <v>4</v>
      </c>
    </row>
    <row r="16" spans="2:10" ht="15.75" thickBot="1" x14ac:dyDescent="0.3">
      <c r="G16" s="3" t="s">
        <v>160</v>
      </c>
      <c r="H16">
        <f ca="1">_xll.acq_count_unique(H3:H10,FALSE)</f>
        <v>8</v>
      </c>
    </row>
    <row r="17" spans="2:14" ht="15.75" thickBot="1" x14ac:dyDescent="0.3">
      <c r="B17" s="3" t="s">
        <v>3</v>
      </c>
      <c r="C17" s="3"/>
    </row>
    <row r="18" spans="2:14" x14ac:dyDescent="0.25">
      <c r="B18" s="1" t="s">
        <v>1</v>
      </c>
      <c r="C18" s="5">
        <v>20150630</v>
      </c>
    </row>
    <row r="19" spans="2:14" ht="15.75" thickBot="1" x14ac:dyDescent="0.3">
      <c r="B19" s="1" t="s">
        <v>2</v>
      </c>
      <c r="C19" s="4">
        <f>_xll.acq_convert_todate(C18)</f>
        <v>42185</v>
      </c>
      <c r="G19" s="19"/>
      <c r="H19" s="53" t="s">
        <v>174</v>
      </c>
      <c r="J19" s="19"/>
      <c r="K19" s="53" t="s">
        <v>175</v>
      </c>
      <c r="M19" s="19" t="s">
        <v>177</v>
      </c>
      <c r="N19" s="53" t="s">
        <v>176</v>
      </c>
    </row>
    <row r="20" spans="2:14" x14ac:dyDescent="0.25">
      <c r="B20" s="1" t="s">
        <v>149</v>
      </c>
      <c r="C20" s="4">
        <f>_xll.acq_nextbusinessday(C19)</f>
        <v>42186</v>
      </c>
      <c r="G20" s="54">
        <v>0</v>
      </c>
      <c r="H20" s="22" t="b">
        <f>_xll.acq_isprime(G20)</f>
        <v>0</v>
      </c>
      <c r="J20" s="54">
        <v>1</v>
      </c>
      <c r="K20" s="22" t="b">
        <f>_xll.acq_isinteger(J20)</f>
        <v>1</v>
      </c>
      <c r="M20" s="33">
        <v>1992</v>
      </c>
      <c r="N20" s="22" t="b">
        <f>_xll.acq_isleap_year(M20)</f>
        <v>1</v>
      </c>
    </row>
    <row r="21" spans="2:14" x14ac:dyDescent="0.25">
      <c r="B21" s="1" t="s">
        <v>150</v>
      </c>
      <c r="C21" s="4">
        <f>_xll.acq_adjustbusinessday(C19,-1)</f>
        <v>42185</v>
      </c>
      <c r="G21" s="54">
        <v>1</v>
      </c>
      <c r="H21" s="22" t="b">
        <f>_xll.acq_isprime(G21)</f>
        <v>0</v>
      </c>
      <c r="J21" s="54">
        <f>PI()</f>
        <v>3.1415926535897931</v>
      </c>
      <c r="K21" s="22" t="b">
        <f>_xll.acq_isinteger(J21)</f>
        <v>0</v>
      </c>
      <c r="M21" s="33">
        <v>2000</v>
      </c>
      <c r="N21" s="22" t="b">
        <f>_xll.acq_isleap_year(M21)</f>
        <v>1</v>
      </c>
    </row>
    <row r="22" spans="2:14" x14ac:dyDescent="0.25">
      <c r="G22" s="54">
        <v>2</v>
      </c>
      <c r="H22" s="22" t="b">
        <f>_xll.acq_isprime(G22)</f>
        <v>1</v>
      </c>
      <c r="J22" s="54" t="str">
        <f>"text"</f>
        <v>text</v>
      </c>
      <c r="K22" s="22" t="b">
        <f>_xll.acq_isinteger(J22)</f>
        <v>0</v>
      </c>
      <c r="M22" s="33">
        <v>1900</v>
      </c>
      <c r="N22" s="22" t="b">
        <f>_xll.acq_isleap_year(M22)</f>
        <v>0</v>
      </c>
    </row>
    <row r="23" spans="2:14" x14ac:dyDescent="0.25">
      <c r="G23" s="54">
        <v>3</v>
      </c>
      <c r="H23" s="22" t="b">
        <f>_xll.acq_isprime(G23)</f>
        <v>1</v>
      </c>
      <c r="J23" s="54" t="str">
        <f>"3.14"</f>
        <v>3.14</v>
      </c>
      <c r="K23" s="22" t="b">
        <f>_xll.acq_isinteger(J23)</f>
        <v>0</v>
      </c>
      <c r="M23" s="33">
        <v>1700</v>
      </c>
      <c r="N23" s="22" t="b">
        <f>_xll.acq_isleap_year(M23)</f>
        <v>0</v>
      </c>
    </row>
    <row r="24" spans="2:14" x14ac:dyDescent="0.25">
      <c r="G24" s="54">
        <v>4</v>
      </c>
      <c r="H24" s="22" t="b">
        <f>_xll.acq_isprime(G24)</f>
        <v>0</v>
      </c>
      <c r="J24" s="54" t="str">
        <f>"3"</f>
        <v>3</v>
      </c>
      <c r="K24" s="22" t="b">
        <f>_xll.acq_isinteger(J24)</f>
        <v>1</v>
      </c>
      <c r="M24" s="33">
        <v>1800</v>
      </c>
      <c r="N24" s="22" t="b">
        <f>_xll.acq_isleap_year(M24)</f>
        <v>0</v>
      </c>
    </row>
    <row r="25" spans="2:14" x14ac:dyDescent="0.25">
      <c r="G25" s="54">
        <v>5</v>
      </c>
      <c r="H25" s="22" t="b">
        <f>_xll.acq_isprime(G25)</f>
        <v>1</v>
      </c>
      <c r="J25" s="54" t="str">
        <f>"3.00"</f>
        <v>3.00</v>
      </c>
      <c r="K25" s="22" t="b">
        <f>_xll.acq_isinteger(J25)</f>
        <v>1</v>
      </c>
      <c r="M25" s="33">
        <v>1900</v>
      </c>
      <c r="N25" s="22" t="b">
        <f>_xll.acq_isleap_year(M25)</f>
        <v>0</v>
      </c>
    </row>
    <row r="26" spans="2:14" x14ac:dyDescent="0.25">
      <c r="G26" s="54">
        <v>6</v>
      </c>
      <c r="H26" s="22" t="b">
        <f>_xll.acq_isprime(G26)</f>
        <v>0</v>
      </c>
      <c r="J26" s="54">
        <v>2</v>
      </c>
      <c r="K26" s="22" t="b">
        <f>_xll.acq_isinteger(J26)</f>
        <v>1</v>
      </c>
      <c r="M26" s="33">
        <v>2100</v>
      </c>
      <c r="N26" s="22" t="b">
        <f>_xll.acq_isleap_year(M26)</f>
        <v>0</v>
      </c>
    </row>
    <row r="27" spans="2:14" x14ac:dyDescent="0.25">
      <c r="G27" s="55">
        <v>7</v>
      </c>
      <c r="H27" s="24" t="b">
        <f>_xll.acq_isprime(G27)</f>
        <v>1</v>
      </c>
      <c r="J27" s="55">
        <v>8</v>
      </c>
      <c r="K27" s="24" t="b">
        <f>_xll.acq_isinteger(J27)</f>
        <v>1</v>
      </c>
      <c r="M27" s="33">
        <v>2200</v>
      </c>
      <c r="N27" s="22" t="b">
        <f>_xll.acq_isleap_year(M27)</f>
        <v>0</v>
      </c>
    </row>
    <row r="28" spans="2:14" x14ac:dyDescent="0.25">
      <c r="G28" s="55">
        <v>7.2</v>
      </c>
      <c r="H28" s="24" t="b">
        <f>_xll.acq_isprime(G28)</f>
        <v>0</v>
      </c>
      <c r="M28" s="33">
        <v>2300</v>
      </c>
      <c r="N28" s="22" t="b">
        <f>_xll.acq_isleap_year(M28)</f>
        <v>0</v>
      </c>
    </row>
    <row r="29" spans="2:14" x14ac:dyDescent="0.25">
      <c r="M29" s="33">
        <v>2500</v>
      </c>
      <c r="N29" s="22" t="b">
        <f>_xll.acq_isleap_year(M29)</f>
        <v>0</v>
      </c>
    </row>
    <row r="30" spans="2:14" x14ac:dyDescent="0.25">
      <c r="M30" s="33">
        <v>2600</v>
      </c>
      <c r="N30" s="22" t="b">
        <f>_xll.acq_isleap_year(M30)</f>
        <v>0</v>
      </c>
    </row>
    <row r="31" spans="2:14" x14ac:dyDescent="0.25">
      <c r="M31" s="33">
        <v>1600</v>
      </c>
      <c r="N31" s="22" t="b">
        <f>_xll.acq_isleap_year(M31)</f>
        <v>1</v>
      </c>
    </row>
    <row r="32" spans="2:14" x14ac:dyDescent="0.25">
      <c r="M32" s="33">
        <v>2000</v>
      </c>
      <c r="N32" s="22" t="b">
        <f>_xll.acq_isleap_year(M32)</f>
        <v>1</v>
      </c>
    </row>
    <row r="33" spans="7:14" x14ac:dyDescent="0.25">
      <c r="G33" s="12"/>
      <c r="M33" s="33">
        <v>2400</v>
      </c>
      <c r="N33" s="22" t="b">
        <f>_xll.acq_isleap_year(M33)</f>
        <v>1</v>
      </c>
    </row>
    <row r="34" spans="7:14" x14ac:dyDescent="0.25">
      <c r="G34" s="12"/>
      <c r="M34" s="33">
        <v>23.4</v>
      </c>
      <c r="N34" s="22" t="e">
        <f>_xll.acq_isleap_year(M34)</f>
        <v>#VALUE!</v>
      </c>
    </row>
    <row r="35" spans="7:14" x14ac:dyDescent="0.25">
      <c r="G35" s="12"/>
      <c r="M35" s="33">
        <v>2000</v>
      </c>
      <c r="N35" s="22" t="b">
        <f>_xll.acq_isleap_year(M35)</f>
        <v>1</v>
      </c>
    </row>
    <row r="36" spans="7:14" x14ac:dyDescent="0.25">
      <c r="G36" s="12"/>
      <c r="M36" s="33">
        <v>2001</v>
      </c>
      <c r="N36" s="22" t="b">
        <f>_xll.acq_isleap_year(M36)</f>
        <v>0</v>
      </c>
    </row>
    <row r="37" spans="7:14" x14ac:dyDescent="0.25">
      <c r="G37" s="12"/>
      <c r="M37" s="33">
        <v>2002</v>
      </c>
      <c r="N37" s="22" t="b">
        <f>_xll.acq_isleap_year(M37)</f>
        <v>0</v>
      </c>
    </row>
    <row r="38" spans="7:14" x14ac:dyDescent="0.25">
      <c r="G38" s="12"/>
      <c r="M38" s="33">
        <v>2003</v>
      </c>
      <c r="N38" s="22" t="b">
        <f>_xll.acq_isleap_year(M38)</f>
        <v>0</v>
      </c>
    </row>
    <row r="39" spans="7:14" x14ac:dyDescent="0.25">
      <c r="G39" s="12"/>
      <c r="M39" s="33">
        <v>2004</v>
      </c>
      <c r="N39" s="22" t="b">
        <f>_xll.acq_isleap_year(M39)</f>
        <v>1</v>
      </c>
    </row>
    <row r="40" spans="7:14" x14ac:dyDescent="0.25">
      <c r="G40" s="12"/>
      <c r="M40" s="33">
        <v>2005</v>
      </c>
      <c r="N40" s="22" t="b">
        <f>_xll.acq_isleap_year(M40)</f>
        <v>0</v>
      </c>
    </row>
    <row r="41" spans="7:14" x14ac:dyDescent="0.25">
      <c r="M41" s="33">
        <v>2006</v>
      </c>
      <c r="N41" s="22" t="b">
        <f>_xll.acq_isleap_year(M41)</f>
        <v>0</v>
      </c>
    </row>
    <row r="42" spans="7:14" x14ac:dyDescent="0.25">
      <c r="M42" s="33">
        <v>2007</v>
      </c>
      <c r="N42" s="22" t="b">
        <f>_xll.acq_isleap_year(M42)</f>
        <v>0</v>
      </c>
    </row>
    <row r="43" spans="7:14" x14ac:dyDescent="0.25">
      <c r="M43" s="33">
        <v>2008</v>
      </c>
      <c r="N43" s="22" t="b">
        <f>_xll.acq_isleap_year(M43)</f>
        <v>1</v>
      </c>
    </row>
    <row r="44" spans="7:14" x14ac:dyDescent="0.25">
      <c r="M44" s="33">
        <v>2009</v>
      </c>
      <c r="N44" s="22" t="b">
        <f>_xll.acq_isleap_year(M44)</f>
        <v>0</v>
      </c>
    </row>
    <row r="45" spans="7:14" x14ac:dyDescent="0.25">
      <c r="M45" s="33">
        <v>2010</v>
      </c>
      <c r="N45" s="22" t="b">
        <f>_xll.acq_isleap_year(M45)</f>
        <v>0</v>
      </c>
    </row>
    <row r="46" spans="7:14" x14ac:dyDescent="0.25">
      <c r="M46" s="33">
        <v>2011</v>
      </c>
      <c r="N46" s="22" t="b">
        <f>_xll.acq_isleap_year(M46)</f>
        <v>0</v>
      </c>
    </row>
    <row r="47" spans="7:14" x14ac:dyDescent="0.25">
      <c r="M47" s="33">
        <v>2012</v>
      </c>
      <c r="N47" s="22" t="b">
        <f>_xll.acq_isleap_year(M47)</f>
        <v>1</v>
      </c>
    </row>
    <row r="48" spans="7:14" x14ac:dyDescent="0.25">
      <c r="M48" s="33">
        <v>2013</v>
      </c>
      <c r="N48" s="22" t="b">
        <f>_xll.acq_isleap_year(M48)</f>
        <v>0</v>
      </c>
    </row>
    <row r="49" spans="13:14" x14ac:dyDescent="0.25">
      <c r="M49" s="33">
        <v>2014</v>
      </c>
      <c r="N49" s="22" t="b">
        <f>_xll.acq_isleap_year(M49)</f>
        <v>0</v>
      </c>
    </row>
    <row r="50" spans="13:14" x14ac:dyDescent="0.25">
      <c r="M50" s="33">
        <v>2015</v>
      </c>
      <c r="N50" s="22" t="b">
        <f>_xll.acq_isleap_year(M50)</f>
        <v>0</v>
      </c>
    </row>
    <row r="51" spans="13:14" x14ac:dyDescent="0.25">
      <c r="M51" s="33">
        <v>2016</v>
      </c>
      <c r="N51" s="22" t="b">
        <f>_xll.acq_isleap_year(M51)</f>
        <v>1</v>
      </c>
    </row>
    <row r="52" spans="13:14" x14ac:dyDescent="0.25">
      <c r="M52" s="33">
        <v>2017</v>
      </c>
      <c r="N52" s="22" t="b">
        <f>_xll.acq_isleap_year(M52)</f>
        <v>0</v>
      </c>
    </row>
    <row r="53" spans="13:14" x14ac:dyDescent="0.25">
      <c r="M53" s="33">
        <v>2018</v>
      </c>
      <c r="N53" s="22" t="b">
        <f>_xll.acq_isleap_year(M53)</f>
        <v>0</v>
      </c>
    </row>
    <row r="54" spans="13:14" x14ac:dyDescent="0.25">
      <c r="M54" s="33">
        <v>2019</v>
      </c>
      <c r="N54" s="22" t="b">
        <f>_xll.acq_isleap_year(M54)</f>
        <v>0</v>
      </c>
    </row>
    <row r="55" spans="13:14" x14ac:dyDescent="0.25">
      <c r="M55" s="33">
        <v>2020</v>
      </c>
      <c r="N55" s="22" t="b">
        <f>_xll.acq_isleap_year(M55)</f>
        <v>1</v>
      </c>
    </row>
    <row r="56" spans="13:14" x14ac:dyDescent="0.25">
      <c r="M56" s="34">
        <v>2021</v>
      </c>
      <c r="N56" s="24" t="b">
        <f>_xll.acq_isleap_year(M56)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129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0.22798958181441617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128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6" t="s">
        <v>131</v>
      </c>
      <c r="M32" s="56"/>
      <c r="N32" s="56"/>
      <c r="O32" s="56"/>
      <c r="P32" s="56"/>
      <c r="Q32" s="56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I4" sqref="I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7" t="s">
        <v>130</v>
      </c>
      <c r="B1" s="57"/>
      <c r="C1" s="57"/>
      <c r="D1" s="57"/>
    </row>
    <row r="2" spans="1:45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6" t="s">
        <v>108</v>
      </c>
      <c r="T17" s="56"/>
      <c r="U17" s="56"/>
      <c r="V17" s="56"/>
      <c r="W17" s="56"/>
      <c r="X17" s="56"/>
      <c r="Y17" s="56"/>
      <c r="Z17" s="56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135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137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30.131271677953354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6" t="s">
        <v>145</v>
      </c>
      <c r="H30" s="56"/>
      <c r="I30" s="56"/>
      <c r="J30" s="56"/>
      <c r="K30" s="56"/>
      <c r="L30" s="56"/>
      <c r="M30" s="56"/>
      <c r="N30" s="56"/>
      <c r="S30" s="56" t="s">
        <v>146</v>
      </c>
      <c r="T30" s="56"/>
      <c r="U30" s="56"/>
      <c r="V30" s="56"/>
      <c r="W30" s="56"/>
      <c r="X30" s="56"/>
      <c r="Y30" s="56"/>
      <c r="Z30" s="56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148</v>
      </c>
      <c r="H45" s="56"/>
      <c r="I45" s="56"/>
      <c r="J45" s="56"/>
      <c r="K45" s="56"/>
      <c r="L45" s="56"/>
      <c r="M45" s="56"/>
      <c r="N45" s="56"/>
      <c r="S45" s="56" t="s">
        <v>147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T57"/>
  <sheetViews>
    <sheetView workbookViewId="0">
      <selection activeCell="J22" sqref="J22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46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46" ht="15.75" thickTop="1" x14ac:dyDescent="0.25">
      <c r="L2" t="s">
        <v>140</v>
      </c>
      <c r="U2" t="s">
        <v>141</v>
      </c>
      <c r="AD2" t="s">
        <v>140</v>
      </c>
      <c r="AM2" t="s">
        <v>141</v>
      </c>
    </row>
    <row r="3" spans="1:46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163</v>
      </c>
      <c r="J3" s="56"/>
      <c r="M3" t="s">
        <v>144</v>
      </c>
      <c r="V3" t="s">
        <v>144</v>
      </c>
      <c r="AE3" t="s">
        <v>144</v>
      </c>
      <c r="AN3" t="s">
        <v>144</v>
      </c>
    </row>
    <row r="4" spans="1:46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  <c r="AD4" t="s">
        <v>136</v>
      </c>
      <c r="AE4">
        <v>120</v>
      </c>
      <c r="AF4">
        <v>130</v>
      </c>
      <c r="AG4">
        <v>140</v>
      </c>
      <c r="AH4">
        <v>150</v>
      </c>
      <c r="AI4">
        <v>160</v>
      </c>
      <c r="AJ4">
        <v>170</v>
      </c>
      <c r="AK4">
        <v>180</v>
      </c>
      <c r="AM4" t="s">
        <v>136</v>
      </c>
      <c r="AN4">
        <v>120</v>
      </c>
      <c r="AO4">
        <v>130</v>
      </c>
      <c r="AP4">
        <v>140</v>
      </c>
      <c r="AQ4">
        <v>150</v>
      </c>
      <c r="AR4">
        <v>160</v>
      </c>
      <c r="AS4">
        <v>170</v>
      </c>
      <c r="AT4">
        <v>180</v>
      </c>
    </row>
    <row r="5" spans="1:46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  <c r="AD5">
        <v>0.05</v>
      </c>
      <c r="AE5">
        <v>6.47885622121005E-5</v>
      </c>
      <c r="AF5">
        <v>1.4806633008807357E-2</v>
      </c>
      <c r="AG5">
        <v>0.46327538134639434</v>
      </c>
      <c r="AH5">
        <v>3.5277905365628364</v>
      </c>
      <c r="AI5">
        <v>10.854397955373866</v>
      </c>
      <c r="AJ5">
        <v>20.398245605225771</v>
      </c>
      <c r="AK5">
        <v>30.360468484994357</v>
      </c>
      <c r="AM5">
        <v>0.05</v>
      </c>
      <c r="AN5">
        <v>30.000000000007944</v>
      </c>
      <c r="AO5">
        <v>20.000000000008811</v>
      </c>
      <c r="AP5">
        <v>10.226132459460437</v>
      </c>
      <c r="AQ5">
        <v>3.1790029284836754</v>
      </c>
      <c r="AR5">
        <v>0.48754530179488176</v>
      </c>
      <c r="AS5">
        <v>3.4019614928197786E-2</v>
      </c>
      <c r="AT5">
        <v>1.1233079681879743E-3</v>
      </c>
    </row>
    <row r="6" spans="1:46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  <c r="AD6">
        <v>0.1</v>
      </c>
      <c r="AE6">
        <v>9.1248830034959434E-3</v>
      </c>
      <c r="AF6">
        <v>0.17885106898621184</v>
      </c>
      <c r="AG6">
        <v>1.3493143126169751</v>
      </c>
      <c r="AH6">
        <v>5.093879400981173</v>
      </c>
      <c r="AI6">
        <v>12.008481773814808</v>
      </c>
      <c r="AJ6">
        <v>20.989035434736152</v>
      </c>
      <c r="AK6">
        <v>30.755768827066532</v>
      </c>
      <c r="AM6">
        <v>0.1</v>
      </c>
      <c r="AN6">
        <v>29.999999999996874</v>
      </c>
      <c r="AO6">
        <v>19.999999999996476</v>
      </c>
      <c r="AP6">
        <v>10.797609727004986</v>
      </c>
      <c r="AQ6">
        <v>4.4028779916287712</v>
      </c>
      <c r="AR6">
        <v>1.2825833785772736</v>
      </c>
      <c r="AS6">
        <v>0.26342580573432217</v>
      </c>
      <c r="AT6">
        <v>3.8583844005032689E-2</v>
      </c>
    </row>
    <row r="7" spans="1:46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  <c r="AD7">
        <v>0.15</v>
      </c>
      <c r="AE7">
        <v>5.8077899595978963E-2</v>
      </c>
      <c r="AF7">
        <v>0.49244708697616602</v>
      </c>
      <c r="AG7">
        <v>2.2192034827575045</v>
      </c>
      <c r="AH7">
        <v>6.3354932334738869</v>
      </c>
      <c r="AI7">
        <v>13.082256699580331</v>
      </c>
      <c r="AJ7">
        <v>21.691322996615757</v>
      </c>
      <c r="AK7">
        <v>31.222516029227904</v>
      </c>
      <c r="AM7">
        <v>0.15</v>
      </c>
      <c r="AN7">
        <v>30.000000000002515</v>
      </c>
      <c r="AO7">
        <v>20.027854351695026</v>
      </c>
      <c r="AP7">
        <v>11.353356804736338</v>
      </c>
      <c r="AQ7">
        <v>5.3062813983176547</v>
      </c>
      <c r="AR7">
        <v>2.0030892793519759</v>
      </c>
      <c r="AS7">
        <v>0.60807550371991215</v>
      </c>
      <c r="AT7">
        <v>0.14956122530436966</v>
      </c>
    </row>
    <row r="8" spans="1:46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  <c r="AD8">
        <v>0.2</v>
      </c>
      <c r="AE8">
        <v>0.16136804829456403</v>
      </c>
      <c r="AF8">
        <v>0.8860473909070643</v>
      </c>
      <c r="AG8">
        <v>3.0435348720524895</v>
      </c>
      <c r="AH8">
        <v>7.4083750302895854</v>
      </c>
      <c r="AI8">
        <v>14.068853304358285</v>
      </c>
      <c r="AJ8">
        <v>22.426190917393427</v>
      </c>
      <c r="AK8">
        <v>31.746454818833193</v>
      </c>
      <c r="AM8">
        <v>0.2</v>
      </c>
      <c r="AN8">
        <v>29.999999999993349</v>
      </c>
      <c r="AO8">
        <v>20.13073400794984</v>
      </c>
      <c r="AP8">
        <v>11.863106149450129</v>
      </c>
      <c r="AQ8">
        <v>6.0442186276654537</v>
      </c>
      <c r="AR8">
        <v>2.6409942086201346</v>
      </c>
      <c r="AS8">
        <v>0.98906799961525138</v>
      </c>
      <c r="AT8">
        <v>0.3201665321074566</v>
      </c>
    </row>
    <row r="9" spans="1:46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  <c r="AD9">
        <v>0.25</v>
      </c>
      <c r="AE9">
        <v>0.31325094901697909</v>
      </c>
      <c r="AF9">
        <v>1.3206650122883798</v>
      </c>
      <c r="AG9">
        <v>3.8215367979400421</v>
      </c>
      <c r="AH9">
        <v>8.3729100913056413</v>
      </c>
      <c r="AI9">
        <v>14.984356354747003</v>
      </c>
      <c r="AJ9">
        <v>23.161178919125021</v>
      </c>
      <c r="AK9">
        <v>32.304511439276084</v>
      </c>
      <c r="AM9">
        <v>0.25</v>
      </c>
      <c r="AN9">
        <v>30.0000000000028</v>
      </c>
      <c r="AO9">
        <v>20.274504805299543</v>
      </c>
      <c r="AP9">
        <v>12.327876459814949</v>
      </c>
      <c r="AQ9">
        <v>6.6766919114698968</v>
      </c>
      <c r="AR9">
        <v>3.2120003339687822</v>
      </c>
      <c r="AS9">
        <v>1.3736497278310844</v>
      </c>
      <c r="AT9">
        <v>0.52750606510265219</v>
      </c>
    </row>
    <row r="10" spans="1:46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  <c r="AD10">
        <v>0.3</v>
      </c>
      <c r="AE10">
        <v>0.50723351768046687</v>
      </c>
      <c r="AF10">
        <v>1.7778898294447549</v>
      </c>
      <c r="AG10">
        <v>4.5610278170178651</v>
      </c>
      <c r="AH10">
        <v>9.2600973651020233</v>
      </c>
      <c r="AI10">
        <v>15.845950364108626</v>
      </c>
      <c r="AJ10">
        <v>23.88749944641949</v>
      </c>
      <c r="AK10">
        <v>32.87973756386954</v>
      </c>
      <c r="AM10">
        <v>0.3</v>
      </c>
      <c r="AN10">
        <v>30.000000000002743</v>
      </c>
      <c r="AO10">
        <v>20.440193582355914</v>
      </c>
      <c r="AP10">
        <v>12.754290425942102</v>
      </c>
      <c r="AQ10">
        <v>7.2344336704707839</v>
      </c>
      <c r="AR10">
        <v>3.7317306145519544</v>
      </c>
      <c r="AS10">
        <v>1.7527580521189718</v>
      </c>
      <c r="AT10">
        <v>0.75487996900595666</v>
      </c>
    </row>
    <row r="11" spans="1:46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  <c r="AD11">
        <v>0.35</v>
      </c>
      <c r="AE11">
        <v>0.73125251323826879</v>
      </c>
      <c r="AF11">
        <v>2.2425629675526668</v>
      </c>
      <c r="AG11">
        <v>5.2618578149379438</v>
      </c>
      <c r="AH11">
        <v>10.08836927608</v>
      </c>
      <c r="AI11">
        <v>16.658382519599211</v>
      </c>
      <c r="AJ11">
        <v>24.600440523935646</v>
      </c>
      <c r="AK11">
        <v>33.465938073747651</v>
      </c>
      <c r="AM11">
        <v>0.35</v>
      </c>
      <c r="AN11">
        <v>29.999999999996248</v>
      </c>
      <c r="AO11">
        <v>20.614981977575212</v>
      </c>
      <c r="AP11">
        <v>13.14532203793252</v>
      </c>
      <c r="AQ11">
        <v>7.735689758679209</v>
      </c>
      <c r="AR11">
        <v>4.2065120657730173</v>
      </c>
      <c r="AS11">
        <v>2.1214486509235293</v>
      </c>
      <c r="AT11">
        <v>0.99553681262010585</v>
      </c>
    </row>
    <row r="12" spans="1:46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  <c r="AD12">
        <v>0.4</v>
      </c>
      <c r="AE12">
        <v>0.98074725352978653</v>
      </c>
      <c r="AF12">
        <v>2.7108623936882199</v>
      </c>
      <c r="AG12">
        <v>5.9331503559943091</v>
      </c>
      <c r="AH12">
        <v>10.869747155346124</v>
      </c>
      <c r="AI12">
        <v>17.439320147336176</v>
      </c>
      <c r="AJ12">
        <v>25.292119275335775</v>
      </c>
      <c r="AK12">
        <v>34.052619910449579</v>
      </c>
      <c r="AM12">
        <v>0.4</v>
      </c>
      <c r="AN12">
        <v>29.999999999999787</v>
      </c>
      <c r="AO12">
        <v>20.79423171930236</v>
      </c>
      <c r="AP12">
        <v>13.507534862877332</v>
      </c>
      <c r="AQ12">
        <v>8.1923374611286697</v>
      </c>
      <c r="AR12">
        <v>4.6510025026004902</v>
      </c>
      <c r="AS12">
        <v>2.4723128103769398</v>
      </c>
      <c r="AT12">
        <v>1.2394163077110454</v>
      </c>
    </row>
    <row r="13" spans="1:46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  <c r="AD13">
        <v>0.45</v>
      </c>
      <c r="AE13">
        <v>1.2470004782783017</v>
      </c>
      <c r="AF13">
        <v>3.1843266342166752</v>
      </c>
      <c r="AG13">
        <v>6.5857879830962656</v>
      </c>
      <c r="AH13">
        <v>11.612589204012622</v>
      </c>
      <c r="AI13">
        <v>18.18171358281873</v>
      </c>
      <c r="AJ13">
        <v>25.972533818763516</v>
      </c>
      <c r="AK13">
        <v>34.63989179675373</v>
      </c>
      <c r="AM13">
        <v>0.45</v>
      </c>
      <c r="AN13">
        <v>29.999999999992809</v>
      </c>
      <c r="AO13">
        <v>20.976031447468223</v>
      </c>
      <c r="AP13">
        <v>13.850939518869161</v>
      </c>
      <c r="AQ13">
        <v>8.6126322014121452</v>
      </c>
      <c r="AR13">
        <v>5.0602658139661454</v>
      </c>
      <c r="AS13">
        <v>2.8133889019011615</v>
      </c>
      <c r="AT13">
        <v>1.4858297365660946</v>
      </c>
    </row>
    <row r="14" spans="1:46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  <c r="AD14">
        <v>0.5</v>
      </c>
      <c r="AE14">
        <v>1.5281847509030895</v>
      </c>
      <c r="AF14">
        <v>3.6455355589481657</v>
      </c>
      <c r="AG14">
        <v>7.2111511027985165</v>
      </c>
      <c r="AH14">
        <v>12.322987010315092</v>
      </c>
      <c r="AI14">
        <v>18.891665822159915</v>
      </c>
      <c r="AJ14">
        <v>26.629771214566016</v>
      </c>
      <c r="AK14">
        <v>35.225855437579256</v>
      </c>
      <c r="AM14">
        <v>0.5</v>
      </c>
      <c r="AN14">
        <v>30.01357994271202</v>
      </c>
      <c r="AO14">
        <v>21.15200671396223</v>
      </c>
      <c r="AP14">
        <v>14.170235970354575</v>
      </c>
      <c r="AQ14">
        <v>9.0025754232218205</v>
      </c>
      <c r="AR14">
        <v>5.440504492483285</v>
      </c>
      <c r="AS14">
        <v>3.1354763991069881</v>
      </c>
      <c r="AT14">
        <v>1.7335499493219952</v>
      </c>
    </row>
    <row r="15" spans="1:46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  <c r="AD15">
        <v>0.55000000000000004</v>
      </c>
      <c r="AE15">
        <v>1.8239007301477845</v>
      </c>
      <c r="AF15">
        <v>4.1151087291769262</v>
      </c>
      <c r="AG15">
        <v>7.813111808473657</v>
      </c>
      <c r="AH15">
        <v>13.005543865476119</v>
      </c>
      <c r="AI15">
        <v>19.5823066688422</v>
      </c>
      <c r="AJ15">
        <v>27.281215949496463</v>
      </c>
      <c r="AK15">
        <v>35.798090255173449</v>
      </c>
      <c r="AM15">
        <v>0.55000000000000004</v>
      </c>
      <c r="AN15">
        <v>30.038544836649557</v>
      </c>
      <c r="AO15">
        <v>21.330445738968635</v>
      </c>
      <c r="AP15">
        <v>14.468681374332336</v>
      </c>
      <c r="AQ15">
        <v>9.3666840898581079</v>
      </c>
      <c r="AR15">
        <v>5.8034874671570558</v>
      </c>
      <c r="AS15">
        <v>3.4522522165303364</v>
      </c>
      <c r="AT15">
        <v>1.9708398941787317</v>
      </c>
    </row>
    <row r="16" spans="1:46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  <c r="AD16">
        <v>0.6</v>
      </c>
      <c r="AE16">
        <v>2.1215661214389336</v>
      </c>
      <c r="AF16">
        <v>4.5729995607255551</v>
      </c>
      <c r="AG16">
        <v>8.3961077286980821</v>
      </c>
      <c r="AH16">
        <v>13.663839736257879</v>
      </c>
      <c r="AI16">
        <v>20.254066648520276</v>
      </c>
      <c r="AJ16">
        <v>27.910096953130402</v>
      </c>
      <c r="AK16">
        <v>36.376463582641435</v>
      </c>
      <c r="AM16">
        <v>0.6</v>
      </c>
      <c r="AN16">
        <v>30.070414645125808</v>
      </c>
      <c r="AO16">
        <v>21.502433988306827</v>
      </c>
      <c r="AP16">
        <v>14.749679016584579</v>
      </c>
      <c r="AQ16">
        <v>9.7084828669159471</v>
      </c>
      <c r="AR16">
        <v>6.1485117480984979</v>
      </c>
      <c r="AS16">
        <v>3.7497888277682891</v>
      </c>
      <c r="AT16">
        <v>2.2146665611764895</v>
      </c>
    </row>
    <row r="17" spans="6:46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  <c r="AD17">
        <v>0.65</v>
      </c>
      <c r="AE17">
        <v>2.4322564265597215</v>
      </c>
      <c r="AF17">
        <v>5.0224921872256481</v>
      </c>
      <c r="AG17">
        <v>8.9736290576865478</v>
      </c>
      <c r="AH17">
        <v>14.300724555368561</v>
      </c>
      <c r="AI17">
        <v>20.903720858487453</v>
      </c>
      <c r="AJ17">
        <v>28.523264212015864</v>
      </c>
      <c r="AK17">
        <v>36.937673160665199</v>
      </c>
      <c r="AM17">
        <v>0.65</v>
      </c>
      <c r="AN17">
        <v>30.111791078120248</v>
      </c>
      <c r="AO17">
        <v>21.668180784889717</v>
      </c>
      <c r="AP17">
        <v>15.022913971768219</v>
      </c>
      <c r="AQ17">
        <v>10.030755857159793</v>
      </c>
      <c r="AR17">
        <v>6.4738643533267375</v>
      </c>
      <c r="AS17">
        <v>4.0351902216613516</v>
      </c>
      <c r="AT17">
        <v>2.4447713399422337</v>
      </c>
    </row>
    <row r="18" spans="6:46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  <c r="AD18">
        <v>0.7</v>
      </c>
      <c r="AE18">
        <v>2.7398970024350779</v>
      </c>
      <c r="AF18">
        <v>5.4783444827316536</v>
      </c>
      <c r="AG18">
        <v>9.5345453500097577</v>
      </c>
      <c r="AH18">
        <v>14.918511496002189</v>
      </c>
      <c r="AI18">
        <v>21.533662877514285</v>
      </c>
      <c r="AJ18">
        <v>29.133690903382561</v>
      </c>
      <c r="AK18">
        <v>37.498997043070389</v>
      </c>
      <c r="AM18">
        <v>0.7</v>
      </c>
      <c r="AN18">
        <v>30.155643983820472</v>
      </c>
      <c r="AO18">
        <v>21.835712678340293</v>
      </c>
      <c r="AP18">
        <v>15.282133973957995</v>
      </c>
      <c r="AQ18">
        <v>10.33578045914636</v>
      </c>
      <c r="AR18">
        <v>6.7818740437543577</v>
      </c>
      <c r="AS18">
        <v>4.3176119877586281</v>
      </c>
      <c r="AT18">
        <v>2.6769358533655034</v>
      </c>
    </row>
    <row r="19" spans="6:46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  <c r="AD19">
        <v>0.75</v>
      </c>
      <c r="AE19">
        <v>3.0612500938520979</v>
      </c>
      <c r="AF19">
        <v>5.9229778472484842</v>
      </c>
      <c r="AG19">
        <v>10.080514227124009</v>
      </c>
      <c r="AH19">
        <v>15.519109012187322</v>
      </c>
      <c r="AI19">
        <v>22.14586732772327</v>
      </c>
      <c r="AJ19">
        <v>29.727218566263986</v>
      </c>
      <c r="AK19">
        <v>38.052083397046495</v>
      </c>
      <c r="AM19">
        <v>0.75</v>
      </c>
      <c r="AN19">
        <v>30.207232228449922</v>
      </c>
      <c r="AO19">
        <v>21.996417380647536</v>
      </c>
      <c r="AP19">
        <v>15.528497549570506</v>
      </c>
      <c r="AQ19">
        <v>10.625411692111369</v>
      </c>
      <c r="AR19">
        <v>7.0745178030450688</v>
      </c>
      <c r="AS19">
        <v>4.5857815788687404</v>
      </c>
      <c r="AT19">
        <v>2.9022681246916715</v>
      </c>
    </row>
    <row r="20" spans="6:46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  <c r="AD20">
        <v>0.8</v>
      </c>
      <c r="AE20">
        <v>3.3760679090846142</v>
      </c>
      <c r="AF20">
        <v>6.3574367666391716</v>
      </c>
      <c r="AG20">
        <v>10.612922302756481</v>
      </c>
      <c r="AH20">
        <v>16.104113814319668</v>
      </c>
      <c r="AI20">
        <v>22.741986135096859</v>
      </c>
      <c r="AJ20">
        <v>30.305423594084502</v>
      </c>
      <c r="AK20">
        <v>38.591643807770645</v>
      </c>
      <c r="AM20">
        <v>0.8</v>
      </c>
      <c r="AN20">
        <v>30.259373769473957</v>
      </c>
      <c r="AO20">
        <v>22.150453437182545</v>
      </c>
      <c r="AP20">
        <v>15.763230324066519</v>
      </c>
      <c r="AQ20">
        <v>10.90120779543015</v>
      </c>
      <c r="AR20">
        <v>7.3533355204141024</v>
      </c>
      <c r="AS20">
        <v>4.8413869253896635</v>
      </c>
      <c r="AT20">
        <v>3.1172324099143998</v>
      </c>
    </row>
    <row r="21" spans="6:46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  <c r="AD21">
        <v>0.85</v>
      </c>
      <c r="AE21">
        <v>3.6970934807160312</v>
      </c>
      <c r="AF21">
        <v>6.7878683966650888</v>
      </c>
      <c r="AG21">
        <v>11.13294360230978</v>
      </c>
      <c r="AH21">
        <v>16.674878044259088</v>
      </c>
      <c r="AI21">
        <v>23.323418075877768</v>
      </c>
      <c r="AJ21">
        <v>30.869640468009369</v>
      </c>
      <c r="AK21">
        <v>39.130007454034043</v>
      </c>
      <c r="AM21">
        <v>0.85</v>
      </c>
      <c r="AN21">
        <v>30.314573182467761</v>
      </c>
      <c r="AO21">
        <v>22.300254774455361</v>
      </c>
      <c r="AP21">
        <v>15.987414079511197</v>
      </c>
      <c r="AQ21">
        <v>11.164487628573138</v>
      </c>
      <c r="AR21">
        <v>7.6197810921715865</v>
      </c>
      <c r="AS21">
        <v>5.085975020532258</v>
      </c>
      <c r="AT21">
        <v>3.3329533106290485</v>
      </c>
    </row>
    <row r="22" spans="6:46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  <c r="AD22">
        <v>0.9</v>
      </c>
      <c r="AE22">
        <v>4.0226096355607233</v>
      </c>
      <c r="AF22">
        <v>7.2227377546292395</v>
      </c>
      <c r="AG22">
        <v>11.641582714736746</v>
      </c>
      <c r="AH22">
        <v>17.232558898229541</v>
      </c>
      <c r="AI22">
        <v>23.891360149612545</v>
      </c>
      <c r="AJ22">
        <v>31.42992022819066</v>
      </c>
      <c r="AK22">
        <v>39.664294213456529</v>
      </c>
      <c r="AM22">
        <v>0.9</v>
      </c>
      <c r="AN22">
        <v>30.373679070968116</v>
      </c>
      <c r="AO22">
        <v>22.450948798364585</v>
      </c>
      <c r="AP22">
        <v>16.201952543951933</v>
      </c>
      <c r="AQ22">
        <v>11.416371229360646</v>
      </c>
      <c r="AR22">
        <v>7.8750764808474587</v>
      </c>
      <c r="AS22">
        <v>5.3280983055611504</v>
      </c>
      <c r="AT22">
        <v>3.5451577697247849</v>
      </c>
    </row>
    <row r="23" spans="6:46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  <c r="AD23">
        <v>0.95</v>
      </c>
      <c r="AE23">
        <v>4.3425600360567156</v>
      </c>
      <c r="AF23">
        <v>7.6492287010063276</v>
      </c>
      <c r="AG23">
        <v>12.13970728885575</v>
      </c>
      <c r="AH23">
        <v>17.778155998949195</v>
      </c>
      <c r="AI23">
        <v>24.450872926370785</v>
      </c>
      <c r="AJ23">
        <v>31.983975075847844</v>
      </c>
      <c r="AK23">
        <v>40.187331898399165</v>
      </c>
      <c r="AM23">
        <v>0.95</v>
      </c>
      <c r="AN23">
        <v>30.432535843598799</v>
      </c>
      <c r="AO23">
        <v>22.596386076654408</v>
      </c>
      <c r="AP23">
        <v>16.407639013932588</v>
      </c>
      <c r="AQ23">
        <v>11.657828910294933</v>
      </c>
      <c r="AR23">
        <v>8.1234766093562545</v>
      </c>
      <c r="AS23">
        <v>5.5642994016355161</v>
      </c>
      <c r="AT23">
        <v>3.7486766576694794</v>
      </c>
    </row>
    <row r="24" spans="6:46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  <c r="AD24">
        <v>1</v>
      </c>
      <c r="AE24">
        <v>4.6590187874285469</v>
      </c>
      <c r="AF24">
        <v>8.0679435144803957</v>
      </c>
      <c r="AG24">
        <v>12.628072924725879</v>
      </c>
      <c r="AH24">
        <v>18.312540023842111</v>
      </c>
      <c r="AI24">
        <v>25.002843572928668</v>
      </c>
      <c r="AJ24">
        <v>32.526481100177023</v>
      </c>
      <c r="AK24">
        <v>40.699934502208627</v>
      </c>
      <c r="AM24">
        <v>1</v>
      </c>
      <c r="AN24">
        <v>30.49070965005788</v>
      </c>
      <c r="AO24">
        <v>22.73665926882417</v>
      </c>
      <c r="AP24">
        <v>16.605190083791207</v>
      </c>
      <c r="AQ24">
        <v>11.889697305262722</v>
      </c>
      <c r="AR24">
        <v>8.3645040630454659</v>
      </c>
      <c r="AS24">
        <v>5.7911212518975752</v>
      </c>
      <c r="AT24">
        <v>3.9444600804233492</v>
      </c>
    </row>
    <row r="26" spans="6:46" x14ac:dyDescent="0.25">
      <c r="V26" s="46"/>
      <c r="W26" s="46"/>
      <c r="X26" s="46"/>
      <c r="Y26" s="46"/>
      <c r="AE26">
        <f>AE5-M5</f>
        <v>0</v>
      </c>
      <c r="AF26">
        <f t="shared" ref="AF26:AJ26" si="0">AF5-N5</f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0</v>
      </c>
      <c r="AK26">
        <f t="shared" ref="AK26:AK45" si="1">AK5-S5</f>
        <v>0</v>
      </c>
      <c r="AN26">
        <f t="shared" ref="AN26:AT26" si="2">AN5-V5</f>
        <v>0</v>
      </c>
      <c r="AO26">
        <f t="shared" si="2"/>
        <v>0</v>
      </c>
      <c r="AP26">
        <f t="shared" si="2"/>
        <v>0</v>
      </c>
      <c r="AQ26">
        <f t="shared" si="2"/>
        <v>0</v>
      </c>
      <c r="AR26">
        <f t="shared" si="2"/>
        <v>0</v>
      </c>
      <c r="AS26">
        <f t="shared" si="2"/>
        <v>0</v>
      </c>
      <c r="AT26">
        <f t="shared" si="2"/>
        <v>0</v>
      </c>
    </row>
    <row r="27" spans="6:46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  <c r="AE27">
        <f t="shared" ref="AE27:AE43" si="3">AE6-M6</f>
        <v>0</v>
      </c>
      <c r="AF27">
        <f t="shared" ref="AF27:AF43" si="4">AF6-N6</f>
        <v>0</v>
      </c>
      <c r="AG27">
        <f t="shared" ref="AG27:AG43" si="5">AG6-O6</f>
        <v>0</v>
      </c>
      <c r="AH27">
        <f t="shared" ref="AH27:AH43" si="6">AH6-P6</f>
        <v>0</v>
      </c>
      <c r="AI27">
        <f t="shared" ref="AI27:AI43" si="7">AI6-Q6</f>
        <v>0</v>
      </c>
      <c r="AJ27">
        <f t="shared" ref="AJ27:AJ43" si="8">AJ6-R6</f>
        <v>0</v>
      </c>
      <c r="AK27">
        <f t="shared" si="1"/>
        <v>0</v>
      </c>
      <c r="AN27">
        <f t="shared" ref="AN27:AT27" si="9">AN6-V6</f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</row>
    <row r="28" spans="6:46" x14ac:dyDescent="0.25">
      <c r="V28" s="46"/>
      <c r="W28" s="46"/>
      <c r="X28" s="46"/>
      <c r="Y28" s="46"/>
      <c r="Z28" s="46"/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0</v>
      </c>
      <c r="AI28">
        <f t="shared" si="7"/>
        <v>0</v>
      </c>
      <c r="AJ28">
        <f t="shared" si="8"/>
        <v>0</v>
      </c>
      <c r="AK28">
        <f t="shared" si="1"/>
        <v>0</v>
      </c>
      <c r="AN28">
        <f t="shared" ref="AN28:AT28" si="10">AN7-V7</f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</row>
    <row r="29" spans="6:46" x14ac:dyDescent="0.25">
      <c r="V29" s="46"/>
      <c r="W29" s="46"/>
      <c r="X29" s="46"/>
      <c r="Y29" s="46"/>
      <c r="Z29" s="46"/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1"/>
        <v>0</v>
      </c>
      <c r="AN29">
        <f t="shared" ref="AN29:AT29" si="11">AN8-V8</f>
        <v>0</v>
      </c>
      <c r="AO29">
        <f t="shared" si="11"/>
        <v>0</v>
      </c>
      <c r="AP29">
        <f t="shared" si="11"/>
        <v>0</v>
      </c>
      <c r="AQ29">
        <f t="shared" si="11"/>
        <v>0</v>
      </c>
      <c r="AR29">
        <f t="shared" si="11"/>
        <v>0</v>
      </c>
      <c r="AS29">
        <f t="shared" si="11"/>
        <v>0</v>
      </c>
      <c r="AT29">
        <f t="shared" si="11"/>
        <v>0</v>
      </c>
    </row>
    <row r="30" spans="6:46" ht="15.75" thickBot="1" x14ac:dyDescent="0.3">
      <c r="G30" s="56" t="s">
        <v>164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1"/>
        <v>0</v>
      </c>
      <c r="AN30">
        <f t="shared" ref="AN30:AT30" si="12">AN9-V9</f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</row>
    <row r="31" spans="6:46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1"/>
        <v>0</v>
      </c>
      <c r="AN31">
        <f t="shared" ref="AN31:AT31" si="13">AN10-V10</f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0</v>
      </c>
      <c r="AT31">
        <f t="shared" si="13"/>
        <v>0</v>
      </c>
    </row>
    <row r="32" spans="6:46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1"/>
        <v>0</v>
      </c>
      <c r="AN32">
        <f t="shared" ref="AN32:AT32" si="14">AN11-V11</f>
        <v>0</v>
      </c>
      <c r="AO32">
        <f t="shared" si="14"/>
        <v>0</v>
      </c>
      <c r="AP32">
        <f t="shared" si="14"/>
        <v>0</v>
      </c>
      <c r="AQ32">
        <f t="shared" si="14"/>
        <v>0</v>
      </c>
      <c r="AR32">
        <f t="shared" si="14"/>
        <v>0</v>
      </c>
      <c r="AS32">
        <f t="shared" si="14"/>
        <v>0</v>
      </c>
      <c r="AT32">
        <f t="shared" si="14"/>
        <v>0</v>
      </c>
    </row>
    <row r="33" spans="6:46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1"/>
        <v>0</v>
      </c>
      <c r="AN33">
        <f t="shared" ref="AN33:AT33" si="15">AN12-V12</f>
        <v>0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6:46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  <c r="AE34">
        <f t="shared" si="3"/>
        <v>0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1"/>
        <v>0</v>
      </c>
      <c r="AN34">
        <f t="shared" ref="AN34:AT34" si="16">AN13-V13</f>
        <v>0</v>
      </c>
      <c r="AO34">
        <f t="shared" si="16"/>
        <v>0</v>
      </c>
      <c r="AP34">
        <f t="shared" si="16"/>
        <v>0</v>
      </c>
      <c r="AQ34">
        <f t="shared" si="16"/>
        <v>0</v>
      </c>
      <c r="AR34">
        <f t="shared" si="16"/>
        <v>0</v>
      </c>
      <c r="AS34">
        <f t="shared" si="16"/>
        <v>0</v>
      </c>
      <c r="AT34">
        <f t="shared" si="16"/>
        <v>0</v>
      </c>
    </row>
    <row r="35" spans="6:46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0</v>
      </c>
      <c r="AK35">
        <f t="shared" si="1"/>
        <v>0</v>
      </c>
      <c r="AN35">
        <f t="shared" ref="AN35:AT35" si="17">AN14-V14</f>
        <v>0</v>
      </c>
      <c r="AO35">
        <f t="shared" si="17"/>
        <v>0</v>
      </c>
      <c r="AP35">
        <f t="shared" si="17"/>
        <v>0</v>
      </c>
      <c r="AQ35">
        <f t="shared" si="17"/>
        <v>0</v>
      </c>
      <c r="AR35">
        <f t="shared" si="17"/>
        <v>0</v>
      </c>
      <c r="AS35">
        <f t="shared" si="17"/>
        <v>0</v>
      </c>
      <c r="AT35">
        <f t="shared" si="17"/>
        <v>0</v>
      </c>
    </row>
    <row r="36" spans="6:46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1"/>
        <v>0</v>
      </c>
      <c r="AN36">
        <f t="shared" ref="AN36:AT36" si="18">AN15-V15</f>
        <v>0</v>
      </c>
      <c r="AO36">
        <f t="shared" si="18"/>
        <v>0</v>
      </c>
      <c r="AP36">
        <f t="shared" si="18"/>
        <v>0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6:46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0</v>
      </c>
      <c r="AI37">
        <f t="shared" si="7"/>
        <v>0</v>
      </c>
      <c r="AJ37">
        <f t="shared" si="8"/>
        <v>0</v>
      </c>
      <c r="AK37">
        <f t="shared" si="1"/>
        <v>0</v>
      </c>
      <c r="AN37">
        <f t="shared" ref="AN37:AT37" si="19">AN16-V16</f>
        <v>0</v>
      </c>
      <c r="AO37">
        <f t="shared" si="19"/>
        <v>0</v>
      </c>
      <c r="AP37">
        <f t="shared" si="19"/>
        <v>0</v>
      </c>
      <c r="AQ37">
        <f t="shared" si="19"/>
        <v>0</v>
      </c>
      <c r="AR37">
        <f t="shared" si="19"/>
        <v>0</v>
      </c>
      <c r="AS37">
        <f t="shared" si="19"/>
        <v>0</v>
      </c>
      <c r="AT37">
        <f t="shared" si="19"/>
        <v>0</v>
      </c>
    </row>
    <row r="38" spans="6:46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1"/>
        <v>0</v>
      </c>
      <c r="AN38">
        <f t="shared" ref="AN38:AT38" si="20">AN17-V17</f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</row>
    <row r="39" spans="6:46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  <c r="AE39">
        <f t="shared" si="3"/>
        <v>0</v>
      </c>
      <c r="AF39">
        <f t="shared" si="4"/>
        <v>0</v>
      </c>
      <c r="AG39">
        <f t="shared" si="5"/>
        <v>0</v>
      </c>
      <c r="AH39">
        <f t="shared" si="6"/>
        <v>0</v>
      </c>
      <c r="AI39">
        <f t="shared" si="7"/>
        <v>0</v>
      </c>
      <c r="AJ39">
        <f t="shared" si="8"/>
        <v>0</v>
      </c>
      <c r="AK39">
        <f t="shared" si="1"/>
        <v>0</v>
      </c>
      <c r="AN39">
        <f t="shared" ref="AN39:AT39" si="21">AN18-V18</f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</row>
    <row r="40" spans="6:46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  <c r="AE40">
        <f t="shared" si="3"/>
        <v>0</v>
      </c>
      <c r="AF40">
        <f t="shared" si="4"/>
        <v>0</v>
      </c>
      <c r="AG40">
        <f t="shared" si="5"/>
        <v>0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1"/>
        <v>0</v>
      </c>
      <c r="AN40">
        <f t="shared" ref="AN40:AT40" si="22">AN19-V19</f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</row>
    <row r="41" spans="6:46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  <c r="AE41">
        <f t="shared" si="3"/>
        <v>0</v>
      </c>
      <c r="AF41">
        <f t="shared" si="4"/>
        <v>0</v>
      </c>
      <c r="AG41">
        <f t="shared" si="5"/>
        <v>0</v>
      </c>
      <c r="AH41">
        <f t="shared" si="6"/>
        <v>0</v>
      </c>
      <c r="AI41">
        <f t="shared" si="7"/>
        <v>0</v>
      </c>
      <c r="AJ41">
        <f t="shared" si="8"/>
        <v>0</v>
      </c>
      <c r="AK41">
        <f t="shared" si="1"/>
        <v>0</v>
      </c>
      <c r="AN41">
        <f t="shared" ref="AN41:AT41" si="23">AN20-V20</f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</row>
    <row r="42" spans="6:46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I42">
        <f t="shared" si="7"/>
        <v>0</v>
      </c>
      <c r="AJ42">
        <f t="shared" si="8"/>
        <v>0</v>
      </c>
      <c r="AK42">
        <f t="shared" si="1"/>
        <v>0</v>
      </c>
      <c r="AN42">
        <f t="shared" ref="AN42:AT42" si="24">AN21-V21</f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</row>
    <row r="43" spans="6:46" x14ac:dyDescent="0.25">
      <c r="V43" s="46"/>
      <c r="W43" s="46"/>
      <c r="X43" s="46"/>
      <c r="Y43" s="46"/>
      <c r="Z43" s="46"/>
      <c r="AA43" s="46"/>
      <c r="AB43" s="46"/>
      <c r="AE43">
        <f t="shared" si="3"/>
        <v>0</v>
      </c>
      <c r="AF43">
        <f t="shared" si="4"/>
        <v>0</v>
      </c>
      <c r="AG43">
        <f t="shared" si="5"/>
        <v>0</v>
      </c>
      <c r="AH43">
        <f t="shared" si="6"/>
        <v>0</v>
      </c>
      <c r="AI43">
        <f t="shared" si="7"/>
        <v>0</v>
      </c>
      <c r="AJ43">
        <f t="shared" si="8"/>
        <v>0</v>
      </c>
      <c r="AK43">
        <f t="shared" si="1"/>
        <v>0</v>
      </c>
      <c r="AN43">
        <f t="shared" ref="AN43:AT43" si="25">AN22-V22</f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</row>
    <row r="44" spans="6:46" x14ac:dyDescent="0.25">
      <c r="V44" s="46"/>
      <c r="W44" s="46"/>
      <c r="X44" s="46"/>
      <c r="Y44" s="46"/>
      <c r="Z44" s="46"/>
      <c r="AA44" s="46"/>
      <c r="AB44" s="46"/>
      <c r="AE44">
        <f t="shared" ref="AE44:AE45" si="26">AE23-M23</f>
        <v>0</v>
      </c>
      <c r="AF44">
        <f t="shared" ref="AF44:AF45" si="27">AF23-N23</f>
        <v>0</v>
      </c>
      <c r="AG44">
        <f t="shared" ref="AG44:AG45" si="28">AG23-O23</f>
        <v>0</v>
      </c>
      <c r="AH44">
        <f t="shared" ref="AH44:AH45" si="29">AH23-P23</f>
        <v>0</v>
      </c>
      <c r="AI44">
        <f t="shared" ref="AI44:AI45" si="30">AI23-Q23</f>
        <v>0</v>
      </c>
      <c r="AJ44">
        <f t="shared" ref="AJ44:AJ45" si="31">AJ23-R23</f>
        <v>0</v>
      </c>
      <c r="AK44">
        <f t="shared" si="1"/>
        <v>0</v>
      </c>
      <c r="AN44">
        <f t="shared" ref="AN44:AT44" si="32">AN23-V23</f>
        <v>0</v>
      </c>
      <c r="AO44">
        <f t="shared" si="32"/>
        <v>0</v>
      </c>
      <c r="AP44">
        <f t="shared" si="32"/>
        <v>0</v>
      </c>
      <c r="AQ44">
        <f t="shared" si="32"/>
        <v>0</v>
      </c>
      <c r="AR44">
        <f t="shared" si="32"/>
        <v>0</v>
      </c>
      <c r="AS44">
        <f t="shared" si="32"/>
        <v>0</v>
      </c>
      <c r="AT44">
        <f t="shared" si="32"/>
        <v>0</v>
      </c>
    </row>
    <row r="45" spans="6:46" ht="15.75" thickBot="1" x14ac:dyDescent="0.3">
      <c r="G45" s="56" t="s">
        <v>165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  <c r="AE45">
        <f t="shared" si="26"/>
        <v>0</v>
      </c>
      <c r="AF45">
        <f t="shared" si="27"/>
        <v>0</v>
      </c>
      <c r="AG45">
        <f t="shared" si="28"/>
        <v>0</v>
      </c>
      <c r="AH45">
        <f t="shared" si="29"/>
        <v>0</v>
      </c>
      <c r="AI45">
        <f t="shared" si="30"/>
        <v>0</v>
      </c>
      <c r="AJ45">
        <f t="shared" si="31"/>
        <v>0</v>
      </c>
      <c r="AK45">
        <f t="shared" si="1"/>
        <v>0</v>
      </c>
      <c r="AN45">
        <f t="shared" ref="AN45:AT45" si="33">AN24-V24</f>
        <v>0</v>
      </c>
      <c r="AO45">
        <f t="shared" si="33"/>
        <v>0</v>
      </c>
      <c r="AP45">
        <f t="shared" si="33"/>
        <v>0</v>
      </c>
      <c r="AQ45">
        <f t="shared" si="33"/>
        <v>0</v>
      </c>
      <c r="AR45">
        <f t="shared" si="33"/>
        <v>0</v>
      </c>
      <c r="AS45">
        <f t="shared" si="33"/>
        <v>0</v>
      </c>
      <c r="AT45">
        <f t="shared" si="33"/>
        <v>0</v>
      </c>
    </row>
    <row r="46" spans="6:46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46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46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opLeftCell="E1" workbookViewId="0">
      <selection activeCell="O12" sqref="O12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171</v>
      </c>
      <c r="G3" s="56"/>
      <c r="H3" s="56"/>
      <c r="I3" s="56" t="s">
        <v>163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70.000000000000213</v>
      </c>
      <c r="H5">
        <f>_xll.acq_options_trinomial_american_price($C$4,F5,$C$6,$C$8,$C$9,$C$7,FALSE)</f>
        <v>1.9838432261221024E-8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_xll.acq_options_trinomial_american_price(V$4,$C$5,$U5,$C$8,$C$9,$C$7,FALSE)</f>
        <v>30.000000000000085</v>
      </c>
      <c r="W5">
        <f>_xll.acq_options_trinomial_american_price(W$4,$C$5,$U5,$C$8,$C$9,$C$7,FALSE)</f>
        <v>19.999999999999972</v>
      </c>
      <c r="X5">
        <f>_xll.acq_options_trinomial_american_price(X$4,$C$5,$U5,$C$8,$C$9,$C$7,FALSE)</f>
        <v>10.226197462781149</v>
      </c>
      <c r="Y5">
        <f>_xll.acq_options_trinomial_american_price(Y$4,$C$5,$U5,$C$8,$C$9,$C$7,FALSE)</f>
        <v>3.1795489421630068</v>
      </c>
      <c r="Z5">
        <f>_xll.acq_options_trinomial_american_price(Z$4,$C$5,$U5,$C$8,$C$9,$C$7,FALSE)</f>
        <v>0.48808970976072674</v>
      </c>
      <c r="AA5">
        <f>_xll.acq_options_trinomial_american_price(AA$4,$C$5,$U5,$C$8,$C$9,$C$7,FALSE)</f>
        <v>3.4278303552810786E-2</v>
      </c>
      <c r="AB5">
        <f>_xll.acq_options_trinomial_american_price(AB$4,$C$5,$U5,$C$8,$C$9,$C$7,FALSE)</f>
        <v>1.1327941221592392E-3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60.847772819259603</v>
      </c>
      <c r="H6">
        <f>_xll.acq_options_trinomial_american_price($C$4,F6,$C$6,$C$8,$C$9,$C$7,FALSE)</f>
        <v>2.2423861839803312E-4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_xll.acq_options_trinomial_american_price(V$4,$C$5,$U6,$C$8,$C$9,$C$7,FALSE)</f>
        <v>30.000000000000199</v>
      </c>
      <c r="W6">
        <f>_xll.acq_options_trinomial_american_price(W$4,$C$5,$U6,$C$8,$C$9,$C$7,FALSE)</f>
        <v>20.000000000000085</v>
      </c>
      <c r="X6">
        <f>_xll.acq_options_trinomial_american_price(X$4,$C$5,$U6,$C$8,$C$9,$C$7,FALSE)</f>
        <v>10.79701560439727</v>
      </c>
      <c r="Y6">
        <f>_xll.acq_options_trinomial_american_price(Y$4,$C$5,$U6,$C$8,$C$9,$C$7,FALSE)</f>
        <v>4.4035301670215343</v>
      </c>
      <c r="Z6">
        <f>_xll.acq_options_trinomial_american_price(Z$4,$C$5,$U6,$C$8,$C$9,$C$7,FALSE)</f>
        <v>1.2826416600147355</v>
      </c>
      <c r="AA6">
        <f>_xll.acq_options_trinomial_american_price(AA$4,$C$5,$U6,$C$8,$C$9,$C$7,FALSE)</f>
        <v>0.26293782528294918</v>
      </c>
      <c r="AB6">
        <f>_xll.acq_options_trinomial_american_price(AB$4,$C$5,$U6,$C$8,$C$9,$C$7,FALSE)</f>
        <v>3.8715834382848799E-2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52.220007038152701</v>
      </c>
      <c r="H7">
        <f>_xll.acq_options_trinomial_american_price($C$4,F7,$C$6,$C$8,$C$9,$C$7,FALSE)</f>
        <v>1.3987024133038886E-2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_xll.acq_options_trinomial_american_price(V$4,$C$5,$U7,$C$8,$C$9,$C$7,FALSE)</f>
        <v>29.999999999999929</v>
      </c>
      <c r="W7">
        <f>_xll.acq_options_trinomial_american_price(W$4,$C$5,$U7,$C$8,$C$9,$C$7,FALSE)</f>
        <v>20.027540247320772</v>
      </c>
      <c r="X7">
        <f>_xll.acq_options_trinomial_american_price(X$4,$C$5,$U7,$C$8,$C$9,$C$7,FALSE)</f>
        <v>11.354718221411151</v>
      </c>
      <c r="Y7">
        <f>_xll.acq_options_trinomial_american_price(Y$4,$C$5,$U7,$C$8,$C$9,$C$7,FALSE)</f>
        <v>5.3069876502496989</v>
      </c>
      <c r="Z7">
        <f>_xll.acq_options_trinomial_american_price(Z$4,$C$5,$U7,$C$8,$C$9,$C$7,FALSE)</f>
        <v>2.0019992873387218</v>
      </c>
      <c r="AA7">
        <f>_xll.acq_options_trinomial_american_price(AA$4,$C$5,$U7,$C$8,$C$9,$C$7,FALSE)</f>
        <v>0.6077206433870892</v>
      </c>
      <c r="AB7">
        <f>_xll.acq_options_trinomial_american_price(AB$4,$C$5,$U7,$C$8,$C$9,$C$7,FALSE)</f>
        <v>0.15017888415235259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43.738567226021786</v>
      </c>
      <c r="H8">
        <f>_xll.acq_options_trinomial_american_price($C$4,F8,$C$6,$C$8,$C$9,$C$7,FALSE)</f>
        <v>0.15100831911655299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_xll.acq_options_trinomial_american_price(V$4,$C$5,$U8,$C$8,$C$9,$C$7,FALSE)</f>
        <v>30.000000000000185</v>
      </c>
      <c r="W8">
        <f>_xll.acq_options_trinomial_american_price(W$4,$C$5,$U8,$C$8,$C$9,$C$7,FALSE)</f>
        <v>20.130233975096523</v>
      </c>
      <c r="X8">
        <f>_xll.acq_options_trinomial_american_price(X$4,$C$5,$U8,$C$8,$C$9,$C$7,FALSE)</f>
        <v>11.863670749603795</v>
      </c>
      <c r="Y8">
        <f>_xll.acq_options_trinomial_american_price(Y$4,$C$5,$U8,$C$8,$C$9,$C$7,FALSE)</f>
        <v>6.044955471754049</v>
      </c>
      <c r="Z8">
        <f>_xll.acq_options_trinomial_american_price(Z$4,$C$5,$U8,$C$8,$C$9,$C$7,FALSE)</f>
        <v>2.6381652660452843</v>
      </c>
      <c r="AA8">
        <f>_xll.acq_options_trinomial_american_price(AA$4,$C$5,$U8,$C$8,$C$9,$C$7,FALSE)</f>
        <v>0.9881934849560724</v>
      </c>
      <c r="AB8">
        <f>_xll.acq_options_trinomial_american_price(AB$4,$C$5,$U8,$C$8,$C$9,$C$7,FALSE)</f>
        <v>0.32032745154300857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35.643398083535715</v>
      </c>
      <c r="H9">
        <f>_xll.acq_options_trinomial_american_price($C$4,F9,$C$6,$C$8,$C$9,$C$7,FALSE)</f>
        <v>0.70986511847276779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_xll.acq_options_trinomial_american_price(V$4,$C$5,$U9,$C$8,$C$9,$C$7,FALSE)</f>
        <v>29.999999999999986</v>
      </c>
      <c r="W9">
        <f>_xll.acq_options_trinomial_american_price(W$4,$C$5,$U9,$C$8,$C$9,$C$7,FALSE)</f>
        <v>20.273840359172304</v>
      </c>
      <c r="X9">
        <f>_xll.acq_options_trinomial_american_price(X$4,$C$5,$U9,$C$8,$C$9,$C$7,FALSE)</f>
        <v>12.32738795120579</v>
      </c>
      <c r="Y9">
        <f>_xll.acq_options_trinomial_american_price(Y$4,$C$5,$U9,$C$8,$C$9,$C$7,FALSE)</f>
        <v>6.6774308747271025</v>
      </c>
      <c r="Z9">
        <f>_xll.acq_options_trinomial_american_price(Z$4,$C$5,$U9,$C$8,$C$9,$C$7,FALSE)</f>
        <v>3.2103894257139354</v>
      </c>
      <c r="AA9">
        <f>_xll.acq_options_trinomial_american_price(AA$4,$C$5,$U9,$C$8,$C$9,$C$7,FALSE)</f>
        <v>1.3735511064280412</v>
      </c>
      <c r="AB9">
        <f>_xll.acq_options_trinomial_american_price(AB$4,$C$5,$U9,$C$8,$C$9,$C$7,FALSE)</f>
        <v>0.52673195031613174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28.280674045228338</v>
      </c>
      <c r="H10">
        <f>_xll.acq_options_trinomial_american_price($C$4,F10,$C$6,$C$8,$C$9,$C$7,FALSE)</f>
        <v>2.1047198985511906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_xll.acq_options_trinomial_american_price(V$4,$C$5,$U10,$C$8,$C$9,$C$7,FALSE)</f>
        <v>29.999999999999787</v>
      </c>
      <c r="W10">
        <f>_xll.acq_options_trinomial_american_price(W$4,$C$5,$U10,$C$8,$C$9,$C$7,FALSE)</f>
        <v>20.439543416987355</v>
      </c>
      <c r="X10">
        <f>_xll.acq_options_trinomial_american_price(X$4,$C$5,$U10,$C$8,$C$9,$C$7,FALSE)</f>
        <v>12.750485718427022</v>
      </c>
      <c r="Y10">
        <f>_xll.acq_options_trinomial_american_price(Y$4,$C$5,$U10,$C$8,$C$9,$C$7,FALSE)</f>
        <v>7.2351698299700491</v>
      </c>
      <c r="Z10">
        <f>_xll.acq_options_trinomial_american_price(Z$4,$C$5,$U10,$C$8,$C$9,$C$7,FALSE)</f>
        <v>3.7312282242018417</v>
      </c>
      <c r="AA10">
        <f>_xll.acq_options_trinomial_american_price(AA$4,$C$5,$U10,$C$8,$C$9,$C$7,FALSE)</f>
        <v>1.7531906557883647</v>
      </c>
      <c r="AB10">
        <f>_xll.acq_options_trinomial_american_price(AB$4,$C$5,$U10,$C$8,$C$9,$C$7,FALSE)</f>
        <v>0.75481701955429736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21.914633440579323</v>
      </c>
      <c r="H11">
        <f>_xll.acq_options_trinomial_american_price($C$4,F11,$C$6,$C$8,$C$9,$C$7,FALSE)</f>
        <v>4.7021645271668788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_xll.acq_options_trinomial_american_price(V$4,$C$5,$U11,$C$8,$C$9,$C$7,FALSE)</f>
        <v>29.999999999999986</v>
      </c>
      <c r="W11">
        <f>_xll.acq_options_trinomial_american_price(W$4,$C$5,$U11,$C$8,$C$9,$C$7,FALSE)</f>
        <v>20.614603025128417</v>
      </c>
      <c r="X11">
        <f>_xll.acq_options_trinomial_american_price(X$4,$C$5,$U11,$C$8,$C$9,$C$7,FALSE)</f>
        <v>13.14453255743474</v>
      </c>
      <c r="Y11">
        <f>_xll.acq_options_trinomial_american_price(Y$4,$C$5,$U11,$C$8,$C$9,$C$7,FALSE)</f>
        <v>7.7364178380503752</v>
      </c>
      <c r="Z11">
        <f>_xll.acq_options_trinomial_american_price(Z$4,$C$5,$U11,$C$8,$C$9,$C$7,FALSE)</f>
        <v>4.2058509474301715</v>
      </c>
      <c r="AA11">
        <f>_xll.acq_options_trinomial_american_price(AA$4,$C$5,$U11,$C$8,$C$9,$C$7,FALSE)</f>
        <v>2.1199121590359757</v>
      </c>
      <c r="AB11">
        <f>_xll.acq_options_trinomial_american_price(AB$4,$C$5,$U11,$C$8,$C$9,$C$7,FALSE)</f>
        <v>0.99582543304032711</v>
      </c>
    </row>
    <row r="12" spans="1:28" x14ac:dyDescent="0.25">
      <c r="F12">
        <v>80</v>
      </c>
      <c r="G12">
        <f>_xll.acq_options_trinomial_american_price($C$4,F12,$C$6,$C$8,$C$9,$C$7,TRUE)</f>
        <v>16.649674523995238</v>
      </c>
      <c r="H12">
        <f>_xll.acq_options_trinomial_american_price($C$4,F12,$C$6,$C$8,$C$9,$C$7,FALSE)</f>
        <v>8.7349163794104179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_xll.acq_options_trinomial_american_price(V$4,$C$5,$U12,$C$8,$C$9,$C$7,FALSE)</f>
        <v>29.999999999999915</v>
      </c>
      <c r="W12">
        <f>_xll.acq_options_trinomial_american_price(W$4,$C$5,$U12,$C$8,$C$9,$C$7,FALSE)</f>
        <v>20.794210982378068</v>
      </c>
      <c r="X12">
        <f>_xll.acq_options_trinomial_american_price(X$4,$C$5,$U12,$C$8,$C$9,$C$7,FALSE)</f>
        <v>13.506746451173825</v>
      </c>
      <c r="Y12">
        <f>_xll.acq_options_trinomial_american_price(Y$4,$C$5,$U12,$C$8,$C$9,$C$7,FALSE)</f>
        <v>8.193054851452036</v>
      </c>
      <c r="Z12">
        <f>_xll.acq_options_trinomial_american_price(Z$4,$C$5,$U12,$C$8,$C$9,$C$7,FALSE)</f>
        <v>4.6485930564004097</v>
      </c>
      <c r="AA12">
        <f>_xll.acq_options_trinomial_american_price(AA$4,$C$5,$U12,$C$8,$C$9,$C$7,FALSE)</f>
        <v>2.4732539536102323</v>
      </c>
      <c r="AB12">
        <f>_xll.acq_options_trinomial_american_price(AB$4,$C$5,$U12,$C$8,$C$9,$C$7,FALSE)</f>
        <v>1.2402186145546668</v>
      </c>
    </row>
    <row r="13" spans="1:28" x14ac:dyDescent="0.25">
      <c r="F13">
        <v>90</v>
      </c>
      <c r="G13">
        <f>_xll.acq_options_trinomial_american_price($C$4,F13,$C$6,$C$8,$C$9,$C$7,TRUE)</f>
        <v>12.464444291200209</v>
      </c>
      <c r="H13">
        <f>_xll.acq_options_trinomial_american_price($C$4,F13,$C$6,$C$8,$C$9,$C$7,FALSE)</f>
        <v>14.31290857991136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_xll.acq_options_trinomial_american_price(V$4,$C$5,$U13,$C$8,$C$9,$C$7,FALSE)</f>
        <v>30.000000000000085</v>
      </c>
      <c r="W13">
        <f>_xll.acq_options_trinomial_american_price(W$4,$C$5,$U13,$C$8,$C$9,$C$7,FALSE)</f>
        <v>20.974340280969333</v>
      </c>
      <c r="X13">
        <f>_xll.acq_options_trinomial_american_price(X$4,$C$5,$U13,$C$8,$C$9,$C$7,FALSE)</f>
        <v>13.848681992043405</v>
      </c>
      <c r="Y13">
        <f>_xll.acq_options_trinomial_american_price(Y$4,$C$5,$U13,$C$8,$C$9,$C$7,FALSE)</f>
        <v>8.6133342712048773</v>
      </c>
      <c r="Z13">
        <f>_xll.acq_options_trinomial_american_price(Z$4,$C$5,$U13,$C$8,$C$9,$C$7,FALSE)</f>
        <v>5.0564549694806367</v>
      </c>
      <c r="AA13">
        <f>_xll.acq_options_trinomial_american_price(AA$4,$C$5,$U13,$C$8,$C$9,$C$7,FALSE)</f>
        <v>2.8113460425379544</v>
      </c>
      <c r="AB13">
        <f>_xll.acq_options_trinomial_american_price(AB$4,$C$5,$U13,$C$8,$C$9,$C$7,FALSE)</f>
        <v>1.486229690212765</v>
      </c>
    </row>
    <row r="14" spans="1:28" x14ac:dyDescent="0.25">
      <c r="F14">
        <v>100</v>
      </c>
      <c r="G14">
        <f>_xll.acq_options_trinomial_american_price($C$4,F14,$C$6,$C$8,$C$9,$C$7,TRUE)</f>
        <v>9.2181348448034655</v>
      </c>
      <c r="H14">
        <f>_xll.acq_options_trinomial_american_price($C$4,F14,$C$6,$C$8,$C$9,$C$7,FALSE)</f>
        <v>21.444518542802879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_xll.acq_options_trinomial_american_price(V$4,$C$5,$U14,$C$8,$C$9,$C$7,FALSE)</f>
        <v>30.013545368803594</v>
      </c>
      <c r="W14">
        <f>_xll.acq_options_trinomial_american_price(W$4,$C$5,$U14,$C$8,$C$9,$C$7,FALSE)</f>
        <v>21.152161544240702</v>
      </c>
      <c r="X14">
        <f>_xll.acq_options_trinomial_american_price(X$4,$C$5,$U14,$C$8,$C$9,$C$7,FALSE)</f>
        <v>14.166514058300155</v>
      </c>
      <c r="Y14">
        <f>_xll.acq_options_trinomial_american_price(Y$4,$C$5,$U14,$C$8,$C$9,$C$7,FALSE)</f>
        <v>9.0032543875590356</v>
      </c>
      <c r="Z14">
        <f>_xll.acq_options_trinomial_american_price(Z$4,$C$5,$U14,$C$8,$C$9,$C$7,FALSE)</f>
        <v>5.4424867184655321</v>
      </c>
      <c r="AA14">
        <f>_xll.acq_options_trinomial_american_price(AA$4,$C$5,$U14,$C$8,$C$9,$C$7,FALSE)</f>
        <v>3.136415507454358</v>
      </c>
      <c r="AB14">
        <f>_xll.acq_options_trinomial_american_price(AB$4,$C$5,$U14,$C$8,$C$9,$C$7,FALSE)</f>
        <v>1.7318514187597791</v>
      </c>
    </row>
    <row r="15" spans="1:28" x14ac:dyDescent="0.25">
      <c r="B15">
        <f>_xll.acq_options_trinomial_american_price($C$4,$C$5,$C$6,$C$8,$C$9,$C$7,TRUE, 300)</f>
        <v>1.8819893179672582</v>
      </c>
      <c r="F15">
        <v>110</v>
      </c>
      <c r="G15">
        <f>_xll.acq_options_trinomial_american_price($C$4,F15,$C$6,$C$8,$C$9,$C$7,TRUE)</f>
        <v>6.7647070362570041</v>
      </c>
      <c r="H15">
        <f>_xll.acq_options_trinomial_american_price($C$4,F15,$C$6,$C$8,$C$9,$C$7,FALSE)</f>
        <v>30.106132662548632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_xll.acq_options_trinomial_american_price(V$4,$C$5,$U15,$C$8,$C$9,$C$7,FALSE)</f>
        <v>30.03576256700498</v>
      </c>
      <c r="W15">
        <f>_xll.acq_options_trinomial_american_price(W$4,$C$5,$U15,$C$8,$C$9,$C$7,FALSE)</f>
        <v>21.328112207718107</v>
      </c>
      <c r="X15">
        <f>_xll.acq_options_trinomial_american_price(X$4,$C$5,$U15,$C$8,$C$9,$C$7,FALSE)</f>
        <v>14.466499112626494</v>
      </c>
      <c r="Y15">
        <f>_xll.acq_options_trinomial_american_price(Y$4,$C$5,$U15,$C$8,$C$9,$C$7,FALSE)</f>
        <v>9.367345618019586</v>
      </c>
      <c r="Z15">
        <f>_xll.acq_options_trinomial_american_price(Z$4,$C$5,$U15,$C$8,$C$9,$C$7,FALSE)</f>
        <v>5.8051905416523635</v>
      </c>
      <c r="AA15">
        <f>_xll.acq_options_trinomial_american_price(AA$4,$C$5,$U15,$C$8,$C$9,$C$7,FALSE)</f>
        <v>3.4497239531103734</v>
      </c>
      <c r="AB15">
        <f>_xll.acq_options_trinomial_american_price(AB$4,$C$5,$U15,$C$8,$C$9,$C$7,FALSE)</f>
        <v>1.9745881557370428</v>
      </c>
    </row>
    <row r="16" spans="1:28" x14ac:dyDescent="0.25">
      <c r="B16">
        <f>_xll.acq_options_binomial_american_price($C$4,$C$5,$C$6,$C$8,$C$9,$C$7,TRUE, 300)</f>
        <v>1.8779824571938908</v>
      </c>
      <c r="F16">
        <v>120</v>
      </c>
      <c r="G16">
        <f>_xll.acq_options_trinomial_american_price($C$4,F16,$C$6,$C$8,$C$9,$C$7,TRUE)</f>
        <v>4.9329615476996596</v>
      </c>
      <c r="H16">
        <f>_xll.acq_options_trinomial_american_price($C$4,F16,$C$6,$C$8,$C$9,$C$7,FALSE)</f>
        <v>39.999999999999787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_xll.acq_options_trinomial_american_price(V$4,$C$5,$U16,$C$8,$C$9,$C$7,FALSE)</f>
        <v>30.070449497612046</v>
      </c>
      <c r="W16">
        <f>_xll.acq_options_trinomial_american_price(W$4,$C$5,$U16,$C$8,$C$9,$C$7,FALSE)</f>
        <v>21.500783676224103</v>
      </c>
      <c r="X16">
        <f>_xll.acq_options_trinomial_american_price(X$4,$C$5,$U16,$C$8,$C$9,$C$7,FALSE)</f>
        <v>14.752799744370524</v>
      </c>
      <c r="Y16">
        <f>_xll.acq_options_trinomial_american_price(Y$4,$C$5,$U16,$C$8,$C$9,$C$7,FALSE)</f>
        <v>9.7091203060293996</v>
      </c>
      <c r="Z16">
        <f>_xll.acq_options_trinomial_american_price(Z$4,$C$5,$U16,$C$8,$C$9,$C$7,FALSE)</f>
        <v>6.1458740039881707</v>
      </c>
      <c r="AA16">
        <f>_xll.acq_options_trinomial_american_price(AA$4,$C$5,$U16,$C$8,$C$9,$C$7,FALSE)</f>
        <v>3.7487370511884319</v>
      </c>
      <c r="AB16">
        <f>_xll.acq_options_trinomial_american_price(AB$4,$C$5,$U16,$C$8,$C$9,$C$7,FALSE)</f>
        <v>2.2114314848058378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4.8659228815106648E-3</v>
      </c>
      <c r="F17">
        <v>130</v>
      </c>
      <c r="G17">
        <f>_xll.acq_options_trinomial_american_price($C$4,F17,$C$6,$C$8,$C$9,$C$7,TRUE)</f>
        <v>3.5851315157926913</v>
      </c>
      <c r="H17">
        <f>_xll.acq_options_trinomial_american_price($C$4,F17,$C$6,$C$8,$C$9,$C$7,FALSE)</f>
        <v>49.999999999999787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_xll.acq_options_trinomial_american_price(V$4,$C$5,$U17,$C$8,$C$9,$C$7,FALSE)</f>
        <v>30.110778381439893</v>
      </c>
      <c r="W17">
        <f>_xll.acq_options_trinomial_american_price(W$4,$C$5,$U17,$C$8,$C$9,$C$7,FALSE)</f>
        <v>21.668939174685313</v>
      </c>
      <c r="X17">
        <f>_xll.acq_options_trinomial_american_price(X$4,$C$5,$U17,$C$8,$C$9,$C$7,FALSE)</f>
        <v>15.0230727218702</v>
      </c>
      <c r="Y17">
        <f>_xll.acq_options_trinomial_american_price(Y$4,$C$5,$U17,$C$8,$C$9,$C$7,FALSE)</f>
        <v>10.031376332045106</v>
      </c>
      <c r="Z17">
        <f>_xll.acq_options_trinomial_american_price(Z$4,$C$5,$U17,$C$8,$C$9,$C$7,FALSE)</f>
        <v>6.4674483565323921</v>
      </c>
      <c r="AA17">
        <f>_xll.acq_options_trinomial_american_price(AA$4,$C$5,$U17,$C$8,$C$9,$C$7,FALSE)</f>
        <v>4.0369511471850306</v>
      </c>
      <c r="AB17">
        <f>_xll.acq_options_trinomial_american_price(AB$4,$C$5,$U17,$C$8,$C$9,$C$7,FALSE)</f>
        <v>2.446533098951865</v>
      </c>
    </row>
    <row r="18" spans="2:28" x14ac:dyDescent="0.25">
      <c r="F18">
        <v>140</v>
      </c>
      <c r="G18">
        <f>_xll.acq_options_trinomial_american_price($C$4,F18,$C$6,$C$8,$C$9,$C$7,TRUE)</f>
        <v>2.598824223946921</v>
      </c>
      <c r="H18">
        <f>_xll.acq_options_trinomial_american_price($C$4,F18,$C$6,$C$8,$C$9,$C$7,FALSE)</f>
        <v>59.999999999999787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_xll.acq_options_trinomial_american_price(V$4,$C$5,$U18,$C$8,$C$9,$C$7,FALSE)</f>
        <v>30.15422480921308</v>
      </c>
      <c r="W18">
        <f>_xll.acq_options_trinomial_american_price(W$4,$C$5,$U18,$C$8,$C$9,$C$7,FALSE)</f>
        <v>21.832781415895354</v>
      </c>
      <c r="X18">
        <f>_xll.acq_options_trinomial_american_price(X$4,$C$5,$U18,$C$8,$C$9,$C$7,FALSE)</f>
        <v>15.279049379557438</v>
      </c>
      <c r="Y18">
        <f>_xll.acq_options_trinomial_american_price(Y$4,$C$5,$U18,$C$8,$C$9,$C$7,FALSE)</f>
        <v>10.336377229691012</v>
      </c>
      <c r="Z18">
        <f>_xll.acq_options_trinomial_american_price(Z$4,$C$5,$U18,$C$8,$C$9,$C$7,FALSE)</f>
        <v>6.7764598574079526</v>
      </c>
      <c r="AA18">
        <f>_xll.acq_options_trinomial_american_price(AA$4,$C$5,$U18,$C$8,$C$9,$C$7,FALSE)</f>
        <v>4.3157748488366323</v>
      </c>
      <c r="AB18">
        <f>_xll.acq_options_trinomial_american_price(AB$4,$C$5,$U18,$C$8,$C$9,$C$7,FALSE)</f>
        <v>2.6754122199919839</v>
      </c>
    </row>
    <row r="19" spans="2:28" x14ac:dyDescent="0.25">
      <c r="F19">
        <v>150</v>
      </c>
      <c r="G19">
        <f>_xll.acq_options_trinomial_american_price($C$4,F19,$C$6,$C$8,$C$9,$C$7,TRUE)</f>
        <v>1.8805691390641348</v>
      </c>
      <c r="H19">
        <f>_xll.acq_options_trinomial_american_price($C$4,F19,$C$6,$C$8,$C$9,$C$7,FALSE)</f>
        <v>69.999999999999787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_xll.acq_options_trinomial_american_price(V$4,$C$5,$U19,$C$8,$C$9,$C$7,FALSE)</f>
        <v>30.205314798010569</v>
      </c>
      <c r="W19">
        <f>_xll.acq_options_trinomial_american_price(W$4,$C$5,$U19,$C$8,$C$9,$C$7,FALSE)</f>
        <v>21.99388458885857</v>
      </c>
      <c r="X19">
        <f>_xll.acq_options_trinomial_american_price(X$4,$C$5,$U19,$C$8,$C$9,$C$7,FALSE)</f>
        <v>15.522235398116582</v>
      </c>
      <c r="Y19">
        <f>_xll.acq_options_trinomial_american_price(Y$4,$C$5,$U19,$C$8,$C$9,$C$7,FALSE)</f>
        <v>10.625983539647924</v>
      </c>
      <c r="Z19">
        <f>_xll.acq_options_trinomial_american_price(Z$4,$C$5,$U19,$C$8,$C$9,$C$7,FALSE)</f>
        <v>7.0717711673632886</v>
      </c>
      <c r="AA19">
        <f>_xll.acq_options_trinomial_american_price(AA$4,$C$5,$U19,$C$8,$C$9,$C$7,FALSE)</f>
        <v>4.5808542287965164</v>
      </c>
      <c r="AB19">
        <f>_xll.acq_options_trinomial_american_price(AB$4,$C$5,$U19,$C$8,$C$9,$C$7,FALSE)</f>
        <v>2.9000037845180962</v>
      </c>
    </row>
    <row r="20" spans="2:28" x14ac:dyDescent="0.25">
      <c r="F20">
        <v>160</v>
      </c>
      <c r="G20">
        <f>_xll.acq_options_trinomial_american_price($C$4,F20,$C$6,$C$8,$C$9,$C$7,TRUE)</f>
        <v>1.3627839917292055</v>
      </c>
      <c r="H20">
        <f>_xll.acq_options_trinomial_american_price($C$4,F20,$C$6,$C$8,$C$9,$C$7,FALSE)</f>
        <v>79.999999999999787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_xll.acq_options_trinomial_american_price(V$4,$C$5,$U20,$C$8,$C$9,$C$7,FALSE)</f>
        <v>30.258897738385873</v>
      </c>
      <c r="W20">
        <f>_xll.acq_options_trinomial_american_price(W$4,$C$5,$U20,$C$8,$C$9,$C$7,FALSE)</f>
        <v>22.148406933264198</v>
      </c>
      <c r="X20">
        <f>_xll.acq_options_trinomial_american_price(X$4,$C$5,$U20,$C$8,$C$9,$C$7,FALSE)</f>
        <v>15.7573674435593</v>
      </c>
      <c r="Y20">
        <f>_xll.acq_options_trinomial_american_price(Y$4,$C$5,$U20,$C$8,$C$9,$C$7,FALSE)</f>
        <v>10.901748693979878</v>
      </c>
      <c r="Z20">
        <f>_xll.acq_options_trinomial_american_price(Z$4,$C$5,$U20,$C$8,$C$9,$C$7,FALSE)</f>
        <v>7.3530412425421865</v>
      </c>
      <c r="AA20">
        <f>_xll.acq_options_trinomial_american_price(AA$4,$C$5,$U20,$C$8,$C$9,$C$7,FALSE)</f>
        <v>4.8389953565423944</v>
      </c>
      <c r="AB20">
        <f>_xll.acq_options_trinomial_american_price(AB$4,$C$5,$U20,$C$8,$C$9,$C$7,FALSE)</f>
        <v>3.1176560481668254</v>
      </c>
    </row>
    <row r="21" spans="2:28" x14ac:dyDescent="0.25">
      <c r="F21">
        <v>170</v>
      </c>
      <c r="G21">
        <f>_xll.acq_options_trinomial_american_price($C$4,F21,$C$6,$C$8,$C$9,$C$7,TRUE)</f>
        <v>0.98708096087435337</v>
      </c>
      <c r="H21">
        <f>_xll.acq_options_trinomial_american_price($C$4,F21,$C$6,$C$8,$C$9,$C$7,FALSE)</f>
        <v>89.999999999999787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39.132270532085521</v>
      </c>
      <c r="U21" s="45">
        <v>0.85</v>
      </c>
      <c r="V21">
        <f>_xll.acq_options_trinomial_american_price(V$4,$C$5,$U21,$C$8,$C$9,$C$7,FALSE)</f>
        <v>30.314364771486144</v>
      </c>
      <c r="W21">
        <f>_xll.acq_options_trinomial_american_price(W$4,$C$5,$U21,$C$8,$C$9,$C$7,FALSE)</f>
        <v>22.30043356710938</v>
      </c>
      <c r="X21">
        <f>_xll.acq_options_trinomial_american_price(X$4,$C$5,$U21,$C$8,$C$9,$C$7,FALSE)</f>
        <v>15.983320002080154</v>
      </c>
      <c r="Y21">
        <f>_xll.acq_options_trinomial_american_price(Y$4,$C$5,$U21,$C$8,$C$9,$C$7,FALSE)</f>
        <v>11.164990421439432</v>
      </c>
      <c r="Z21">
        <f>_xll.acq_options_trinomial_american_price(Z$4,$C$5,$U21,$C$8,$C$9,$C$7,FALSE)</f>
        <v>7.6216483642098627</v>
      </c>
      <c r="AA21">
        <f>_xll.acq_options_trinomial_american_price(AA$4,$C$5,$U21,$C$8,$C$9,$C$7,FALSE)</f>
        <v>5.0896662429304138</v>
      </c>
      <c r="AB21">
        <f>_xll.acq_options_trinomial_american_price(AB$4,$C$5,$U21,$C$8,$C$9,$C$7,FALSE)</f>
        <v>3.3337944563526767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31.433860990685353</v>
      </c>
      <c r="S22">
        <f>_xll.acq_options_trinomial_american_price(S$4,$C$5,$L22,$C$8,$C$9,$C$7,TRUE)</f>
        <v>39.660265349982012</v>
      </c>
      <c r="U22" s="45">
        <v>0.9</v>
      </c>
      <c r="V22">
        <f>_xll.acq_options_trinomial_american_price(V$4,$C$5,$U22,$C$8,$C$9,$C$7,FALSE)</f>
        <v>30.370154317091071</v>
      </c>
      <c r="W22">
        <f>_xll.acq_options_trinomial_american_price(W$4,$C$5,$U22,$C$8,$C$9,$C$7,FALSE)</f>
        <v>22.449347565665555</v>
      </c>
      <c r="X22">
        <f>_xll.acq_options_trinomial_american_price(X$4,$C$5,$U22,$C$8,$C$9,$C$7,FALSE)</f>
        <v>16.199627554181735</v>
      </c>
      <c r="Y22">
        <f>_xll.acq_options_trinomial_american_price(Y$4,$C$5,$U22,$C$8,$C$9,$C$7,FALSE)</f>
        <v>11.416836324546995</v>
      </c>
      <c r="Z22">
        <f>_xll.acq_options_trinomial_american_price(Z$4,$C$5,$U22,$C$8,$C$9,$C$7,FALSE)</f>
        <v>7.8787502763538821</v>
      </c>
      <c r="AA22">
        <f>_xll.acq_options_trinomial_american_price(AA$4,$C$5,$U22,$C$8,$C$9,$C$7,FALSE)</f>
        <v>5.3296520173920685</v>
      </c>
      <c r="AB22">
        <f>_xll.acq_options_trinomial_american_price(AB$4,$C$5,$U22,$C$8,$C$9,$C$7,FALSE)</f>
        <v>3.5408385783852774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24.456208961715241</v>
      </c>
      <c r="R23">
        <f>_xll.acq_options_trinomial_american_price(R$4,$C$5,$L23,$C$8,$C$9,$C$7,TRUE)</f>
        <v>31.980559082436645</v>
      </c>
      <c r="S23">
        <f>_xll.acq_options_trinomial_american_price(S$4,$C$5,$L23,$C$8,$C$9,$C$7,TRUE)</f>
        <v>40.183866823005502</v>
      </c>
      <c r="U23" s="45">
        <v>0.95</v>
      </c>
      <c r="V23">
        <f>_xll.acq_options_trinomial_american_price(V$4,$C$5,$U23,$C$8,$C$9,$C$7,FALSE)</f>
        <v>30.429769375896086</v>
      </c>
      <c r="W23">
        <f>_xll.acq_options_trinomial_american_price(W$4,$C$5,$U23,$C$8,$C$9,$C$7,FALSE)</f>
        <v>22.592831006861239</v>
      </c>
      <c r="X23">
        <f>_xll.acq_options_trinomial_american_price(X$4,$C$5,$U23,$C$8,$C$9,$C$7,FALSE)</f>
        <v>16.407043908634048</v>
      </c>
      <c r="Y23">
        <f>_xll.acq_options_trinomial_american_price(Y$4,$C$5,$U23,$C$8,$C$9,$C$7,FALSE)</f>
        <v>11.658261143779338</v>
      </c>
      <c r="Z23">
        <f>_xll.acq_options_trinomial_american_price(Z$4,$C$5,$U23,$C$8,$C$9,$C$7,FALSE)</f>
        <v>8.125342307055849</v>
      </c>
      <c r="AA23">
        <f>_xll.acq_options_trinomial_american_price(AA$4,$C$5,$U23,$C$8,$C$9,$C$7,FALSE)</f>
        <v>5.5599858892775815</v>
      </c>
      <c r="AB23">
        <f>_xll.acq_options_trinomial_american_price(AB$4,$C$5,$U23,$C$8,$C$9,$C$7,FALSE)</f>
        <v>3.7453949504567454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18.316209819326453</v>
      </c>
      <c r="Q24">
        <f>_xll.acq_options_trinomial_american_price(Q$4,$C$5,$L24,$C$8,$C$9,$C$7,TRUE)</f>
        <v>25.002839531353743</v>
      </c>
      <c r="R24">
        <f>_xll.acq_options_trinomial_american_price(R$4,$C$5,$L24,$C$8,$C$9,$C$7,TRUE)</f>
        <v>32.519978034256717</v>
      </c>
      <c r="S24">
        <f>_xll.acq_options_trinomial_american_price(S$4,$C$5,$L24,$C$8,$C$9,$C$7,TRUE)</f>
        <v>40.702684343035457</v>
      </c>
      <c r="U24" s="45">
        <v>1</v>
      </c>
      <c r="V24">
        <f>_xll.acq_options_trinomial_american_price(V$4,$C$5,$U24,$C$8,$C$9,$C$7,FALSE)</f>
        <v>30.489756753274509</v>
      </c>
      <c r="W24">
        <f>_xll.acq_options_trinomial_american_price(W$4,$C$5,$U24,$C$8,$C$9,$C$7,FALSE)</f>
        <v>22.731126851217205</v>
      </c>
      <c r="X24">
        <f>_xll.acq_options_trinomial_american_price(X$4,$C$5,$U24,$C$8,$C$9,$C$7,FALSE)</f>
        <v>16.606298437651652</v>
      </c>
      <c r="Y24">
        <f>_xll.acq_options_trinomial_american_price(Y$4,$C$5,$U24,$C$8,$C$9,$C$7,FALSE)</f>
        <v>11.89009645996618</v>
      </c>
      <c r="Z24">
        <f>_xll.acq_options_trinomial_american_price(Z$4,$C$5,$U24,$C$8,$C$9,$C$7,FALSE)</f>
        <v>8.362375008278832</v>
      </c>
      <c r="AA24">
        <f>_xll.acq_options_trinomial_american_price(AA$4,$C$5,$U24,$C$8,$C$9,$C$7,FALSE)</f>
        <v>5.7849296587682364</v>
      </c>
      <c r="AB24">
        <f>_xll.acq_options_trinomial_american_price(AB$4,$C$5,$U24,$C$8,$C$9,$C$7,FALSE)</f>
        <v>3.9462563741490442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6" t="s">
        <v>172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_xll.acq_options_trinomial_american_greeks(G$31,$F32,$C$5,$C$6,$C$8,$C$9,$C$7,TRUE)</f>
        <v>6.1662019346244614</v>
      </c>
      <c r="H32">
        <f>_xll.acq_options_trinomial_american_greeks(H$31,$F32,$C$5,$C$6,$C$8,$C$9,$C$7,TRUE)</f>
        <v>0.2908231015278151</v>
      </c>
      <c r="I32">
        <f>_xll.acq_options_trinomial_american_greeks(I$31,$F32,$C$5,$C$6,$C$8,$C$9,$C$7,TRUE)</f>
        <v>4.1566750041965854E-11</v>
      </c>
      <c r="J32">
        <f>_xll.acq_options_trinomial_american_greeks(J$31,$F32,$C$5,$C$6,$C$8,$C$9,$C$7,TRUE)</f>
        <v>52.99200276047462</v>
      </c>
      <c r="K32">
        <f>_xll.acq_options_trinomial_american_greeks(K$31,$F32,$C$5,$C$6,$C$8,$C$9,$C$7,TRUE)</f>
        <v>-124.86084624363514</v>
      </c>
      <c r="L32">
        <f>_xll.acq_options_trinomial_american_greeks(L$31,$F32,$C$5,$C$6,$C$8,$C$9,$C$7,TRUE)</f>
        <v>-0.16045572825973409</v>
      </c>
      <c r="M32">
        <f>_xll.acq_options_trinomial_american_greeks(M$31,$F32,$C$5,$C$6,$C$8,$C$9,$C$7,TRUE)</f>
        <v>58.76336925066461</v>
      </c>
      <c r="N32">
        <f>_xll.acq_options_trinomial_american_greeks(N$31,$F32,$C$5,$C$6,$C$8,$C$9,$C$7,TRUE)</f>
        <v>-3.763398406362306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_xll.acq_options_trinomial_american_greeks(G$31,$F33,$C$5,$C$6,$C$8,$C$9,$C$7,TRUE)</f>
        <v>9.5713220235677099</v>
      </c>
      <c r="H33">
        <f>_xll.acq_options_trinomial_american_greeks(H$31,$F33,$C$5,$C$6,$C$8,$C$9,$C$7,TRUE)</f>
        <v>0.38139367158475002</v>
      </c>
      <c r="I33">
        <f>_xll.acq_options_trinomial_american_greeks(I$31,$F33,$C$5,$C$6,$C$8,$C$9,$C$7,TRUE)</f>
        <v>5.8722540145462823E-11</v>
      </c>
      <c r="J33">
        <f>_xll.acq_options_trinomial_american_greeks(J$31,$F33,$C$5,$C$6,$C$8,$C$9,$C$7,TRUE)</f>
        <v>64.949991296236519</v>
      </c>
      <c r="K33">
        <f>_xll.acq_options_trinomial_american_greeks(K$31,$F33,$C$5,$C$6,$C$8,$C$9,$C$7,TRUE)</f>
        <v>-113.20838067874206</v>
      </c>
      <c r="L33">
        <f>_xll.acq_options_trinomial_american_greeks(L$31,$F33,$C$5,$C$6,$C$8,$C$9,$C$7,TRUE)</f>
        <v>-0.17769684790280849</v>
      </c>
      <c r="M33">
        <f>_xll.acq_options_trinomial_american_greeks(M$31,$F33,$C$5,$C$6,$C$8,$C$9,$C$7,TRUE)</f>
        <v>81.532816544747533</v>
      </c>
      <c r="N33">
        <f>_xll.acq_options_trinomial_american_greeks(N$31,$F33,$C$5,$C$6,$C$8,$C$9,$C$7,TRUE)</f>
        <v>-4.7827450419415385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_xll.acq_options_trinomial_american_greeks(G$31,$F34,$C$5,$C$6,$C$8,$C$9,$C$7,TRUE)</f>
        <v>13.82720226720512</v>
      </c>
      <c r="H34">
        <f>_xll.acq_options_trinomial_american_greeks(H$31,$F34,$C$5,$C$6,$C$8,$C$9,$C$7,TRUE)</f>
        <v>0.47848197390088687</v>
      </c>
      <c r="I34">
        <f>_xll.acq_options_trinomial_american_greeks(I$31,$F34,$C$5,$C$6,$C$8,$C$9,$C$7,TRUE)</f>
        <v>2.2771907816200434E-10</v>
      </c>
      <c r="J34">
        <f>_xll.acq_options_trinomial_american_greeks(J$31,$F34,$C$5,$C$6,$C$8,$C$9,$C$7,TRUE)</f>
        <v>74.852091676898809</v>
      </c>
      <c r="K34">
        <f>_xll.acq_options_trinomial_american_greeks(K$31,$F34,$C$5,$C$6,$C$8,$C$9,$C$7,TRUE)</f>
        <v>-88.392597945130547</v>
      </c>
      <c r="L34">
        <f>_xll.acq_options_trinomial_american_greeks(L$31,$F34,$C$5,$C$6,$C$8,$C$9,$C$7,TRUE)</f>
        <v>-0.18458280548472317</v>
      </c>
      <c r="M34">
        <f>_xll.acq_options_trinomial_american_greeks(M$31,$F34,$C$5,$C$6,$C$8,$C$9,$C$7,TRUE)</f>
        <v>105.7794469868707</v>
      </c>
      <c r="N34">
        <f>_xll.acq_options_trinomial_american_greeks(N$31,$F34,$C$5,$C$6,$C$8,$C$9,$C$7,TRUE)</f>
        <v>-5.7203410286241763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_xll.acq_options_trinomial_american_greeks(G$31,$F35,$C$5,$C$6,$C$8,$C$9,$C$7,TRUE)</f>
        <v>18.910900777762919</v>
      </c>
      <c r="H35">
        <f>_xll.acq_options_trinomial_american_greeks(H$31,$F35,$C$5,$C$6,$C$8,$C$9,$C$7,TRUE)</f>
        <v>0.55201185821982346</v>
      </c>
      <c r="I35">
        <f>_xll.acq_options_trinomial_american_greeks(I$31,$F35,$C$5,$C$6,$C$8,$C$9,$C$7,TRUE)</f>
        <v>5.8104737326654342E-10</v>
      </c>
      <c r="J35">
        <f>_xll.acq_options_trinomial_american_greeks(J$31,$F35,$C$5,$C$6,$C$8,$C$9,$C$7,TRUE)</f>
        <v>79.481068669899386</v>
      </c>
      <c r="K35">
        <f>_xll.acq_options_trinomial_american_greeks(K$31,$F35,$C$5,$C$6,$C$8,$C$9,$C$7,TRUE)</f>
        <v>-53.355814188194017</v>
      </c>
      <c r="L35">
        <f>_xll.acq_options_trinomial_american_greeks(L$31,$F35,$C$5,$C$6,$C$8,$C$9,$C$7,TRUE)</f>
        <v>-0.18210767560589147</v>
      </c>
      <c r="M35">
        <f>_xll.acq_options_trinomial_american_greeks(M$31,$F35,$C$5,$C$6,$C$8,$C$9,$C$7,TRUE)</f>
        <v>130.31398520029569</v>
      </c>
      <c r="N35">
        <f>_xll.acq_options_trinomial_american_greeks(N$31,$F35,$C$5,$C$6,$C$8,$C$9,$C$7,TRUE)</f>
        <v>-6.3917393571273351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_xll.acq_options_trinomial_american_greeks(G$31,$F36,$C$5,$C$6,$C$8,$C$9,$C$7,TRUE)</f>
        <v>24.736221086274632</v>
      </c>
      <c r="H36">
        <f>_xll.acq_options_trinomial_american_greeks(H$31,$F36,$C$5,$C$6,$C$8,$C$9,$C$7,TRUE)</f>
        <v>0.62326296426118732</v>
      </c>
      <c r="I36">
        <f>_xll.acq_options_trinomial_american_greeks(I$31,$F36,$C$5,$C$6,$C$8,$C$9,$C$7,TRUE)</f>
        <v>2.0830502855497629E-9</v>
      </c>
      <c r="J36">
        <f>_xll.acq_options_trinomial_american_greeks(J$31,$F36,$C$5,$C$6,$C$8,$C$9,$C$7,TRUE)</f>
        <v>81.555348545597468</v>
      </c>
      <c r="K36">
        <f>_xll.acq_options_trinomial_american_greeks(K$31,$F36,$C$5,$C$6,$C$8,$C$9,$C$7,TRUE)</f>
        <v>-16.105285467915564</v>
      </c>
      <c r="L36">
        <f>_xll.acq_options_trinomial_american_greeks(L$31,$F36,$C$5,$C$6,$C$8,$C$9,$C$7,TRUE)</f>
        <v>-0.17331131552111856</v>
      </c>
      <c r="M36">
        <f>_xll.acq_options_trinomial_american_greeks(M$31,$F36,$C$5,$C$6,$C$8,$C$9,$C$7,TRUE)</f>
        <v>154.1532184908867</v>
      </c>
      <c r="N36">
        <f>_xll.acq_options_trinomial_american_greeks(N$31,$F36,$C$5,$C$6,$C$8,$C$9,$C$7,TRUE)</f>
        <v>-6.9140677929624417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_xll.acq_options_trinomial_american_greeks(G$31,$F37,$C$5,$C$6,$C$8,$C$9,$C$7,TRUE)</f>
        <v>31.218139732490769</v>
      </c>
      <c r="H37">
        <f>_xll.acq_options_trinomial_american_greeks(H$31,$F37,$C$5,$C$6,$C$8,$C$9,$C$7,TRUE)</f>
        <v>0.67909357487404054</v>
      </c>
      <c r="I37">
        <f>_xll.acq_options_trinomial_american_greeks(I$31,$F37,$C$5,$C$6,$C$8,$C$9,$C$7,TRUE)</f>
        <v>0.14372810144259854</v>
      </c>
      <c r="J37">
        <f>_xll.acq_options_trinomial_american_greeks(J$31,$F37,$C$5,$C$6,$C$8,$C$9,$C$7,TRUE)</f>
        <v>80.84702764518596</v>
      </c>
      <c r="K37">
        <f>_xll.acq_options_trinomial_american_greeks(K$31,$F37,$C$5,$C$6,$C$8,$C$9,$C$7,TRUE)</f>
        <v>19.713966153744877</v>
      </c>
      <c r="L37">
        <f>_xll.acq_options_trinomial_american_greeks(L$31,$F37,$C$5,$C$6,$C$8,$C$9,$C$7,TRUE)</f>
        <v>-0.16173432548782785</v>
      </c>
      <c r="M37">
        <f>_xll.acq_options_trinomial_american_greeks(M$31,$F37,$C$5,$C$6,$C$8,$C$9,$C$7,TRUE)</f>
        <v>176.61404577466831</v>
      </c>
      <c r="N37">
        <f>_xll.acq_options_trinomial_american_greeks(N$31,$F37,$C$5,$C$6,$C$8,$C$9,$C$7,TRUE)</f>
        <v>-7.2631118331116795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_xll.acq_options_trinomial_american_greeks(G$31,$F38,$C$5,$C$6,$C$8,$C$9,$C$7,TRUE)</f>
        <v>38.292345819275447</v>
      </c>
      <c r="H38">
        <f>_xll.acq_options_trinomial_american_greeks(H$31,$F38,$C$5,$C$6,$C$8,$C$9,$C$7,TRUE)</f>
        <v>0.73074294636117365</v>
      </c>
      <c r="I38">
        <f>_xll.acq_options_trinomial_american_greeks(I$31,$F38,$C$5,$C$6,$C$8,$C$9,$C$7,TRUE)</f>
        <v>6.2649885279597584E-9</v>
      </c>
      <c r="J38">
        <f>_xll.acq_options_trinomial_american_greeks(J$31,$F38,$C$5,$C$6,$C$8,$C$9,$C$7,TRUE)</f>
        <v>78.353014527664229</v>
      </c>
      <c r="K38">
        <f>_xll.acq_options_trinomial_american_greeks(K$31,$F38,$C$5,$C$6,$C$8,$C$9,$C$7,TRUE)</f>
        <v>51.448812442345115</v>
      </c>
      <c r="L38">
        <f>_xll.acq_options_trinomial_american_greeks(L$31,$F38,$C$5,$C$6,$C$8,$C$9,$C$7,TRUE)</f>
        <v>-0.14731081598995388</v>
      </c>
      <c r="M38">
        <f>_xll.acq_options_trinomial_american_greeks(M$31,$F38,$C$5,$C$6,$C$8,$C$9,$C$7,TRUE)</f>
        <v>197.16610791654787</v>
      </c>
      <c r="N38">
        <f>_xll.acq_options_trinomial_american_greeks(N$31,$F38,$C$5,$C$6,$C$8,$C$9,$C$7,TRUE)</f>
        <v>-7.4787564680676155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_xll.acq_options_trinomial_american_greeks(G$31,$F39,$C$5,$C$6,$C$8,$C$9,$C$7,TRUE)</f>
        <v>45.837473168332053</v>
      </c>
      <c r="H39">
        <f>_xll.acq_options_trinomial_american_greeks(H$31,$F39,$C$5,$C$6,$C$8,$C$9,$C$7,TRUE)</f>
        <v>0.7784244787043092</v>
      </c>
      <c r="I39">
        <f>_xll.acq_options_trinomial_american_greeks(I$31,$F39,$C$5,$C$6,$C$8,$C$9,$C$7,TRUE)</f>
        <v>8.581713649411199E-2</v>
      </c>
      <c r="J39">
        <f>_xll.acq_options_trinomial_american_greeks(J$31,$F39,$C$5,$C$6,$C$8,$C$9,$C$7,TRUE)</f>
        <v>73.832047638319338</v>
      </c>
      <c r="K39">
        <f>_xll.acq_options_trinomial_american_greeks(K$31,$F39,$C$5,$C$6,$C$8,$C$9,$C$7,TRUE)</f>
        <v>1075.315653878306</v>
      </c>
      <c r="L39">
        <f>_xll.acq_options_trinomial_american_greeks(L$31,$F39,$C$5,$C$6,$C$8,$C$9,$C$7,TRUE)</f>
        <v>-8.847101984343908</v>
      </c>
      <c r="M39">
        <f>_xll.acq_options_trinomial_american_greeks(M$31,$F39,$C$5,$C$6,$C$8,$C$9,$C$7,TRUE)</f>
        <v>215.71592047807542</v>
      </c>
      <c r="N39">
        <f>_xll.acq_options_trinomial_american_greeks(N$31,$F39,$C$5,$C$6,$C$8,$C$9,$C$7,TRUE)</f>
        <v>-7.5233023337517579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_xll.acq_options_trinomial_american_greeks(G$31,$F40,$C$5,$C$6,$C$8,$C$9,$C$7,TRUE)</f>
        <v>53.809616845565508</v>
      </c>
      <c r="H40">
        <f>_xll.acq_options_trinomial_american_greeks(H$31,$F40,$C$5,$C$6,$C$8,$C$9,$C$7,TRUE)</f>
        <v>0.81779818235775781</v>
      </c>
      <c r="I40">
        <f>_xll.acq_options_trinomial_american_greeks(I$31,$F40,$C$5,$C$6,$C$8,$C$9,$C$7,TRUE)</f>
        <v>1.9250444859574567E-8</v>
      </c>
      <c r="J40">
        <f>_xll.acq_options_trinomial_american_greeks(J$31,$F40,$C$5,$C$6,$C$8,$C$9,$C$7,TRUE)</f>
        <v>68.434666958395894</v>
      </c>
      <c r="K40">
        <f>_xll.acq_options_trinomial_american_greeks(K$31,$F40,$C$5,$C$6,$C$8,$C$9,$C$7,TRUE)</f>
        <v>96.434884412133215</v>
      </c>
      <c r="L40">
        <f>_xll.acq_options_trinomial_american_greeks(L$31,$F40,$C$5,$C$6,$C$8,$C$9,$C$7,TRUE)</f>
        <v>-0.11328195093085469</v>
      </c>
      <c r="M40">
        <f>_xll.acq_options_trinomial_american_greeks(M$31,$F40,$C$5,$C$6,$C$8,$C$9,$C$7,TRUE)</f>
        <v>232.03763664032451</v>
      </c>
      <c r="N40">
        <f>_xll.acq_options_trinomial_american_greeks(N$31,$F40,$C$5,$C$6,$C$8,$C$9,$C$7,TRUE)</f>
        <v>-7.5251362879811268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_xll.acq_options_trinomial_american_greeks(G$31,$F41,$C$5,$C$6,$C$8,$C$9,$C$7,TRUE)</f>
        <v>62.116364964224886</v>
      </c>
      <c r="H41">
        <f>_xll.acq_options_trinomial_american_greeks(H$31,$F41,$C$5,$C$6,$C$8,$C$9,$C$7,TRUE)</f>
        <v>0.84611319290691478</v>
      </c>
      <c r="I41">
        <f>_xll.acq_options_trinomial_american_greeks(I$31,$F41,$C$5,$C$6,$C$8,$C$9,$C$7,TRUE)</f>
        <v>2.9191300038941955E-8</v>
      </c>
      <c r="J41">
        <f>_xll.acq_options_trinomial_american_greeks(J$31,$F41,$C$5,$C$6,$C$8,$C$9,$C$7,TRUE)</f>
        <v>62.907195937505321</v>
      </c>
      <c r="K41">
        <f>_xll.acq_options_trinomial_american_greeks(K$31,$F41,$C$5,$C$6,$C$8,$C$9,$C$7,TRUE)</f>
        <v>110.49322016276619</v>
      </c>
      <c r="L41">
        <f>_xll.acq_options_trinomial_american_greeks(L$31,$F41,$C$5,$C$6,$C$8,$C$9,$C$7,TRUE)</f>
        <v>-9.9153728783107908E-2</v>
      </c>
      <c r="M41">
        <f>_xll.acq_options_trinomial_american_greeks(M$31,$F41,$C$5,$C$6,$C$8,$C$9,$C$7,TRUE)</f>
        <v>246.29950503892672</v>
      </c>
      <c r="N41">
        <f>_xll.acq_options_trinomial_american_greeks(N$31,$F41,$C$5,$C$6,$C$8,$C$9,$C$7,TRUE)</f>
        <v>-7.450945374046114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_xll.acq_options_trinomial_american_greeks(G$31,$F42,$C$5,$C$6,$C$8,$C$9,$C$7,TRUE)</f>
        <v>70.701685113070141</v>
      </c>
      <c r="H42">
        <f>_xll.acq_options_trinomial_american_greeks(H$31,$F42,$C$5,$C$6,$C$8,$C$9,$C$7,TRUE)</f>
        <v>0.87070972634769817</v>
      </c>
      <c r="I42">
        <f>_xll.acq_options_trinomial_american_greeks(I$31,$F42,$C$5,$C$6,$C$8,$C$9,$C$7,TRUE)</f>
        <v>5.1476689577611965E-8</v>
      </c>
      <c r="J42">
        <f>_xll.acq_options_trinomial_american_greeks(J$31,$F42,$C$5,$C$6,$C$8,$C$9,$C$7,TRUE)</f>
        <v>56.955360588460685</v>
      </c>
      <c r="K42">
        <f>_xll.acq_options_trinomial_american_greeks(K$31,$F42,$C$5,$C$6,$C$8,$C$9,$C$7,TRUE)</f>
        <v>118.79238434175932</v>
      </c>
      <c r="L42">
        <f>_xll.acq_options_trinomial_american_greeks(L$31,$F42,$C$5,$C$6,$C$8,$C$9,$C$7,TRUE)</f>
        <v>-8.5399495475257936E-2</v>
      </c>
      <c r="M42">
        <f>_xll.acq_options_trinomial_american_greeks(M$31,$F42,$C$5,$C$6,$C$8,$C$9,$C$7,TRUE)</f>
        <v>258.60972247978253</v>
      </c>
      <c r="N42">
        <f>_xll.acq_options_trinomial_american_greeks(N$31,$F42,$C$5,$C$6,$C$8,$C$9,$C$7,TRUE)</f>
        <v>-7.313717833113742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173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_xll.acq_options_trinomial_american_greeks(G$31,$F47,$C$5,$C$6,$C$8,$C$9,$C$7,FALSE)</f>
        <v>50.000000000000156</v>
      </c>
      <c r="H47">
        <f>_xll.acq_options_trinomial_american_greeks(H$31,$F47,$C$5,$C$6,$C$8,$C$9,$C$7,FALSE)</f>
        <v>-1.0000000000003695</v>
      </c>
      <c r="I47">
        <f>_xll.acq_options_trinomial_american_greeks(I$31,$F47,$C$5,$C$6,$C$8,$C$9,$C$7,FALSE)</f>
        <v>-4.8316906031686806E-11</v>
      </c>
      <c r="J47">
        <f>_xll.acq_options_trinomial_american_greeks(J$31,$F47,$C$5,$C$6,$C$8,$C$9,$C$7,FALSE)</f>
        <v>-7.1054273576009954E-11</v>
      </c>
      <c r="K47">
        <f>_xll.acq_options_trinomial_american_greeks(K$31,$F47,$C$5,$C$6,$C$8,$C$9,$C$7,FALSE)</f>
        <v>-2.8421709430404007E-7</v>
      </c>
      <c r="L47">
        <f>_xll.acq_options_trinomial_american_greeks(L$31,$F47,$C$5,$C$6,$C$8,$C$9,$C$7,FALSE)</f>
        <v>3.1974423109204508E-8</v>
      </c>
      <c r="M47">
        <f>_xll.acq_options_trinomial_american_greeks(M$31,$F47,$C$5,$C$6,$C$8,$C$9,$C$7,FALSE)</f>
        <v>0</v>
      </c>
      <c r="N47">
        <f>_xll.acq_options_trinomial_american_greeks(N$31,$F47,$C$5,$C$6,$C$8,$C$9,$C$7,FALSE)</f>
        <v>-1.1368683772161603E-10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_xll.acq_options_trinomial_american_greeks(G$31,$F48,$C$5,$C$6,$C$8,$C$9,$C$7,FALSE)</f>
        <v>40.227288075886058</v>
      </c>
      <c r="H48">
        <f>_xll.acq_options_trinomial_american_greeks(H$31,$F48,$C$5,$C$6,$C$8,$C$9,$C$7,FALSE)</f>
        <v>-0.8894063411423887</v>
      </c>
      <c r="I48">
        <f>_xll.acq_options_trinomial_american_greeks(I$31,$F48,$C$5,$C$6,$C$8,$C$9,$C$7,FALSE)</f>
        <v>1.5489309560954767E-2</v>
      </c>
      <c r="J48">
        <f>_xll.acq_options_trinomial_american_greeks(J$31,$F48,$C$5,$C$6,$C$8,$C$9,$C$7,FALSE)</f>
        <v>22.119322474541271</v>
      </c>
      <c r="K48">
        <f>_xll.acq_options_trinomial_american_greeks(K$31,$F48,$C$5,$C$6,$C$8,$C$9,$C$7,FALSE)</f>
        <v>550.71893198999078</v>
      </c>
      <c r="L48">
        <f>_xll.acq_options_trinomial_american_greeks(L$31,$F48,$C$5,$C$6,$C$8,$C$9,$C$7,FALSE)</f>
        <v>3.1272784966063227</v>
      </c>
      <c r="M48">
        <f>_xll.acq_options_trinomial_american_greeks(M$31,$F48,$C$5,$C$6,$C$8,$C$9,$C$7,FALSE)</f>
        <v>-36.629314813083624</v>
      </c>
      <c r="N48">
        <f>_xll.acq_options_trinomial_american_greeks(N$31,$F48,$C$5,$C$6,$C$8,$C$9,$C$7,FALSE)</f>
        <v>-0.33502480132341361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_xll.acq_options_trinomial_american_greeks(G$31,$F49,$C$5,$C$6,$C$8,$C$9,$C$7,FALSE)</f>
        <v>32.166777814204401</v>
      </c>
      <c r="H49">
        <f>_xll.acq_options_trinomial_american_greeks(H$31,$F49,$C$5,$C$6,$C$8,$C$9,$C$7,FALSE)</f>
        <v>-0.71665054220713864</v>
      </c>
      <c r="I49">
        <f>_xll.acq_options_trinomial_american_greeks(I$31,$F49,$C$5,$C$6,$C$8,$C$9,$C$7,FALSE)</f>
        <v>9.9891035384066153E-3</v>
      </c>
      <c r="J49">
        <f>_xll.acq_options_trinomial_american_greeks(J$31,$F49,$C$5,$C$6,$C$8,$C$9,$C$7,FALSE)</f>
        <v>51.357774368955901</v>
      </c>
      <c r="K49">
        <f>_xll.acq_options_trinomial_american_greeks(K$31,$F49,$C$5,$C$6,$C$8,$C$9,$C$7,FALSE)</f>
        <v>142.84724407787053</v>
      </c>
      <c r="L49">
        <f>_xll.acq_options_trinomial_american_greeks(L$31,$F49,$C$5,$C$6,$C$8,$C$9,$C$7,FALSE)</f>
        <v>1.8020900931503547</v>
      </c>
      <c r="M49">
        <f>_xll.acq_options_trinomial_american_greeks(M$31,$F49,$C$5,$C$6,$C$8,$C$9,$C$7,FALSE)</f>
        <v>-77.487185436513784</v>
      </c>
      <c r="N49">
        <f>_xll.acq_options_trinomial_american_greeks(N$31,$F49,$C$5,$C$6,$C$8,$C$9,$C$7,FALSE)</f>
        <v>-0.9473947105718139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_xll.acq_options_trinomial_american_greeks(G$31,$F50,$C$5,$C$6,$C$8,$C$9,$C$7,FALSE)</f>
        <v>25.709356904086903</v>
      </c>
      <c r="H50">
        <f>_xll.acq_options_trinomial_american_greeks(H$31,$F50,$C$5,$C$6,$C$8,$C$9,$C$7,FALSE)</f>
        <v>-0.57499768124133022</v>
      </c>
      <c r="I50">
        <f>_xll.acq_options_trinomial_american_greeks(I$31,$F50,$C$5,$C$6,$C$8,$C$9,$C$7,FALSE)</f>
        <v>7.0907435719474695E-3</v>
      </c>
      <c r="J50">
        <f>_xll.acq_options_trinomial_american_greeks(J$31,$F50,$C$5,$C$6,$C$8,$C$9,$C$7,FALSE)</f>
        <v>69.647618032519119</v>
      </c>
      <c r="K50">
        <f>_xll.acq_options_trinomial_american_greeks(K$31,$F50,$C$5,$C$6,$C$8,$C$9,$C$7,FALSE)</f>
        <v>45.032961764945867</v>
      </c>
      <c r="L50">
        <f>_xll.acq_options_trinomial_american_greeks(L$31,$F50,$C$5,$C$6,$C$8,$C$9,$C$7,FALSE)</f>
        <v>0.78662725311318127</v>
      </c>
      <c r="M50">
        <f>_xll.acq_options_trinomial_american_greeks(M$31,$F50,$C$5,$C$6,$C$8,$C$9,$C$7,FALSE)</f>
        <v>-97.67336474380528</v>
      </c>
      <c r="N50">
        <f>_xll.acq_options_trinomial_american_greeks(N$31,$F50,$C$5,$C$6,$C$8,$C$9,$C$7,FALSE)</f>
        <v>-1.4440318355113391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_xll.acq_options_trinomial_american_greeks(G$31,$F51,$C$5,$C$6,$C$8,$C$9,$C$7,FALSE)</f>
        <v>20.530861355560823</v>
      </c>
      <c r="H51">
        <f>_xll.acq_options_trinomial_american_greeks(H$31,$F51,$C$5,$C$6,$C$8,$C$9,$C$7,FALSE)</f>
        <v>-0.45915599071855789</v>
      </c>
      <c r="I51">
        <f>_xll.acq_options_trinomial_american_greeks(I$31,$F51,$C$5,$C$6,$C$8,$C$9,$C$7,FALSE)</f>
        <v>6.6847323435378506E-3</v>
      </c>
      <c r="J51">
        <f>_xll.acq_options_trinomial_american_greeks(J$31,$F51,$C$5,$C$6,$C$8,$C$9,$C$7,FALSE)</f>
        <v>79.502171362486536</v>
      </c>
      <c r="K51">
        <f>_xll.acq_options_trinomial_american_greeks(K$31,$F51,$C$5,$C$6,$C$8,$C$9,$C$7,FALSE)</f>
        <v>20.519248977279858</v>
      </c>
      <c r="L51">
        <f>_xll.acq_options_trinomial_american_greeks(L$31,$F51,$C$5,$C$6,$C$8,$C$9,$C$7,FALSE)</f>
        <v>0.51084190388905881</v>
      </c>
      <c r="M51">
        <f>_xll.acq_options_trinomial_american_greeks(M$31,$F51,$C$5,$C$6,$C$8,$C$9,$C$7,FALSE)</f>
        <v>-104.04927047039791</v>
      </c>
      <c r="N51">
        <f>_xll.acq_options_trinomial_american_greeks(N$31,$F51,$C$5,$C$6,$C$8,$C$9,$C$7,FALSE)</f>
        <v>-1.8081481572984615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_xll.acq_options_trinomial_american_greeks(G$31,$F52,$C$5,$C$6,$C$8,$C$9,$C$7,FALSE)</f>
        <v>16.377968211394698</v>
      </c>
      <c r="H52">
        <f>_xll.acq_options_trinomial_american_greeks(H$31,$F52,$C$5,$C$6,$C$8,$C$9,$C$7,FALSE)</f>
        <v>-0.37176889697108828</v>
      </c>
      <c r="I52">
        <f>_xll.acq_options_trinomial_american_greeks(I$31,$F52,$C$5,$C$6,$C$8,$C$9,$C$7,FALSE)</f>
        <v>6.7661235440949791E-2</v>
      </c>
      <c r="J52">
        <f>_xll.acq_options_trinomial_american_greeks(J$31,$F52,$C$5,$C$6,$C$8,$C$9,$C$7,FALSE)</f>
        <v>83.03101706208686</v>
      </c>
      <c r="K52">
        <f>_xll.acq_options_trinomial_american_greeks(K$31,$F52,$C$5,$C$6,$C$8,$C$9,$C$7,FALSE)</f>
        <v>17.390221472624035</v>
      </c>
      <c r="L52">
        <f>_xll.acq_options_trinomial_american_greeks(L$31,$F52,$C$5,$C$6,$C$8,$C$9,$C$7,FALSE)</f>
        <v>0.13579878199720952</v>
      </c>
      <c r="M52">
        <f>_xll.acq_options_trinomial_american_greeks(M$31,$F52,$C$5,$C$6,$C$8,$C$9,$C$7,FALSE)</f>
        <v>-101.53289379418418</v>
      </c>
      <c r="N52">
        <f>_xll.acq_options_trinomial_american_greeks(N$31,$F52,$C$5,$C$6,$C$8,$C$9,$C$7,FALSE)</f>
        <v>-2.0410383686773059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_xll.acq_options_trinomial_american_greeks(G$31,$F53,$C$5,$C$6,$C$8,$C$9,$C$7,FALSE)</f>
        <v>13.062883099918247</v>
      </c>
      <c r="H53">
        <f>_xll.acq_options_trinomial_american_greeks(H$31,$F53,$C$5,$C$6,$C$8,$C$9,$C$7,FALSE)</f>
        <v>-0.29691488871357308</v>
      </c>
      <c r="I53">
        <f>_xll.acq_options_trinomial_american_greeks(I$31,$F53,$C$5,$C$6,$C$8,$C$9,$C$7,FALSE)</f>
        <v>3.4732161689754459E-3</v>
      </c>
      <c r="J53">
        <f>_xll.acq_options_trinomial_american_greeks(J$31,$F53,$C$5,$C$6,$C$8,$C$9,$C$7,FALSE)</f>
        <v>82.565425729446957</v>
      </c>
      <c r="K53">
        <f>_xll.acq_options_trinomial_american_greeks(K$31,$F53,$C$5,$C$6,$C$8,$C$9,$C$7,FALSE)</f>
        <v>36.572952396340952</v>
      </c>
      <c r="L53">
        <f>_xll.acq_options_trinomial_american_greeks(L$31,$F53,$C$5,$C$6,$C$8,$C$9,$C$7,FALSE)</f>
        <v>-0.11357795859368025</v>
      </c>
      <c r="M53">
        <f>_xll.acq_options_trinomial_american_greeks(M$31,$F53,$C$5,$C$6,$C$8,$C$9,$C$7,FALSE)</f>
        <v>-94.622479997800824</v>
      </c>
      <c r="N53">
        <f>_xll.acq_options_trinomial_american_greeks(N$31,$F53,$C$5,$C$6,$C$8,$C$9,$C$7,FALSE)</f>
        <v>-2.1647265994300113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_xll.acq_options_trinomial_american_greeks(G$31,$F54,$C$5,$C$6,$C$8,$C$9,$C$7,FALSE)</f>
        <v>10.403962898100559</v>
      </c>
      <c r="H54">
        <f>_xll.acq_options_trinomial_american_greeks(H$31,$F54,$C$5,$C$6,$C$8,$C$9,$C$7,FALSE)</f>
        <v>-0.23704518330002264</v>
      </c>
      <c r="I54">
        <f>_xll.acq_options_trinomial_american_greeks(I$31,$F54,$C$5,$C$6,$C$8,$C$9,$C$7,FALSE)</f>
        <v>4.8244400420729104E-2</v>
      </c>
      <c r="J54">
        <f>_xll.acq_options_trinomial_american_greeks(J$31,$F54,$C$5,$C$6,$C$8,$C$9,$C$7,FALSE)</f>
        <v>79.160519891699295</v>
      </c>
      <c r="K54">
        <f>_xll.acq_options_trinomial_american_greeks(K$31,$F54,$C$5,$C$6,$C$8,$C$9,$C$7,FALSE)</f>
        <v>580.55057075634409</v>
      </c>
      <c r="L54">
        <f>_xll.acq_options_trinomial_american_greeks(L$31,$F54,$C$5,$C$6,$C$8,$C$9,$C$7,FALSE)</f>
        <v>-4.6480733431053523</v>
      </c>
      <c r="M54">
        <f>_xll.acq_options_trinomial_american_greeks(M$31,$F54,$C$5,$C$6,$C$8,$C$9,$C$7,FALSE)</f>
        <v>-85.359082955794634</v>
      </c>
      <c r="N54">
        <f>_xll.acq_options_trinomial_american_greeks(N$31,$F54,$C$5,$C$6,$C$8,$C$9,$C$7,FALSE)</f>
        <v>-2.1767534966805613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_xll.acq_options_trinomial_american_greeks(G$31,$F55,$C$5,$C$6,$C$8,$C$9,$C$7,FALSE)</f>
        <v>8.2909842221380146</v>
      </c>
      <c r="H55">
        <f>_xll.acq_options_trinomial_american_greeks(H$31,$F55,$C$5,$C$6,$C$8,$C$9,$C$7,FALSE)</f>
        <v>-0.18632222442169283</v>
      </c>
      <c r="I55">
        <f>_xll.acq_options_trinomial_american_greeks(I$31,$F55,$C$5,$C$6,$C$8,$C$9,$C$7,FALSE)</f>
        <v>1.8937878489531542E-3</v>
      </c>
      <c r="J55">
        <f>_xll.acq_options_trinomial_american_greeks(J$31,$F55,$C$5,$C$6,$C$8,$C$9,$C$7,FALSE)</f>
        <v>73.799974646326419</v>
      </c>
      <c r="K55">
        <f>_xll.acq_options_trinomial_american_greeks(K$31,$F55,$C$5,$C$6,$C$8,$C$9,$C$7,FALSE)</f>
        <v>97.753212308759885</v>
      </c>
      <c r="L55">
        <f>_xll.acq_options_trinomial_american_greeks(L$31,$F55,$C$5,$C$6,$C$8,$C$9,$C$7,FALSE)</f>
        <v>-0.23102755175585798</v>
      </c>
      <c r="M55">
        <f>_xll.acq_options_trinomial_american_greeks(M$31,$F55,$C$5,$C$6,$C$8,$C$9,$C$7,FALSE)</f>
        <v>-75.509750560629911</v>
      </c>
      <c r="N55">
        <f>_xll.acq_options_trinomial_american_greeks(N$31,$F55,$C$5,$C$6,$C$8,$C$9,$C$7,FALSE)</f>
        <v>-2.1273655174596229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_xll.acq_options_trinomial_american_greeks(G$31,$F56,$C$5,$C$6,$C$8,$C$9,$C$7,FALSE)</f>
        <v>6.6048920021230355</v>
      </c>
      <c r="H56">
        <f>_xll.acq_options_trinomial_american_greeks(H$31,$F56,$C$5,$C$6,$C$8,$C$9,$C$7,FALSE)</f>
        <v>-0.14954415215775801</v>
      </c>
      <c r="I56">
        <f>_xll.acq_options_trinomial_american_greeks(I$31,$F56,$C$5,$C$6,$C$8,$C$9,$C$7,FALSE)</f>
        <v>1.5443315182402057E-3</v>
      </c>
      <c r="J56">
        <f>_xll.acq_options_trinomial_american_greeks(J$31,$F56,$C$5,$C$6,$C$8,$C$9,$C$7,FALSE)</f>
        <v>67.898838839230478</v>
      </c>
      <c r="K56">
        <f>_xll.acq_options_trinomial_american_greeks(K$31,$F56,$C$5,$C$6,$C$8,$C$9,$C$7,FALSE)</f>
        <v>132.37811138644417</v>
      </c>
      <c r="L56">
        <f>_xll.acq_options_trinomial_american_greeks(L$31,$F56,$C$5,$C$6,$C$8,$C$9,$C$7,FALSE)</f>
        <v>-0.31105670683650999</v>
      </c>
      <c r="M56">
        <f>_xll.acq_options_trinomial_american_greeks(M$31,$F56,$C$5,$C$6,$C$8,$C$9,$C$7,FALSE)</f>
        <v>-65.716297827119959</v>
      </c>
      <c r="N56">
        <f>_xll.acq_options_trinomial_american_greeks(N$31,$F56,$C$5,$C$6,$C$8,$C$9,$C$7,FALSE)</f>
        <v>-2.0370295627349932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_xll.acq_options_trinomial_american_greeks(G$31,$F57,$C$5,$C$6,$C$8,$C$9,$C$7,FALSE)</f>
        <v>5.261799746378073</v>
      </c>
      <c r="H57">
        <f>_xll.acq_options_trinomial_american_greeks(H$31,$F57,$C$5,$C$6,$C$8,$C$9,$C$7,FALSE)</f>
        <v>-0.11934416277745274</v>
      </c>
      <c r="I57">
        <f>_xll.acq_options_trinomial_american_greeks(I$31,$F57,$C$5,$C$6,$C$8,$C$9,$C$7,FALSE)</f>
        <v>1.021320175809137E-3</v>
      </c>
      <c r="J57">
        <f>_xll.acq_options_trinomial_american_greeks(J$31,$F57,$C$5,$C$6,$C$8,$C$9,$C$7,FALSE)</f>
        <v>61.460196580122641</v>
      </c>
      <c r="K57">
        <f>_xll.acq_options_trinomial_american_greeks(K$31,$F57,$C$5,$C$6,$C$8,$C$9,$C$7,FALSE)</f>
        <v>149.0794894696279</v>
      </c>
      <c r="L57">
        <f>_xll.acq_options_trinomial_american_greeks(L$31,$F57,$C$5,$C$6,$C$8,$C$9,$C$7,FALSE)</f>
        <v>-0.27238517552596875</v>
      </c>
      <c r="M57">
        <f>_xll.acq_options_trinomial_american_greeks(M$31,$F57,$C$5,$C$6,$C$8,$C$9,$C$7,FALSE)</f>
        <v>-56.524295826722245</v>
      </c>
      <c r="N57">
        <f>_xll.acq_options_trinomial_american_greeks(N$31,$F57,$C$5,$C$6,$C$8,$C$9,$C$7,FALSE)</f>
        <v>-1.9059481586447546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topLeftCell="B1" workbookViewId="0">
      <selection activeCell="K1" sqref="K1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57" t="s">
        <v>162</v>
      </c>
      <c r="B1" s="57"/>
      <c r="C1" s="57"/>
      <c r="D1" s="57"/>
      <c r="E1" s="57"/>
      <c r="F1" s="57"/>
      <c r="G1" s="57"/>
      <c r="I1">
        <f>_xll.acq_options_binomial_american_price($C$5,F14,$C$7,$C$9,$C$10,$C$8,FALSE,6)</f>
        <v>20.986795441796307</v>
      </c>
    </row>
    <row r="2" spans="1:27" ht="15.75" thickTop="1" x14ac:dyDescent="0.25"/>
    <row r="3" spans="1:27" ht="15.75" thickBot="1" x14ac:dyDescent="0.3">
      <c r="B3" s="3" t="s">
        <v>170</v>
      </c>
      <c r="C3" s="3"/>
      <c r="F3" s="56" t="s">
        <v>139</v>
      </c>
      <c r="G3" s="56"/>
      <c r="H3" s="56"/>
      <c r="I3" s="56" t="s">
        <v>163</v>
      </c>
      <c r="J3" s="56"/>
      <c r="K3" s="56" t="s">
        <v>171</v>
      </c>
      <c r="L3" s="56"/>
      <c r="M3" s="56" t="s">
        <v>137</v>
      </c>
      <c r="N3" s="56"/>
      <c r="P3" s="56" t="s">
        <v>139</v>
      </c>
      <c r="Q3" s="56"/>
      <c r="R3" s="56"/>
      <c r="S3" s="56" t="s">
        <v>163</v>
      </c>
      <c r="T3" s="56"/>
      <c r="U3" s="56" t="s">
        <v>137</v>
      </c>
      <c r="V3" s="56"/>
      <c r="W3" s="56" t="s">
        <v>171</v>
      </c>
      <c r="X3" s="56"/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  <c r="W4" t="s">
        <v>91</v>
      </c>
      <c r="X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69.999999999999986</v>
      </c>
      <c r="L5">
        <f>_xll.acq_options_trinomial_american_greeks($C$4,$C$5,F5,$C$7,$C$9,$C$10,$C$8,FALSE,500)</f>
        <v>7.7531407749717081E-12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W5">
        <f>_xll.acq_options_trinomial_american_greeks($C$4,$C$5,$C$6,P5,$C$9,$C$10,$C$8,TRUE,500)</f>
        <v>3.2878225846039481E-4</v>
      </c>
      <c r="X5">
        <f>_xll.acq_options_trinomial_american_greeks($C$4,$C$5,$C$6,P5,$C$9,$C$10,$C$8,FALSE)</f>
        <v>20.000000000000043</v>
      </c>
      <c r="Z5">
        <f>K5-L5 +(F5-$C$5 *EXP(-$C$7*($C$10-$C$9)))*EXP(-$C$7*$C$9)</f>
        <v>6.2200863213660327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59.999999999999986</v>
      </c>
      <c r="L6">
        <f>_xll.acq_options_trinomial_american_greeks($C$4,$C$5,F6,$C$7,$C$9,$C$10,$C$8,FALSE,500)</f>
        <v>6.1198396917104289E-6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W6">
        <f>_xll.acq_options_trinomial_american_greeks($C$4,$C$5,$C$6,P6,$C$9,$C$10,$C$8,TRUE,500)</f>
        <v>4.5362907552770448E-2</v>
      </c>
      <c r="X6">
        <f>_xll.acq_options_trinomial_american_greeks($C$4,$C$5,$C$6,P6,$C$9,$C$10,$C$8,FALSE)</f>
        <v>19.999999999999872</v>
      </c>
      <c r="Z6">
        <f t="shared" ref="Z6:Z21" si="0">K6-L6 +(F6-$C$5 *EXP(-$C$7*($C$10-$C$9)))*EXP(-$C$7*$C$9)</f>
        <v>4.8271599657846807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49.999999999999986</v>
      </c>
      <c r="L7">
        <f>_xll.acq_options_trinomial_american_greeks($C$4,$C$5,F7,$C$7,$C$9,$C$10,$C$8,FALSE,500)</f>
        <v>2.0202104753871985E-3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W7">
        <f>_xll.acq_options_trinomial_american_greeks($C$4,$C$5,$C$6,P7,$C$9,$C$10,$C$8,TRUE,500)</f>
        <v>0.35446037434305855</v>
      </c>
      <c r="X7">
        <f>_xll.acq_options_trinomial_american_greeks($C$4,$C$5,$C$6,P7,$C$9,$C$10,$C$8,FALSE)</f>
        <v>19.999999999999858</v>
      </c>
      <c r="Z7">
        <f t="shared" si="0"/>
        <v>3.4322256393995616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39.999999999999986</v>
      </c>
      <c r="L8">
        <f>_xll.acq_options_trinomial_american_greeks($C$4,$C$5,F8,$C$7,$C$9,$C$10,$C$8,FALSE,500)</f>
        <v>5.0745317142587704E-2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W8">
        <f>_xll.acq_options_trinomial_american_greeks($C$4,$C$5,$C$6,P8,$C$9,$C$10,$C$8,TRUE,500)</f>
        <v>1.3717766118614212</v>
      </c>
      <c r="X8">
        <f>_xll.acq_options_trinomial_american_greeks($C$4,$C$5,$C$6,P8,$C$9,$C$10,$C$8,FALSE)</f>
        <v>20.162507499201109</v>
      </c>
      <c r="Z8">
        <f t="shared" si="0"/>
        <v>1.9905802969829409</v>
      </c>
      <c r="AA8" s="13"/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30.498380409808711</v>
      </c>
      <c r="L9">
        <f>_xll.acq_options_trinomial_american_greeks($C$4,$C$5,F9,$C$7,$C$9,$C$10,$C$8,FALSE,500)</f>
        <v>0.38081386927335337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W9">
        <f>_xll.acq_options_trinomial_american_greeks($C$4,$C$5,$C$6,P9,$C$9,$C$10,$C$8,TRUE,500)</f>
        <v>3.5552974923851526</v>
      </c>
      <c r="X9">
        <f>_xll.acq_options_trinomial_american_greeks($C$4,$C$5,$C$6,P9,$C$9,$C$10,$C$8,FALSE)</f>
        <v>20.7919965425789</v>
      </c>
      <c r="Y9" s="11"/>
      <c r="Z9">
        <f t="shared" si="0"/>
        <v>0.76597191891147176</v>
      </c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22.446455528312654</v>
      </c>
      <c r="L10">
        <f>_xll.acq_options_trinomial_american_greeks($C$4,$C$5,F10,$C$7,$C$9,$C$10,$C$8,FALSE,500)</f>
        <v>1.480431683143093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  <c r="W10">
        <f>_xll.acq_options_trinomial_american_greeks($C$4,$C$5,$C$6,P10,$C$9,$C$10,$C$8,TRUE,500)</f>
        <v>5.4919312685658506</v>
      </c>
      <c r="X10">
        <f>_xll.acq_options_trinomial_american_greeks($C$4,$C$5,$C$6,P10,$C$9,$C$10,$C$8,FALSE)</f>
        <v>21.363386936449352</v>
      </c>
      <c r="Z10">
        <f t="shared" si="0"/>
        <v>0.2215089877962555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15.865993500151173</v>
      </c>
      <c r="L11">
        <f>_xll.acq_options_trinomial_american_greeks($C$4,$C$5,F11,$C$7,$C$9,$C$10,$C$8,FALSE,500)</f>
        <v>3.8810475580777197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  <c r="W11">
        <f>_xll.acq_options_trinomial_american_greeks($C$4,$C$5,$C$6,P11,$C$9,$C$10,$C$8,TRUE,500)</f>
        <v>7.1659504190710379</v>
      </c>
      <c r="X11">
        <f>_xll.acq_options_trinomial_american_greeks($C$4,$C$5,$C$6,P11,$C$9,$C$10,$C$8,FALSE)</f>
        <v>21.831061875064631</v>
      </c>
      <c r="Z11">
        <f t="shared" si="0"/>
        <v>-0.15248915104927363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10.789799785481252</v>
      </c>
      <c r="L12">
        <f>_xll.acq_options_trinomial_american_greeks($C$4,$C$5,F12,$C$7,$C$9,$C$10,$C$8,FALSE,500)</f>
        <v>7.9151152949034689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  <c r="W12">
        <f>_xll.acq_options_trinomial_american_greeks($C$4,$C$5,$C$6,P12,$C$9,$C$10,$C$8,TRUE,500)</f>
        <v>8.6155333627550021</v>
      </c>
      <c r="X12">
        <f>_xll.acq_options_trinomial_american_greeks($C$4,$C$5,$C$6,P12,$C$9,$C$10,$C$8,FALSE)</f>
        <v>22.210377103114283</v>
      </c>
      <c r="Z12">
        <f t="shared" si="0"/>
        <v>-0.65567083829436656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7.1050671839426629</v>
      </c>
      <c r="L13">
        <f>_xll.acq_options_trinomial_american_greeks($C$4,$C$5,F13,$C$7,$C$9,$C$10,$C$8,FALSE,500)</f>
        <v>13.67667721163852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  <c r="W13">
        <f>_xll.acq_options_trinomial_american_greeks($C$4,$C$5,$C$6,P13,$C$9,$C$10,$C$8,TRUE,500)</f>
        <v>9.8821952981193775</v>
      </c>
      <c r="X13">
        <f>_xll.acq_options_trinomial_american_greeks($C$4,$C$5,$C$6,P13,$C$9,$C$10,$C$8,FALSE)</f>
        <v>22.521623286708291</v>
      </c>
      <c r="Z13">
        <f t="shared" si="0"/>
        <v>-1.494885592317428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4.5576258454195173</v>
      </c>
      <c r="L14">
        <f>_xll.acq_options_trinomial_american_greeks($C$4,$C$5,F14,$C$7,$C$9,$C$10,$C$8,FALSE,500)</f>
        <v>21.090392408953964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  <c r="W14">
        <f>_xll.acq_options_trinomial_american_greeks($C$4,$C$5,$C$6,P14,$C$9,$C$10,$C$8,TRUE,500)</f>
        <v>10.9937639191799</v>
      </c>
      <c r="X14">
        <f>_xll.acq_options_trinomial_american_greeks($C$4,$C$5,$C$6,P14,$C$9,$C$10,$C$8,FALSE)</f>
        <v>22.780982213002527</v>
      </c>
      <c r="Z14">
        <f t="shared" si="0"/>
        <v>-2.8489623639054376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2.8641484870550871</v>
      </c>
      <c r="L15">
        <f>_xll.acq_options_trinomial_american_greeks($C$4,$C$5,F15,$C$7,$C$9,$C$10,$C$8,FALSE,500)</f>
        <v>30.037336547675785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  <c r="W15">
        <f>_xll.acq_options_trinomial_american_greeks($C$4,$C$5,$C$6,P15,$C$9,$C$10,$C$8,TRUE,500)</f>
        <v>11.971555048494547</v>
      </c>
      <c r="X15">
        <f>_xll.acq_options_trinomial_american_greeks($C$4,$C$5,$C$6,P15,$C$9,$C$10,$C$8,FALSE)</f>
        <v>23.000735550756232</v>
      </c>
      <c r="Z15">
        <f t="shared" si="0"/>
        <v>-4.882304096741116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1.7749433956584808</v>
      </c>
      <c r="L16">
        <f>_xll.acq_options_trinomial_american_greeks($C$4,$C$5,F16,$C$7,$C$9,$C$10,$C$8,FALSE,500)</f>
        <v>40.000000000000014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  <c r="W16">
        <f>_xll.acq_options_trinomial_american_greeks($C$4,$C$5,$C$6,P16,$C$9,$C$10,$C$8,TRUE,500)</f>
        <v>12.836507128490545</v>
      </c>
      <c r="X16">
        <f>_xll.acq_options_trinomial_american_greeks($C$4,$C$5,$C$6,P16,$C$9,$C$10,$C$8,FALSE)</f>
        <v>23.184663050501612</v>
      </c>
      <c r="Z16">
        <f t="shared" si="0"/>
        <v>-7.3270928762113705</v>
      </c>
    </row>
    <row r="17" spans="2:26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1.0875315364274123</v>
      </c>
      <c r="L17">
        <f>_xll.acq_options_trinomial_american_greeks($C$4,$C$5,F17,$C$7,$C$9,$C$10,$C$8,FALSE,500)</f>
        <v>50.000000000000014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  <c r="W17">
        <f>_xll.acq_options_trinomial_american_greeks($C$4,$C$5,$C$6,P17,$C$9,$C$10,$C$8,TRUE,500)</f>
        <v>13.610353346017032</v>
      </c>
      <c r="X17">
        <f>_xll.acq_options_trinomial_american_greeks($C$4,$C$5,$C$6,P17,$C$9,$C$10,$C$8,FALSE)</f>
        <v>23.340568738630711</v>
      </c>
      <c r="Z17">
        <f t="shared" si="0"/>
        <v>-9.4074249711918583</v>
      </c>
    </row>
    <row r="18" spans="2:26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0.66035216158533605</v>
      </c>
      <c r="L18">
        <f>_xll.acq_options_trinomial_american_greeks($C$4,$C$5,F18,$C$7,$C$9,$C$10,$C$8,FALSE,500)</f>
        <v>60.000000000000014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  <c r="W18">
        <f>_xll.acq_options_trinomial_american_greeks($C$4,$C$5,$C$6,P18,$C$9,$C$10,$C$8,TRUE,500)</f>
        <v>14.296489058553618</v>
      </c>
      <c r="X18">
        <f>_xll.acq_options_trinomial_american_greeks($C$4,$C$5,$C$6,P18,$C$9,$C$10,$C$8,FALSE)</f>
        <v>23.470588501533062</v>
      </c>
      <c r="Z18">
        <f t="shared" si="0"/>
        <v>-11.227524581783356</v>
      </c>
    </row>
    <row r="19" spans="2:26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0.40069869352047782</v>
      </c>
      <c r="L19">
        <f>_xll.acq_options_trinomial_american_greeks($C$4,$C$5,F19,$C$7,$C$9,$C$10,$C$8,FALSE,500)</f>
        <v>70.000000000000014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  <c r="W19">
        <f>_xll.acq_options_trinomial_american_greeks($C$4,$C$5,$C$6,P19,$C$9,$C$10,$C$8,TRUE,500)</f>
        <v>14.907287728066489</v>
      </c>
      <c r="X19">
        <f>_xll.acq_options_trinomial_american_greeks($C$4,$C$5,$C$6,P19,$C$9,$C$10,$C$8,FALSE)</f>
        <v>23.579038532429529</v>
      </c>
      <c r="Z19">
        <f t="shared" si="0"/>
        <v>-12.880098285597633</v>
      </c>
    </row>
    <row r="20" spans="2:26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0.24197271431601239</v>
      </c>
      <c r="L20">
        <f>_xll.acq_options_trinomial_american_greeks($C$4,$C$5,F20,$C$7,$C$9,$C$10,$C$8,FALSE,500)</f>
        <v>80.000000000000014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  <c r="W20">
        <f>_xll.acq_options_trinomial_american_greeks($C$4,$C$5,$C$6,P20,$C$9,$C$10,$C$8,TRUE,500)</f>
        <v>15.457808393273426</v>
      </c>
      <c r="X20">
        <f>_xll.acq_options_trinomial_american_greeks($C$4,$C$5,$C$6,P20,$C$9,$C$10,$C$8,FALSE)</f>
        <v>23.671109322291649</v>
      </c>
      <c r="Z20">
        <f t="shared" si="0"/>
        <v>-14.431744500551531</v>
      </c>
    </row>
    <row r="21" spans="2:26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0.14601281191060614</v>
      </c>
      <c r="L21">
        <f>_xll.acq_options_trinomial_american_greeks($C$4,$C$5,F21,$C$7,$C$9,$C$10,$C$8,FALSE,500)</f>
        <v>90.000000000000014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  <c r="W21">
        <f>_xll.acq_options_trinomial_american_greeks($C$4,$C$5,$C$6,P21,$C$9,$C$10,$C$8,TRUE,500)</f>
        <v>15.954057435044053</v>
      </c>
      <c r="X21">
        <f>_xll.acq_options_trinomial_american_greeks($C$4,$C$5,$C$6,P21,$C$9,$C$10,$C$8,FALSE)</f>
        <v>23.752446518069757</v>
      </c>
      <c r="Z21">
        <f t="shared" si="0"/>
        <v>-15.920624638706357</v>
      </c>
    </row>
    <row r="22" spans="2:26" x14ac:dyDescent="0.25">
      <c r="B22" t="s">
        <v>103</v>
      </c>
    </row>
    <row r="23" spans="2:26" x14ac:dyDescent="0.25">
      <c r="B23" t="s">
        <v>104</v>
      </c>
    </row>
    <row r="24" spans="2:26" x14ac:dyDescent="0.25">
      <c r="B24" t="s">
        <v>105</v>
      </c>
    </row>
    <row r="25" spans="2:26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9">
    <mergeCell ref="W3:X3"/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abSelected="1" workbookViewId="0">
      <selection activeCell="E19" sqref="E1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Utils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Comparison-American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2021-12-31T21:18:39Z</dcterms:modified>
</cp:coreProperties>
</file>