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ggleSandbox\Zwift\data\"/>
    </mc:Choice>
  </mc:AlternateContent>
  <xr:revisionPtr revIDLastSave="0" documentId="8_{424F4A87-DF1D-43EC-B57E-DF9BAD84FA05}" xr6:coauthVersionLast="47" xr6:coauthVersionMax="47" xr10:uidLastSave="{00000000-0000-0000-0000-000000000000}"/>
  <bookViews>
    <workbookView xWindow="8625" yWindow="2820" windowWidth="29550" windowHeight="14715" activeTab="9" xr2:uid="{00000000-000D-0000-FFFF-FFFF00000000}"/>
  </bookViews>
  <sheets>
    <sheet name="Tempus Fugit" sheetId="1" r:id="rId1"/>
    <sheet name="Alpe" sheetId="2" r:id="rId2"/>
    <sheet name="Surrey Hills" sheetId="3" r:id="rId3"/>
    <sheet name="Sprints (Richmond)" sheetId="4" r:id="rId4"/>
    <sheet name="Figure 8" sheetId="5" r:id="rId5"/>
    <sheet name="Yorkshire" sheetId="6" r:id="rId6"/>
    <sheet name="Innsbruck" sheetId="7" r:id="rId7"/>
    <sheet name="London Loop" sheetId="8" r:id="rId8"/>
    <sheet name="Alpe Descent" sheetId="9" r:id="rId9"/>
    <sheet name="Jungle Circuit" sheetId="10" r:id="rId10"/>
    <sheet name="Sand &amp; Sequoias" sheetId="11" r:id="rId11"/>
    <sheet name="Volcano Climb" sheetId="12" r:id="rId12"/>
    <sheet name="Bologna TT" sheetId="13" r:id="rId13"/>
    <sheet name="Big Foot Hills" sheetId="14" r:id="rId14"/>
    <sheet name="Mighty Metro" sheetId="15" r:id="rId15"/>
    <sheet name="Richmond" sheetId="16" r:id="rId16"/>
    <sheet name="Everything Bagel" sheetId="17" r:id="rId17"/>
    <sheet name="Casse-Pattes" sheetId="18" r:id="rId18"/>
    <sheet name="OLD Richmond" sheetId="19" r:id="rId19"/>
    <sheet name="OLD Bologna TT" sheetId="20" r:id="rId20"/>
    <sheet name="OLD Jungle Loop" sheetId="21" r:id="rId21"/>
    <sheet name="Watopia 2016" sheetId="22" r:id="rId22"/>
    <sheet name="Watopia 2017" sheetId="23" r:id="rId23"/>
    <sheet name="Watopia 2018" sheetId="24" r:id="rId24"/>
    <sheet name="Watopia Hilly" sheetId="25" r:id="rId25"/>
    <sheet name="Watopia Hilly Reverse" sheetId="26" r:id="rId26"/>
    <sheet name="Gaps" sheetId="27" r:id="rId27"/>
  </sheets>
  <definedNames>
    <definedName name="_xlnm._FilterDatabase" localSheetId="1" hidden="1">Alpe!$A$1:$I$999</definedName>
    <definedName name="_xlnm._FilterDatabase" localSheetId="8" hidden="1">'Alpe Descent'!$A$1:$J$872</definedName>
    <definedName name="_xlnm._FilterDatabase" localSheetId="13" hidden="1">'Big Foot Hills'!$A$1:$L$73</definedName>
    <definedName name="_xlnm._FilterDatabase" localSheetId="12" hidden="1">'Bologna TT'!$A$1:$I$92</definedName>
    <definedName name="_xlnm._FilterDatabase" localSheetId="17" hidden="1">'Casse-Pattes'!$A$1:$H$36</definedName>
    <definedName name="_xlnm._FilterDatabase" localSheetId="16" hidden="1">'Everything Bagel'!$A$1:$I$38</definedName>
    <definedName name="_xlnm._FilterDatabase" localSheetId="4" hidden="1">'Figure 8'!$A$1:$K$1010</definedName>
    <definedName name="_xlnm._FilterDatabase" localSheetId="6" hidden="1">Innsbruck!$A$1:$J$1010</definedName>
    <definedName name="_xlnm._FilterDatabase" localSheetId="9" hidden="1">'Jungle Circuit'!$A$1:$I$47</definedName>
    <definedName name="_xlnm._FilterDatabase" localSheetId="7" hidden="1">'London Loop'!$A$1:$J$1008</definedName>
    <definedName name="_xlnm._FilterDatabase" localSheetId="14" hidden="1">'Mighty Metro'!$A$1:$J$68</definedName>
    <definedName name="_xlnm._FilterDatabase" localSheetId="19" hidden="1">'OLD Bologna TT'!$A$1:$M$104</definedName>
    <definedName name="_xlnm._FilterDatabase" localSheetId="20" hidden="1">'OLD Jungle Loop'!$A$1:$H$107</definedName>
    <definedName name="_xlnm._FilterDatabase" localSheetId="18" hidden="1">'OLD Richmond'!$A$1:$M$74</definedName>
    <definedName name="_xlnm._FilterDatabase" localSheetId="15" hidden="1">Richmond!$A$1:$I$72</definedName>
    <definedName name="_xlnm._FilterDatabase" localSheetId="10" hidden="1">'Sand &amp; Sequoias'!$A$1:$J$992</definedName>
    <definedName name="_xlnm._FilterDatabase" localSheetId="3" hidden="1">'Sprints (Richmond)'!$A$1:$H$976</definedName>
    <definedName name="_xlnm._FilterDatabase" localSheetId="2" hidden="1">'Surrey Hills'!$A$1:$K$174</definedName>
    <definedName name="_xlnm._FilterDatabase" localSheetId="0" hidden="1">'Tempus Fugit'!$A$1:$H$191</definedName>
    <definedName name="_xlnm._FilterDatabase" localSheetId="11" hidden="1">'Volcano Climb'!$A$1:$K$107</definedName>
    <definedName name="_xlnm._FilterDatabase" localSheetId="21" hidden="1">'Watopia 2016'!$A$1:$N$30</definedName>
    <definedName name="_xlnm._FilterDatabase" localSheetId="5" hidden="1">Yorkshire!$A$1:$J$1010</definedName>
    <definedName name="Z_5B966157_D76D_4ACD_A64E_35B71110F4A8_.wvu.FilterData" localSheetId="1" hidden="1">Alpe!$A$1:$I$1000</definedName>
    <definedName name="Z_5B966157_D76D_4ACD_A64E_35B71110F4A8_.wvu.FilterData" localSheetId="8" hidden="1">'Alpe Descent'!$A$1:$J$872</definedName>
    <definedName name="Z_5B966157_D76D_4ACD_A64E_35B71110F4A8_.wvu.FilterData" localSheetId="13" hidden="1">'Big Foot Hills'!$A$1:$L$73</definedName>
    <definedName name="Z_5B966157_D76D_4ACD_A64E_35B71110F4A8_.wvu.FilterData" localSheetId="12" hidden="1">'Bologna TT'!$A$1:$I$92</definedName>
    <definedName name="Z_5B966157_D76D_4ACD_A64E_35B71110F4A8_.wvu.FilterData" localSheetId="17" hidden="1">'Casse-Pattes'!$A$1:$H$36</definedName>
    <definedName name="Z_5B966157_D76D_4ACD_A64E_35B71110F4A8_.wvu.FilterData" localSheetId="16" hidden="1">'Everything Bagel'!$A$1:$I$38</definedName>
    <definedName name="Z_5B966157_D76D_4ACD_A64E_35B71110F4A8_.wvu.FilterData" localSheetId="4" hidden="1">'Figure 8'!$A$1:$K$1010</definedName>
    <definedName name="Z_5B966157_D76D_4ACD_A64E_35B71110F4A8_.wvu.FilterData" localSheetId="6" hidden="1">Innsbruck!$A$1:$J$1010</definedName>
    <definedName name="Z_5B966157_D76D_4ACD_A64E_35B71110F4A8_.wvu.FilterData" localSheetId="9" hidden="1">'Jungle Circuit'!$A$1:$H$86</definedName>
    <definedName name="Z_5B966157_D76D_4ACD_A64E_35B71110F4A8_.wvu.FilterData" localSheetId="7" hidden="1">'London Loop'!$A$1:$J$1008</definedName>
    <definedName name="Z_5B966157_D76D_4ACD_A64E_35B71110F4A8_.wvu.FilterData" localSheetId="14" hidden="1">'Mighty Metro'!$A$1:$J$68</definedName>
    <definedName name="Z_5B966157_D76D_4ACD_A64E_35B71110F4A8_.wvu.FilterData" localSheetId="19" hidden="1">'OLD Bologna TT'!$A$1:$M$104</definedName>
    <definedName name="Z_5B966157_D76D_4ACD_A64E_35B71110F4A8_.wvu.FilterData" localSheetId="20" hidden="1">'OLD Jungle Loop'!$A$1:$H$107</definedName>
    <definedName name="Z_5B966157_D76D_4ACD_A64E_35B71110F4A8_.wvu.FilterData" localSheetId="18" hidden="1">'OLD Richmond'!$A$1:$M$73</definedName>
    <definedName name="Z_5B966157_D76D_4ACD_A64E_35B71110F4A8_.wvu.FilterData" localSheetId="15" hidden="1">Richmond!$A$1:$I$72</definedName>
    <definedName name="Z_5B966157_D76D_4ACD_A64E_35B71110F4A8_.wvu.FilterData" localSheetId="10" hidden="1">'Sand &amp; Sequoias'!$A$1:$J$992</definedName>
    <definedName name="Z_5B966157_D76D_4ACD_A64E_35B71110F4A8_.wvu.FilterData" localSheetId="3" hidden="1">'Sprints (Richmond)'!$A$1:$H$976</definedName>
    <definedName name="Z_5B966157_D76D_4ACD_A64E_35B71110F4A8_.wvu.FilterData" localSheetId="2" hidden="1">'Surrey Hills'!$A$1:$K$155</definedName>
    <definedName name="Z_5B966157_D76D_4ACD_A64E_35B71110F4A8_.wvu.FilterData" localSheetId="0" hidden="1">'Tempus Fugit'!$A$1:$H$157</definedName>
    <definedName name="Z_5B966157_D76D_4ACD_A64E_35B71110F4A8_.wvu.FilterData" localSheetId="11" hidden="1">'Volcano Climb'!$A$1:$K$107</definedName>
    <definedName name="Z_5B966157_D76D_4ACD_A64E_35B71110F4A8_.wvu.FilterData" localSheetId="5" hidden="1">Yorkshire!$A$1:$J$1010</definedName>
    <definedName name="Z_76999AAD_A7A0_4C0B_8C86_CC12D092308D_.wvu.FilterData" localSheetId="0" hidden="1">'Tempus Fugit'!$A$1:$I$116</definedName>
    <definedName name="Z_76999AAD_A7A0_4C0B_8C86_CC12D092308D_.wvu.FilterData" localSheetId="21" hidden="1">'Watopia 2016'!$A$1:$N$30</definedName>
  </definedNames>
  <calcPr calcId="181029"/>
  <customWorkbookViews>
    <customWorkbookView name="Fastest Level 10 Bike" guid="{5B966157-D76D-4ACD-A64E-35B71110F4A8}" maximized="1" windowWidth="0" windowHeight="0" activeSheetId="0"/>
    <customWorkbookView name="Filter 1" guid="{76999AAD-A7A0-4C0B-8C86-CC12D092308D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6" l="1"/>
  <c r="C8" i="26"/>
  <c r="C7" i="26"/>
  <c r="C6" i="26"/>
  <c r="C5" i="26"/>
  <c r="C4" i="26"/>
  <c r="C3" i="26"/>
  <c r="C2" i="26"/>
  <c r="I3" i="25"/>
  <c r="C3" i="25"/>
  <c r="I2" i="25"/>
  <c r="C2" i="25"/>
  <c r="O3" i="24"/>
  <c r="C3" i="24"/>
  <c r="O2" i="24"/>
  <c r="C2" i="24"/>
  <c r="C14" i="23"/>
  <c r="N13" i="23"/>
  <c r="C13" i="23"/>
  <c r="N12" i="23"/>
  <c r="C12" i="23"/>
  <c r="N11" i="23"/>
  <c r="C11" i="23"/>
  <c r="N10" i="23"/>
  <c r="C10" i="23"/>
  <c r="N9" i="23"/>
  <c r="N8" i="23"/>
  <c r="C8" i="23"/>
  <c r="N7" i="23"/>
  <c r="C7" i="23"/>
  <c r="N6" i="23"/>
  <c r="C6" i="23"/>
  <c r="N5" i="23"/>
  <c r="C5" i="23"/>
  <c r="N4" i="23"/>
  <c r="C4" i="23"/>
  <c r="N3" i="23"/>
  <c r="C3" i="23"/>
  <c r="N2" i="23"/>
  <c r="C2" i="23"/>
  <c r="N29" i="22"/>
  <c r="C29" i="22"/>
  <c r="C18" i="22"/>
  <c r="C17" i="22"/>
  <c r="C16" i="22"/>
  <c r="C15" i="22"/>
  <c r="C14" i="22"/>
  <c r="C13" i="22"/>
  <c r="C11" i="22"/>
  <c r="C10" i="22"/>
  <c r="C9" i="22"/>
  <c r="C8" i="22"/>
  <c r="C7" i="22"/>
  <c r="C6" i="22"/>
  <c r="C5" i="22"/>
  <c r="N4" i="22"/>
  <c r="C2" i="22"/>
  <c r="C107" i="21"/>
  <c r="C106" i="21"/>
  <c r="C105" i="21"/>
  <c r="C104" i="21"/>
  <c r="C103" i="21"/>
  <c r="C102" i="21"/>
  <c r="C101" i="21"/>
  <c r="C100" i="21"/>
  <c r="C99" i="21"/>
  <c r="C98" i="21"/>
  <c r="C97" i="21"/>
  <c r="H21" i="21"/>
  <c r="C21" i="21"/>
  <c r="H20" i="21"/>
  <c r="C20" i="21"/>
  <c r="H19" i="21"/>
  <c r="C19" i="21"/>
  <c r="H18" i="21"/>
  <c r="C18" i="21"/>
  <c r="H17" i="21"/>
  <c r="C17" i="21"/>
  <c r="H16" i="21"/>
  <c r="C16" i="21"/>
  <c r="H15" i="21"/>
  <c r="C15" i="21"/>
  <c r="H14" i="21"/>
  <c r="C14" i="21"/>
  <c r="H13" i="21"/>
  <c r="C13" i="21"/>
  <c r="H12" i="21"/>
  <c r="C12" i="21"/>
  <c r="H11" i="21"/>
  <c r="C11" i="21"/>
  <c r="H10" i="21"/>
  <c r="C10" i="21"/>
  <c r="H9" i="21"/>
  <c r="C9" i="21"/>
  <c r="H8" i="21"/>
  <c r="C8" i="21"/>
  <c r="H7" i="21"/>
  <c r="C7" i="21"/>
  <c r="H6" i="21"/>
  <c r="C6" i="21"/>
  <c r="H5" i="21"/>
  <c r="C5" i="21"/>
  <c r="H4" i="21"/>
  <c r="C4" i="21"/>
  <c r="H3" i="21"/>
  <c r="C3" i="21"/>
  <c r="H2" i="21"/>
  <c r="C2" i="21"/>
  <c r="K23" i="20"/>
  <c r="I23" i="20"/>
  <c r="H23" i="20"/>
  <c r="C23" i="20"/>
  <c r="H22" i="20"/>
  <c r="K22" i="20" s="1"/>
  <c r="C22" i="20"/>
  <c r="K21" i="20"/>
  <c r="I21" i="20"/>
  <c r="H21" i="20"/>
  <c r="C21" i="20"/>
  <c r="M20" i="20"/>
  <c r="C20" i="20"/>
  <c r="M19" i="20"/>
  <c r="C19" i="20"/>
  <c r="M18" i="20"/>
  <c r="K18" i="20"/>
  <c r="I18" i="20"/>
  <c r="H18" i="20"/>
  <c r="C18" i="20"/>
  <c r="M17" i="20"/>
  <c r="K17" i="20"/>
  <c r="I17" i="20"/>
  <c r="H17" i="20"/>
  <c r="C17" i="20"/>
  <c r="M16" i="20"/>
  <c r="H16" i="20"/>
  <c r="I16" i="20" s="1"/>
  <c r="C16" i="20"/>
  <c r="M15" i="20"/>
  <c r="I15" i="20"/>
  <c r="H15" i="20"/>
  <c r="K15" i="20" s="1"/>
  <c r="C15" i="20"/>
  <c r="M14" i="20"/>
  <c r="K14" i="20"/>
  <c r="I14" i="20"/>
  <c r="H14" i="20"/>
  <c r="C14" i="20"/>
  <c r="M13" i="20"/>
  <c r="H13" i="20"/>
  <c r="K13" i="20" s="1"/>
  <c r="C13" i="20"/>
  <c r="M12" i="20"/>
  <c r="I12" i="20"/>
  <c r="H12" i="20"/>
  <c r="K12" i="20" s="1"/>
  <c r="C12" i="20"/>
  <c r="M11" i="20"/>
  <c r="K11" i="20"/>
  <c r="I11" i="20"/>
  <c r="H11" i="20"/>
  <c r="C11" i="20"/>
  <c r="M10" i="20"/>
  <c r="H10" i="20"/>
  <c r="K10" i="20" s="1"/>
  <c r="C10" i="20"/>
  <c r="M9" i="20"/>
  <c r="H9" i="20"/>
  <c r="K9" i="20" s="1"/>
  <c r="C9" i="20"/>
  <c r="M8" i="20"/>
  <c r="H8" i="20"/>
  <c r="I8" i="20" s="1"/>
  <c r="C8" i="20"/>
  <c r="M7" i="20"/>
  <c r="K7" i="20"/>
  <c r="I7" i="20"/>
  <c r="H7" i="20"/>
  <c r="C7" i="20"/>
  <c r="M6" i="20"/>
  <c r="K6" i="20"/>
  <c r="H6" i="20"/>
  <c r="I6" i="20" s="1"/>
  <c r="M5" i="20"/>
  <c r="H5" i="20"/>
  <c r="K5" i="20" s="1"/>
  <c r="M4" i="20"/>
  <c r="K4" i="20"/>
  <c r="H4" i="20"/>
  <c r="I4" i="20" s="1"/>
  <c r="M3" i="20"/>
  <c r="H3" i="20"/>
  <c r="K3" i="20" s="1"/>
  <c r="C3" i="20"/>
  <c r="C21" i="16"/>
  <c r="C4" i="15"/>
  <c r="C3" i="15"/>
  <c r="C2" i="15"/>
  <c r="C9" i="14"/>
  <c r="C8" i="14"/>
  <c r="C7" i="14"/>
  <c r="C6" i="14"/>
  <c r="C5" i="14"/>
  <c r="C4" i="14"/>
  <c r="C3" i="14"/>
  <c r="C2" i="14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K104" i="12"/>
  <c r="C104" i="12"/>
  <c r="K103" i="12"/>
  <c r="C103" i="12"/>
  <c r="K102" i="12"/>
  <c r="C102" i="12"/>
  <c r="K101" i="12"/>
  <c r="C101" i="12"/>
  <c r="K100" i="12"/>
  <c r="C100" i="12"/>
  <c r="K99" i="12"/>
  <c r="C99" i="12"/>
  <c r="K98" i="12"/>
  <c r="C98" i="12"/>
  <c r="K97" i="12"/>
  <c r="C97" i="12"/>
  <c r="K96" i="12"/>
  <c r="C96" i="12"/>
  <c r="K95" i="12"/>
  <c r="C95" i="12"/>
  <c r="K94" i="12"/>
  <c r="C94" i="12"/>
  <c r="K93" i="12"/>
  <c r="C93" i="12"/>
  <c r="K92" i="12"/>
  <c r="C92" i="12"/>
  <c r="K91" i="12"/>
  <c r="C91" i="12"/>
  <c r="K90" i="12"/>
  <c r="C90" i="12"/>
  <c r="K89" i="12"/>
  <c r="C89" i="12"/>
  <c r="K88" i="12"/>
  <c r="C88" i="12"/>
  <c r="K87" i="12"/>
  <c r="C87" i="12"/>
  <c r="C86" i="12"/>
  <c r="K85" i="12"/>
  <c r="C85" i="12"/>
  <c r="K84" i="12"/>
  <c r="C84" i="12"/>
  <c r="K83" i="12"/>
  <c r="C83" i="12"/>
  <c r="K82" i="12"/>
  <c r="C82" i="12"/>
  <c r="K81" i="12"/>
  <c r="C81" i="12"/>
  <c r="K80" i="12"/>
  <c r="C80" i="12"/>
  <c r="K79" i="12"/>
  <c r="C79" i="12"/>
  <c r="K78" i="12"/>
  <c r="C78" i="12"/>
  <c r="K77" i="12"/>
  <c r="C77" i="12"/>
  <c r="K76" i="12"/>
  <c r="C76" i="12"/>
  <c r="K75" i="12"/>
  <c r="C75" i="12"/>
  <c r="K74" i="12"/>
  <c r="C74" i="12"/>
  <c r="K73" i="12"/>
  <c r="C73" i="12"/>
  <c r="K72" i="12"/>
  <c r="C72" i="12"/>
  <c r="K71" i="12"/>
  <c r="C71" i="12"/>
  <c r="K70" i="12"/>
  <c r="C70" i="12"/>
  <c r="K69" i="12"/>
  <c r="C69" i="12"/>
  <c r="K68" i="12"/>
  <c r="C68" i="12"/>
  <c r="K67" i="12"/>
  <c r="C67" i="12"/>
  <c r="K66" i="12"/>
  <c r="C66" i="12"/>
  <c r="K65" i="12"/>
  <c r="C65" i="12"/>
  <c r="K64" i="12"/>
  <c r="C64" i="12"/>
  <c r="K63" i="12"/>
  <c r="C63" i="12"/>
  <c r="K62" i="12"/>
  <c r="C62" i="12"/>
  <c r="K61" i="12"/>
  <c r="C61" i="12"/>
  <c r="K60" i="12"/>
  <c r="C60" i="12"/>
  <c r="K59" i="12"/>
  <c r="C59" i="12"/>
  <c r="K58" i="12"/>
  <c r="C58" i="12"/>
  <c r="K57" i="12"/>
  <c r="C57" i="12"/>
  <c r="K56" i="12"/>
  <c r="C56" i="12"/>
  <c r="K55" i="12"/>
  <c r="C55" i="12"/>
  <c r="K54" i="12"/>
  <c r="C54" i="12"/>
  <c r="K53" i="12"/>
  <c r="C53" i="12"/>
  <c r="K52" i="12"/>
  <c r="C52" i="12"/>
  <c r="K51" i="12"/>
  <c r="C51" i="12"/>
  <c r="K50" i="12"/>
  <c r="C50" i="12"/>
  <c r="K49" i="12"/>
  <c r="C49" i="12"/>
  <c r="K48" i="12"/>
  <c r="C48" i="12"/>
  <c r="K47" i="12"/>
  <c r="C47" i="12"/>
  <c r="K46" i="12"/>
  <c r="C46" i="12"/>
  <c r="K45" i="12"/>
  <c r="C45" i="12"/>
  <c r="K44" i="12"/>
  <c r="C44" i="12"/>
  <c r="K43" i="12"/>
  <c r="C43" i="12"/>
  <c r="K42" i="12"/>
  <c r="C42" i="12"/>
  <c r="K41" i="12"/>
  <c r="C41" i="12"/>
  <c r="K40" i="12"/>
  <c r="C40" i="12"/>
  <c r="K39" i="12"/>
  <c r="C39" i="12"/>
  <c r="K38" i="12"/>
  <c r="C38" i="12"/>
  <c r="K37" i="12"/>
  <c r="C37" i="12"/>
  <c r="K36" i="12"/>
  <c r="C36" i="12"/>
  <c r="K35" i="12"/>
  <c r="C35" i="12"/>
  <c r="K34" i="12"/>
  <c r="C34" i="12"/>
  <c r="K33" i="12"/>
  <c r="C33" i="12"/>
  <c r="K32" i="12"/>
  <c r="C32" i="12"/>
  <c r="K31" i="12"/>
  <c r="C31" i="12"/>
  <c r="K30" i="12"/>
  <c r="C30" i="12"/>
  <c r="K29" i="12"/>
  <c r="C29" i="12"/>
  <c r="K28" i="12"/>
  <c r="C28" i="12"/>
  <c r="K27" i="12"/>
  <c r="C27" i="12"/>
  <c r="K26" i="12"/>
  <c r="C26" i="12"/>
  <c r="K25" i="12"/>
  <c r="C25" i="12"/>
  <c r="K24" i="12"/>
  <c r="C24" i="12"/>
  <c r="K23" i="12"/>
  <c r="C23" i="12"/>
  <c r="K22" i="12"/>
  <c r="C22" i="12"/>
  <c r="K21" i="12"/>
  <c r="C21" i="12"/>
  <c r="K20" i="12"/>
  <c r="C20" i="12"/>
  <c r="C19" i="12"/>
  <c r="K18" i="12"/>
  <c r="C18" i="12"/>
  <c r="K17" i="12"/>
  <c r="C17" i="12"/>
  <c r="K16" i="12"/>
  <c r="C16" i="12"/>
  <c r="K15" i="12"/>
  <c r="C15" i="12"/>
  <c r="K14" i="12"/>
  <c r="C14" i="12"/>
  <c r="K13" i="12"/>
  <c r="C13" i="12"/>
  <c r="K12" i="12"/>
  <c r="C12" i="12"/>
  <c r="K11" i="12"/>
  <c r="C11" i="12"/>
  <c r="K10" i="12"/>
  <c r="C10" i="12"/>
  <c r="K9" i="12"/>
  <c r="C9" i="12"/>
  <c r="K8" i="12"/>
  <c r="C8" i="12"/>
  <c r="K7" i="12"/>
  <c r="C7" i="12"/>
  <c r="K6" i="12"/>
  <c r="C6" i="12"/>
  <c r="K5" i="12"/>
  <c r="C5" i="12"/>
  <c r="K4" i="12"/>
  <c r="C4" i="12"/>
  <c r="K3" i="12"/>
  <c r="C3" i="12"/>
  <c r="K2" i="12"/>
  <c r="C2" i="12"/>
  <c r="J65" i="11"/>
  <c r="H65" i="11"/>
  <c r="C65" i="11"/>
  <c r="J64" i="11"/>
  <c r="H64" i="11"/>
  <c r="C64" i="11"/>
  <c r="J63" i="11"/>
  <c r="H63" i="11"/>
  <c r="C63" i="11"/>
  <c r="J62" i="11"/>
  <c r="H62" i="11"/>
  <c r="C62" i="11"/>
  <c r="J61" i="11"/>
  <c r="H61" i="11"/>
  <c r="C61" i="11"/>
  <c r="J60" i="11"/>
  <c r="H60" i="11"/>
  <c r="C60" i="11"/>
  <c r="J59" i="11"/>
  <c r="H59" i="11"/>
  <c r="C59" i="11"/>
  <c r="J58" i="11"/>
  <c r="H58" i="11"/>
  <c r="C58" i="11"/>
  <c r="J57" i="11"/>
  <c r="H57" i="11"/>
  <c r="C57" i="11"/>
  <c r="J56" i="11"/>
  <c r="H56" i="11"/>
  <c r="C56" i="11"/>
  <c r="J55" i="11"/>
  <c r="H55" i="11"/>
  <c r="C55" i="11"/>
  <c r="J54" i="11"/>
  <c r="H54" i="11"/>
  <c r="C54" i="11"/>
  <c r="J53" i="11"/>
  <c r="H53" i="11"/>
  <c r="C53" i="11"/>
  <c r="J52" i="11"/>
  <c r="H52" i="11"/>
  <c r="C52" i="11"/>
  <c r="J51" i="11"/>
  <c r="H51" i="11"/>
  <c r="C51" i="11"/>
  <c r="J50" i="11"/>
  <c r="H50" i="11"/>
  <c r="C50" i="11"/>
  <c r="J49" i="11"/>
  <c r="H49" i="11"/>
  <c r="C49" i="11"/>
  <c r="J48" i="11"/>
  <c r="H48" i="11"/>
  <c r="C48" i="11"/>
  <c r="J47" i="11"/>
  <c r="H47" i="11"/>
  <c r="C47" i="11"/>
  <c r="J46" i="11"/>
  <c r="H46" i="11"/>
  <c r="C46" i="11"/>
  <c r="J45" i="11"/>
  <c r="H45" i="11"/>
  <c r="C45" i="11"/>
  <c r="J44" i="11"/>
  <c r="H44" i="11"/>
  <c r="C44" i="11"/>
  <c r="J43" i="11"/>
  <c r="H43" i="11"/>
  <c r="C43" i="11"/>
  <c r="J42" i="11"/>
  <c r="H42" i="11"/>
  <c r="C42" i="11"/>
  <c r="J41" i="11"/>
  <c r="H41" i="11"/>
  <c r="C41" i="11"/>
  <c r="J40" i="11"/>
  <c r="H40" i="11"/>
  <c r="C40" i="11"/>
  <c r="J39" i="11"/>
  <c r="H39" i="11"/>
  <c r="C39" i="11"/>
  <c r="J38" i="11"/>
  <c r="H38" i="11"/>
  <c r="C38" i="11"/>
  <c r="J37" i="11"/>
  <c r="H37" i="11"/>
  <c r="C37" i="11"/>
  <c r="J36" i="11"/>
  <c r="H36" i="11"/>
  <c r="C36" i="11"/>
  <c r="J35" i="11"/>
  <c r="H35" i="11"/>
  <c r="C35" i="11"/>
  <c r="J34" i="11"/>
  <c r="H34" i="11"/>
  <c r="C34" i="11"/>
  <c r="J33" i="11"/>
  <c r="H33" i="11"/>
  <c r="C33" i="11"/>
  <c r="J32" i="11"/>
  <c r="H32" i="11"/>
  <c r="C32" i="11"/>
  <c r="J31" i="11"/>
  <c r="H31" i="11"/>
  <c r="C31" i="11"/>
  <c r="J30" i="11"/>
  <c r="H30" i="11"/>
  <c r="C30" i="11"/>
  <c r="J29" i="11"/>
  <c r="H29" i="11"/>
  <c r="C29" i="11"/>
  <c r="J28" i="11"/>
  <c r="H28" i="11"/>
  <c r="C28" i="11"/>
  <c r="J27" i="11"/>
  <c r="H27" i="11"/>
  <c r="C27" i="11"/>
  <c r="J26" i="11"/>
  <c r="H26" i="11"/>
  <c r="C26" i="11"/>
  <c r="J25" i="11"/>
  <c r="H25" i="11"/>
  <c r="C25" i="11"/>
  <c r="J24" i="11"/>
  <c r="H24" i="11"/>
  <c r="C24" i="11"/>
  <c r="J23" i="11"/>
  <c r="H23" i="11"/>
  <c r="C23" i="11"/>
  <c r="J22" i="11"/>
  <c r="H22" i="11"/>
  <c r="C22" i="11"/>
  <c r="J21" i="11"/>
  <c r="H21" i="11"/>
  <c r="C21" i="11"/>
  <c r="J20" i="11"/>
  <c r="H20" i="11"/>
  <c r="C20" i="11"/>
  <c r="J19" i="11"/>
  <c r="H19" i="11"/>
  <c r="C19" i="11"/>
  <c r="J18" i="11"/>
  <c r="H18" i="11"/>
  <c r="C18" i="11"/>
  <c r="J17" i="11"/>
  <c r="H17" i="11"/>
  <c r="C17" i="11"/>
  <c r="J16" i="11"/>
  <c r="H16" i="11"/>
  <c r="C16" i="11"/>
  <c r="J15" i="11"/>
  <c r="H15" i="11"/>
  <c r="C15" i="11"/>
  <c r="J14" i="11"/>
  <c r="H14" i="11"/>
  <c r="C14" i="11"/>
  <c r="J13" i="11"/>
  <c r="H13" i="11"/>
  <c r="C13" i="11"/>
  <c r="J12" i="11"/>
  <c r="H12" i="11"/>
  <c r="C12" i="11"/>
  <c r="J11" i="11"/>
  <c r="H11" i="11"/>
  <c r="C11" i="11"/>
  <c r="J10" i="11"/>
  <c r="H10" i="11"/>
  <c r="C10" i="11"/>
  <c r="J9" i="11"/>
  <c r="H9" i="11"/>
  <c r="C9" i="11"/>
  <c r="J8" i="11"/>
  <c r="H8" i="11"/>
  <c r="C8" i="11"/>
  <c r="J7" i="11"/>
  <c r="H7" i="11"/>
  <c r="C7" i="11"/>
  <c r="J6" i="11"/>
  <c r="H6" i="11"/>
  <c r="C6" i="11"/>
  <c r="J5" i="11"/>
  <c r="H5" i="11"/>
  <c r="C5" i="11"/>
  <c r="J4" i="11"/>
  <c r="H4" i="11"/>
  <c r="C4" i="11"/>
  <c r="J3" i="11"/>
  <c r="H3" i="11"/>
  <c r="C3" i="11"/>
  <c r="J2" i="11"/>
  <c r="H2" i="11"/>
  <c r="C2" i="11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H33" i="10"/>
  <c r="C33" i="10"/>
  <c r="H32" i="10"/>
  <c r="C32" i="10"/>
  <c r="H31" i="10"/>
  <c r="C31" i="10"/>
  <c r="H30" i="10"/>
  <c r="C30" i="10"/>
  <c r="H29" i="10"/>
  <c r="C29" i="10"/>
  <c r="H28" i="10"/>
  <c r="C28" i="10"/>
  <c r="H27" i="10"/>
  <c r="C27" i="10"/>
  <c r="H26" i="10"/>
  <c r="C26" i="10"/>
  <c r="H25" i="10"/>
  <c r="C25" i="10"/>
  <c r="H24" i="10"/>
  <c r="C24" i="10"/>
  <c r="H23" i="10"/>
  <c r="C23" i="10"/>
  <c r="H22" i="10"/>
  <c r="C22" i="10"/>
  <c r="H21" i="10"/>
  <c r="C21" i="10"/>
  <c r="H20" i="10"/>
  <c r="C20" i="10"/>
  <c r="H19" i="10"/>
  <c r="C19" i="10"/>
  <c r="H18" i="10"/>
  <c r="C18" i="10"/>
  <c r="H17" i="10"/>
  <c r="C17" i="10"/>
  <c r="H16" i="10"/>
  <c r="C16" i="10"/>
  <c r="H15" i="10"/>
  <c r="C15" i="10"/>
  <c r="H14" i="10"/>
  <c r="C14" i="10"/>
  <c r="H13" i="10"/>
  <c r="C13" i="10"/>
  <c r="H12" i="10"/>
  <c r="C12" i="10"/>
  <c r="H11" i="10"/>
  <c r="C11" i="10"/>
  <c r="H10" i="10"/>
  <c r="C10" i="10"/>
  <c r="H9" i="10"/>
  <c r="C9" i="10"/>
  <c r="H8" i="10"/>
  <c r="C8" i="10"/>
  <c r="H7" i="10"/>
  <c r="C7" i="10"/>
  <c r="H6" i="10"/>
  <c r="C6" i="10"/>
  <c r="H5" i="10"/>
  <c r="C5" i="10"/>
  <c r="H4" i="10"/>
  <c r="C4" i="10"/>
  <c r="H3" i="10"/>
  <c r="C3" i="10"/>
  <c r="H2" i="10"/>
  <c r="C2" i="10"/>
  <c r="I16" i="9"/>
  <c r="C16" i="9"/>
  <c r="I15" i="9"/>
  <c r="C15" i="9"/>
  <c r="I14" i="9"/>
  <c r="C14" i="9"/>
  <c r="I13" i="9"/>
  <c r="C13" i="9"/>
  <c r="I12" i="9"/>
  <c r="C12" i="9"/>
  <c r="I11" i="9"/>
  <c r="C11" i="9"/>
  <c r="I10" i="9"/>
  <c r="C10" i="9"/>
  <c r="I9" i="9"/>
  <c r="C9" i="9"/>
  <c r="I8" i="9"/>
  <c r="C8" i="9"/>
  <c r="I7" i="9"/>
  <c r="C7" i="9"/>
  <c r="I6" i="9"/>
  <c r="C6" i="9"/>
  <c r="I5" i="9"/>
  <c r="C5" i="9"/>
  <c r="I4" i="9"/>
  <c r="C4" i="9"/>
  <c r="I3" i="9"/>
  <c r="C3" i="9"/>
  <c r="I2" i="9"/>
  <c r="C2" i="9"/>
  <c r="J8" i="8"/>
  <c r="C8" i="8"/>
  <c r="J7" i="8"/>
  <c r="C7" i="8"/>
  <c r="J6" i="8"/>
  <c r="C6" i="8"/>
  <c r="J5" i="8"/>
  <c r="C5" i="8"/>
  <c r="J4" i="8"/>
  <c r="C4" i="8"/>
  <c r="J3" i="8"/>
  <c r="C3" i="8"/>
  <c r="J2" i="8"/>
  <c r="C2" i="8"/>
  <c r="J10" i="7"/>
  <c r="C10" i="7"/>
  <c r="J9" i="7"/>
  <c r="C9" i="7"/>
  <c r="J8" i="7"/>
  <c r="C8" i="7"/>
  <c r="J7" i="7"/>
  <c r="C7" i="7"/>
  <c r="J6" i="7"/>
  <c r="C6" i="7"/>
  <c r="J5" i="7"/>
  <c r="C5" i="7"/>
  <c r="J4" i="7"/>
  <c r="C4" i="7"/>
  <c r="J3" i="7"/>
  <c r="C3" i="7"/>
  <c r="J2" i="7"/>
  <c r="C2" i="7"/>
  <c r="J10" i="6"/>
  <c r="C10" i="6"/>
  <c r="J9" i="6"/>
  <c r="C9" i="6"/>
  <c r="J8" i="6"/>
  <c r="C8" i="6"/>
  <c r="J7" i="6"/>
  <c r="C7" i="6"/>
  <c r="J6" i="6"/>
  <c r="C6" i="6"/>
  <c r="J5" i="6"/>
  <c r="C5" i="6"/>
  <c r="J4" i="6"/>
  <c r="C4" i="6"/>
  <c r="J3" i="6"/>
  <c r="C3" i="6"/>
  <c r="J2" i="6"/>
  <c r="C2" i="6"/>
  <c r="K10" i="5"/>
  <c r="C10" i="5"/>
  <c r="K9" i="5"/>
  <c r="C9" i="5"/>
  <c r="K8" i="5"/>
  <c r="C8" i="5"/>
  <c r="K7" i="5"/>
  <c r="C7" i="5"/>
  <c r="K6" i="5"/>
  <c r="C6" i="5"/>
  <c r="K5" i="5"/>
  <c r="C5" i="5"/>
  <c r="K4" i="5"/>
  <c r="C4" i="5"/>
  <c r="K3" i="5"/>
  <c r="C3" i="5"/>
  <c r="K2" i="5"/>
  <c r="C2" i="5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2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48" i="3"/>
  <c r="C147" i="3"/>
  <c r="C11" i="3"/>
  <c r="C10" i="3"/>
  <c r="C9" i="3"/>
  <c r="C8" i="3"/>
  <c r="C7" i="3"/>
  <c r="C6" i="3"/>
  <c r="C5" i="3"/>
  <c r="C4" i="3"/>
  <c r="C3" i="3"/>
  <c r="C2" i="3"/>
  <c r="C999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I172" i="2"/>
  <c r="C172" i="2"/>
  <c r="I171" i="2"/>
  <c r="C171" i="2"/>
  <c r="I170" i="2"/>
  <c r="C170" i="2"/>
  <c r="I169" i="2"/>
  <c r="C169" i="2"/>
  <c r="I168" i="2"/>
  <c r="C168" i="2"/>
  <c r="I167" i="2"/>
  <c r="C167" i="2"/>
  <c r="I166" i="2"/>
  <c r="C166" i="2"/>
  <c r="C165" i="2"/>
  <c r="I164" i="2"/>
  <c r="C164" i="2"/>
  <c r="C163" i="2"/>
  <c r="I162" i="2"/>
  <c r="C162" i="2"/>
  <c r="I161" i="2"/>
  <c r="C161" i="2"/>
  <c r="I160" i="2"/>
  <c r="C160" i="2"/>
  <c r="C159" i="2"/>
  <c r="I158" i="2"/>
  <c r="C158" i="2"/>
  <c r="C157" i="2"/>
  <c r="C156" i="2"/>
  <c r="I155" i="2"/>
  <c r="C155" i="2"/>
  <c r="I154" i="2"/>
  <c r="C154" i="2"/>
  <c r="I153" i="2"/>
  <c r="C153" i="2"/>
  <c r="C152" i="2"/>
  <c r="C151" i="2"/>
  <c r="C150" i="2"/>
  <c r="C149" i="2"/>
  <c r="I148" i="2"/>
  <c r="C148" i="2"/>
  <c r="I147" i="2"/>
  <c r="C147" i="2"/>
  <c r="I146" i="2"/>
  <c r="C146" i="2"/>
  <c r="I145" i="2"/>
  <c r="C145" i="2"/>
  <c r="C144" i="2"/>
  <c r="I143" i="2"/>
  <c r="C143" i="2"/>
  <c r="I142" i="2"/>
  <c r="C142" i="2"/>
  <c r="I141" i="2"/>
  <c r="C141" i="2"/>
  <c r="I140" i="2"/>
  <c r="C140" i="2"/>
  <c r="I139" i="2"/>
  <c r="C139" i="2"/>
  <c r="I138" i="2"/>
  <c r="C138" i="2"/>
  <c r="C137" i="2"/>
  <c r="I136" i="2"/>
  <c r="C136" i="2"/>
  <c r="I135" i="2"/>
  <c r="C135" i="2"/>
  <c r="I134" i="2"/>
  <c r="C134" i="2"/>
  <c r="I133" i="2"/>
  <c r="C133" i="2"/>
  <c r="I132" i="2"/>
  <c r="C132" i="2"/>
  <c r="I131" i="2"/>
  <c r="C131" i="2"/>
  <c r="I130" i="2"/>
  <c r="C130" i="2"/>
  <c r="I129" i="2"/>
  <c r="C129" i="2"/>
  <c r="I128" i="2"/>
  <c r="C128" i="2"/>
  <c r="I127" i="2"/>
  <c r="C127" i="2"/>
  <c r="I126" i="2"/>
  <c r="C126" i="2"/>
  <c r="C125" i="2"/>
  <c r="C124" i="2"/>
  <c r="C123" i="2"/>
  <c r="I122" i="2"/>
  <c r="C122" i="2"/>
  <c r="I121" i="2"/>
  <c r="C121" i="2"/>
  <c r="C120" i="2"/>
  <c r="I119" i="2"/>
  <c r="C119" i="2"/>
  <c r="I118" i="2"/>
  <c r="C118" i="2"/>
  <c r="C117" i="2"/>
  <c r="I116" i="2"/>
  <c r="C116" i="2"/>
  <c r="C115" i="2"/>
  <c r="I114" i="2"/>
  <c r="C114" i="2"/>
  <c r="I113" i="2"/>
  <c r="C113" i="2"/>
  <c r="I112" i="2"/>
  <c r="C112" i="2"/>
  <c r="I111" i="2"/>
  <c r="C111" i="2"/>
  <c r="I110" i="2"/>
  <c r="C110" i="2"/>
  <c r="C109" i="2"/>
  <c r="I108" i="2"/>
  <c r="C108" i="2"/>
  <c r="C107" i="2"/>
  <c r="I106" i="2"/>
  <c r="C106" i="2"/>
  <c r="I105" i="2"/>
  <c r="C105" i="2"/>
  <c r="I104" i="2"/>
  <c r="C104" i="2"/>
  <c r="C103" i="2"/>
  <c r="I102" i="2"/>
  <c r="C102" i="2"/>
  <c r="C101" i="2"/>
  <c r="I100" i="2"/>
  <c r="C100" i="2"/>
  <c r="C99" i="2"/>
  <c r="I98" i="2"/>
  <c r="C98" i="2"/>
  <c r="I97" i="2"/>
  <c r="C97" i="2"/>
  <c r="I96" i="2"/>
  <c r="C96" i="2"/>
  <c r="I95" i="2"/>
  <c r="C95" i="2"/>
  <c r="I94" i="2"/>
  <c r="C94" i="2"/>
  <c r="I93" i="2"/>
  <c r="C93" i="2"/>
  <c r="C92" i="2"/>
  <c r="C91" i="2"/>
  <c r="I90" i="2"/>
  <c r="C90" i="2"/>
  <c r="I89" i="2"/>
  <c r="C89" i="2"/>
  <c r="C88" i="2"/>
  <c r="C87" i="2"/>
  <c r="I86" i="2"/>
  <c r="C86" i="2"/>
  <c r="C85" i="2"/>
  <c r="I84" i="2"/>
  <c r="C84" i="2"/>
  <c r="C83" i="2"/>
  <c r="C82" i="2"/>
  <c r="I81" i="2"/>
  <c r="C81" i="2"/>
  <c r="I80" i="2"/>
  <c r="C80" i="2"/>
  <c r="I79" i="2"/>
  <c r="C79" i="2"/>
  <c r="I78" i="2"/>
  <c r="C78" i="2"/>
  <c r="I77" i="2"/>
  <c r="C77" i="2"/>
  <c r="I76" i="2"/>
  <c r="C76" i="2"/>
  <c r="C75" i="2"/>
  <c r="C74" i="2"/>
  <c r="C73" i="2"/>
  <c r="I72" i="2"/>
  <c r="C72" i="2"/>
  <c r="C71" i="2"/>
  <c r="I70" i="2"/>
  <c r="C70" i="2"/>
  <c r="C69" i="2"/>
  <c r="C68" i="2"/>
  <c r="C67" i="2"/>
  <c r="I66" i="2"/>
  <c r="C66" i="2"/>
  <c r="I65" i="2"/>
  <c r="C65" i="2"/>
  <c r="I64" i="2"/>
  <c r="C64" i="2"/>
  <c r="I63" i="2"/>
  <c r="C63" i="2"/>
  <c r="C62" i="2"/>
  <c r="C61" i="2"/>
  <c r="I60" i="2"/>
  <c r="C60" i="2"/>
  <c r="C59" i="2"/>
  <c r="C58" i="2"/>
  <c r="I57" i="2"/>
  <c r="C57" i="2"/>
  <c r="I56" i="2"/>
  <c r="C56" i="2"/>
  <c r="C55" i="2"/>
  <c r="I54" i="2"/>
  <c r="C54" i="2"/>
  <c r="C53" i="2"/>
  <c r="C52" i="2"/>
  <c r="I51" i="2"/>
  <c r="C51" i="2"/>
  <c r="C50" i="2"/>
  <c r="C49" i="2"/>
  <c r="C48" i="2"/>
  <c r="C47" i="2"/>
  <c r="I46" i="2"/>
  <c r="C46" i="2"/>
  <c r="I45" i="2"/>
  <c r="C45" i="2"/>
  <c r="C44" i="2"/>
  <c r="I43" i="2"/>
  <c r="C43" i="2"/>
  <c r="C42" i="2"/>
  <c r="C41" i="2"/>
  <c r="C40" i="2"/>
  <c r="I39" i="2"/>
  <c r="C39" i="2"/>
  <c r="I38" i="2"/>
  <c r="C38" i="2"/>
  <c r="C37" i="2"/>
  <c r="C36" i="2"/>
  <c r="I35" i="2"/>
  <c r="C35" i="2"/>
  <c r="C34" i="2"/>
  <c r="I33" i="2"/>
  <c r="C33" i="2"/>
  <c r="I32" i="2"/>
  <c r="C32" i="2"/>
  <c r="I31" i="2"/>
  <c r="C31" i="2"/>
  <c r="C30" i="2"/>
  <c r="C29" i="2"/>
  <c r="C28" i="2"/>
  <c r="C27" i="2"/>
  <c r="C26" i="2"/>
  <c r="C25" i="2"/>
  <c r="I24" i="2"/>
  <c r="C24" i="2"/>
  <c r="I23" i="2"/>
  <c r="C23" i="2"/>
  <c r="C22" i="2"/>
  <c r="I21" i="2"/>
  <c r="C21" i="2"/>
  <c r="I20" i="2"/>
  <c r="C20" i="2"/>
  <c r="I19" i="2"/>
  <c r="C19" i="2"/>
  <c r="C18" i="2"/>
  <c r="I17" i="2"/>
  <c r="C17" i="2"/>
  <c r="C16" i="2"/>
  <c r="C15" i="2"/>
  <c r="C14" i="2"/>
  <c r="I13" i="2"/>
  <c r="C13" i="2"/>
  <c r="C12" i="2"/>
  <c r="C11" i="2"/>
  <c r="C10" i="2"/>
  <c r="C9" i="2"/>
  <c r="C8" i="2"/>
  <c r="I7" i="2"/>
  <c r="C7" i="2"/>
  <c r="C6" i="2"/>
  <c r="C5" i="2"/>
  <c r="C4" i="2"/>
  <c r="I3" i="2"/>
  <c r="C3" i="2"/>
  <c r="C2" i="2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8" i="20" l="1"/>
  <c r="I13" i="20"/>
  <c r="K16" i="20"/>
  <c r="I3" i="20"/>
  <c r="I5" i="20"/>
  <c r="I10" i="20"/>
  <c r="I9" i="20"/>
  <c r="I22" i="20"/>
</calcChain>
</file>

<file path=xl/sharedStrings.xml><?xml version="1.0" encoding="utf-8"?>
<sst xmlns="http://schemas.openxmlformats.org/spreadsheetml/2006/main" count="3581" uniqueCount="685">
  <si>
    <t>Weight</t>
  </si>
  <si>
    <t>Watts</t>
  </si>
  <si>
    <t>w/kg</t>
  </si>
  <si>
    <t>Height</t>
  </si>
  <si>
    <t>Bike</t>
  </si>
  <si>
    <t>Type</t>
  </si>
  <si>
    <t>Wheels</t>
  </si>
  <si>
    <t>Time</t>
  </si>
  <si>
    <t>Notes</t>
  </si>
  <si>
    <t>Specialized Venge S-Works</t>
  </si>
  <si>
    <t>Standard</t>
  </si>
  <si>
    <t>Zipp 858/Super9</t>
  </si>
  <si>
    <t>https://www.strava.com/activities/4969452558</t>
  </si>
  <si>
    <t>Canyon Aeroad 2021</t>
  </si>
  <si>
    <t>DT Swiss ARC 62</t>
  </si>
  <si>
    <t>https://www.strava.com/activities/4969454217</t>
  </si>
  <si>
    <t>Zwift Carbon</t>
  </si>
  <si>
    <t>32mm Carbon</t>
  </si>
  <si>
    <t>https://www.strava.com/activities/4974626852</t>
  </si>
  <si>
    <t>Zwift Aero</t>
  </si>
  <si>
    <t>https://www.strava.com/activities/2982170987</t>
  </si>
  <si>
    <t>https://www.strava.com/activities/3048470870</t>
  </si>
  <si>
    <t>Done with ~2500 riders on Watopia</t>
  </si>
  <si>
    <t>Canyon Speedmax CF SLX Disc</t>
  </si>
  <si>
    <t>TT</t>
  </si>
  <si>
    <t>https://www.strava.com/activities/4999087324</t>
  </si>
  <si>
    <t>Cervelo P5x</t>
  </si>
  <si>
    <t>https://www.strava.com/activities/2842998400</t>
  </si>
  <si>
    <t>Felt IA</t>
  </si>
  <si>
    <t>https://www.strava.com/activities/2843119261</t>
  </si>
  <si>
    <t>Specialized Shiv Disc</t>
  </si>
  <si>
    <t>https://www.strava.com/activities/2842998014</t>
  </si>
  <si>
    <t>Cervelo P5</t>
  </si>
  <si>
    <t>https://www.strava.com/activities/2842883726</t>
  </si>
  <si>
    <t>Ventum One</t>
  </si>
  <si>
    <t>https://www.strava.com/activities/2843119110</t>
  </si>
  <si>
    <t>Cube Aerium</t>
  </si>
  <si>
    <t>https://www.strava.com/activities/2843249127</t>
  </si>
  <si>
    <t>Diamondback Andean</t>
  </si>
  <si>
    <t>https://www.strava.com/activities/2843566340</t>
  </si>
  <si>
    <t>Scott Plasma</t>
  </si>
  <si>
    <t>https://www.strava.com/activities/2843401615</t>
  </si>
  <si>
    <t>Specialized Shiv S-Works</t>
  </si>
  <si>
    <t>https://www.strava.com/activities/2843566136</t>
  </si>
  <si>
    <t>BMC Time Machine</t>
  </si>
  <si>
    <t>https://www.strava.com/activities/2843120122</t>
  </si>
  <si>
    <t>Canyon Speedmax</t>
  </si>
  <si>
    <t>https://www.strava.com/activities/2842997477</t>
  </si>
  <si>
    <t>Pinarello Bolide</t>
  </si>
  <si>
    <t>https://www.strava.com/activities/2843254333</t>
  </si>
  <si>
    <t>Pinarello Bolide TT</t>
  </si>
  <si>
    <t>https://www.strava.com/activities/2843402443</t>
  </si>
  <si>
    <t>Specialized Shiv</t>
  </si>
  <si>
    <t>https://www.strava.com/activities/2843405164</t>
  </si>
  <si>
    <t>https://www.strava.com/activities/3380109091</t>
  </si>
  <si>
    <t>CeramicSpeed OSPW</t>
  </si>
  <si>
    <t>Zwift TT</t>
  </si>
  <si>
    <t>https://www.strava.com/activities/2843568393</t>
  </si>
  <si>
    <t>Cervelo S5</t>
  </si>
  <si>
    <t>https://www.strava.com/activities/2843923128</t>
  </si>
  <si>
    <t>https://www.strava.com/activities/2843922490</t>
  </si>
  <si>
    <t>Felt AR</t>
  </si>
  <si>
    <t>https://www.strava.com/activities/2843922053</t>
  </si>
  <si>
    <t>Trek Madone</t>
  </si>
  <si>
    <t>https://www.strava.com/activities/2844142801</t>
  </si>
  <si>
    <t>Zipp 808/Super9</t>
  </si>
  <si>
    <t>https://www.strava.com/activities/2848419614</t>
  </si>
  <si>
    <t>Cannondale SystemSix</t>
  </si>
  <si>
    <t>https://www.strava.com/activities/2844037803</t>
  </si>
  <si>
    <t>https://www.strava.com/activities/4130001495</t>
  </si>
  <si>
    <r>
      <t xml:space="preserve">Confirmed </t>
    </r>
    <r>
      <rPr>
        <u/>
        <sz val="10"/>
        <color rgb="FF1155CC"/>
        <rFont val="Arial"/>
      </rPr>
      <t>https://www.strava.com/activities/4230888598</t>
    </r>
  </si>
  <si>
    <t>Specialized Venge</t>
  </si>
  <si>
    <t>https://www.strava.com/activities/2863313704</t>
  </si>
  <si>
    <t>Tron (Concept Z1)</t>
  </si>
  <si>
    <t>https://www.strava.com/activities/2843767829</t>
  </si>
  <si>
    <t>Canyon Aeroad</t>
  </si>
  <si>
    <t>https://www.strava.com/activities/2844038138</t>
  </si>
  <si>
    <t>Specialized Allez Sprint</t>
  </si>
  <si>
    <t>https://www.strava.com/activities/2844142473</t>
  </si>
  <si>
    <t>Zipp 858</t>
  </si>
  <si>
    <t>https://www.strava.com/activities/5702973123</t>
  </si>
  <si>
    <t>Why 3s faster than previous test?</t>
  </si>
  <si>
    <t>With ZRL winners helmet, deleted Strava activity</t>
  </si>
  <si>
    <t>https://www.strava.com/activities/5706438083</t>
  </si>
  <si>
    <t>1s faster than old time, consistently</t>
  </si>
  <si>
    <t>https://www.strava.com/activities/5707204299</t>
  </si>
  <si>
    <t>With default Zwift helmet</t>
  </si>
  <si>
    <t>https://www.strava.com/activities/4130210499</t>
  </si>
  <si>
    <t>ENVE 7.8</t>
  </si>
  <si>
    <t>https://www.strava.com/activities/4131204792</t>
  </si>
  <si>
    <t>Specialized Tarmac SL7</t>
  </si>
  <si>
    <t>Zipp 808</t>
  </si>
  <si>
    <t>https://www.strava.com/activities/4139516508</t>
  </si>
  <si>
    <t>https://www.strava.com/activities/5706839374</t>
  </si>
  <si>
    <t>Specialized Tarmac Pro</t>
  </si>
  <si>
    <t>https://www.strava.com/activities/2843767446</t>
  </si>
  <si>
    <t>Ribble Endurance</t>
  </si>
  <si>
    <t>https://www.strava.com/activities/2971157079</t>
  </si>
  <si>
    <t>https://www.strava.com/activities/2844450384</t>
  </si>
  <si>
    <t>https://www.strava.com/activities/2843766830</t>
  </si>
  <si>
    <t>https://www.strava.com/activities/4130438332</t>
  </si>
  <si>
    <t>Pinarello Dogma F</t>
  </si>
  <si>
    <t>https://www.strava.com/activities/5632925862</t>
  </si>
  <si>
    <r>
      <t xml:space="preserve">Confirmed after update </t>
    </r>
    <r>
      <rPr>
        <u/>
        <sz val="10"/>
        <color rgb="FF1155CC"/>
        <rFont val="Arial"/>
      </rPr>
      <t>https://www.strava.com/activities/4230697045</t>
    </r>
  </si>
  <si>
    <t>https://www.strava.com/activities/5706434208</t>
  </si>
  <si>
    <t>Confirmed old time</t>
  </si>
  <si>
    <t>ENVE SES 7.8</t>
  </si>
  <si>
    <t>https://www.strava.com/activities/2845442341</t>
  </si>
  <si>
    <t>ENVE SES 8.9</t>
  </si>
  <si>
    <t>https://www.strava.com/activities/2845442044</t>
  </si>
  <si>
    <t>https://www.strava.com/activities/2844450138</t>
  </si>
  <si>
    <t>ENVE 3.4</t>
  </si>
  <si>
    <t>https://www.strava.com/activities/4132479899</t>
  </si>
  <si>
    <t>Zipp 454</t>
  </si>
  <si>
    <t>https://www.strava.com/activities/2844450032</t>
  </si>
  <si>
    <t>https://www.strava.com/activities/3876361384</t>
  </si>
  <si>
    <t>ENVE SES 6.7</t>
  </si>
  <si>
    <t>https://www.strava.com/activities/2845564206</t>
  </si>
  <si>
    <t>Zipp 404</t>
  </si>
  <si>
    <t>https://www.strava.com/activities/2844490492</t>
  </si>
  <si>
    <t>Roval CLX64</t>
  </si>
  <si>
    <t>https://www.strava.com/activities/2844546624</t>
  </si>
  <si>
    <t>Roval Rapide CLX</t>
  </si>
  <si>
    <t>https://www.strava.com/activities/5326133105</t>
  </si>
  <si>
    <t>Zipp 353 NSW</t>
  </si>
  <si>
    <t>https://www.strava.com/activities/5169624933</t>
  </si>
  <si>
    <t>Campagnolo Bora Ultra 50</t>
  </si>
  <si>
    <t>https://www.strava.com/activities/2845696572</t>
  </si>
  <si>
    <t>https://www.strava.com/activities/5324988410</t>
  </si>
  <si>
    <t>ENVE SES 3.4</t>
  </si>
  <si>
    <t>https://www.strava.com/activities/2845563733</t>
  </si>
  <si>
    <t>Mavic Comete Pro Carbon SL UST</t>
  </si>
  <si>
    <t>https://www.strava.com/activities/2844622447</t>
  </si>
  <si>
    <t>Lightweight Meilenstein</t>
  </si>
  <si>
    <t>https://www.strava.com/activities/4130809584</t>
  </si>
  <si>
    <t>Giant SLR 0</t>
  </si>
  <si>
    <t>https://www.strava.com/activities/2845441542</t>
  </si>
  <si>
    <t>Shimano C60</t>
  </si>
  <si>
    <t>https://www.strava.com/activities/2844490596</t>
  </si>
  <si>
    <t>Mavic Cosmic CXR60c</t>
  </si>
  <si>
    <t>https://www.strava.com/activities/2844622659</t>
  </si>
  <si>
    <t>Bontrager Aeolus5</t>
  </si>
  <si>
    <t>https://www.strava.com/activities/2845697377</t>
  </si>
  <si>
    <t>Mavic Cosmic Ultimate UST</t>
  </si>
  <si>
    <t>https://www.strava.com/activities/2844547052</t>
  </si>
  <si>
    <t>Roval Alpinist CLX</t>
  </si>
  <si>
    <t>https://www.strava.com/activities/5631422868</t>
  </si>
  <si>
    <t>https://www.strava.com/activities/2848740921</t>
  </si>
  <si>
    <t>https://www.strava.com/activities/5706932194</t>
  </si>
  <si>
    <t>With Bell Javelin helmet</t>
  </si>
  <si>
    <t>https://www.strava.com/activities/2847917929</t>
  </si>
  <si>
    <t>https://www.strava.com/activities/2849092283</t>
  </si>
  <si>
    <t>https://www.strava.com/activities/4141787901</t>
  </si>
  <si>
    <t>confirmed</t>
  </si>
  <si>
    <t>https://www.strava.com/activities/2844622992</t>
  </si>
  <si>
    <t>https://www.strava.com/activities/2844433048</t>
  </si>
  <si>
    <t>https://www.strava.com/activities/5631420820</t>
  </si>
  <si>
    <t>https://www.strava.com/activities/2848623191</t>
  </si>
  <si>
    <t>https://www.strava.com/activities/4129824734</t>
  </si>
  <si>
    <r>
      <t xml:space="preserve">Confirmed after update </t>
    </r>
    <r>
      <rPr>
        <u/>
        <sz val="10"/>
        <color rgb="FF1155CC"/>
        <rFont val="Arial"/>
      </rPr>
      <t>https://www.strava.com/activities/4230697045</t>
    </r>
  </si>
  <si>
    <t>https://www.strava.com/activities/2848872112</t>
  </si>
  <si>
    <t>https://www.strava.com/activities/2863260185</t>
  </si>
  <si>
    <t>Focus Izalco Max 2020</t>
  </si>
  <si>
    <t>https://www.strava.com/activities/4381733495</t>
  </si>
  <si>
    <t>Giant Propel Advanced SL Disc</t>
  </si>
  <si>
    <t>https://www.strava.com/activities/2849133335</t>
  </si>
  <si>
    <t>Pinarello Dogma F12</t>
  </si>
  <si>
    <t>https://www.strava.com/activities/3225549320</t>
  </si>
  <si>
    <t>Cervelo S3D</t>
  </si>
  <si>
    <t>https://www.strava.com/activities/2846930114</t>
  </si>
  <si>
    <t>Shimano C40</t>
  </si>
  <si>
    <t>https://www.strava.com/activities/2844546379</t>
  </si>
  <si>
    <t>50mm Carbon</t>
  </si>
  <si>
    <t>https://www.strava.com/activities/2844333853</t>
  </si>
  <si>
    <t>Factor One</t>
  </si>
  <si>
    <t>https://www.strava.com/activities/3373409286</t>
  </si>
  <si>
    <t>https://www.strava.com/activities/2850432561</t>
  </si>
  <si>
    <t>Ridley Noah Fast Disc</t>
  </si>
  <si>
    <t>https://www.strava.com/activities/3373520200</t>
  </si>
  <si>
    <t>Pinarello Dogma F10</t>
  </si>
  <si>
    <t>https://www.strava.com/activities/2853787203</t>
  </si>
  <si>
    <t>https://www.strava.com/activities/5706413232</t>
  </si>
  <si>
    <t>https://www.strava.com/activities/2846874235</t>
  </si>
  <si>
    <t>Parlee RZ7</t>
  </si>
  <si>
    <t>https://www.strava.com/activities/3225427465</t>
  </si>
  <si>
    <t>https://www.strava.com/activities/2971724906</t>
  </si>
  <si>
    <t>Chapter2 Rere</t>
  </si>
  <si>
    <t>https://www.strava.com/activities/2848057196</t>
  </si>
  <si>
    <t>Zipp 202</t>
  </si>
  <si>
    <t>https://www.strava.com/activities/2844490409</t>
  </si>
  <si>
    <t>Scott Foil</t>
  </si>
  <si>
    <t>https://www.strava.com/activities/2850542147</t>
  </si>
  <si>
    <t>Cannondale SuperSix EVO</t>
  </si>
  <si>
    <t>https://www.strava.com/activities/2844233360</t>
  </si>
  <si>
    <t>https://www.strava.com/activities/3875892617</t>
  </si>
  <si>
    <t>Campagnolo Bora Ultra 35</t>
  </si>
  <si>
    <t>https://www.strava.com/activities/2845696136</t>
  </si>
  <si>
    <t>Giant TCR Advanced SL Disc</t>
  </si>
  <si>
    <t>https://www.strava.com/activities/5169627151</t>
  </si>
  <si>
    <t>Parlee ESX</t>
  </si>
  <si>
    <t>https://www.strava.com/activities/2850597949</t>
  </si>
  <si>
    <t>Zwift Buffalo Fahrrad</t>
  </si>
  <si>
    <t>https://www.strava.com/activities/2844334086</t>
  </si>
  <si>
    <t>Pinarello Dogma 65.1</t>
  </si>
  <si>
    <t>https://www.strava.com/activities/2853633385</t>
  </si>
  <si>
    <t>Pinarello F8</t>
  </si>
  <si>
    <t>https://www.strava.com/activities/2855268576</t>
  </si>
  <si>
    <t>Bridgestone SR9s</t>
  </si>
  <si>
    <t>https://www.strava.com/activities/5325490519</t>
  </si>
  <si>
    <t>Cannondale EVO</t>
  </si>
  <si>
    <t>https://www.strava.com/activities/2844128905</t>
  </si>
  <si>
    <t>Cervelo R5</t>
  </si>
  <si>
    <t>https://www.strava.com/activities/2846457119</t>
  </si>
  <si>
    <t>ENVE SES 2.2</t>
  </si>
  <si>
    <t>https://www.strava.com/activities/2845564512</t>
  </si>
  <si>
    <t>Chapter2 Tere</t>
  </si>
  <si>
    <t>https://www.strava.com/activities/2848551493</t>
  </si>
  <si>
    <t>Giant TCR Advanced SL</t>
  </si>
  <si>
    <t>https://www.strava.com/activities/2850203875</t>
  </si>
  <si>
    <t>Specialized Amira S-Works</t>
  </si>
  <si>
    <t>https://www.strava.com/activities/2849226911</t>
  </si>
  <si>
    <t>Specialized Tarmac</t>
  </si>
  <si>
    <t>https://www.strava.com/activities/2848960110</t>
  </si>
  <si>
    <t>https://www.strava.com/activities/2848872394</t>
  </si>
  <si>
    <t>confirmed, same time as Nov 7, 2019</t>
  </si>
  <si>
    <t>Trek Emonda</t>
  </si>
  <si>
    <t>https://www.strava.com/activities/2848740615</t>
  </si>
  <si>
    <t>Trek Emonda SL</t>
  </si>
  <si>
    <t>https://www.strava.com/activities/2848623003</t>
  </si>
  <si>
    <t>Specialized Aethos</t>
  </si>
  <si>
    <t>https://www.strava.com/activities/5631705133</t>
  </si>
  <si>
    <t>BMC SLR01</t>
  </si>
  <si>
    <t>https://www.strava.com/activities/3907451983</t>
  </si>
  <si>
    <t>Canyon Ultimate</t>
  </si>
  <si>
    <t>https://www.strava.com/activities/2845606401</t>
  </si>
  <si>
    <t>Cube Litening</t>
  </si>
  <si>
    <t>https://www.strava.com/activities/2848983672</t>
  </si>
  <si>
    <t>Liv Langma Advanced SL</t>
  </si>
  <si>
    <t>https://www.strava.com/activities/2856636675</t>
  </si>
  <si>
    <t>Specialized Amira</t>
  </si>
  <si>
    <t>https://www.strava.com/activities/2850319857</t>
  </si>
  <si>
    <t>Specialized Roubaix</t>
  </si>
  <si>
    <t>https://www.strava.com/activities/2849227145</t>
  </si>
  <si>
    <t>Specialized Roubaix S-Works</t>
  </si>
  <si>
    <t>https://www.strava.com/activities/2849097092</t>
  </si>
  <si>
    <t>Specialized Ruby</t>
  </si>
  <si>
    <t>https://www.strava.com/activities/2849096952</t>
  </si>
  <si>
    <t>Specialized Ruby S-Works</t>
  </si>
  <si>
    <t>https://www.strava.com/activities/2848959971</t>
  </si>
  <si>
    <t>Cannondale CAAD12</t>
  </si>
  <si>
    <t>https://www.strava.com/activities/2843988297</t>
  </si>
  <si>
    <t>Cannondale Synapse</t>
  </si>
  <si>
    <t>https://www.strava.com/activities/2844387671</t>
  </si>
  <si>
    <t>Zwift Safety</t>
  </si>
  <si>
    <t>https://www.strava.com/activities/2844248304</t>
  </si>
  <si>
    <t>https://www.strava.com/activities/2982033990</t>
  </si>
  <si>
    <t>Colnago V3RS</t>
  </si>
  <si>
    <t>https://www.strava.com/activities/4837947418</t>
  </si>
  <si>
    <t>Ridley Helium</t>
  </si>
  <si>
    <t>https://www.strava.com/activities/2850541998</t>
  </si>
  <si>
    <t>Zwift Big Wheel</t>
  </si>
  <si>
    <t>https://www.strava.com/activities/5047488672</t>
  </si>
  <si>
    <t>New version</t>
  </si>
  <si>
    <t>https://www.strava.com/activities/3328674576</t>
  </si>
  <si>
    <t>Specialized Allez</t>
  </si>
  <si>
    <t>https://www.strava.com/activities/2850432155</t>
  </si>
  <si>
    <t>Cervelo Aspero</t>
  </si>
  <si>
    <t>Gravel</t>
  </si>
  <si>
    <t>Zwift Gravel</t>
  </si>
  <si>
    <t>https://www.strava.com/activities/2915641156</t>
  </si>
  <si>
    <t>Canyon Grail</t>
  </si>
  <si>
    <t>https://www.strava.com/activities/2915771970</t>
  </si>
  <si>
    <t>Canyon Inflite</t>
  </si>
  <si>
    <t>https://www.strava.com/activities/2915701423</t>
  </si>
  <si>
    <t>Lauf True Grit</t>
  </si>
  <si>
    <t>https://www.strava.com/activities/4959306848</t>
  </si>
  <si>
    <t>https://www.strava.com/activities/2981583899</t>
  </si>
  <si>
    <t>https://www.strava.com/activities/2991275700</t>
  </si>
  <si>
    <t>https://www.strava.com/activities/2982170536</t>
  </si>
  <si>
    <t>https://www.strava.com/activities/2879151204</t>
  </si>
  <si>
    <t>https://www.strava.com/activities/2879150387</t>
  </si>
  <si>
    <t>https://www.strava.com/activities/2981582663</t>
  </si>
  <si>
    <t>https://www.strava.com/activities/2981862579</t>
  </si>
  <si>
    <t>https://www.strava.com/activities/2909896856</t>
  </si>
  <si>
    <t>Scott Spark RC</t>
  </si>
  <si>
    <t>MTB</t>
  </si>
  <si>
    <t>Zwift Mountain</t>
  </si>
  <si>
    <t>https://www.strava.com/activities/2909995568</t>
  </si>
  <si>
    <t>old version</t>
  </si>
  <si>
    <t>Specialized Epic S-Works</t>
  </si>
  <si>
    <t>https://www.strava.com/activities/2915887923</t>
  </si>
  <si>
    <t>Canyon Lux</t>
  </si>
  <si>
    <t>https://www.strava.com/activities/2924937789</t>
  </si>
  <si>
    <t>Trek Super Caliber</t>
  </si>
  <si>
    <t>https://www.strava.com/activities/4231359753</t>
  </si>
  <si>
    <t>https://www.strava.com/activities/4244360680</t>
  </si>
  <si>
    <t>https://www.strava.com/activities/2915800874</t>
  </si>
  <si>
    <t>https://www.strava.com/activities/4243765323</t>
  </si>
  <si>
    <t>new</t>
  </si>
  <si>
    <t>https://www.strava.com/activities/4244667313</t>
  </si>
  <si>
    <t>https://www.strava.com/activities/4244798786</t>
  </si>
  <si>
    <t>https://www.strava.com/activities/2857872039</t>
  </si>
  <si>
    <t>Zwift Classic</t>
  </si>
  <si>
    <t>https://www.strava.com/activities/2844248601</t>
  </si>
  <si>
    <t>Zwift Buffalo Farhhad</t>
  </si>
  <si>
    <t>https://www.strava.com/activities/2848420072</t>
  </si>
  <si>
    <t>Zwift Steel</t>
  </si>
  <si>
    <t>https://www.strava.com/activities/2848229065</t>
  </si>
  <si>
    <t>https://www.strava.com/activities/2971856212</t>
  </si>
  <si>
    <t>https://www.strava.com/activities/5708622707</t>
  </si>
  <si>
    <t>With ZRL helmet</t>
  </si>
  <si>
    <t>https://www.strava.com/activities/4073655273</t>
  </si>
  <si>
    <t>With CeramicSpeed OSPW</t>
  </si>
  <si>
    <t>https://www.strava.com/activities/4972728902</t>
  </si>
  <si>
    <t>need to retest, wrong cda value</t>
  </si>
  <si>
    <t>https://www.strava.com/activities/5632073670</t>
  </si>
  <si>
    <t>OLD Specialized Tarmac Pro</t>
  </si>
  <si>
    <t>old test, not accurate</t>
  </si>
  <si>
    <t>OLD Canyon Aeroad 2021</t>
  </si>
  <si>
    <t>https://www.strava.com/activities/4129825997</t>
  </si>
  <si>
    <t>old</t>
  </si>
  <si>
    <t>https://www.strava.com/activities/5632001508</t>
  </si>
  <si>
    <t>https://www.strava.com/activities/4974807550</t>
  </si>
  <si>
    <t>https://www.strava.com/activities/5325924894</t>
  </si>
  <si>
    <t>https://www.strava.com/activities/2982332159</t>
  </si>
  <si>
    <t>Cannondale Evo</t>
  </si>
  <si>
    <t>confirmed 10/2/20</t>
  </si>
  <si>
    <t>https://www.strava.com/activities/4139861753</t>
  </si>
  <si>
    <t>https://www.strava.com/activities/4139674239</t>
  </si>
  <si>
    <t>https://www.strava.com/activities/4133099448</t>
  </si>
  <si>
    <t>https://www.strava.com/activities/4132870940</t>
  </si>
  <si>
    <t>https://www.strava.com/activities/4140010185</t>
  </si>
  <si>
    <t>new, 1s slower</t>
  </si>
  <si>
    <t>https://www.strava.com/activities/5629739002</t>
  </si>
  <si>
    <t>https://www.strava.com/activities/5632930754</t>
  </si>
  <si>
    <t>https://www.strava.com/activities/4141562356</t>
  </si>
  <si>
    <t>https://www.strava.com/activities/4231025155</t>
  </si>
  <si>
    <t>https://www.strava.com/activities/4141433143</t>
  </si>
  <si>
    <t>confirmed, 1s faster in new test</t>
  </si>
  <si>
    <t>https://www.strava.com/activities/4132485150</t>
  </si>
  <si>
    <t>https://www.strava.com/activities/4141776727</t>
  </si>
  <si>
    <t>https://www.strava.com/activities/4132870041</t>
  </si>
  <si>
    <t>https://www.strava.com/activities/4129296617</t>
  </si>
  <si>
    <t>https://www.strava.com/activities/4133100038</t>
  </si>
  <si>
    <t>https://www.strava.com/activities/4140009836</t>
  </si>
  <si>
    <t>https://www.strava.com/activities/4141364131</t>
  </si>
  <si>
    <t>confirmed, 1s slower in new test</t>
  </si>
  <si>
    <t>https://www.strava.com/activities/5325492024</t>
  </si>
  <si>
    <t>https://www.strava.com/activities/4141356280</t>
  </si>
  <si>
    <t>2s faster in new test</t>
  </si>
  <si>
    <t>https://www.strava.com/activities/5631390280</t>
  </si>
  <si>
    <t>Tron</t>
  </si>
  <si>
    <t>Retested, result confirmed</t>
  </si>
  <si>
    <t>Strava</t>
  </si>
  <si>
    <t>https://www.strava.com/activities/2839446761</t>
  </si>
  <si>
    <t>https://www.strava.com/activities/4134050932</t>
  </si>
  <si>
    <t>https://www.strava.com/activities/5708178900</t>
  </si>
  <si>
    <t>https://www.strava.com/activities/5173759957</t>
  </si>
  <si>
    <t>Not accurate anymore</t>
  </si>
  <si>
    <t>https://www.strava.com/activities/4141044838</t>
  </si>
  <si>
    <t>Liv Langma Advanced SL 0</t>
  </si>
  <si>
    <t>https://www.strava.com/activities/3231811539</t>
  </si>
  <si>
    <t>https://www.strava.com/activities/4838233579</t>
  </si>
  <si>
    <t>https://www.strava.com/activities/4381778054</t>
  </si>
  <si>
    <t>Not listed in frames list?</t>
  </si>
  <si>
    <t>https://www.strava.com/activities/5172507347</t>
  </si>
  <si>
    <t>https://www.strava.com/activities/3227299862</t>
  </si>
  <si>
    <t>Campagnolo Boral Ultra 35</t>
  </si>
  <si>
    <t>https://www.strava.com/activities/3876361335</t>
  </si>
  <si>
    <t>https://www.strava.com/activities/5325983351</t>
  </si>
  <si>
    <t>https://www.strava.com/activities/2839538919</t>
  </si>
  <si>
    <t>https://www.strava.com/activities/3375260072</t>
  </si>
  <si>
    <t>https://www.strava.com/activities/2971169392</t>
  </si>
  <si>
    <t>https://www.strava.com/activities/3375270267</t>
  </si>
  <si>
    <t>https://www.strava.com/activities/2971725281</t>
  </si>
  <si>
    <t>Roval CLX 64</t>
  </si>
  <si>
    <t>https://www.strava.com/activities/2846032754</t>
  </si>
  <si>
    <t xml:space="preserve">Specialized Allez </t>
  </si>
  <si>
    <t>https://www.strava.com/activities/2846272819</t>
  </si>
  <si>
    <t>https://www.strava.com/activities/5325364361</t>
  </si>
  <si>
    <t>https://www.strava.com/activities/2840635829</t>
  </si>
  <si>
    <t>https://www.strava.com/activities/2839705311</t>
  </si>
  <si>
    <t>https://www.strava.com/activities/5050078181</t>
  </si>
  <si>
    <t>https://www.strava.com/activities/4999083114</t>
  </si>
  <si>
    <t>https://www.strava.com/activities/2839657687</t>
  </si>
  <si>
    <t>BMC Timemachine01</t>
  </si>
  <si>
    <t>https://www.strava.com/activities/2839855824</t>
  </si>
  <si>
    <t>https://www.strava.com/activities/2916155892</t>
  </si>
  <si>
    <t>https://www.strava.com/activities/2917580510</t>
  </si>
  <si>
    <t>https://www.strava.com/activities/2982687364</t>
  </si>
  <si>
    <t>https://www.strava.com/activities/2917162204</t>
  </si>
  <si>
    <t>https://www.strava.com/activities/2982524539</t>
  </si>
  <si>
    <t>https://www.strava.com/activities/2982940031</t>
  </si>
  <si>
    <t>https://www.strava.com/activities/4972706452</t>
  </si>
  <si>
    <t>https://www.strava.com/activities/4972721985</t>
  </si>
  <si>
    <t>https://www.strava.com/activities/2917161218</t>
  </si>
  <si>
    <t>https://www.strava.com/activities/2982415610</t>
  </si>
  <si>
    <t>https://www.strava.com/activities/2982687850</t>
  </si>
  <si>
    <t>https://www.strava.com/activities/4962331134</t>
  </si>
  <si>
    <t>https://www.strava.com/activities/2917878503</t>
  </si>
  <si>
    <t>retest needed?</t>
  </si>
  <si>
    <t>https://www.strava.com/activities/2982939872</t>
  </si>
  <si>
    <t>https://www.strava.com/activities/2918287187</t>
  </si>
  <si>
    <t>https://www.strava.com/activities/2917878146</t>
  </si>
  <si>
    <t>https://www.strava.com/activities/2917581262</t>
  </si>
  <si>
    <t>https://www.strava.com/activities/2975941828</t>
  </si>
  <si>
    <t>Trek Supercaliber</t>
  </si>
  <si>
    <t>https://www.strava.com/activities/4233998935</t>
  </si>
  <si>
    <t>https://www.strava.com/activities/4244360959</t>
  </si>
  <si>
    <t>https://www.strava.com/activities/4243764756</t>
  </si>
  <si>
    <t>https://www.strava.com/activities/4244667164</t>
  </si>
  <si>
    <t>https://www.strava.com/activities/4244798246</t>
  </si>
  <si>
    <t>https://www.strava.com/activities/5708358181</t>
  </si>
  <si>
    <t>Fox</t>
  </si>
  <si>
    <t>Leith</t>
  </si>
  <si>
    <t>Keith</t>
  </si>
  <si>
    <t>https://www.strava.com/activities/5320054279</t>
  </si>
  <si>
    <t>https://www.strava.com/activities/5320056119</t>
  </si>
  <si>
    <t>https://www.strava.com/activities/5320049958</t>
  </si>
  <si>
    <t>https://www.strava.com/activities/5318817269</t>
  </si>
  <si>
    <t>https://www.strava.com/activities/5319645874</t>
  </si>
  <si>
    <t>https://www.strava.com/activities/5320058973</t>
  </si>
  <si>
    <t>PowerUp</t>
  </si>
  <si>
    <t>Aero</t>
  </si>
  <si>
    <t>Feather</t>
  </si>
  <si>
    <t>Most tests deliver this time, some deliver 14.34</t>
  </si>
  <si>
    <t>ENVE 8.9</t>
  </si>
  <si>
    <t>Confirmed</t>
  </si>
  <si>
    <t>KOM Reverse</t>
  </si>
  <si>
    <t>KOM Forward</t>
  </si>
  <si>
    <t>Percentile</t>
  </si>
  <si>
    <t>https://www.strava.com/activities/3200726490</t>
  </si>
  <si>
    <t>https://www.strava.com/activities/3200709833</t>
  </si>
  <si>
    <t>https://www.strava.com/activities/3200994635</t>
  </si>
  <si>
    <t>https://www.strava.com/activities/3200995758</t>
  </si>
  <si>
    <t>https://www.strava.com/activities/3201195938</t>
  </si>
  <si>
    <t>https://www.strava.com/activities/3201208268</t>
  </si>
  <si>
    <t>https://www.strava.com/activities/3246533655</t>
  </si>
  <si>
    <t>https://www.strava.com/activities/3247321430</t>
  </si>
  <si>
    <t>https://www.strava.com/activities/4000952326</t>
  </si>
  <si>
    <t>https://www.strava.com/activities/4000929445</t>
  </si>
  <si>
    <t>https://www.strava.com/activities/4001627764</t>
  </si>
  <si>
    <t>https://www.strava.com/activities/4001625981</t>
  </si>
  <si>
    <t>https://www.strava.com/activities/3420453413</t>
  </si>
  <si>
    <t>Lightweight Meilensteins</t>
  </si>
  <si>
    <t>https://www.strava.com/activities/3421086961</t>
  </si>
  <si>
    <t>Enve 3.4</t>
  </si>
  <si>
    <t>https://www.strava.com/activities/3421087539</t>
  </si>
  <si>
    <t>https://www.strava.com/activities/2191954587</t>
  </si>
  <si>
    <t>https://www.strava.com/activities/4317966043</t>
  </si>
  <si>
    <t>https://www.strava.com/activities/4315723025</t>
  </si>
  <si>
    <t>https://www.strava.com/activities/4320041930</t>
  </si>
  <si>
    <t>https://www.strava.com/activities/4323199308</t>
  </si>
  <si>
    <t>https://www.strava.com/activities/4323543772</t>
  </si>
  <si>
    <t>Full Course</t>
  </si>
  <si>
    <t>Version 1.0.41097</t>
  </si>
  <si>
    <t>Version 1.0.42125</t>
  </si>
  <si>
    <t>Version 1.0.41943</t>
  </si>
  <si>
    <t>Bora Ultra 50</t>
  </si>
  <si>
    <t>ENVE SES 6,7</t>
  </si>
  <si>
    <t>Mavic Ultimate UST</t>
  </si>
  <si>
    <t>Bora Ultra 35</t>
  </si>
  <si>
    <t>Zwift 50mm</t>
  </si>
  <si>
    <t>Zwift 32mm</t>
  </si>
  <si>
    <t>Zwift Buffalo Fahrhad</t>
  </si>
  <si>
    <t>https://www.strava.com/activities/2915642148</t>
  </si>
  <si>
    <t>Version 1.0.43645</t>
  </si>
  <si>
    <t>https://www.strava.com/activities/2915874422</t>
  </si>
  <si>
    <t>https://www.strava.com/activities/4231359518</t>
  </si>
  <si>
    <t>https://www.strava.com/activities/4237339455</t>
  </si>
  <si>
    <t>Version 1.0.57620</t>
  </si>
  <si>
    <t>https://www.strava.com/activities/4242074076</t>
  </si>
  <si>
    <t>Flat</t>
  </si>
  <si>
    <t>Rolling</t>
  </si>
  <si>
    <t>https://www.strava.com/activities/2833386770</t>
  </si>
  <si>
    <t>https://www.strava.com/activities/2840490094</t>
  </si>
  <si>
    <t>https://www.strava.com/activities/2834104750</t>
  </si>
  <si>
    <t>https://www.strava.com/activities/2833306958</t>
  </si>
  <si>
    <t>https://www.strava.com/activities/2841214241</t>
  </si>
  <si>
    <t>https://www.strava.com/activities/2840854181</t>
  </si>
  <si>
    <t>https://www.strava.com/activities/2833171022</t>
  </si>
  <si>
    <t>https://www.strava.com/activities/2833855081</t>
  </si>
  <si>
    <t>https://www.strava.com/activities/2836850214</t>
  </si>
  <si>
    <t>https://www.strava.com/activities/2836873859</t>
  </si>
  <si>
    <t>https://www.strava.com/activities/2839267832</t>
  </si>
  <si>
    <t>https://www.strava.com/activities/2839867944</t>
  </si>
  <si>
    <t>https://www.strava.com/activities/2840554072</t>
  </si>
  <si>
    <t>https://www.strava.com/activities/2833972327</t>
  </si>
  <si>
    <t>https://www.strava.com/activities/2841496409</t>
  </si>
  <si>
    <t>https://www.strava.com/activities/2833602612</t>
  </si>
  <si>
    <t>https://www.strava.com/activities/2834027932</t>
  </si>
  <si>
    <t>https://www.strava.com/activities/2831981873</t>
  </si>
  <si>
    <t>https://www.strava.com/activities/2831982601</t>
  </si>
  <si>
    <t>https://www.strava.com/activities/2839429644</t>
  </si>
  <si>
    <t>https://www.strava.com/activities/2831909875</t>
  </si>
  <si>
    <t>https://www.strava.com/activities/2840854276</t>
  </si>
  <si>
    <t>https://www.strava.com/activities/2841100137</t>
  </si>
  <si>
    <t>Estimated</t>
  </si>
  <si>
    <t>https://www.strava.com/activities/2833536423</t>
  </si>
  <si>
    <t>https://www.strava.com/activities/2834157766</t>
  </si>
  <si>
    <t>https://www.strava.com/activities/2840718840</t>
  </si>
  <si>
    <t>https://www.strava.com/activities/2841213336</t>
  </si>
  <si>
    <t>Chapter 2 Rere</t>
  </si>
  <si>
    <t>https://www.strava.com/activities/2833672545</t>
  </si>
  <si>
    <t>https://www.strava.com/activities/2836821868</t>
  </si>
  <si>
    <t>https://www.strava.com/activities/2836899869</t>
  </si>
  <si>
    <t>https://www.strava.com/activities/2836913883</t>
  </si>
  <si>
    <t>https://www.strava.com/activities/2838268325</t>
  </si>
  <si>
    <t>https://www.strava.com/activities/2841086723</t>
  </si>
  <si>
    <t>https://www.strava.com/activities/2841628459</t>
  </si>
  <si>
    <t>https://www.strava.com/activities/2833240588</t>
  </si>
  <si>
    <t>https://www.strava.com/activities/2833465625</t>
  </si>
  <si>
    <t>https://www.strava.com/activities/2833906441</t>
  </si>
  <si>
    <t>https://www.strava.com/activities/2836892722</t>
  </si>
  <si>
    <t>https://www.strava.com/activities/2838271446</t>
  </si>
  <si>
    <t>https://www.strava.com/activities/2839367781</t>
  </si>
  <si>
    <t>https://www.strava.com/activities/2839658309</t>
  </si>
  <si>
    <t>https://www.strava.com/activities/2840635701</t>
  </si>
  <si>
    <t>https://www.strava.com/activities/2840720610</t>
  </si>
  <si>
    <t>https://www.strava.com/activities/2840980106</t>
  </si>
  <si>
    <t>https://www.strava.com/activities/2831252240</t>
  </si>
  <si>
    <t>Cannondale Caad12</t>
  </si>
  <si>
    <t>https://www.strava.com/activities/2831328524</t>
  </si>
  <si>
    <t>Chapter 2 Tere</t>
  </si>
  <si>
    <t>https://www.strava.com/activities/2833781948</t>
  </si>
  <si>
    <t>https://www.strava.com/activities/2836717792</t>
  </si>
  <si>
    <t>https://www.strava.com/activities/2831849179</t>
  </si>
  <si>
    <t>https://www.strava.com/activities/2836784278</t>
  </si>
  <si>
    <t>https://www.strava.com/activities/2839484073</t>
  </si>
  <si>
    <t>https://www.strava.com/activities/2839540694</t>
  </si>
  <si>
    <t>https://www.strava.com/activities/2831415698</t>
  </si>
  <si>
    <t>https://www.strava.com/activities/2839680414</t>
  </si>
  <si>
    <t>https://www.strava.com/activities/2839760096</t>
  </si>
  <si>
    <t>https://www.strava.com/activities/2839818678</t>
  </si>
  <si>
    <t>https://www.strava.com/activities/2840985112</t>
  </si>
  <si>
    <t>https://www.strava.com/activities/2841323954</t>
  </si>
  <si>
    <t>https://www.strava.com/activities/2841424887</t>
  </si>
  <si>
    <t>https://www.strava.com/activities/2841425805</t>
  </si>
  <si>
    <t>https://www.strava.com/activities/2841335141</t>
  </si>
  <si>
    <t>Full Lap</t>
  </si>
  <si>
    <t>10km Flat</t>
  </si>
  <si>
    <t>Volcano Climb</t>
  </si>
  <si>
    <t>Volcano Descent</t>
  </si>
  <si>
    <t>Giant Propel Advanced SL 1</t>
  </si>
  <si>
    <t>https://www.strava.com/activities/4766103829</t>
  </si>
  <si>
    <t>Cannondale System Six</t>
  </si>
  <si>
    <t>Comete Pro Carbon SL UST</t>
  </si>
  <si>
    <t>Cosmic CXR60c</t>
  </si>
  <si>
    <t>Cosmic Ultimate UST</t>
  </si>
  <si>
    <t>Giant TCR Advanced Pro</t>
  </si>
  <si>
    <t>Safety</t>
  </si>
  <si>
    <t>Classic</t>
  </si>
  <si>
    <t>Buffalo Fahrrad</t>
  </si>
  <si>
    <t>Retest</t>
  </si>
  <si>
    <t>Climb</t>
  </si>
  <si>
    <t>Reverse</t>
  </si>
  <si>
    <t>https://www.strava.com/activities/3634426967</t>
  </si>
  <si>
    <t>https://www.strava.com/activities/3634427578</t>
  </si>
  <si>
    <t>climb time incorrect</t>
  </si>
  <si>
    <t>https://www.strava.com/activities/3634699636</t>
  </si>
  <si>
    <t>https://www.strava.com/activities/3635466208</t>
  </si>
  <si>
    <t>Specialized P5</t>
  </si>
  <si>
    <t>https://www.strava.com/activities/3638533423</t>
  </si>
  <si>
    <t>2nd attempt to verify climb time</t>
  </si>
  <si>
    <t>https://www.strava.com/activities/5002856445</t>
  </si>
  <si>
    <t>https://www.strava.com/activities/5003776214</t>
  </si>
  <si>
    <t>Titans KOM</t>
  </si>
  <si>
    <t>Hill KOM</t>
  </si>
  <si>
    <t>Volcano KOM</t>
  </si>
  <si>
    <t>Titans KOM Rev</t>
  </si>
  <si>
    <t>https://www.strava.com/activities/4157050973</t>
  </si>
  <si>
    <t>https://www.strava.com/activities/4158260805</t>
  </si>
  <si>
    <t>https://www.strava.com/activities/4158262067</t>
  </si>
  <si>
    <t>https://www.strava.com/activities/4157050653</t>
  </si>
  <si>
    <t>https://www.strava.com/activities/4156751990</t>
  </si>
  <si>
    <t>https://www.strava.com/activities/4156751556</t>
  </si>
  <si>
    <t>https://www.strava.com/activities/4159669496</t>
  </si>
  <si>
    <t>https://www.strava.com/activities/4159668658</t>
  </si>
  <si>
    <t>KOM Rev</t>
  </si>
  <si>
    <t>East Side Climb</t>
  </si>
  <si>
    <t>https://www.strava.com/activities/4756860840</t>
  </si>
  <si>
    <t>https://www.strava.com/activities/4757433068</t>
  </si>
  <si>
    <t>https://www.strava.com/activities/4757433652</t>
  </si>
  <si>
    <t>Libby Climb</t>
  </si>
  <si>
    <t>23rd St Climb</t>
  </si>
  <si>
    <t>32mm carbon</t>
  </si>
  <si>
    <t>35s</t>
  </si>
  <si>
    <t>34s</t>
  </si>
  <si>
    <t>43s</t>
  </si>
  <si>
    <t>42s</t>
  </si>
  <si>
    <t>45s</t>
  </si>
  <si>
    <t>49s</t>
  </si>
  <si>
    <t>52s</t>
  </si>
  <si>
    <t>55s</t>
  </si>
  <si>
    <t>54s</t>
  </si>
  <si>
    <t>56s</t>
  </si>
  <si>
    <t>59s</t>
  </si>
  <si>
    <t>https://www.strava.com/activities/4221903349</t>
  </si>
  <si>
    <t>https://www.strava.com/activities/4220927275</t>
  </si>
  <si>
    <t>https://www.strava.com/activities/4220928339</t>
  </si>
  <si>
    <t>Zwift Concept ZI (Tron)</t>
  </si>
  <si>
    <t>https://www.strava.com/activities/4232923110</t>
  </si>
  <si>
    <t>https://www.strava.com/activities/4233029383</t>
  </si>
  <si>
    <t>Reverse KOM</t>
  </si>
  <si>
    <t>Forward KOM</t>
  </si>
  <si>
    <t>https://www.strava.com/activities/4286777856</t>
  </si>
  <si>
    <t>https://www.strava.com/activities/4285684324</t>
  </si>
  <si>
    <t>https://www.strava.com/activities/4285789316</t>
  </si>
  <si>
    <t>https://www.strava.com/activities/4286780421</t>
  </si>
  <si>
    <t>https://www.strava.com/activities/4285701234</t>
  </si>
  <si>
    <t>KOM</t>
  </si>
  <si>
    <t>https://www.strava.com/activities/4446639452</t>
  </si>
  <si>
    <t>https://www.strava.com/activities/4448146333</t>
  </si>
  <si>
    <t>https://www.strava.com/activities/4447903338</t>
  </si>
  <si>
    <t>Downhill 1</t>
  </si>
  <si>
    <t>Downhill 2</t>
  </si>
  <si>
    <t>27s</t>
  </si>
  <si>
    <t>28s</t>
  </si>
  <si>
    <t>29s</t>
  </si>
  <si>
    <t>30s</t>
  </si>
  <si>
    <t>31s</t>
  </si>
  <si>
    <t>Specialized Shiv 2019</t>
  </si>
  <si>
    <t>Shiv</t>
  </si>
  <si>
    <t>OLD Buffalo Fahrrad</t>
  </si>
  <si>
    <t>Enve SES 6.7</t>
  </si>
  <si>
    <t>Pinarello Dogma</t>
  </si>
  <si>
    <t>OLD Tron bike (Concept Z1)</t>
  </si>
  <si>
    <t>Bontrager Aeolus 5</t>
  </si>
  <si>
    <t>50mm carbon</t>
  </si>
  <si>
    <t>Zwift Safety (April 1 2016)</t>
  </si>
  <si>
    <t>32s</t>
  </si>
  <si>
    <t>33s</t>
  </si>
  <si>
    <t>% of overall time</t>
  </si>
  <si>
    <t>Note: these results aren't current anymore, since Zwift adjusted Crr values for brick, which makes up a portion of the route</t>
  </si>
  <si>
    <t>Zipp 858/Super 9</t>
  </si>
  <si>
    <t>270/330</t>
  </si>
  <si>
    <t>270 on flat, 330 on climb</t>
  </si>
  <si>
    <t>https://www.strava.com/activities/3424202019</t>
  </si>
  <si>
    <t>Version 1.0.40555</t>
  </si>
  <si>
    <t>Version 1.0.41095</t>
  </si>
  <si>
    <t>Zwift 32mm Carbon</t>
  </si>
  <si>
    <t>Zwift 50mm Carbon</t>
  </si>
  <si>
    <t>Flat 1</t>
  </si>
  <si>
    <t>Flat 2</t>
  </si>
  <si>
    <t>Reverse Climb</t>
  </si>
  <si>
    <t>Forward Climb</t>
  </si>
  <si>
    <t>Reverse Downhill</t>
  </si>
  <si>
    <t>Forward Downhill</t>
  </si>
  <si>
    <t>Tron bike (Concept Z1)</t>
  </si>
  <si>
    <t>Buffalo Fahrrad (old)</t>
  </si>
  <si>
    <t>Z-Wheeler</t>
  </si>
  <si>
    <t>na</t>
  </si>
  <si>
    <t>Based on Richmond times, this looks like a bad test.</t>
  </si>
  <si>
    <t>Lightweight</t>
  </si>
  <si>
    <t>808/Disc</t>
  </si>
  <si>
    <t>Helmet</t>
  </si>
  <si>
    <t>None</t>
  </si>
  <si>
    <t>Emonda</t>
  </si>
  <si>
    <t>Bone Bike (Halloween)</t>
  </si>
  <si>
    <t>Bones</t>
  </si>
  <si>
    <t>https://www.strava.com/activities/1937847233</t>
  </si>
  <si>
    <t>https://www.strava.com/activities/2000270875</t>
  </si>
  <si>
    <t>https://www.strava.com/activities/2025390806</t>
  </si>
  <si>
    <t>Newsy Hat</t>
  </si>
  <si>
    <t>https://www.strava.com/activities/2026979106</t>
  </si>
  <si>
    <t>Bell Javelin</t>
  </si>
  <si>
    <t>:04:48</t>
  </si>
  <si>
    <t>https://www.strava.com/activities/2025238453</t>
  </si>
  <si>
    <t>Giro Vanquish</t>
  </si>
  <si>
    <t>https://www.strava.com/activities/2025516813</t>
  </si>
  <si>
    <t>Laser Bullet</t>
  </si>
  <si>
    <t>https://www.strava.com/activities/2026682163</t>
  </si>
  <si>
    <t>https://www.strava.com/activities/2024423474</t>
  </si>
  <si>
    <t>https://www.strava.com/activities/2024307875</t>
  </si>
  <si>
    <t>https://www.strava.com/activities/2024181031</t>
  </si>
  <si>
    <t>S-Works</t>
  </si>
  <si>
    <t>https://www.strava.com/activities/2025619782</t>
  </si>
  <si>
    <t>https://www.strava.com/activities/2025712337</t>
  </si>
  <si>
    <t>https://www.strava.com/activities/2025872403</t>
  </si>
  <si>
    <t>https://www.strava.com/activities/3011917629</t>
  </si>
  <si>
    <t>https://www.strava.com/activities/3012213219</t>
  </si>
  <si>
    <t>https://www.strava.com/activities/3012054373</t>
  </si>
  <si>
    <t>Flat Test</t>
  </si>
  <si>
    <t>DT Swiss</t>
  </si>
  <si>
    <t>Climb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</si>
</sst>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:&quot;ss"/>
  </numFmts>
  <fonts count="36">
    <font>
      <sz val="10"/>
      <color rgb="FF000000"/>
      <name val="Arial"/>
    </font>
    <font>
      <b/>
      <sz val="12"/>
      <color rgb="FF555555"/>
      <name val="Raleway"/>
    </font>
    <font>
      <sz val="10"/>
      <name val="Arial"/>
    </font>
    <font>
      <sz val="12"/>
      <color rgb="FF333333"/>
      <name val="Raleway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2"/>
      <color rgb="FF4BB6F5"/>
      <name val="Raleway"/>
    </font>
    <font>
      <i/>
      <sz val="10"/>
      <name val="Arial"/>
    </font>
    <font>
      <u/>
      <sz val="10"/>
      <color rgb="FF0000FF"/>
      <name val="Arial"/>
    </font>
    <font>
      <u/>
      <sz val="12"/>
      <color rgb="FF4BB6F5"/>
      <name val="Raleway"/>
    </font>
    <font>
      <u/>
      <sz val="12"/>
      <color rgb="FF4BB6F5"/>
      <name val="Raleway"/>
    </font>
    <font>
      <i/>
      <sz val="10"/>
      <name val="Arial"/>
    </font>
    <font>
      <u/>
      <sz val="12"/>
      <color rgb="FF1155CC"/>
      <name val="Raleway"/>
    </font>
    <font>
      <sz val="12"/>
      <color rgb="FF4BB6F5"/>
      <name val="Raleway"/>
    </font>
    <font>
      <i/>
      <sz val="12"/>
      <color rgb="FF333333"/>
      <name val="Raleway"/>
    </font>
    <font>
      <sz val="12"/>
      <color rgb="FFFF0000"/>
      <name val="Raleway"/>
    </font>
    <font>
      <i/>
      <sz val="12"/>
      <color rgb="FF000000"/>
      <name val="Raleway"/>
    </font>
    <font>
      <b/>
      <sz val="12"/>
      <color rgb="FF333333"/>
      <name val="Raleway"/>
    </font>
    <font>
      <u/>
      <sz val="12"/>
      <color rgb="FF4BB6F5"/>
      <name val="Raleway"/>
    </font>
    <font>
      <i/>
      <sz val="12"/>
      <color rgb="FFFF0000"/>
      <name val="Raleway"/>
    </font>
    <font>
      <sz val="12"/>
      <color rgb="FF000000"/>
      <name val="Raleway"/>
    </font>
    <font>
      <u/>
      <sz val="12"/>
      <color rgb="FF333333"/>
      <name val="Raleway"/>
    </font>
    <font>
      <u/>
      <sz val="12"/>
      <color rgb="FF333333"/>
      <name val="Raleway"/>
    </font>
    <font>
      <u/>
      <sz val="12"/>
      <color rgb="FF333333"/>
      <name val="Raleway"/>
    </font>
  </fonts>
  <fills count="9">
    <fill>
      <patternFill patternType="none"/>
    </fill>
    <fill>
      <patternFill patternType="gray125"/>
    </fill>
    <fill>
      <patternFill patternType="solid">
        <fgColor rgb="FFECF7F1"/>
        <bgColor rgb="FFECF7F1"/>
      </patternFill>
    </fill>
    <fill>
      <patternFill patternType="solid">
        <fgColor rgb="FFFFFFFF"/>
        <bgColor rgb="FFFFFFFF"/>
      </patternFill>
    </fill>
    <fill>
      <patternFill patternType="solid">
        <fgColor rgb="FF6EC49A"/>
        <bgColor rgb="FF6EC49A"/>
      </patternFill>
    </fill>
    <fill>
      <patternFill patternType="solid">
        <fgColor rgb="FF64C093"/>
        <bgColor rgb="FF64C093"/>
      </patternFill>
    </fill>
    <fill>
      <patternFill patternType="solid">
        <fgColor rgb="FF62BF91"/>
        <bgColor rgb="FF62BF91"/>
      </patternFill>
    </fill>
    <fill>
      <patternFill patternType="solid">
        <fgColor rgb="FF5FBE90"/>
        <bgColor rgb="FF5FBE90"/>
      </patternFill>
    </fill>
    <fill>
      <patternFill patternType="solid">
        <fgColor rgb="FF68C296"/>
        <bgColor rgb="FF68C29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46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21" fontId="3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3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0" xfId="0" applyFont="1"/>
    <xf numFmtId="0" fontId="2" fillId="0" borderId="1" xfId="0" applyFont="1" applyBorder="1"/>
    <xf numFmtId="10" fontId="3" fillId="2" borderId="0" xfId="0" applyNumberFormat="1" applyFont="1" applyFill="1" applyAlignment="1">
      <alignment horizontal="left" vertical="top"/>
    </xf>
    <xf numFmtId="10" fontId="3" fillId="0" borderId="0" xfId="0" applyNumberFormat="1" applyFont="1" applyAlignment="1">
      <alignment horizontal="left" vertical="top"/>
    </xf>
    <xf numFmtId="46" fontId="3" fillId="3" borderId="0" xfId="0" applyNumberFormat="1" applyFont="1" applyFill="1" applyAlignment="1">
      <alignment horizontal="left" vertical="top"/>
    </xf>
    <xf numFmtId="10" fontId="3" fillId="3" borderId="0" xfId="0" applyNumberFormat="1" applyFont="1" applyFill="1" applyAlignment="1">
      <alignment horizontal="left" vertical="top"/>
    </xf>
    <xf numFmtId="10" fontId="3" fillId="4" borderId="0" xfId="0" applyNumberFormat="1" applyFont="1" applyFill="1" applyAlignment="1">
      <alignment horizontal="left" vertical="top"/>
    </xf>
    <xf numFmtId="10" fontId="3" fillId="5" borderId="0" xfId="0" applyNumberFormat="1" applyFont="1" applyFill="1" applyAlignment="1">
      <alignment horizontal="left" vertical="top"/>
    </xf>
    <xf numFmtId="10" fontId="3" fillId="6" borderId="0" xfId="0" applyNumberFormat="1" applyFont="1" applyFill="1" applyAlignment="1">
      <alignment horizontal="left" vertical="top"/>
    </xf>
    <xf numFmtId="10" fontId="3" fillId="7" borderId="0" xfId="0" applyNumberFormat="1" applyFont="1" applyFill="1" applyAlignment="1">
      <alignment horizontal="left" vertical="top"/>
    </xf>
    <xf numFmtId="2" fontId="1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 vertical="top"/>
    </xf>
    <xf numFmtId="2" fontId="2" fillId="0" borderId="0" xfId="0" applyNumberFormat="1" applyFont="1"/>
    <xf numFmtId="0" fontId="3" fillId="0" borderId="0" xfId="0" applyFont="1" applyAlignment="1">
      <alignment vertical="top"/>
    </xf>
    <xf numFmtId="10" fontId="3" fillId="8" borderId="0" xfId="0" applyNumberFormat="1" applyFont="1" applyFill="1" applyAlignment="1">
      <alignment horizontal="left" vertical="top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46" fontId="27" fillId="0" borderId="0" xfId="0" applyNumberFormat="1" applyFont="1" applyAlignment="1">
      <alignment horizontal="left" vertical="top"/>
    </xf>
    <xf numFmtId="0" fontId="23" fillId="0" borderId="0" xfId="0" applyFont="1"/>
    <xf numFmtId="0" fontId="28" fillId="0" borderId="0" xfId="0" applyFont="1" applyAlignment="1">
      <alignment horizontal="left" vertical="top"/>
    </xf>
    <xf numFmtId="46" fontId="29" fillId="0" borderId="0" xfId="0" applyNumberFormat="1" applyFont="1" applyAlignment="1">
      <alignment horizontal="left" vertical="top"/>
    </xf>
    <xf numFmtId="0" fontId="30" fillId="0" borderId="0" xfId="0" applyFont="1" applyAlignment="1">
      <alignment horizontal="left"/>
    </xf>
    <xf numFmtId="20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 vertical="top"/>
    </xf>
    <xf numFmtId="10" fontId="32" fillId="0" borderId="0" xfId="0" applyNumberFormat="1" applyFont="1" applyAlignment="1">
      <alignment horizontal="left"/>
    </xf>
    <xf numFmtId="46" fontId="1" fillId="0" borderId="0" xfId="0" applyNumberFormat="1" applyFont="1" applyAlignment="1">
      <alignment horizontal="left"/>
    </xf>
    <xf numFmtId="20" fontId="33" fillId="0" borderId="0" xfId="0" applyNumberFormat="1" applyFont="1" applyAlignment="1">
      <alignment horizontal="left" vertical="top"/>
    </xf>
    <xf numFmtId="20" fontId="34" fillId="0" borderId="0" xfId="0" applyNumberFormat="1" applyFont="1" applyAlignment="1">
      <alignment horizontal="left" vertical="top"/>
    </xf>
    <xf numFmtId="46" fontId="26" fillId="0" borderId="0" xfId="0" applyNumberFormat="1" applyFont="1" applyAlignment="1">
      <alignment horizontal="left" vertical="top"/>
    </xf>
    <xf numFmtId="46" fontId="2" fillId="0" borderId="0" xfId="0" applyNumberFormat="1" applyFont="1"/>
    <xf numFmtId="0" fontId="3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va.com/activities/2850203875" TargetMode="External"/><Relationship Id="rId21" Type="http://schemas.openxmlformats.org/officeDocument/2006/relationships/hyperlink" Target="https://www.strava.com/activities/3380109091" TargetMode="External"/><Relationship Id="rId42" Type="http://schemas.openxmlformats.org/officeDocument/2006/relationships/hyperlink" Target="https://www.strava.com/activities/5706839374" TargetMode="External"/><Relationship Id="rId63" Type="http://schemas.openxmlformats.org/officeDocument/2006/relationships/hyperlink" Target="https://www.strava.com/activities/2845696572" TargetMode="External"/><Relationship Id="rId84" Type="http://schemas.openxmlformats.org/officeDocument/2006/relationships/hyperlink" Target="https://www.strava.com/activities/4230697045" TargetMode="External"/><Relationship Id="rId138" Type="http://schemas.openxmlformats.org/officeDocument/2006/relationships/hyperlink" Target="https://www.strava.com/activities/2850541998" TargetMode="External"/><Relationship Id="rId159" Type="http://schemas.openxmlformats.org/officeDocument/2006/relationships/hyperlink" Target="https://www.strava.com/activities/2909896856" TargetMode="External"/><Relationship Id="rId170" Type="http://schemas.openxmlformats.org/officeDocument/2006/relationships/hyperlink" Target="https://www.strava.com/activities/2857872039" TargetMode="External"/><Relationship Id="rId107" Type="http://schemas.openxmlformats.org/officeDocument/2006/relationships/hyperlink" Target="https://www.strava.com/activities/5169627151" TargetMode="External"/><Relationship Id="rId11" Type="http://schemas.openxmlformats.org/officeDocument/2006/relationships/hyperlink" Target="https://www.strava.com/activities/2843119110" TargetMode="External"/><Relationship Id="rId32" Type="http://schemas.openxmlformats.org/officeDocument/2006/relationships/hyperlink" Target="https://www.strava.com/activities/2863313704" TargetMode="External"/><Relationship Id="rId53" Type="http://schemas.openxmlformats.org/officeDocument/2006/relationships/hyperlink" Target="https://www.strava.com/activities/2845442044" TargetMode="External"/><Relationship Id="rId74" Type="http://schemas.openxmlformats.org/officeDocument/2006/relationships/hyperlink" Target="https://www.strava.com/activities/2848740921" TargetMode="External"/><Relationship Id="rId128" Type="http://schemas.openxmlformats.org/officeDocument/2006/relationships/hyperlink" Target="https://www.strava.com/activities/2850319857" TargetMode="External"/><Relationship Id="rId149" Type="http://schemas.openxmlformats.org/officeDocument/2006/relationships/hyperlink" Target="https://www.strava.com/activities/4974626852" TargetMode="External"/><Relationship Id="rId5" Type="http://schemas.openxmlformats.org/officeDocument/2006/relationships/hyperlink" Target="https://www.strava.com/activities/3048470870" TargetMode="External"/><Relationship Id="rId95" Type="http://schemas.openxmlformats.org/officeDocument/2006/relationships/hyperlink" Target="https://www.strava.com/activities/3373520200" TargetMode="External"/><Relationship Id="rId160" Type="http://schemas.openxmlformats.org/officeDocument/2006/relationships/hyperlink" Target="https://www.strava.com/activities/4974626852" TargetMode="External"/><Relationship Id="rId22" Type="http://schemas.openxmlformats.org/officeDocument/2006/relationships/hyperlink" Target="https://www.strava.com/activities/2843568393" TargetMode="External"/><Relationship Id="rId43" Type="http://schemas.openxmlformats.org/officeDocument/2006/relationships/hyperlink" Target="https://www.strava.com/activities/2843767446" TargetMode="External"/><Relationship Id="rId64" Type="http://schemas.openxmlformats.org/officeDocument/2006/relationships/hyperlink" Target="https://www.strava.com/activities/5324988410" TargetMode="External"/><Relationship Id="rId118" Type="http://schemas.openxmlformats.org/officeDocument/2006/relationships/hyperlink" Target="https://www.strava.com/activities/2849226911" TargetMode="External"/><Relationship Id="rId139" Type="http://schemas.openxmlformats.org/officeDocument/2006/relationships/hyperlink" Target="https://www.strava.com/activities/5047488672" TargetMode="External"/><Relationship Id="rId85" Type="http://schemas.openxmlformats.org/officeDocument/2006/relationships/hyperlink" Target="https://www.strava.com/activities/2848872112" TargetMode="External"/><Relationship Id="rId150" Type="http://schemas.openxmlformats.org/officeDocument/2006/relationships/hyperlink" Target="https://www.strava.com/activities/2991275700" TargetMode="External"/><Relationship Id="rId171" Type="http://schemas.openxmlformats.org/officeDocument/2006/relationships/hyperlink" Target="https://www.strava.com/activities/2844248601" TargetMode="External"/><Relationship Id="rId12" Type="http://schemas.openxmlformats.org/officeDocument/2006/relationships/hyperlink" Target="https://www.strava.com/activities/2843249127" TargetMode="External"/><Relationship Id="rId33" Type="http://schemas.openxmlformats.org/officeDocument/2006/relationships/hyperlink" Target="https://www.strava.com/activities/2843767829" TargetMode="External"/><Relationship Id="rId108" Type="http://schemas.openxmlformats.org/officeDocument/2006/relationships/hyperlink" Target="https://www.strava.com/activities/2850597949" TargetMode="External"/><Relationship Id="rId129" Type="http://schemas.openxmlformats.org/officeDocument/2006/relationships/hyperlink" Target="https://www.strava.com/activities/2849227145" TargetMode="External"/><Relationship Id="rId54" Type="http://schemas.openxmlformats.org/officeDocument/2006/relationships/hyperlink" Target="https://www.strava.com/activities/2844450138" TargetMode="External"/><Relationship Id="rId75" Type="http://schemas.openxmlformats.org/officeDocument/2006/relationships/hyperlink" Target="https://www.strava.com/activities/5706932194" TargetMode="External"/><Relationship Id="rId96" Type="http://schemas.openxmlformats.org/officeDocument/2006/relationships/hyperlink" Target="https://www.strava.com/activities/2853787203" TargetMode="External"/><Relationship Id="rId140" Type="http://schemas.openxmlformats.org/officeDocument/2006/relationships/hyperlink" Target="https://www.strava.com/activities/3328674576" TargetMode="External"/><Relationship Id="rId161" Type="http://schemas.openxmlformats.org/officeDocument/2006/relationships/hyperlink" Target="https://www.strava.com/activities/2909995568" TargetMode="External"/><Relationship Id="rId6" Type="http://schemas.openxmlformats.org/officeDocument/2006/relationships/hyperlink" Target="https://www.strava.com/activities/4999087324" TargetMode="External"/><Relationship Id="rId23" Type="http://schemas.openxmlformats.org/officeDocument/2006/relationships/hyperlink" Target="https://www.strava.com/activities/4969452558" TargetMode="External"/><Relationship Id="rId28" Type="http://schemas.openxmlformats.org/officeDocument/2006/relationships/hyperlink" Target="https://www.strava.com/activities/2848419614" TargetMode="External"/><Relationship Id="rId49" Type="http://schemas.openxmlformats.org/officeDocument/2006/relationships/hyperlink" Target="https://www.strava.com/activities/5632925862" TargetMode="External"/><Relationship Id="rId114" Type="http://schemas.openxmlformats.org/officeDocument/2006/relationships/hyperlink" Target="https://www.strava.com/activities/2846457119" TargetMode="External"/><Relationship Id="rId119" Type="http://schemas.openxmlformats.org/officeDocument/2006/relationships/hyperlink" Target="https://www.strava.com/activities/2848960110" TargetMode="External"/><Relationship Id="rId44" Type="http://schemas.openxmlformats.org/officeDocument/2006/relationships/hyperlink" Target="https://www.strava.com/activities/2971157079" TargetMode="External"/><Relationship Id="rId60" Type="http://schemas.openxmlformats.org/officeDocument/2006/relationships/hyperlink" Target="https://www.strava.com/activities/2844546624" TargetMode="External"/><Relationship Id="rId65" Type="http://schemas.openxmlformats.org/officeDocument/2006/relationships/hyperlink" Target="https://www.strava.com/activities/2845563733" TargetMode="External"/><Relationship Id="rId81" Type="http://schemas.openxmlformats.org/officeDocument/2006/relationships/hyperlink" Target="https://www.strava.com/activities/5631420820" TargetMode="External"/><Relationship Id="rId86" Type="http://schemas.openxmlformats.org/officeDocument/2006/relationships/hyperlink" Target="https://www.strava.com/activities/2863260185" TargetMode="External"/><Relationship Id="rId130" Type="http://schemas.openxmlformats.org/officeDocument/2006/relationships/hyperlink" Target="https://www.strava.com/activities/2849097092" TargetMode="External"/><Relationship Id="rId135" Type="http://schemas.openxmlformats.org/officeDocument/2006/relationships/hyperlink" Target="https://www.strava.com/activities/2844248304" TargetMode="External"/><Relationship Id="rId151" Type="http://schemas.openxmlformats.org/officeDocument/2006/relationships/hyperlink" Target="https://www.strava.com/activities/2982170536" TargetMode="External"/><Relationship Id="rId156" Type="http://schemas.openxmlformats.org/officeDocument/2006/relationships/hyperlink" Target="https://www.strava.com/activities/2981582663" TargetMode="External"/><Relationship Id="rId177" Type="http://schemas.openxmlformats.org/officeDocument/2006/relationships/hyperlink" Target="https://www.strava.com/activities/5708622707" TargetMode="External"/><Relationship Id="rId172" Type="http://schemas.openxmlformats.org/officeDocument/2006/relationships/hyperlink" Target="https://www.strava.com/activities/4974626852" TargetMode="External"/><Relationship Id="rId13" Type="http://schemas.openxmlformats.org/officeDocument/2006/relationships/hyperlink" Target="https://www.strava.com/activities/2843566340" TargetMode="External"/><Relationship Id="rId18" Type="http://schemas.openxmlformats.org/officeDocument/2006/relationships/hyperlink" Target="https://www.strava.com/activities/2843254333" TargetMode="External"/><Relationship Id="rId39" Type="http://schemas.openxmlformats.org/officeDocument/2006/relationships/hyperlink" Target="https://www.strava.com/activities/4130210499" TargetMode="External"/><Relationship Id="rId109" Type="http://schemas.openxmlformats.org/officeDocument/2006/relationships/hyperlink" Target="https://www.strava.com/activities/2844334086" TargetMode="External"/><Relationship Id="rId34" Type="http://schemas.openxmlformats.org/officeDocument/2006/relationships/hyperlink" Target="https://www.strava.com/activities/2844038138" TargetMode="External"/><Relationship Id="rId50" Type="http://schemas.openxmlformats.org/officeDocument/2006/relationships/hyperlink" Target="https://www.strava.com/activities/4230697045" TargetMode="External"/><Relationship Id="rId55" Type="http://schemas.openxmlformats.org/officeDocument/2006/relationships/hyperlink" Target="https://www.strava.com/activities/4132479899" TargetMode="External"/><Relationship Id="rId76" Type="http://schemas.openxmlformats.org/officeDocument/2006/relationships/hyperlink" Target="https://www.strava.com/activities/2847917929" TargetMode="External"/><Relationship Id="rId97" Type="http://schemas.openxmlformats.org/officeDocument/2006/relationships/hyperlink" Target="https://www.strava.com/activities/5706413232" TargetMode="External"/><Relationship Id="rId104" Type="http://schemas.openxmlformats.org/officeDocument/2006/relationships/hyperlink" Target="https://www.strava.com/activities/2844233360" TargetMode="External"/><Relationship Id="rId120" Type="http://schemas.openxmlformats.org/officeDocument/2006/relationships/hyperlink" Target="https://www.strava.com/activities/2848872394" TargetMode="External"/><Relationship Id="rId125" Type="http://schemas.openxmlformats.org/officeDocument/2006/relationships/hyperlink" Target="https://www.strava.com/activities/2845606401" TargetMode="External"/><Relationship Id="rId141" Type="http://schemas.openxmlformats.org/officeDocument/2006/relationships/hyperlink" Target="https://www.strava.com/activities/2850432155" TargetMode="External"/><Relationship Id="rId146" Type="http://schemas.openxmlformats.org/officeDocument/2006/relationships/hyperlink" Target="https://www.strava.com/activities/4969452558" TargetMode="External"/><Relationship Id="rId167" Type="http://schemas.openxmlformats.org/officeDocument/2006/relationships/hyperlink" Target="https://www.strava.com/activities/4243765323" TargetMode="External"/><Relationship Id="rId7" Type="http://schemas.openxmlformats.org/officeDocument/2006/relationships/hyperlink" Target="https://www.strava.com/activities/2842998400" TargetMode="External"/><Relationship Id="rId71" Type="http://schemas.openxmlformats.org/officeDocument/2006/relationships/hyperlink" Target="https://www.strava.com/activities/2845697377" TargetMode="External"/><Relationship Id="rId92" Type="http://schemas.openxmlformats.org/officeDocument/2006/relationships/hyperlink" Target="https://www.strava.com/activities/2844333853" TargetMode="External"/><Relationship Id="rId162" Type="http://schemas.openxmlformats.org/officeDocument/2006/relationships/hyperlink" Target="https://www.strava.com/activities/2915887923" TargetMode="External"/><Relationship Id="rId2" Type="http://schemas.openxmlformats.org/officeDocument/2006/relationships/hyperlink" Target="https://www.strava.com/activities/4969454217" TargetMode="External"/><Relationship Id="rId29" Type="http://schemas.openxmlformats.org/officeDocument/2006/relationships/hyperlink" Target="https://www.strava.com/activities/2844037803" TargetMode="External"/><Relationship Id="rId24" Type="http://schemas.openxmlformats.org/officeDocument/2006/relationships/hyperlink" Target="https://www.strava.com/activities/2843923128" TargetMode="External"/><Relationship Id="rId40" Type="http://schemas.openxmlformats.org/officeDocument/2006/relationships/hyperlink" Target="https://www.strava.com/activities/4131204792" TargetMode="External"/><Relationship Id="rId45" Type="http://schemas.openxmlformats.org/officeDocument/2006/relationships/hyperlink" Target="https://www.strava.com/activities/2844450384" TargetMode="External"/><Relationship Id="rId66" Type="http://schemas.openxmlformats.org/officeDocument/2006/relationships/hyperlink" Target="https://www.strava.com/activities/2844622447" TargetMode="External"/><Relationship Id="rId87" Type="http://schemas.openxmlformats.org/officeDocument/2006/relationships/hyperlink" Target="https://www.strava.com/activities/4381733495" TargetMode="External"/><Relationship Id="rId110" Type="http://schemas.openxmlformats.org/officeDocument/2006/relationships/hyperlink" Target="https://www.strava.com/activities/2853633385" TargetMode="External"/><Relationship Id="rId115" Type="http://schemas.openxmlformats.org/officeDocument/2006/relationships/hyperlink" Target="https://www.strava.com/activities/2845564512" TargetMode="External"/><Relationship Id="rId131" Type="http://schemas.openxmlformats.org/officeDocument/2006/relationships/hyperlink" Target="https://www.strava.com/activities/2849096952" TargetMode="External"/><Relationship Id="rId136" Type="http://schemas.openxmlformats.org/officeDocument/2006/relationships/hyperlink" Target="https://www.strava.com/activities/2982033990" TargetMode="External"/><Relationship Id="rId157" Type="http://schemas.openxmlformats.org/officeDocument/2006/relationships/hyperlink" Target="https://www.strava.com/activities/4974626852" TargetMode="External"/><Relationship Id="rId61" Type="http://schemas.openxmlformats.org/officeDocument/2006/relationships/hyperlink" Target="https://www.strava.com/activities/5326133105" TargetMode="External"/><Relationship Id="rId82" Type="http://schemas.openxmlformats.org/officeDocument/2006/relationships/hyperlink" Target="https://www.strava.com/activities/2848623191" TargetMode="External"/><Relationship Id="rId152" Type="http://schemas.openxmlformats.org/officeDocument/2006/relationships/hyperlink" Target="https://www.strava.com/activities/4969452558" TargetMode="External"/><Relationship Id="rId173" Type="http://schemas.openxmlformats.org/officeDocument/2006/relationships/hyperlink" Target="https://www.strava.com/activities/2844334086" TargetMode="External"/><Relationship Id="rId19" Type="http://schemas.openxmlformats.org/officeDocument/2006/relationships/hyperlink" Target="https://www.strava.com/activities/2843402443" TargetMode="External"/><Relationship Id="rId14" Type="http://schemas.openxmlformats.org/officeDocument/2006/relationships/hyperlink" Target="https://www.strava.com/activities/2843401615" TargetMode="External"/><Relationship Id="rId30" Type="http://schemas.openxmlformats.org/officeDocument/2006/relationships/hyperlink" Target="https://www.strava.com/activities/4130001495" TargetMode="External"/><Relationship Id="rId35" Type="http://schemas.openxmlformats.org/officeDocument/2006/relationships/hyperlink" Target="https://www.strava.com/activities/2844142473" TargetMode="External"/><Relationship Id="rId56" Type="http://schemas.openxmlformats.org/officeDocument/2006/relationships/hyperlink" Target="https://www.strava.com/activities/2844450032" TargetMode="External"/><Relationship Id="rId77" Type="http://schemas.openxmlformats.org/officeDocument/2006/relationships/hyperlink" Target="https://www.strava.com/activities/2849092283" TargetMode="External"/><Relationship Id="rId100" Type="http://schemas.openxmlformats.org/officeDocument/2006/relationships/hyperlink" Target="https://www.strava.com/activities/2971724906" TargetMode="External"/><Relationship Id="rId105" Type="http://schemas.openxmlformats.org/officeDocument/2006/relationships/hyperlink" Target="https://www.strava.com/activities/3875892617" TargetMode="External"/><Relationship Id="rId126" Type="http://schemas.openxmlformats.org/officeDocument/2006/relationships/hyperlink" Target="https://www.strava.com/activities/2848983672" TargetMode="External"/><Relationship Id="rId147" Type="http://schemas.openxmlformats.org/officeDocument/2006/relationships/hyperlink" Target="https://www.strava.com/activities/4969454217" TargetMode="External"/><Relationship Id="rId168" Type="http://schemas.openxmlformats.org/officeDocument/2006/relationships/hyperlink" Target="https://www.strava.com/activities/4244667313" TargetMode="External"/><Relationship Id="rId8" Type="http://schemas.openxmlformats.org/officeDocument/2006/relationships/hyperlink" Target="https://www.strava.com/activities/2843119261" TargetMode="External"/><Relationship Id="rId51" Type="http://schemas.openxmlformats.org/officeDocument/2006/relationships/hyperlink" Target="https://www.strava.com/activities/5706434208" TargetMode="External"/><Relationship Id="rId72" Type="http://schemas.openxmlformats.org/officeDocument/2006/relationships/hyperlink" Target="https://www.strava.com/activities/2844547052" TargetMode="External"/><Relationship Id="rId93" Type="http://schemas.openxmlformats.org/officeDocument/2006/relationships/hyperlink" Target="https://www.strava.com/activities/3373409286" TargetMode="External"/><Relationship Id="rId98" Type="http://schemas.openxmlformats.org/officeDocument/2006/relationships/hyperlink" Target="https://www.strava.com/activities/2846874235" TargetMode="External"/><Relationship Id="rId121" Type="http://schemas.openxmlformats.org/officeDocument/2006/relationships/hyperlink" Target="https://www.strava.com/activities/2848740615" TargetMode="External"/><Relationship Id="rId142" Type="http://schemas.openxmlformats.org/officeDocument/2006/relationships/hyperlink" Target="https://www.strava.com/activities/2915641156" TargetMode="External"/><Relationship Id="rId163" Type="http://schemas.openxmlformats.org/officeDocument/2006/relationships/hyperlink" Target="https://www.strava.com/activities/2924937789" TargetMode="External"/><Relationship Id="rId3" Type="http://schemas.openxmlformats.org/officeDocument/2006/relationships/hyperlink" Target="https://www.strava.com/activities/4974626852" TargetMode="External"/><Relationship Id="rId25" Type="http://schemas.openxmlformats.org/officeDocument/2006/relationships/hyperlink" Target="https://www.strava.com/activities/2843922490" TargetMode="External"/><Relationship Id="rId46" Type="http://schemas.openxmlformats.org/officeDocument/2006/relationships/hyperlink" Target="https://www.strava.com/activities/2843766830" TargetMode="External"/><Relationship Id="rId67" Type="http://schemas.openxmlformats.org/officeDocument/2006/relationships/hyperlink" Target="https://www.strava.com/activities/4130809584" TargetMode="External"/><Relationship Id="rId116" Type="http://schemas.openxmlformats.org/officeDocument/2006/relationships/hyperlink" Target="https://www.strava.com/activities/2848551493" TargetMode="External"/><Relationship Id="rId137" Type="http://schemas.openxmlformats.org/officeDocument/2006/relationships/hyperlink" Target="https://www.strava.com/activities/4837947418" TargetMode="External"/><Relationship Id="rId158" Type="http://schemas.openxmlformats.org/officeDocument/2006/relationships/hyperlink" Target="https://www.strava.com/activities/2981862579" TargetMode="External"/><Relationship Id="rId20" Type="http://schemas.openxmlformats.org/officeDocument/2006/relationships/hyperlink" Target="https://www.strava.com/activities/2843405164" TargetMode="External"/><Relationship Id="rId41" Type="http://schemas.openxmlformats.org/officeDocument/2006/relationships/hyperlink" Target="https://www.strava.com/activities/4139516508" TargetMode="External"/><Relationship Id="rId62" Type="http://schemas.openxmlformats.org/officeDocument/2006/relationships/hyperlink" Target="https://www.strava.com/activities/5169624933" TargetMode="External"/><Relationship Id="rId83" Type="http://schemas.openxmlformats.org/officeDocument/2006/relationships/hyperlink" Target="https://www.strava.com/activities/4129824734" TargetMode="External"/><Relationship Id="rId88" Type="http://schemas.openxmlformats.org/officeDocument/2006/relationships/hyperlink" Target="https://www.strava.com/activities/2849133335" TargetMode="External"/><Relationship Id="rId111" Type="http://schemas.openxmlformats.org/officeDocument/2006/relationships/hyperlink" Target="https://www.strava.com/activities/2855268576" TargetMode="External"/><Relationship Id="rId132" Type="http://schemas.openxmlformats.org/officeDocument/2006/relationships/hyperlink" Target="https://www.strava.com/activities/2848959971" TargetMode="External"/><Relationship Id="rId153" Type="http://schemas.openxmlformats.org/officeDocument/2006/relationships/hyperlink" Target="https://www.strava.com/activities/2879151204" TargetMode="External"/><Relationship Id="rId174" Type="http://schemas.openxmlformats.org/officeDocument/2006/relationships/hyperlink" Target="https://www.strava.com/activities/2848420072" TargetMode="External"/><Relationship Id="rId15" Type="http://schemas.openxmlformats.org/officeDocument/2006/relationships/hyperlink" Target="https://www.strava.com/activities/2843566136" TargetMode="External"/><Relationship Id="rId36" Type="http://schemas.openxmlformats.org/officeDocument/2006/relationships/hyperlink" Target="https://www.strava.com/activities/5702973123" TargetMode="External"/><Relationship Id="rId57" Type="http://schemas.openxmlformats.org/officeDocument/2006/relationships/hyperlink" Target="https://www.strava.com/activities/3876361384" TargetMode="External"/><Relationship Id="rId106" Type="http://schemas.openxmlformats.org/officeDocument/2006/relationships/hyperlink" Target="https://www.strava.com/activities/2845696136" TargetMode="External"/><Relationship Id="rId127" Type="http://schemas.openxmlformats.org/officeDocument/2006/relationships/hyperlink" Target="https://www.strava.com/activities/2856636675" TargetMode="External"/><Relationship Id="rId10" Type="http://schemas.openxmlformats.org/officeDocument/2006/relationships/hyperlink" Target="https://www.strava.com/activities/2842883726" TargetMode="External"/><Relationship Id="rId31" Type="http://schemas.openxmlformats.org/officeDocument/2006/relationships/hyperlink" Target="https://www.strava.com/activities/4230888598" TargetMode="External"/><Relationship Id="rId52" Type="http://schemas.openxmlformats.org/officeDocument/2006/relationships/hyperlink" Target="https://www.strava.com/activities/2845442341" TargetMode="External"/><Relationship Id="rId73" Type="http://schemas.openxmlformats.org/officeDocument/2006/relationships/hyperlink" Target="https://www.strava.com/activities/5631422868" TargetMode="External"/><Relationship Id="rId78" Type="http://schemas.openxmlformats.org/officeDocument/2006/relationships/hyperlink" Target="https://www.strava.com/activities/4141787901" TargetMode="External"/><Relationship Id="rId94" Type="http://schemas.openxmlformats.org/officeDocument/2006/relationships/hyperlink" Target="https://www.strava.com/activities/2850432561" TargetMode="External"/><Relationship Id="rId99" Type="http://schemas.openxmlformats.org/officeDocument/2006/relationships/hyperlink" Target="https://www.strava.com/activities/3225427465" TargetMode="External"/><Relationship Id="rId101" Type="http://schemas.openxmlformats.org/officeDocument/2006/relationships/hyperlink" Target="https://www.strava.com/activities/2848057196" TargetMode="External"/><Relationship Id="rId122" Type="http://schemas.openxmlformats.org/officeDocument/2006/relationships/hyperlink" Target="https://www.strava.com/activities/2848623003" TargetMode="External"/><Relationship Id="rId143" Type="http://schemas.openxmlformats.org/officeDocument/2006/relationships/hyperlink" Target="https://www.strava.com/activities/2915771970" TargetMode="External"/><Relationship Id="rId148" Type="http://schemas.openxmlformats.org/officeDocument/2006/relationships/hyperlink" Target="https://www.strava.com/activities/2981583899" TargetMode="External"/><Relationship Id="rId164" Type="http://schemas.openxmlformats.org/officeDocument/2006/relationships/hyperlink" Target="https://www.strava.com/activities/4231359753" TargetMode="External"/><Relationship Id="rId169" Type="http://schemas.openxmlformats.org/officeDocument/2006/relationships/hyperlink" Target="https://www.strava.com/activities/4244798786" TargetMode="External"/><Relationship Id="rId4" Type="http://schemas.openxmlformats.org/officeDocument/2006/relationships/hyperlink" Target="https://www.strava.com/activities/2982170987" TargetMode="External"/><Relationship Id="rId9" Type="http://schemas.openxmlformats.org/officeDocument/2006/relationships/hyperlink" Target="https://www.strava.com/activities/2842998014" TargetMode="External"/><Relationship Id="rId26" Type="http://schemas.openxmlformats.org/officeDocument/2006/relationships/hyperlink" Target="https://www.strava.com/activities/2843922053" TargetMode="External"/><Relationship Id="rId47" Type="http://schemas.openxmlformats.org/officeDocument/2006/relationships/hyperlink" Target="https://www.strava.com/activities/4130438332" TargetMode="External"/><Relationship Id="rId68" Type="http://schemas.openxmlformats.org/officeDocument/2006/relationships/hyperlink" Target="https://www.strava.com/activities/2845441542" TargetMode="External"/><Relationship Id="rId89" Type="http://schemas.openxmlformats.org/officeDocument/2006/relationships/hyperlink" Target="https://www.strava.com/activities/3225549320" TargetMode="External"/><Relationship Id="rId112" Type="http://schemas.openxmlformats.org/officeDocument/2006/relationships/hyperlink" Target="https://www.strava.com/activities/5325490519" TargetMode="External"/><Relationship Id="rId133" Type="http://schemas.openxmlformats.org/officeDocument/2006/relationships/hyperlink" Target="https://www.strava.com/activities/2843988297" TargetMode="External"/><Relationship Id="rId154" Type="http://schemas.openxmlformats.org/officeDocument/2006/relationships/hyperlink" Target="https://www.strava.com/activities/2879150387" TargetMode="External"/><Relationship Id="rId175" Type="http://schemas.openxmlformats.org/officeDocument/2006/relationships/hyperlink" Target="https://www.strava.com/activities/2848229065" TargetMode="External"/><Relationship Id="rId16" Type="http://schemas.openxmlformats.org/officeDocument/2006/relationships/hyperlink" Target="https://www.strava.com/activities/2843120122" TargetMode="External"/><Relationship Id="rId37" Type="http://schemas.openxmlformats.org/officeDocument/2006/relationships/hyperlink" Target="https://www.strava.com/activities/5706438083" TargetMode="External"/><Relationship Id="rId58" Type="http://schemas.openxmlformats.org/officeDocument/2006/relationships/hyperlink" Target="https://www.strava.com/activities/2845564206" TargetMode="External"/><Relationship Id="rId79" Type="http://schemas.openxmlformats.org/officeDocument/2006/relationships/hyperlink" Target="https://www.strava.com/activities/2844622992" TargetMode="External"/><Relationship Id="rId102" Type="http://schemas.openxmlformats.org/officeDocument/2006/relationships/hyperlink" Target="https://www.strava.com/activities/2844490409" TargetMode="External"/><Relationship Id="rId123" Type="http://schemas.openxmlformats.org/officeDocument/2006/relationships/hyperlink" Target="https://www.strava.com/activities/5631705133" TargetMode="External"/><Relationship Id="rId144" Type="http://schemas.openxmlformats.org/officeDocument/2006/relationships/hyperlink" Target="https://www.strava.com/activities/2915701423" TargetMode="External"/><Relationship Id="rId90" Type="http://schemas.openxmlformats.org/officeDocument/2006/relationships/hyperlink" Target="https://www.strava.com/activities/2846930114" TargetMode="External"/><Relationship Id="rId165" Type="http://schemas.openxmlformats.org/officeDocument/2006/relationships/hyperlink" Target="https://www.strava.com/activities/4244360680" TargetMode="External"/><Relationship Id="rId27" Type="http://schemas.openxmlformats.org/officeDocument/2006/relationships/hyperlink" Target="https://www.strava.com/activities/2844142801" TargetMode="External"/><Relationship Id="rId48" Type="http://schemas.openxmlformats.org/officeDocument/2006/relationships/hyperlink" Target="https://www.strava.com/activities/4969454217" TargetMode="External"/><Relationship Id="rId69" Type="http://schemas.openxmlformats.org/officeDocument/2006/relationships/hyperlink" Target="https://www.strava.com/activities/2844490596" TargetMode="External"/><Relationship Id="rId113" Type="http://schemas.openxmlformats.org/officeDocument/2006/relationships/hyperlink" Target="https://www.strava.com/activities/2844128905" TargetMode="External"/><Relationship Id="rId134" Type="http://schemas.openxmlformats.org/officeDocument/2006/relationships/hyperlink" Target="https://www.strava.com/activities/2844387671" TargetMode="External"/><Relationship Id="rId80" Type="http://schemas.openxmlformats.org/officeDocument/2006/relationships/hyperlink" Target="https://www.strava.com/activities/2844433048" TargetMode="External"/><Relationship Id="rId155" Type="http://schemas.openxmlformats.org/officeDocument/2006/relationships/hyperlink" Target="https://www.strava.com/activities/4969454217" TargetMode="External"/><Relationship Id="rId176" Type="http://schemas.openxmlformats.org/officeDocument/2006/relationships/hyperlink" Target="https://www.strava.com/activities/2971856212" TargetMode="External"/><Relationship Id="rId17" Type="http://schemas.openxmlformats.org/officeDocument/2006/relationships/hyperlink" Target="https://www.strava.com/activities/2842997477" TargetMode="External"/><Relationship Id="rId38" Type="http://schemas.openxmlformats.org/officeDocument/2006/relationships/hyperlink" Target="https://www.strava.com/activities/5707204299" TargetMode="External"/><Relationship Id="rId59" Type="http://schemas.openxmlformats.org/officeDocument/2006/relationships/hyperlink" Target="https://www.strava.com/activities/2844490492" TargetMode="External"/><Relationship Id="rId103" Type="http://schemas.openxmlformats.org/officeDocument/2006/relationships/hyperlink" Target="https://www.strava.com/activities/2850542147" TargetMode="External"/><Relationship Id="rId124" Type="http://schemas.openxmlformats.org/officeDocument/2006/relationships/hyperlink" Target="https://www.strava.com/activities/3907451983" TargetMode="External"/><Relationship Id="rId70" Type="http://schemas.openxmlformats.org/officeDocument/2006/relationships/hyperlink" Target="https://www.strava.com/activities/2844622659" TargetMode="External"/><Relationship Id="rId91" Type="http://schemas.openxmlformats.org/officeDocument/2006/relationships/hyperlink" Target="https://www.strava.com/activities/2844546379" TargetMode="External"/><Relationship Id="rId145" Type="http://schemas.openxmlformats.org/officeDocument/2006/relationships/hyperlink" Target="https://www.strava.com/activities/4959306848" TargetMode="External"/><Relationship Id="rId166" Type="http://schemas.openxmlformats.org/officeDocument/2006/relationships/hyperlink" Target="https://www.strava.com/activities/2915800874" TargetMode="External"/><Relationship Id="rId1" Type="http://schemas.openxmlformats.org/officeDocument/2006/relationships/hyperlink" Target="https://www.strava.com/activities/496945255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2915874422" TargetMode="External"/><Relationship Id="rId13" Type="http://schemas.openxmlformats.org/officeDocument/2006/relationships/hyperlink" Target="https://www.strava.com/activities/4242074076" TargetMode="External"/><Relationship Id="rId3" Type="http://schemas.openxmlformats.org/officeDocument/2006/relationships/hyperlink" Target="https://www.strava.com/activities/2915874422" TargetMode="External"/><Relationship Id="rId7" Type="http://schemas.openxmlformats.org/officeDocument/2006/relationships/hyperlink" Target="https://www.strava.com/activities/2915874422" TargetMode="External"/><Relationship Id="rId12" Type="http://schemas.openxmlformats.org/officeDocument/2006/relationships/hyperlink" Target="https://www.strava.com/activities/4242074076" TargetMode="External"/><Relationship Id="rId2" Type="http://schemas.openxmlformats.org/officeDocument/2006/relationships/hyperlink" Target="https://www.strava.com/activities/2915642148" TargetMode="External"/><Relationship Id="rId1" Type="http://schemas.openxmlformats.org/officeDocument/2006/relationships/hyperlink" Target="https://www.strava.com/activities/2915642148" TargetMode="External"/><Relationship Id="rId6" Type="http://schemas.openxmlformats.org/officeDocument/2006/relationships/hyperlink" Target="https://www.strava.com/activities/2915874422" TargetMode="External"/><Relationship Id="rId11" Type="http://schemas.openxmlformats.org/officeDocument/2006/relationships/hyperlink" Target="https://www.strava.com/activities/4237339455" TargetMode="External"/><Relationship Id="rId5" Type="http://schemas.openxmlformats.org/officeDocument/2006/relationships/hyperlink" Target="https://www.strava.com/activities/2915874422" TargetMode="External"/><Relationship Id="rId10" Type="http://schemas.openxmlformats.org/officeDocument/2006/relationships/hyperlink" Target="https://www.strava.com/activities/4237339455" TargetMode="External"/><Relationship Id="rId4" Type="http://schemas.openxmlformats.org/officeDocument/2006/relationships/hyperlink" Target="https://www.strava.com/activities/2915874422" TargetMode="External"/><Relationship Id="rId9" Type="http://schemas.openxmlformats.org/officeDocument/2006/relationships/hyperlink" Target="https://www.strava.com/activities/4231359518" TargetMode="External"/><Relationship Id="rId14" Type="http://schemas.openxmlformats.org/officeDocument/2006/relationships/hyperlink" Target="https://www.strava.com/activities/4962331134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rava.com/activities/2840554072" TargetMode="External"/><Relationship Id="rId18" Type="http://schemas.openxmlformats.org/officeDocument/2006/relationships/hyperlink" Target="https://www.strava.com/activities/2831981873" TargetMode="External"/><Relationship Id="rId26" Type="http://schemas.openxmlformats.org/officeDocument/2006/relationships/hyperlink" Target="https://www.strava.com/activities/2840718840" TargetMode="External"/><Relationship Id="rId39" Type="http://schemas.openxmlformats.org/officeDocument/2006/relationships/hyperlink" Target="https://www.strava.com/activities/2836892722" TargetMode="External"/><Relationship Id="rId21" Type="http://schemas.openxmlformats.org/officeDocument/2006/relationships/hyperlink" Target="https://www.strava.com/activities/2831909875" TargetMode="External"/><Relationship Id="rId34" Type="http://schemas.openxmlformats.org/officeDocument/2006/relationships/hyperlink" Target="https://www.strava.com/activities/2841628459" TargetMode="External"/><Relationship Id="rId42" Type="http://schemas.openxmlformats.org/officeDocument/2006/relationships/hyperlink" Target="https://www.strava.com/activities/2839658309" TargetMode="External"/><Relationship Id="rId47" Type="http://schemas.openxmlformats.org/officeDocument/2006/relationships/hyperlink" Target="https://www.strava.com/activities/2831328524" TargetMode="External"/><Relationship Id="rId50" Type="http://schemas.openxmlformats.org/officeDocument/2006/relationships/hyperlink" Target="https://www.strava.com/activities/2831849179" TargetMode="External"/><Relationship Id="rId55" Type="http://schemas.openxmlformats.org/officeDocument/2006/relationships/hyperlink" Target="https://www.strava.com/activities/2839680414" TargetMode="External"/><Relationship Id="rId7" Type="http://schemas.openxmlformats.org/officeDocument/2006/relationships/hyperlink" Target="https://www.strava.com/activities/2833171022" TargetMode="External"/><Relationship Id="rId2" Type="http://schemas.openxmlformats.org/officeDocument/2006/relationships/hyperlink" Target="https://www.strava.com/activities/2840490094" TargetMode="External"/><Relationship Id="rId16" Type="http://schemas.openxmlformats.org/officeDocument/2006/relationships/hyperlink" Target="https://www.strava.com/activities/2833602612" TargetMode="External"/><Relationship Id="rId29" Type="http://schemas.openxmlformats.org/officeDocument/2006/relationships/hyperlink" Target="https://www.strava.com/activities/2836821868" TargetMode="External"/><Relationship Id="rId11" Type="http://schemas.openxmlformats.org/officeDocument/2006/relationships/hyperlink" Target="https://www.strava.com/activities/2839267832" TargetMode="External"/><Relationship Id="rId24" Type="http://schemas.openxmlformats.org/officeDocument/2006/relationships/hyperlink" Target="https://www.strava.com/activities/2833536423" TargetMode="External"/><Relationship Id="rId32" Type="http://schemas.openxmlformats.org/officeDocument/2006/relationships/hyperlink" Target="https://www.strava.com/activities/2838268325" TargetMode="External"/><Relationship Id="rId37" Type="http://schemas.openxmlformats.org/officeDocument/2006/relationships/hyperlink" Target="https://www.strava.com/activities/2833465625" TargetMode="External"/><Relationship Id="rId40" Type="http://schemas.openxmlformats.org/officeDocument/2006/relationships/hyperlink" Target="https://www.strava.com/activities/2838271446" TargetMode="External"/><Relationship Id="rId45" Type="http://schemas.openxmlformats.org/officeDocument/2006/relationships/hyperlink" Target="https://www.strava.com/activities/2840980106" TargetMode="External"/><Relationship Id="rId53" Type="http://schemas.openxmlformats.org/officeDocument/2006/relationships/hyperlink" Target="https://www.strava.com/activities/2839540694" TargetMode="External"/><Relationship Id="rId58" Type="http://schemas.openxmlformats.org/officeDocument/2006/relationships/hyperlink" Target="https://www.strava.com/activities/2840985112" TargetMode="External"/><Relationship Id="rId5" Type="http://schemas.openxmlformats.org/officeDocument/2006/relationships/hyperlink" Target="https://www.strava.com/activities/2841214241" TargetMode="External"/><Relationship Id="rId61" Type="http://schemas.openxmlformats.org/officeDocument/2006/relationships/hyperlink" Target="https://www.strava.com/activities/2841425805" TargetMode="External"/><Relationship Id="rId19" Type="http://schemas.openxmlformats.org/officeDocument/2006/relationships/hyperlink" Target="https://www.strava.com/activities/2831982601" TargetMode="External"/><Relationship Id="rId14" Type="http://schemas.openxmlformats.org/officeDocument/2006/relationships/hyperlink" Target="https://www.strava.com/activities/2833972327" TargetMode="External"/><Relationship Id="rId22" Type="http://schemas.openxmlformats.org/officeDocument/2006/relationships/hyperlink" Target="https://www.strava.com/activities/2840854276" TargetMode="External"/><Relationship Id="rId27" Type="http://schemas.openxmlformats.org/officeDocument/2006/relationships/hyperlink" Target="https://www.strava.com/activities/2841213336" TargetMode="External"/><Relationship Id="rId30" Type="http://schemas.openxmlformats.org/officeDocument/2006/relationships/hyperlink" Target="https://www.strava.com/activities/2836899869" TargetMode="External"/><Relationship Id="rId35" Type="http://schemas.openxmlformats.org/officeDocument/2006/relationships/hyperlink" Target="https://www.strava.com/activities/2831981873" TargetMode="External"/><Relationship Id="rId43" Type="http://schemas.openxmlformats.org/officeDocument/2006/relationships/hyperlink" Target="https://www.strava.com/activities/2840635701" TargetMode="External"/><Relationship Id="rId48" Type="http://schemas.openxmlformats.org/officeDocument/2006/relationships/hyperlink" Target="https://www.strava.com/activities/2833781948" TargetMode="External"/><Relationship Id="rId56" Type="http://schemas.openxmlformats.org/officeDocument/2006/relationships/hyperlink" Target="https://www.strava.com/activities/2839760096" TargetMode="External"/><Relationship Id="rId8" Type="http://schemas.openxmlformats.org/officeDocument/2006/relationships/hyperlink" Target="https://www.strava.com/activities/2833855081" TargetMode="External"/><Relationship Id="rId51" Type="http://schemas.openxmlformats.org/officeDocument/2006/relationships/hyperlink" Target="https://www.strava.com/activities/2836784278" TargetMode="External"/><Relationship Id="rId3" Type="http://schemas.openxmlformats.org/officeDocument/2006/relationships/hyperlink" Target="https://www.strava.com/activities/2834104750" TargetMode="External"/><Relationship Id="rId12" Type="http://schemas.openxmlformats.org/officeDocument/2006/relationships/hyperlink" Target="https://www.strava.com/activities/2839867944" TargetMode="External"/><Relationship Id="rId17" Type="http://schemas.openxmlformats.org/officeDocument/2006/relationships/hyperlink" Target="https://www.strava.com/activities/2834027932" TargetMode="External"/><Relationship Id="rId25" Type="http://schemas.openxmlformats.org/officeDocument/2006/relationships/hyperlink" Target="https://www.strava.com/activities/2834157766" TargetMode="External"/><Relationship Id="rId33" Type="http://schemas.openxmlformats.org/officeDocument/2006/relationships/hyperlink" Target="https://www.strava.com/activities/2841086723" TargetMode="External"/><Relationship Id="rId38" Type="http://schemas.openxmlformats.org/officeDocument/2006/relationships/hyperlink" Target="https://www.strava.com/activities/2833906441" TargetMode="External"/><Relationship Id="rId46" Type="http://schemas.openxmlformats.org/officeDocument/2006/relationships/hyperlink" Target="https://www.strava.com/activities/2831252240" TargetMode="External"/><Relationship Id="rId59" Type="http://schemas.openxmlformats.org/officeDocument/2006/relationships/hyperlink" Target="https://www.strava.com/activities/2841323954" TargetMode="External"/><Relationship Id="rId20" Type="http://schemas.openxmlformats.org/officeDocument/2006/relationships/hyperlink" Target="https://www.strava.com/activities/2839429644" TargetMode="External"/><Relationship Id="rId41" Type="http://schemas.openxmlformats.org/officeDocument/2006/relationships/hyperlink" Target="https://www.strava.com/activities/2839367781" TargetMode="External"/><Relationship Id="rId54" Type="http://schemas.openxmlformats.org/officeDocument/2006/relationships/hyperlink" Target="https://www.strava.com/activities/2831415698" TargetMode="External"/><Relationship Id="rId62" Type="http://schemas.openxmlformats.org/officeDocument/2006/relationships/hyperlink" Target="https://www.strava.com/activities/2841335141" TargetMode="External"/><Relationship Id="rId1" Type="http://schemas.openxmlformats.org/officeDocument/2006/relationships/hyperlink" Target="https://www.strava.com/activities/2833386770" TargetMode="External"/><Relationship Id="rId6" Type="http://schemas.openxmlformats.org/officeDocument/2006/relationships/hyperlink" Target="https://www.strava.com/activities/2840854181" TargetMode="External"/><Relationship Id="rId15" Type="http://schemas.openxmlformats.org/officeDocument/2006/relationships/hyperlink" Target="https://www.strava.com/activities/2841496409" TargetMode="External"/><Relationship Id="rId23" Type="http://schemas.openxmlformats.org/officeDocument/2006/relationships/hyperlink" Target="https://www.strava.com/activities/2841100137" TargetMode="External"/><Relationship Id="rId28" Type="http://schemas.openxmlformats.org/officeDocument/2006/relationships/hyperlink" Target="https://www.strava.com/activities/2833672545" TargetMode="External"/><Relationship Id="rId36" Type="http://schemas.openxmlformats.org/officeDocument/2006/relationships/hyperlink" Target="https://www.strava.com/activities/2833240588" TargetMode="External"/><Relationship Id="rId49" Type="http://schemas.openxmlformats.org/officeDocument/2006/relationships/hyperlink" Target="https://www.strava.com/activities/2836717792" TargetMode="External"/><Relationship Id="rId57" Type="http://schemas.openxmlformats.org/officeDocument/2006/relationships/hyperlink" Target="https://www.strava.com/activities/2839818678" TargetMode="External"/><Relationship Id="rId10" Type="http://schemas.openxmlformats.org/officeDocument/2006/relationships/hyperlink" Target="https://www.strava.com/activities/2836873859" TargetMode="External"/><Relationship Id="rId31" Type="http://schemas.openxmlformats.org/officeDocument/2006/relationships/hyperlink" Target="https://www.strava.com/activities/2836913883" TargetMode="External"/><Relationship Id="rId44" Type="http://schemas.openxmlformats.org/officeDocument/2006/relationships/hyperlink" Target="https://www.strava.com/activities/2840720610" TargetMode="External"/><Relationship Id="rId52" Type="http://schemas.openxmlformats.org/officeDocument/2006/relationships/hyperlink" Target="https://www.strava.com/activities/2839484073" TargetMode="External"/><Relationship Id="rId60" Type="http://schemas.openxmlformats.org/officeDocument/2006/relationships/hyperlink" Target="https://www.strava.com/activities/2841424887" TargetMode="External"/><Relationship Id="rId4" Type="http://schemas.openxmlformats.org/officeDocument/2006/relationships/hyperlink" Target="https://www.strava.com/activities/2833306958" TargetMode="External"/><Relationship Id="rId9" Type="http://schemas.openxmlformats.org/officeDocument/2006/relationships/hyperlink" Target="https://www.strava.com/activities/2836850214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ava.com/activities/4766103829" TargetMode="External"/><Relationship Id="rId1" Type="http://schemas.openxmlformats.org/officeDocument/2006/relationships/hyperlink" Target="https://www.strava.com/activities/4766103829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3635466208" TargetMode="External"/><Relationship Id="rId13" Type="http://schemas.openxmlformats.org/officeDocument/2006/relationships/hyperlink" Target="https://www.strava.com/activities/5003776214" TargetMode="External"/><Relationship Id="rId3" Type="http://schemas.openxmlformats.org/officeDocument/2006/relationships/hyperlink" Target="https://www.strava.com/activities/3634426967" TargetMode="External"/><Relationship Id="rId7" Type="http://schemas.openxmlformats.org/officeDocument/2006/relationships/hyperlink" Target="https://www.strava.com/activities/3635466208" TargetMode="External"/><Relationship Id="rId12" Type="http://schemas.openxmlformats.org/officeDocument/2006/relationships/hyperlink" Target="https://www.strava.com/activities/5002856445" TargetMode="External"/><Relationship Id="rId2" Type="http://schemas.openxmlformats.org/officeDocument/2006/relationships/hyperlink" Target="https://www.strava.com/activities/3634426967" TargetMode="External"/><Relationship Id="rId1" Type="http://schemas.openxmlformats.org/officeDocument/2006/relationships/hyperlink" Target="https://www.strava.com/activities/3634426967" TargetMode="External"/><Relationship Id="rId6" Type="http://schemas.openxmlformats.org/officeDocument/2006/relationships/hyperlink" Target="https://www.strava.com/activities/3634427578" TargetMode="External"/><Relationship Id="rId11" Type="http://schemas.openxmlformats.org/officeDocument/2006/relationships/hyperlink" Target="https://www.strava.com/activities/3638533423" TargetMode="External"/><Relationship Id="rId5" Type="http://schemas.openxmlformats.org/officeDocument/2006/relationships/hyperlink" Target="https://www.strava.com/activities/3634699636" TargetMode="External"/><Relationship Id="rId10" Type="http://schemas.openxmlformats.org/officeDocument/2006/relationships/hyperlink" Target="https://www.strava.com/activities/3635466208" TargetMode="External"/><Relationship Id="rId4" Type="http://schemas.openxmlformats.org/officeDocument/2006/relationships/hyperlink" Target="https://www.strava.com/activities/3634427578" TargetMode="External"/><Relationship Id="rId9" Type="http://schemas.openxmlformats.org/officeDocument/2006/relationships/hyperlink" Target="https://www.strava.com/activities/3635466208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4159668658" TargetMode="External"/><Relationship Id="rId3" Type="http://schemas.openxmlformats.org/officeDocument/2006/relationships/hyperlink" Target="https://www.strava.com/activities/4158262067" TargetMode="External"/><Relationship Id="rId7" Type="http://schemas.openxmlformats.org/officeDocument/2006/relationships/hyperlink" Target="https://www.strava.com/activities/4159669496" TargetMode="External"/><Relationship Id="rId2" Type="http://schemas.openxmlformats.org/officeDocument/2006/relationships/hyperlink" Target="https://www.strava.com/activities/4158260805" TargetMode="External"/><Relationship Id="rId1" Type="http://schemas.openxmlformats.org/officeDocument/2006/relationships/hyperlink" Target="https://www.strava.com/activities/4157050973" TargetMode="External"/><Relationship Id="rId6" Type="http://schemas.openxmlformats.org/officeDocument/2006/relationships/hyperlink" Target="https://www.strava.com/activities/4156751556" TargetMode="External"/><Relationship Id="rId5" Type="http://schemas.openxmlformats.org/officeDocument/2006/relationships/hyperlink" Target="https://www.strava.com/activities/4156751990" TargetMode="External"/><Relationship Id="rId4" Type="http://schemas.openxmlformats.org/officeDocument/2006/relationships/hyperlink" Target="https://www.strava.com/activities/4157050653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rava.com/activities/4757433652" TargetMode="External"/><Relationship Id="rId2" Type="http://schemas.openxmlformats.org/officeDocument/2006/relationships/hyperlink" Target="https://www.strava.com/activities/4757433068" TargetMode="External"/><Relationship Id="rId1" Type="http://schemas.openxmlformats.org/officeDocument/2006/relationships/hyperlink" Target="https://www.strava.com/activities/4756860840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rava.com/activities/471128962" TargetMode="External"/><Relationship Id="rId18" Type="http://schemas.openxmlformats.org/officeDocument/2006/relationships/hyperlink" Target="https://www.strava.com/activities/470490123" TargetMode="External"/><Relationship Id="rId26" Type="http://schemas.openxmlformats.org/officeDocument/2006/relationships/hyperlink" Target="https://www.strava.com/activities/4232923110" TargetMode="External"/><Relationship Id="rId39" Type="http://schemas.openxmlformats.org/officeDocument/2006/relationships/hyperlink" Target="https://www.strava.com/activities/470644275" TargetMode="External"/><Relationship Id="rId21" Type="http://schemas.openxmlformats.org/officeDocument/2006/relationships/hyperlink" Target="https://www.strava.com/activities/4220927275" TargetMode="External"/><Relationship Id="rId34" Type="http://schemas.openxmlformats.org/officeDocument/2006/relationships/hyperlink" Target="https://www.strava.com/activities/471186446" TargetMode="External"/><Relationship Id="rId7" Type="http://schemas.openxmlformats.org/officeDocument/2006/relationships/hyperlink" Target="https://www.strava.com/activities/472844279" TargetMode="External"/><Relationship Id="rId12" Type="http://schemas.openxmlformats.org/officeDocument/2006/relationships/hyperlink" Target="https://www.strava.com/activities/470554232" TargetMode="External"/><Relationship Id="rId17" Type="http://schemas.openxmlformats.org/officeDocument/2006/relationships/hyperlink" Target="https://www.strava.com/activities/471072983" TargetMode="External"/><Relationship Id="rId25" Type="http://schemas.openxmlformats.org/officeDocument/2006/relationships/hyperlink" Target="https://www.strava.com/activities/471173771" TargetMode="External"/><Relationship Id="rId33" Type="http://schemas.openxmlformats.org/officeDocument/2006/relationships/hyperlink" Target="https://www.strava.com/activities/474554833" TargetMode="External"/><Relationship Id="rId38" Type="http://schemas.openxmlformats.org/officeDocument/2006/relationships/hyperlink" Target="https://www.strava.com/activities/470928481" TargetMode="External"/><Relationship Id="rId2" Type="http://schemas.openxmlformats.org/officeDocument/2006/relationships/hyperlink" Target="https://www.strava.com/activities/474212045" TargetMode="External"/><Relationship Id="rId16" Type="http://schemas.openxmlformats.org/officeDocument/2006/relationships/hyperlink" Target="https://www.strava.com/activities/480624221" TargetMode="External"/><Relationship Id="rId20" Type="http://schemas.openxmlformats.org/officeDocument/2006/relationships/hyperlink" Target="https://www.strava.com/activities/4221903349" TargetMode="External"/><Relationship Id="rId29" Type="http://schemas.openxmlformats.org/officeDocument/2006/relationships/hyperlink" Target="https://www.strava.com/activities/477036155" TargetMode="External"/><Relationship Id="rId1" Type="http://schemas.openxmlformats.org/officeDocument/2006/relationships/hyperlink" Target="https://www.strava.com/activities/472853003" TargetMode="External"/><Relationship Id="rId6" Type="http://schemas.openxmlformats.org/officeDocument/2006/relationships/hyperlink" Target="https://www.strava.com/activities/474225780" TargetMode="External"/><Relationship Id="rId11" Type="http://schemas.openxmlformats.org/officeDocument/2006/relationships/hyperlink" Target="https://www.strava.com/activities/471850477" TargetMode="External"/><Relationship Id="rId24" Type="http://schemas.openxmlformats.org/officeDocument/2006/relationships/hyperlink" Target="https://www.strava.com/activities/4220928339" TargetMode="External"/><Relationship Id="rId32" Type="http://schemas.openxmlformats.org/officeDocument/2006/relationships/hyperlink" Target="https://www.strava.com/activities/477471028" TargetMode="External"/><Relationship Id="rId37" Type="http://schemas.openxmlformats.org/officeDocument/2006/relationships/hyperlink" Target="https://www.strava.com/activities/480596918" TargetMode="External"/><Relationship Id="rId5" Type="http://schemas.openxmlformats.org/officeDocument/2006/relationships/hyperlink" Target="https://www.strava.com/activities/473510435" TargetMode="External"/><Relationship Id="rId15" Type="http://schemas.openxmlformats.org/officeDocument/2006/relationships/hyperlink" Target="https://www.strava.com/activities/477918930" TargetMode="External"/><Relationship Id="rId23" Type="http://schemas.openxmlformats.org/officeDocument/2006/relationships/hyperlink" Target="https://www.strava.com/activities/4220928339" TargetMode="External"/><Relationship Id="rId28" Type="http://schemas.openxmlformats.org/officeDocument/2006/relationships/hyperlink" Target="https://www.strava.com/activities/470451894" TargetMode="External"/><Relationship Id="rId36" Type="http://schemas.openxmlformats.org/officeDocument/2006/relationships/hyperlink" Target="https://www.strava.com/activities/470425726" TargetMode="External"/><Relationship Id="rId10" Type="http://schemas.openxmlformats.org/officeDocument/2006/relationships/hyperlink" Target="https://www.strava.com/activities/480531285" TargetMode="External"/><Relationship Id="rId19" Type="http://schemas.openxmlformats.org/officeDocument/2006/relationships/hyperlink" Target="https://www.strava.com/activities/471203211" TargetMode="External"/><Relationship Id="rId31" Type="http://schemas.openxmlformats.org/officeDocument/2006/relationships/hyperlink" Target="https://www.strava.com/activities/471114174" TargetMode="External"/><Relationship Id="rId4" Type="http://schemas.openxmlformats.org/officeDocument/2006/relationships/hyperlink" Target="https://www.strava.com/activities/474202595" TargetMode="External"/><Relationship Id="rId9" Type="http://schemas.openxmlformats.org/officeDocument/2006/relationships/hyperlink" Target="https://www.strava.com/activities/471195583" TargetMode="External"/><Relationship Id="rId14" Type="http://schemas.openxmlformats.org/officeDocument/2006/relationships/hyperlink" Target="https://www.strava.com/activities/477905754" TargetMode="External"/><Relationship Id="rId22" Type="http://schemas.openxmlformats.org/officeDocument/2006/relationships/hyperlink" Target="https://www.strava.com/activities/4220927275" TargetMode="External"/><Relationship Id="rId27" Type="http://schemas.openxmlformats.org/officeDocument/2006/relationships/hyperlink" Target="https://www.strava.com/activities/4233029383" TargetMode="External"/><Relationship Id="rId30" Type="http://schemas.openxmlformats.org/officeDocument/2006/relationships/hyperlink" Target="https://www.strava.com/activities/471210913" TargetMode="External"/><Relationship Id="rId35" Type="http://schemas.openxmlformats.org/officeDocument/2006/relationships/hyperlink" Target="https://www.strava.com/activities/480661018" TargetMode="External"/><Relationship Id="rId8" Type="http://schemas.openxmlformats.org/officeDocument/2006/relationships/hyperlink" Target="https://www.strava.com/activities/480745019" TargetMode="External"/><Relationship Id="rId3" Type="http://schemas.openxmlformats.org/officeDocument/2006/relationships/hyperlink" Target="https://www.strava.com/activities/474217576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rava.com/activities/4285789316" TargetMode="External"/><Relationship Id="rId2" Type="http://schemas.openxmlformats.org/officeDocument/2006/relationships/hyperlink" Target="https://www.strava.com/activities/4285684324" TargetMode="External"/><Relationship Id="rId1" Type="http://schemas.openxmlformats.org/officeDocument/2006/relationships/hyperlink" Target="https://www.strava.com/activities/4286777856" TargetMode="External"/><Relationship Id="rId5" Type="http://schemas.openxmlformats.org/officeDocument/2006/relationships/hyperlink" Target="https://www.strava.com/activities/4285701234" TargetMode="External"/><Relationship Id="rId4" Type="http://schemas.openxmlformats.org/officeDocument/2006/relationships/hyperlink" Target="https://www.strava.com/activities/428678042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rava.com/activities/4447903338" TargetMode="External"/><Relationship Id="rId2" Type="http://schemas.openxmlformats.org/officeDocument/2006/relationships/hyperlink" Target="https://www.strava.com/activities/4448146333" TargetMode="External"/><Relationship Id="rId1" Type="http://schemas.openxmlformats.org/officeDocument/2006/relationships/hyperlink" Target="https://www.strava.com/activities/4446639452" TargetMode="External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trava.com/activities/480169158" TargetMode="External"/><Relationship Id="rId21" Type="http://schemas.openxmlformats.org/officeDocument/2006/relationships/hyperlink" Target="https://www.strava.com/activities/477894150" TargetMode="External"/><Relationship Id="rId42" Type="http://schemas.openxmlformats.org/officeDocument/2006/relationships/hyperlink" Target="https://www.strava.com/activities/473505236" TargetMode="External"/><Relationship Id="rId47" Type="http://schemas.openxmlformats.org/officeDocument/2006/relationships/hyperlink" Target="https://www.strava.com/activities/471614794" TargetMode="External"/><Relationship Id="rId63" Type="http://schemas.openxmlformats.org/officeDocument/2006/relationships/hyperlink" Target="https://www.strava.com/activities/471114174" TargetMode="External"/><Relationship Id="rId68" Type="http://schemas.openxmlformats.org/officeDocument/2006/relationships/hyperlink" Target="https://www.strava.com/activities/470425726" TargetMode="External"/><Relationship Id="rId7" Type="http://schemas.openxmlformats.org/officeDocument/2006/relationships/hyperlink" Target="https://www.strava.com/activities/472844279" TargetMode="External"/><Relationship Id="rId71" Type="http://schemas.openxmlformats.org/officeDocument/2006/relationships/hyperlink" Target="https://www.strava.com/activities/470644275" TargetMode="External"/><Relationship Id="rId2" Type="http://schemas.openxmlformats.org/officeDocument/2006/relationships/hyperlink" Target="https://www.strava.com/activities/474212045" TargetMode="External"/><Relationship Id="rId16" Type="http://schemas.openxmlformats.org/officeDocument/2006/relationships/hyperlink" Target="https://www.strava.com/activities/480624221" TargetMode="External"/><Relationship Id="rId29" Type="http://schemas.openxmlformats.org/officeDocument/2006/relationships/hyperlink" Target="https://www.strava.com/activities/477815145" TargetMode="External"/><Relationship Id="rId11" Type="http://schemas.openxmlformats.org/officeDocument/2006/relationships/hyperlink" Target="https://www.strava.com/activities/471850477" TargetMode="External"/><Relationship Id="rId24" Type="http://schemas.openxmlformats.org/officeDocument/2006/relationships/hyperlink" Target="https://www.strava.com/activities/476796486" TargetMode="External"/><Relationship Id="rId32" Type="http://schemas.openxmlformats.org/officeDocument/2006/relationships/hyperlink" Target="https://www.strava.com/activities/527772326" TargetMode="External"/><Relationship Id="rId37" Type="http://schemas.openxmlformats.org/officeDocument/2006/relationships/hyperlink" Target="https://www.strava.com/activities/471830093" TargetMode="External"/><Relationship Id="rId40" Type="http://schemas.openxmlformats.org/officeDocument/2006/relationships/hyperlink" Target="https://www.strava.com/activities/474464164" TargetMode="External"/><Relationship Id="rId45" Type="http://schemas.openxmlformats.org/officeDocument/2006/relationships/hyperlink" Target="https://www.strava.com/activities/477027452" TargetMode="External"/><Relationship Id="rId53" Type="http://schemas.openxmlformats.org/officeDocument/2006/relationships/hyperlink" Target="https://www.strava.com/activities/473489857" TargetMode="External"/><Relationship Id="rId58" Type="http://schemas.openxmlformats.org/officeDocument/2006/relationships/hyperlink" Target="https://www.strava.com/activities/470621446" TargetMode="External"/><Relationship Id="rId66" Type="http://schemas.openxmlformats.org/officeDocument/2006/relationships/hyperlink" Target="https://www.strava.com/activities/471186446" TargetMode="External"/><Relationship Id="rId5" Type="http://schemas.openxmlformats.org/officeDocument/2006/relationships/hyperlink" Target="https://www.strava.com/activities/473510435" TargetMode="External"/><Relationship Id="rId61" Type="http://schemas.openxmlformats.org/officeDocument/2006/relationships/hyperlink" Target="https://www.strava.com/activities/477036155" TargetMode="External"/><Relationship Id="rId19" Type="http://schemas.openxmlformats.org/officeDocument/2006/relationships/hyperlink" Target="https://www.strava.com/activities/471203211" TargetMode="External"/><Relationship Id="rId14" Type="http://schemas.openxmlformats.org/officeDocument/2006/relationships/hyperlink" Target="https://www.strava.com/activities/477905754" TargetMode="External"/><Relationship Id="rId22" Type="http://schemas.openxmlformats.org/officeDocument/2006/relationships/hyperlink" Target="https://www.strava.com/activities/471225570" TargetMode="External"/><Relationship Id="rId27" Type="http://schemas.openxmlformats.org/officeDocument/2006/relationships/hyperlink" Target="https://www.strava.com/activities/480473905" TargetMode="External"/><Relationship Id="rId30" Type="http://schemas.openxmlformats.org/officeDocument/2006/relationships/hyperlink" Target="https://www.strava.com/activities/477926306" TargetMode="External"/><Relationship Id="rId35" Type="http://schemas.openxmlformats.org/officeDocument/2006/relationships/hyperlink" Target="https://www.strava.com/activities/471091510" TargetMode="External"/><Relationship Id="rId43" Type="http://schemas.openxmlformats.org/officeDocument/2006/relationships/hyperlink" Target="https://www.strava.com/activities/473497710" TargetMode="External"/><Relationship Id="rId48" Type="http://schemas.openxmlformats.org/officeDocument/2006/relationships/hyperlink" Target="https://www.strava.com/activities/472715035" TargetMode="External"/><Relationship Id="rId56" Type="http://schemas.openxmlformats.org/officeDocument/2006/relationships/hyperlink" Target="https://www.strava.com/activities/479316225" TargetMode="External"/><Relationship Id="rId64" Type="http://schemas.openxmlformats.org/officeDocument/2006/relationships/hyperlink" Target="https://www.strava.com/activities/477471028" TargetMode="External"/><Relationship Id="rId69" Type="http://schemas.openxmlformats.org/officeDocument/2006/relationships/hyperlink" Target="https://www.strava.com/activities/480596918" TargetMode="External"/><Relationship Id="rId8" Type="http://schemas.openxmlformats.org/officeDocument/2006/relationships/hyperlink" Target="https://www.strava.com/activities/480745019" TargetMode="External"/><Relationship Id="rId51" Type="http://schemas.openxmlformats.org/officeDocument/2006/relationships/hyperlink" Target="https://www.strava.com/activities/527750204" TargetMode="External"/><Relationship Id="rId3" Type="http://schemas.openxmlformats.org/officeDocument/2006/relationships/hyperlink" Target="https://www.strava.com/activities/474217576" TargetMode="External"/><Relationship Id="rId12" Type="http://schemas.openxmlformats.org/officeDocument/2006/relationships/hyperlink" Target="https://www.strava.com/activities/470554232" TargetMode="External"/><Relationship Id="rId17" Type="http://schemas.openxmlformats.org/officeDocument/2006/relationships/hyperlink" Target="https://www.strava.com/activities/471072983" TargetMode="External"/><Relationship Id="rId25" Type="http://schemas.openxmlformats.org/officeDocument/2006/relationships/hyperlink" Target="https://www.strava.com/activities/471173771" TargetMode="External"/><Relationship Id="rId33" Type="http://schemas.openxmlformats.org/officeDocument/2006/relationships/hyperlink" Target="https://www.strava.com/activities/478379062" TargetMode="External"/><Relationship Id="rId38" Type="http://schemas.openxmlformats.org/officeDocument/2006/relationships/hyperlink" Target="https://www.strava.com/activities/477932585" TargetMode="External"/><Relationship Id="rId46" Type="http://schemas.openxmlformats.org/officeDocument/2006/relationships/hyperlink" Target="https://www.strava.com/activities/470541220" TargetMode="External"/><Relationship Id="rId59" Type="http://schemas.openxmlformats.org/officeDocument/2006/relationships/hyperlink" Target="https://www.strava.com/activities/470903200" TargetMode="External"/><Relationship Id="rId67" Type="http://schemas.openxmlformats.org/officeDocument/2006/relationships/hyperlink" Target="https://www.strava.com/activities/480661018" TargetMode="External"/><Relationship Id="rId20" Type="http://schemas.openxmlformats.org/officeDocument/2006/relationships/hyperlink" Target="https://www.strava.com/activities/480814213" TargetMode="External"/><Relationship Id="rId41" Type="http://schemas.openxmlformats.org/officeDocument/2006/relationships/hyperlink" Target="https://www.strava.com/activities/473478368" TargetMode="External"/><Relationship Id="rId54" Type="http://schemas.openxmlformats.org/officeDocument/2006/relationships/hyperlink" Target="https://www.strava.com/activities/470518519" TargetMode="External"/><Relationship Id="rId62" Type="http://schemas.openxmlformats.org/officeDocument/2006/relationships/hyperlink" Target="https://www.strava.com/activities/471210913" TargetMode="External"/><Relationship Id="rId70" Type="http://schemas.openxmlformats.org/officeDocument/2006/relationships/hyperlink" Target="https://www.strava.com/activities/470928481" TargetMode="External"/><Relationship Id="rId1" Type="http://schemas.openxmlformats.org/officeDocument/2006/relationships/hyperlink" Target="https://www.strava.com/activities/472853003" TargetMode="External"/><Relationship Id="rId6" Type="http://schemas.openxmlformats.org/officeDocument/2006/relationships/hyperlink" Target="https://www.strava.com/activities/474225780" TargetMode="External"/><Relationship Id="rId15" Type="http://schemas.openxmlformats.org/officeDocument/2006/relationships/hyperlink" Target="https://www.strava.com/activities/477918930" TargetMode="External"/><Relationship Id="rId23" Type="http://schemas.openxmlformats.org/officeDocument/2006/relationships/hyperlink" Target="https://www.strava.com/activities/478240472" TargetMode="External"/><Relationship Id="rId28" Type="http://schemas.openxmlformats.org/officeDocument/2006/relationships/hyperlink" Target="https://www.strava.com/activities/478379729" TargetMode="External"/><Relationship Id="rId36" Type="http://schemas.openxmlformats.org/officeDocument/2006/relationships/hyperlink" Target="https://www.strava.com/activities/473980039" TargetMode="External"/><Relationship Id="rId49" Type="http://schemas.openxmlformats.org/officeDocument/2006/relationships/hyperlink" Target="https://www.strava.com/activities/471642751" TargetMode="External"/><Relationship Id="rId57" Type="http://schemas.openxmlformats.org/officeDocument/2006/relationships/hyperlink" Target="https://www.strava.com/activities/483839757" TargetMode="External"/><Relationship Id="rId10" Type="http://schemas.openxmlformats.org/officeDocument/2006/relationships/hyperlink" Target="https://www.strava.com/activities/480531285" TargetMode="External"/><Relationship Id="rId31" Type="http://schemas.openxmlformats.org/officeDocument/2006/relationships/hyperlink" Target="https://www.strava.com/activities/480505215" TargetMode="External"/><Relationship Id="rId44" Type="http://schemas.openxmlformats.org/officeDocument/2006/relationships/hyperlink" Target="https://www.strava.com/activities/474174052" TargetMode="External"/><Relationship Id="rId52" Type="http://schemas.openxmlformats.org/officeDocument/2006/relationships/hyperlink" Target="https://www.strava.com/activities/532689876/" TargetMode="External"/><Relationship Id="rId60" Type="http://schemas.openxmlformats.org/officeDocument/2006/relationships/hyperlink" Target="https://www.strava.com/activities/470451894" TargetMode="External"/><Relationship Id="rId65" Type="http://schemas.openxmlformats.org/officeDocument/2006/relationships/hyperlink" Target="https://www.strava.com/activities/474554833" TargetMode="External"/><Relationship Id="rId4" Type="http://schemas.openxmlformats.org/officeDocument/2006/relationships/hyperlink" Target="https://www.strava.com/activities/474202595" TargetMode="External"/><Relationship Id="rId9" Type="http://schemas.openxmlformats.org/officeDocument/2006/relationships/hyperlink" Target="https://www.strava.com/activities/471195583" TargetMode="External"/><Relationship Id="rId13" Type="http://schemas.openxmlformats.org/officeDocument/2006/relationships/hyperlink" Target="https://www.strava.com/activities/471128962" TargetMode="External"/><Relationship Id="rId18" Type="http://schemas.openxmlformats.org/officeDocument/2006/relationships/hyperlink" Target="https://www.strava.com/activities/470490123" TargetMode="External"/><Relationship Id="rId39" Type="http://schemas.openxmlformats.org/officeDocument/2006/relationships/hyperlink" Target="https://www.strava.com/activities/474189932" TargetMode="External"/><Relationship Id="rId34" Type="http://schemas.openxmlformats.org/officeDocument/2006/relationships/hyperlink" Target="https://www.strava.com/activities/479331271" TargetMode="External"/><Relationship Id="rId50" Type="http://schemas.openxmlformats.org/officeDocument/2006/relationships/hyperlink" Target="https://www.strava.com/activities/480157809" TargetMode="External"/><Relationship Id="rId55" Type="http://schemas.openxmlformats.org/officeDocument/2006/relationships/hyperlink" Target="http://www.strava.com/activities/47381181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trava.com/activities/4140009836" TargetMode="External"/><Relationship Id="rId21" Type="http://schemas.openxmlformats.org/officeDocument/2006/relationships/hyperlink" Target="https://www.strava.com/activities/4141776727" TargetMode="External"/><Relationship Id="rId42" Type="http://schemas.openxmlformats.org/officeDocument/2006/relationships/hyperlink" Target="https://www.strava.com/activities/5173759957" TargetMode="External"/><Relationship Id="rId47" Type="http://schemas.openxmlformats.org/officeDocument/2006/relationships/hyperlink" Target="https://www.strava.com/activities/5325983351" TargetMode="External"/><Relationship Id="rId63" Type="http://schemas.openxmlformats.org/officeDocument/2006/relationships/hyperlink" Target="https://www.strava.com/activities/4073655273" TargetMode="External"/><Relationship Id="rId68" Type="http://schemas.openxmlformats.org/officeDocument/2006/relationships/hyperlink" Target="https://www.strava.com/activities/4972728902" TargetMode="External"/><Relationship Id="rId84" Type="http://schemas.openxmlformats.org/officeDocument/2006/relationships/hyperlink" Target="https://www.strava.com/activities/2918287187" TargetMode="External"/><Relationship Id="rId89" Type="http://schemas.openxmlformats.org/officeDocument/2006/relationships/hyperlink" Target="https://www.strava.com/activities/4244360959" TargetMode="External"/><Relationship Id="rId16" Type="http://schemas.openxmlformats.org/officeDocument/2006/relationships/hyperlink" Target="https://www.strava.com/activities/5632930754" TargetMode="External"/><Relationship Id="rId11" Type="http://schemas.openxmlformats.org/officeDocument/2006/relationships/hyperlink" Target="https://www.strava.com/activities/4139674239" TargetMode="External"/><Relationship Id="rId32" Type="http://schemas.openxmlformats.org/officeDocument/2006/relationships/hyperlink" Target="https://www.strava.com/activities/2839446761" TargetMode="External"/><Relationship Id="rId37" Type="http://schemas.openxmlformats.org/officeDocument/2006/relationships/hyperlink" Target="https://www.strava.com/activities/4141044838" TargetMode="External"/><Relationship Id="rId53" Type="http://schemas.openxmlformats.org/officeDocument/2006/relationships/hyperlink" Target="https://www.strava.com/activities/2846032754" TargetMode="External"/><Relationship Id="rId58" Type="http://schemas.openxmlformats.org/officeDocument/2006/relationships/hyperlink" Target="https://www.strava.com/activities/2840635829" TargetMode="External"/><Relationship Id="rId74" Type="http://schemas.openxmlformats.org/officeDocument/2006/relationships/hyperlink" Target="https://www.strava.com/activities/4972721985" TargetMode="External"/><Relationship Id="rId79" Type="http://schemas.openxmlformats.org/officeDocument/2006/relationships/hyperlink" Target="https://www.strava.com/activities/2982687850" TargetMode="External"/><Relationship Id="rId5" Type="http://schemas.openxmlformats.org/officeDocument/2006/relationships/hyperlink" Target="https://www.strava.com/activities/4129825997" TargetMode="External"/><Relationship Id="rId90" Type="http://schemas.openxmlformats.org/officeDocument/2006/relationships/hyperlink" Target="https://www.strava.com/activities/4243764756" TargetMode="External"/><Relationship Id="rId22" Type="http://schemas.openxmlformats.org/officeDocument/2006/relationships/hyperlink" Target="https://www.strava.com/activities/4132870041" TargetMode="External"/><Relationship Id="rId27" Type="http://schemas.openxmlformats.org/officeDocument/2006/relationships/hyperlink" Target="https://www.strava.com/activities/4141364131" TargetMode="External"/><Relationship Id="rId43" Type="http://schemas.openxmlformats.org/officeDocument/2006/relationships/hyperlink" Target="https://www.strava.com/activities/5172507347" TargetMode="External"/><Relationship Id="rId48" Type="http://schemas.openxmlformats.org/officeDocument/2006/relationships/hyperlink" Target="https://www.strava.com/activities/2839538919" TargetMode="External"/><Relationship Id="rId64" Type="http://schemas.openxmlformats.org/officeDocument/2006/relationships/hyperlink" Target="https://www.strava.com/activities/2839855824" TargetMode="External"/><Relationship Id="rId69" Type="http://schemas.openxmlformats.org/officeDocument/2006/relationships/hyperlink" Target="https://www.strava.com/activities/2917162204" TargetMode="External"/><Relationship Id="rId8" Type="http://schemas.openxmlformats.org/officeDocument/2006/relationships/hyperlink" Target="https://www.strava.com/activities/5325924894" TargetMode="External"/><Relationship Id="rId51" Type="http://schemas.openxmlformats.org/officeDocument/2006/relationships/hyperlink" Target="https://www.strava.com/activities/3375270267" TargetMode="External"/><Relationship Id="rId72" Type="http://schemas.openxmlformats.org/officeDocument/2006/relationships/hyperlink" Target="https://www.strava.com/activities/2982940031" TargetMode="External"/><Relationship Id="rId80" Type="http://schemas.openxmlformats.org/officeDocument/2006/relationships/hyperlink" Target="https://www.strava.com/activities/4974807550" TargetMode="External"/><Relationship Id="rId85" Type="http://schemas.openxmlformats.org/officeDocument/2006/relationships/hyperlink" Target="https://www.strava.com/activities/2917878146" TargetMode="External"/><Relationship Id="rId93" Type="http://schemas.openxmlformats.org/officeDocument/2006/relationships/hyperlink" Target="https://www.strava.com/activities/4244798246" TargetMode="External"/><Relationship Id="rId3" Type="http://schemas.openxmlformats.org/officeDocument/2006/relationships/hyperlink" Target="https://www.strava.com/activities/4073655273" TargetMode="External"/><Relationship Id="rId12" Type="http://schemas.openxmlformats.org/officeDocument/2006/relationships/hyperlink" Target="https://www.strava.com/activities/4133099448" TargetMode="External"/><Relationship Id="rId17" Type="http://schemas.openxmlformats.org/officeDocument/2006/relationships/hyperlink" Target="https://www.strava.com/activities/4141562356" TargetMode="External"/><Relationship Id="rId25" Type="http://schemas.openxmlformats.org/officeDocument/2006/relationships/hyperlink" Target="https://www.strava.com/activities/4133100038" TargetMode="External"/><Relationship Id="rId33" Type="http://schemas.openxmlformats.org/officeDocument/2006/relationships/hyperlink" Target="https://www.strava.com/activities/4134050932" TargetMode="External"/><Relationship Id="rId38" Type="http://schemas.openxmlformats.org/officeDocument/2006/relationships/hyperlink" Target="https://www.strava.com/activities/3231811539" TargetMode="External"/><Relationship Id="rId46" Type="http://schemas.openxmlformats.org/officeDocument/2006/relationships/hyperlink" Target="https://www.strava.com/activities/3876361335" TargetMode="External"/><Relationship Id="rId59" Type="http://schemas.openxmlformats.org/officeDocument/2006/relationships/hyperlink" Target="https://www.strava.com/activities/2839705311" TargetMode="External"/><Relationship Id="rId67" Type="http://schemas.openxmlformats.org/officeDocument/2006/relationships/hyperlink" Target="https://www.strava.com/activities/2982687364" TargetMode="External"/><Relationship Id="rId20" Type="http://schemas.openxmlformats.org/officeDocument/2006/relationships/hyperlink" Target="https://www.strava.com/activities/4132485150" TargetMode="External"/><Relationship Id="rId41" Type="http://schemas.openxmlformats.org/officeDocument/2006/relationships/hyperlink" Target="https://www.strava.com/activities/5629739002" TargetMode="External"/><Relationship Id="rId54" Type="http://schemas.openxmlformats.org/officeDocument/2006/relationships/hyperlink" Target="https://www.strava.com/activities/4073655273" TargetMode="External"/><Relationship Id="rId62" Type="http://schemas.openxmlformats.org/officeDocument/2006/relationships/hyperlink" Target="https://www.strava.com/activities/2839657687" TargetMode="External"/><Relationship Id="rId70" Type="http://schemas.openxmlformats.org/officeDocument/2006/relationships/hyperlink" Target="https://www.strava.com/activities/2982524539" TargetMode="External"/><Relationship Id="rId75" Type="http://schemas.openxmlformats.org/officeDocument/2006/relationships/hyperlink" Target="https://www.strava.com/activities/2917161218" TargetMode="External"/><Relationship Id="rId83" Type="http://schemas.openxmlformats.org/officeDocument/2006/relationships/hyperlink" Target="https://www.strava.com/activities/2982939872" TargetMode="External"/><Relationship Id="rId88" Type="http://schemas.openxmlformats.org/officeDocument/2006/relationships/hyperlink" Target="https://www.strava.com/activities/4233998935" TargetMode="External"/><Relationship Id="rId91" Type="http://schemas.openxmlformats.org/officeDocument/2006/relationships/hyperlink" Target="https://www.strava.com/activities/4243764756" TargetMode="External"/><Relationship Id="rId1" Type="http://schemas.openxmlformats.org/officeDocument/2006/relationships/hyperlink" Target="https://www.strava.com/activities/4073655273" TargetMode="External"/><Relationship Id="rId6" Type="http://schemas.openxmlformats.org/officeDocument/2006/relationships/hyperlink" Target="https://www.strava.com/activities/5632001508" TargetMode="External"/><Relationship Id="rId15" Type="http://schemas.openxmlformats.org/officeDocument/2006/relationships/hyperlink" Target="https://www.strava.com/activities/5629739002" TargetMode="External"/><Relationship Id="rId23" Type="http://schemas.openxmlformats.org/officeDocument/2006/relationships/hyperlink" Target="https://www.strava.com/activities/4972728902" TargetMode="External"/><Relationship Id="rId28" Type="http://schemas.openxmlformats.org/officeDocument/2006/relationships/hyperlink" Target="https://www.strava.com/activities/5325492024" TargetMode="External"/><Relationship Id="rId36" Type="http://schemas.openxmlformats.org/officeDocument/2006/relationships/hyperlink" Target="https://www.strava.com/activities/5173759957" TargetMode="External"/><Relationship Id="rId49" Type="http://schemas.openxmlformats.org/officeDocument/2006/relationships/hyperlink" Target="https://www.strava.com/activities/3375260072" TargetMode="External"/><Relationship Id="rId57" Type="http://schemas.openxmlformats.org/officeDocument/2006/relationships/hyperlink" Target="https://www.strava.com/activities/4974807550" TargetMode="External"/><Relationship Id="rId10" Type="http://schemas.openxmlformats.org/officeDocument/2006/relationships/hyperlink" Target="https://www.strava.com/activities/4139861753" TargetMode="External"/><Relationship Id="rId31" Type="http://schemas.openxmlformats.org/officeDocument/2006/relationships/hyperlink" Target="https://www.strava.com/activities/3875948575" TargetMode="External"/><Relationship Id="rId44" Type="http://schemas.openxmlformats.org/officeDocument/2006/relationships/hyperlink" Target="https://www.strava.com/activities/5172507347" TargetMode="External"/><Relationship Id="rId52" Type="http://schemas.openxmlformats.org/officeDocument/2006/relationships/hyperlink" Target="https://www.strava.com/activities/2971725281" TargetMode="External"/><Relationship Id="rId60" Type="http://schemas.openxmlformats.org/officeDocument/2006/relationships/hyperlink" Target="https://www.strava.com/activities/5050078181" TargetMode="External"/><Relationship Id="rId65" Type="http://schemas.openxmlformats.org/officeDocument/2006/relationships/hyperlink" Target="https://www.strava.com/activities/2916155892" TargetMode="External"/><Relationship Id="rId73" Type="http://schemas.openxmlformats.org/officeDocument/2006/relationships/hyperlink" Target="https://www.strava.com/activities/4972706452" TargetMode="External"/><Relationship Id="rId78" Type="http://schemas.openxmlformats.org/officeDocument/2006/relationships/hyperlink" Target="https://www.strava.com/activities/2982415610" TargetMode="External"/><Relationship Id="rId81" Type="http://schemas.openxmlformats.org/officeDocument/2006/relationships/hyperlink" Target="https://www.strava.com/activities/4962331134" TargetMode="External"/><Relationship Id="rId86" Type="http://schemas.openxmlformats.org/officeDocument/2006/relationships/hyperlink" Target="https://www.strava.com/activities/2917581262" TargetMode="External"/><Relationship Id="rId94" Type="http://schemas.openxmlformats.org/officeDocument/2006/relationships/hyperlink" Target="https://www.strava.com/activities/5708358181" TargetMode="External"/><Relationship Id="rId4" Type="http://schemas.openxmlformats.org/officeDocument/2006/relationships/hyperlink" Target="https://www.strava.com/activities/5632073670" TargetMode="External"/><Relationship Id="rId9" Type="http://schemas.openxmlformats.org/officeDocument/2006/relationships/hyperlink" Target="https://www.strava.com/activities/2982332159" TargetMode="External"/><Relationship Id="rId13" Type="http://schemas.openxmlformats.org/officeDocument/2006/relationships/hyperlink" Target="https://www.strava.com/activities/4132870940" TargetMode="External"/><Relationship Id="rId18" Type="http://schemas.openxmlformats.org/officeDocument/2006/relationships/hyperlink" Target="https://www.strava.com/activities/4231025155" TargetMode="External"/><Relationship Id="rId39" Type="http://schemas.openxmlformats.org/officeDocument/2006/relationships/hyperlink" Target="https://www.strava.com/activities/4838233579" TargetMode="External"/><Relationship Id="rId34" Type="http://schemas.openxmlformats.org/officeDocument/2006/relationships/hyperlink" Target="https://www.strava.com/activities/4231025155" TargetMode="External"/><Relationship Id="rId50" Type="http://schemas.openxmlformats.org/officeDocument/2006/relationships/hyperlink" Target="https://www.strava.com/activities/2971169392" TargetMode="External"/><Relationship Id="rId55" Type="http://schemas.openxmlformats.org/officeDocument/2006/relationships/hyperlink" Target="https://www.strava.com/activities/2846272819" TargetMode="External"/><Relationship Id="rId76" Type="http://schemas.openxmlformats.org/officeDocument/2006/relationships/hyperlink" Target="https://www.strava.com/activities/4972721985" TargetMode="External"/><Relationship Id="rId7" Type="http://schemas.openxmlformats.org/officeDocument/2006/relationships/hyperlink" Target="https://www.strava.com/activities/4974807550" TargetMode="External"/><Relationship Id="rId71" Type="http://schemas.openxmlformats.org/officeDocument/2006/relationships/hyperlink" Target="https://www.strava.com/activities/4974807550" TargetMode="External"/><Relationship Id="rId92" Type="http://schemas.openxmlformats.org/officeDocument/2006/relationships/hyperlink" Target="https://www.strava.com/activities/4244667164" TargetMode="External"/><Relationship Id="rId2" Type="http://schemas.openxmlformats.org/officeDocument/2006/relationships/hyperlink" Target="https://www.strava.com/activities/4972728902" TargetMode="External"/><Relationship Id="rId29" Type="http://schemas.openxmlformats.org/officeDocument/2006/relationships/hyperlink" Target="https://www.strava.com/activities/4141356280" TargetMode="External"/><Relationship Id="rId24" Type="http://schemas.openxmlformats.org/officeDocument/2006/relationships/hyperlink" Target="https://www.strava.com/activities/4129296617" TargetMode="External"/><Relationship Id="rId40" Type="http://schemas.openxmlformats.org/officeDocument/2006/relationships/hyperlink" Target="https://www.strava.com/activities/4381778054" TargetMode="External"/><Relationship Id="rId45" Type="http://schemas.openxmlformats.org/officeDocument/2006/relationships/hyperlink" Target="https://www.strava.com/activities/3227299862" TargetMode="External"/><Relationship Id="rId66" Type="http://schemas.openxmlformats.org/officeDocument/2006/relationships/hyperlink" Target="https://www.strava.com/activities/2917580510" TargetMode="External"/><Relationship Id="rId87" Type="http://schemas.openxmlformats.org/officeDocument/2006/relationships/hyperlink" Target="https://www.strava.com/activities/2975941828" TargetMode="External"/><Relationship Id="rId61" Type="http://schemas.openxmlformats.org/officeDocument/2006/relationships/hyperlink" Target="https://www.strava.com/activities/4999083114" TargetMode="External"/><Relationship Id="rId82" Type="http://schemas.openxmlformats.org/officeDocument/2006/relationships/hyperlink" Target="https://www.strava.com/activities/2917878503" TargetMode="External"/><Relationship Id="rId19" Type="http://schemas.openxmlformats.org/officeDocument/2006/relationships/hyperlink" Target="https://www.strava.com/activities/4141433143" TargetMode="External"/><Relationship Id="rId14" Type="http://schemas.openxmlformats.org/officeDocument/2006/relationships/hyperlink" Target="https://www.strava.com/activities/4140010185" TargetMode="External"/><Relationship Id="rId30" Type="http://schemas.openxmlformats.org/officeDocument/2006/relationships/hyperlink" Target="https://www.strava.com/activities/5631390280" TargetMode="External"/><Relationship Id="rId35" Type="http://schemas.openxmlformats.org/officeDocument/2006/relationships/hyperlink" Target="https://www.strava.com/activities/5708178900" TargetMode="External"/><Relationship Id="rId56" Type="http://schemas.openxmlformats.org/officeDocument/2006/relationships/hyperlink" Target="https://www.strava.com/activities/5325364361" TargetMode="External"/><Relationship Id="rId77" Type="http://schemas.openxmlformats.org/officeDocument/2006/relationships/hyperlink" Target="https://www.strava.com/activities/4972728902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rava.com/activities/3424202019" TargetMode="External"/><Relationship Id="rId2" Type="http://schemas.openxmlformats.org/officeDocument/2006/relationships/hyperlink" Target="https://www.strava.com/activities/3424202019" TargetMode="External"/><Relationship Id="rId1" Type="http://schemas.openxmlformats.org/officeDocument/2006/relationships/hyperlink" Target="https://www.strava.com/activities/3424202019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479847492" TargetMode="External"/><Relationship Id="rId13" Type="http://schemas.openxmlformats.org/officeDocument/2006/relationships/hyperlink" Target="https://www.strava.com/activities/479385500" TargetMode="External"/><Relationship Id="rId18" Type="http://schemas.openxmlformats.org/officeDocument/2006/relationships/hyperlink" Target="https://www.strava.com/activities/480141434" TargetMode="External"/><Relationship Id="rId26" Type="http://schemas.openxmlformats.org/officeDocument/2006/relationships/hyperlink" Target="https://www.strava.com/activities/483581677" TargetMode="External"/><Relationship Id="rId3" Type="http://schemas.openxmlformats.org/officeDocument/2006/relationships/hyperlink" Target="https://www.strava.com/activities/479210656" TargetMode="External"/><Relationship Id="rId21" Type="http://schemas.openxmlformats.org/officeDocument/2006/relationships/hyperlink" Target="https://www.strava.com/activities/478645502" TargetMode="External"/><Relationship Id="rId7" Type="http://schemas.openxmlformats.org/officeDocument/2006/relationships/hyperlink" Target="https://www.strava.com/activities/479068880" TargetMode="External"/><Relationship Id="rId12" Type="http://schemas.openxmlformats.org/officeDocument/2006/relationships/hyperlink" Target="https://www.strava.com/activities/479025163" TargetMode="External"/><Relationship Id="rId17" Type="http://schemas.openxmlformats.org/officeDocument/2006/relationships/hyperlink" Target="https://www.strava.com/activities/479644586" TargetMode="External"/><Relationship Id="rId25" Type="http://schemas.openxmlformats.org/officeDocument/2006/relationships/hyperlink" Target="http://www.strava.com/activities/478454642/" TargetMode="External"/><Relationship Id="rId2" Type="http://schemas.openxmlformats.org/officeDocument/2006/relationships/hyperlink" Target="https://www.strava.com/activities/478662312" TargetMode="External"/><Relationship Id="rId16" Type="http://schemas.openxmlformats.org/officeDocument/2006/relationships/hyperlink" Target="https://www.strava.com/activities/479928480" TargetMode="External"/><Relationship Id="rId20" Type="http://schemas.openxmlformats.org/officeDocument/2006/relationships/hyperlink" Target="https://www.strava.com/activities/479970576" TargetMode="External"/><Relationship Id="rId1" Type="http://schemas.openxmlformats.org/officeDocument/2006/relationships/hyperlink" Target="https://www.strava.com/activities/478985485" TargetMode="External"/><Relationship Id="rId6" Type="http://schemas.openxmlformats.org/officeDocument/2006/relationships/hyperlink" Target="https://www.strava.com/activities/479848335" TargetMode="External"/><Relationship Id="rId11" Type="http://schemas.openxmlformats.org/officeDocument/2006/relationships/hyperlink" Target="https://www.strava.com/activities/481233617" TargetMode="External"/><Relationship Id="rId24" Type="http://schemas.openxmlformats.org/officeDocument/2006/relationships/hyperlink" Target="https://www.strava.com/activities/480878476" TargetMode="External"/><Relationship Id="rId5" Type="http://schemas.openxmlformats.org/officeDocument/2006/relationships/hyperlink" Target="https://www.strava.com/activities/479879922" TargetMode="External"/><Relationship Id="rId15" Type="http://schemas.openxmlformats.org/officeDocument/2006/relationships/hyperlink" Target="https://www.strava.com/activities/480907409" TargetMode="External"/><Relationship Id="rId23" Type="http://schemas.openxmlformats.org/officeDocument/2006/relationships/hyperlink" Target="https://www.strava.com/activities/478530519" TargetMode="External"/><Relationship Id="rId10" Type="http://schemas.openxmlformats.org/officeDocument/2006/relationships/hyperlink" Target="https://www.strava.com/activities/479161688" TargetMode="External"/><Relationship Id="rId19" Type="http://schemas.openxmlformats.org/officeDocument/2006/relationships/hyperlink" Target="https://www.strava.com/activities/480098550" TargetMode="External"/><Relationship Id="rId4" Type="http://schemas.openxmlformats.org/officeDocument/2006/relationships/hyperlink" Target="https://www.strava.com/activities/478491082" TargetMode="External"/><Relationship Id="rId9" Type="http://schemas.openxmlformats.org/officeDocument/2006/relationships/hyperlink" Target="https://www.strava.com/activities/481201039" TargetMode="External"/><Relationship Id="rId14" Type="http://schemas.openxmlformats.org/officeDocument/2006/relationships/hyperlink" Target="https://www.strava.com/activities/483955093" TargetMode="External"/><Relationship Id="rId22" Type="http://schemas.openxmlformats.org/officeDocument/2006/relationships/hyperlink" Target="https://www.strava.com/activities/480120765" TargetMode="External"/><Relationship Id="rId27" Type="http://schemas.openxmlformats.org/officeDocument/2006/relationships/hyperlink" Target="https://www.strava.com/activities/480895852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2024423474" TargetMode="External"/><Relationship Id="rId13" Type="http://schemas.openxmlformats.org/officeDocument/2006/relationships/hyperlink" Target="https://www.strava.com/activities/2025872403" TargetMode="External"/><Relationship Id="rId3" Type="http://schemas.openxmlformats.org/officeDocument/2006/relationships/hyperlink" Target="https://www.strava.com/activities/2025390806" TargetMode="External"/><Relationship Id="rId7" Type="http://schemas.openxmlformats.org/officeDocument/2006/relationships/hyperlink" Target="https://www.strava.com/activities/2026682163" TargetMode="External"/><Relationship Id="rId12" Type="http://schemas.openxmlformats.org/officeDocument/2006/relationships/hyperlink" Target="https://www.strava.com/activities/2025712337" TargetMode="External"/><Relationship Id="rId2" Type="http://schemas.openxmlformats.org/officeDocument/2006/relationships/hyperlink" Target="https://www.strava.com/activities/2000270875" TargetMode="External"/><Relationship Id="rId1" Type="http://schemas.openxmlformats.org/officeDocument/2006/relationships/hyperlink" Target="https://www.strava.com/activities/1937847233" TargetMode="External"/><Relationship Id="rId6" Type="http://schemas.openxmlformats.org/officeDocument/2006/relationships/hyperlink" Target="https://www.strava.com/activities/2025516813" TargetMode="External"/><Relationship Id="rId11" Type="http://schemas.openxmlformats.org/officeDocument/2006/relationships/hyperlink" Target="https://www.strava.com/activities/2025619782" TargetMode="External"/><Relationship Id="rId5" Type="http://schemas.openxmlformats.org/officeDocument/2006/relationships/hyperlink" Target="https://www.strava.com/activities/2025238453" TargetMode="External"/><Relationship Id="rId10" Type="http://schemas.openxmlformats.org/officeDocument/2006/relationships/hyperlink" Target="https://www.strava.com/activities/2024181031" TargetMode="External"/><Relationship Id="rId4" Type="http://schemas.openxmlformats.org/officeDocument/2006/relationships/hyperlink" Target="https://www.strava.com/activities/2026979106" TargetMode="External"/><Relationship Id="rId9" Type="http://schemas.openxmlformats.org/officeDocument/2006/relationships/hyperlink" Target="https://www.strava.com/activities/2024307875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rava.com/activities/3012213219" TargetMode="External"/><Relationship Id="rId2" Type="http://schemas.openxmlformats.org/officeDocument/2006/relationships/hyperlink" Target="https://www.strava.com/activities/3011917629" TargetMode="External"/><Relationship Id="rId1" Type="http://schemas.openxmlformats.org/officeDocument/2006/relationships/hyperlink" Target="https://www.strava.com/activities/3011917629" TargetMode="External"/><Relationship Id="rId5" Type="http://schemas.openxmlformats.org/officeDocument/2006/relationships/hyperlink" Target="https://www.strava.com/activities/3012213219" TargetMode="External"/><Relationship Id="rId4" Type="http://schemas.openxmlformats.org/officeDocument/2006/relationships/hyperlink" Target="https://www.strava.com/activities/301205437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5318817269" TargetMode="External"/><Relationship Id="rId13" Type="http://schemas.openxmlformats.org/officeDocument/2006/relationships/hyperlink" Target="https://www.strava.com/activities/4969452558" TargetMode="External"/><Relationship Id="rId18" Type="http://schemas.openxmlformats.org/officeDocument/2006/relationships/hyperlink" Target="https://www.strava.com/activities/2982170536" TargetMode="External"/><Relationship Id="rId26" Type="http://schemas.openxmlformats.org/officeDocument/2006/relationships/hyperlink" Target="https://www.strava.com/activities/4974626852" TargetMode="External"/><Relationship Id="rId3" Type="http://schemas.openxmlformats.org/officeDocument/2006/relationships/hyperlink" Target="https://www.strava.com/activities/4974626852" TargetMode="External"/><Relationship Id="rId21" Type="http://schemas.openxmlformats.org/officeDocument/2006/relationships/hyperlink" Target="https://www.strava.com/activities/2879150387" TargetMode="External"/><Relationship Id="rId7" Type="http://schemas.openxmlformats.org/officeDocument/2006/relationships/hyperlink" Target="https://www.strava.com/activities/5320049958" TargetMode="External"/><Relationship Id="rId12" Type="http://schemas.openxmlformats.org/officeDocument/2006/relationships/hyperlink" Target="https://www.strava.com/activities/2982033990" TargetMode="External"/><Relationship Id="rId17" Type="http://schemas.openxmlformats.org/officeDocument/2006/relationships/hyperlink" Target="https://www.strava.com/activities/2991275700" TargetMode="External"/><Relationship Id="rId25" Type="http://schemas.openxmlformats.org/officeDocument/2006/relationships/hyperlink" Target="https://www.strava.com/activities/2981862579" TargetMode="External"/><Relationship Id="rId2" Type="http://schemas.openxmlformats.org/officeDocument/2006/relationships/hyperlink" Target="https://www.strava.com/activities/4969454217" TargetMode="External"/><Relationship Id="rId16" Type="http://schemas.openxmlformats.org/officeDocument/2006/relationships/hyperlink" Target="https://www.strava.com/activities/4974626852" TargetMode="External"/><Relationship Id="rId20" Type="http://schemas.openxmlformats.org/officeDocument/2006/relationships/hyperlink" Target="https://www.strava.com/activities/2879151204" TargetMode="External"/><Relationship Id="rId1" Type="http://schemas.openxmlformats.org/officeDocument/2006/relationships/hyperlink" Target="https://www.strava.com/activities/4969452558" TargetMode="External"/><Relationship Id="rId6" Type="http://schemas.openxmlformats.org/officeDocument/2006/relationships/hyperlink" Target="https://www.strava.com/activities/5320056119" TargetMode="External"/><Relationship Id="rId11" Type="http://schemas.openxmlformats.org/officeDocument/2006/relationships/hyperlink" Target="https://www.strava.com/activities/2971856212" TargetMode="External"/><Relationship Id="rId24" Type="http://schemas.openxmlformats.org/officeDocument/2006/relationships/hyperlink" Target="https://www.strava.com/activities/4974626852" TargetMode="External"/><Relationship Id="rId5" Type="http://schemas.openxmlformats.org/officeDocument/2006/relationships/hyperlink" Target="https://www.strava.com/activities/5320054279" TargetMode="External"/><Relationship Id="rId15" Type="http://schemas.openxmlformats.org/officeDocument/2006/relationships/hyperlink" Target="https://www.strava.com/activities/2981583899" TargetMode="External"/><Relationship Id="rId23" Type="http://schemas.openxmlformats.org/officeDocument/2006/relationships/hyperlink" Target="https://www.strava.com/activities/2981582663" TargetMode="External"/><Relationship Id="rId10" Type="http://schemas.openxmlformats.org/officeDocument/2006/relationships/hyperlink" Target="https://www.strava.com/activities/5320058973" TargetMode="External"/><Relationship Id="rId19" Type="http://schemas.openxmlformats.org/officeDocument/2006/relationships/hyperlink" Target="https://www.strava.com/activities/4969452558" TargetMode="External"/><Relationship Id="rId4" Type="http://schemas.openxmlformats.org/officeDocument/2006/relationships/hyperlink" Target="https://www.strava.com/activities/2982170987" TargetMode="External"/><Relationship Id="rId9" Type="http://schemas.openxmlformats.org/officeDocument/2006/relationships/hyperlink" Target="https://www.strava.com/activities/5319645874" TargetMode="External"/><Relationship Id="rId14" Type="http://schemas.openxmlformats.org/officeDocument/2006/relationships/hyperlink" Target="https://www.strava.com/activities/4969454217" TargetMode="External"/><Relationship Id="rId22" Type="http://schemas.openxmlformats.org/officeDocument/2006/relationships/hyperlink" Target="https://www.strava.com/activities/496945421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rava.com/activities/3200994635" TargetMode="External"/><Relationship Id="rId2" Type="http://schemas.openxmlformats.org/officeDocument/2006/relationships/hyperlink" Target="https://www.strava.com/activities/3200709833" TargetMode="External"/><Relationship Id="rId1" Type="http://schemas.openxmlformats.org/officeDocument/2006/relationships/hyperlink" Target="https://www.strava.com/activities/3200726490" TargetMode="External"/><Relationship Id="rId6" Type="http://schemas.openxmlformats.org/officeDocument/2006/relationships/hyperlink" Target="https://www.strava.com/activities/3201208268" TargetMode="External"/><Relationship Id="rId5" Type="http://schemas.openxmlformats.org/officeDocument/2006/relationships/hyperlink" Target="https://www.strava.com/activities/3201195938" TargetMode="External"/><Relationship Id="rId4" Type="http://schemas.openxmlformats.org/officeDocument/2006/relationships/hyperlink" Target="https://www.strava.com/activities/320099575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rava.com/activities/4000952326" TargetMode="External"/><Relationship Id="rId2" Type="http://schemas.openxmlformats.org/officeDocument/2006/relationships/hyperlink" Target="https://www.strava.com/activities/3247321430" TargetMode="External"/><Relationship Id="rId1" Type="http://schemas.openxmlformats.org/officeDocument/2006/relationships/hyperlink" Target="https://www.strava.com/activities/3246533655" TargetMode="External"/><Relationship Id="rId6" Type="http://schemas.openxmlformats.org/officeDocument/2006/relationships/hyperlink" Target="https://www.strava.com/activities/4001625981" TargetMode="External"/><Relationship Id="rId5" Type="http://schemas.openxmlformats.org/officeDocument/2006/relationships/hyperlink" Target="https://www.strava.com/activities/4001627764" TargetMode="External"/><Relationship Id="rId4" Type="http://schemas.openxmlformats.org/officeDocument/2006/relationships/hyperlink" Target="https://www.strava.com/activities/400092944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rava.com/activities/3421086961" TargetMode="External"/><Relationship Id="rId2" Type="http://schemas.openxmlformats.org/officeDocument/2006/relationships/hyperlink" Target="https://www.strava.com/activities/3420453413" TargetMode="External"/><Relationship Id="rId1" Type="http://schemas.openxmlformats.org/officeDocument/2006/relationships/hyperlink" Target="https://www.strava.com/activities/3420453413" TargetMode="External"/><Relationship Id="rId4" Type="http://schemas.openxmlformats.org/officeDocument/2006/relationships/hyperlink" Target="https://www.strava.com/activities/342108696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ava.com/activities/3421087539" TargetMode="External"/><Relationship Id="rId1" Type="http://schemas.openxmlformats.org/officeDocument/2006/relationships/hyperlink" Target="https://www.strava.com/activities/3421087539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2982332159" TargetMode="External"/><Relationship Id="rId13" Type="http://schemas.openxmlformats.org/officeDocument/2006/relationships/hyperlink" Target="https://www.strava.com/activities/4320041930" TargetMode="External"/><Relationship Id="rId3" Type="http://schemas.openxmlformats.org/officeDocument/2006/relationships/hyperlink" Target="https://www.strava.com/activities/2982415610" TargetMode="External"/><Relationship Id="rId7" Type="http://schemas.openxmlformats.org/officeDocument/2006/relationships/hyperlink" Target="https://www.strava.com/activities/2982687364" TargetMode="External"/><Relationship Id="rId12" Type="http://schemas.openxmlformats.org/officeDocument/2006/relationships/hyperlink" Target="https://www.strava.com/activities/4315723025" TargetMode="External"/><Relationship Id="rId2" Type="http://schemas.openxmlformats.org/officeDocument/2006/relationships/hyperlink" Target="https://www.strava.com/activities/2982687850" TargetMode="External"/><Relationship Id="rId1" Type="http://schemas.openxmlformats.org/officeDocument/2006/relationships/hyperlink" Target="https://www.strava.com/activities/2982939872" TargetMode="External"/><Relationship Id="rId6" Type="http://schemas.openxmlformats.org/officeDocument/2006/relationships/hyperlink" Target="https://www.strava.com/activities/2975941828" TargetMode="External"/><Relationship Id="rId11" Type="http://schemas.openxmlformats.org/officeDocument/2006/relationships/hyperlink" Target="https://www.strava.com/activities/4317966043" TargetMode="External"/><Relationship Id="rId5" Type="http://schemas.openxmlformats.org/officeDocument/2006/relationships/hyperlink" Target="https://www.strava.com/activities/2982524539" TargetMode="External"/><Relationship Id="rId15" Type="http://schemas.openxmlformats.org/officeDocument/2006/relationships/hyperlink" Target="https://www.strava.com/activities/4323543772" TargetMode="External"/><Relationship Id="rId10" Type="http://schemas.openxmlformats.org/officeDocument/2006/relationships/hyperlink" Target="https://www.strava.com/activities/4317966043" TargetMode="External"/><Relationship Id="rId4" Type="http://schemas.openxmlformats.org/officeDocument/2006/relationships/hyperlink" Target="https://www.strava.com/activities/2982940031" TargetMode="External"/><Relationship Id="rId9" Type="http://schemas.openxmlformats.org/officeDocument/2006/relationships/hyperlink" Target="https://www.strava.com/activities/2191954587" TargetMode="External"/><Relationship Id="rId14" Type="http://schemas.openxmlformats.org/officeDocument/2006/relationships/hyperlink" Target="https://www.strava.com/activities/4323199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V19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7.85546875" customWidth="1"/>
    <col min="5" max="5" width="25.5703125" customWidth="1"/>
    <col min="6" max="6" width="12.7109375" customWidth="1"/>
    <col min="7" max="7" width="28.140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spans="1:22" ht="15" hidden="1">
      <c r="A2" s="3">
        <v>75</v>
      </c>
      <c r="B2" s="3">
        <v>375</v>
      </c>
      <c r="C2" s="3">
        <f t="shared" ref="C2:C191" si="0">B2/A2</f>
        <v>5</v>
      </c>
      <c r="D2" s="3">
        <v>183</v>
      </c>
      <c r="E2" s="3" t="s">
        <v>9</v>
      </c>
      <c r="F2" s="3" t="s">
        <v>10</v>
      </c>
      <c r="G2" s="3" t="s">
        <v>11</v>
      </c>
      <c r="H2" s="4">
        <v>3.2280092592592589E-2</v>
      </c>
      <c r="I2" s="5" t="s">
        <v>12</v>
      </c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" hidden="1">
      <c r="A3" s="3">
        <v>75</v>
      </c>
      <c r="B3" s="3">
        <v>375</v>
      </c>
      <c r="C3" s="3">
        <f t="shared" si="0"/>
        <v>5</v>
      </c>
      <c r="D3" s="3">
        <v>183</v>
      </c>
      <c r="E3" s="3" t="s">
        <v>13</v>
      </c>
      <c r="F3" s="3" t="s">
        <v>10</v>
      </c>
      <c r="G3" s="3" t="s">
        <v>14</v>
      </c>
      <c r="H3" s="4">
        <v>3.2511574074074075E-2</v>
      </c>
      <c r="I3" s="8" t="s">
        <v>15</v>
      </c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" hidden="1">
      <c r="A4" s="3">
        <v>75</v>
      </c>
      <c r="B4" s="3">
        <v>375</v>
      </c>
      <c r="C4" s="3">
        <f t="shared" si="0"/>
        <v>5</v>
      </c>
      <c r="D4" s="3">
        <v>183</v>
      </c>
      <c r="E4" s="3" t="s">
        <v>16</v>
      </c>
      <c r="F4" s="3" t="s">
        <v>10</v>
      </c>
      <c r="G4" s="3" t="s">
        <v>17</v>
      </c>
      <c r="H4" s="4">
        <v>3.3055555555555553E-2</v>
      </c>
      <c r="I4" s="8" t="s">
        <v>18</v>
      </c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" hidden="1">
      <c r="A5" s="3">
        <v>100</v>
      </c>
      <c r="B5" s="3">
        <v>400</v>
      </c>
      <c r="C5" s="3">
        <f t="shared" si="0"/>
        <v>4</v>
      </c>
      <c r="D5" s="3">
        <v>183</v>
      </c>
      <c r="E5" s="3" t="s">
        <v>19</v>
      </c>
      <c r="F5" s="3" t="s">
        <v>10</v>
      </c>
      <c r="G5" s="3" t="s">
        <v>17</v>
      </c>
      <c r="H5" s="4">
        <v>3.3900462962962966E-2</v>
      </c>
      <c r="I5" s="9" t="s">
        <v>20</v>
      </c>
      <c r="J5" s="2"/>
    </row>
    <row r="6" spans="1:22" ht="15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9</v>
      </c>
      <c r="F6" s="3" t="s">
        <v>10</v>
      </c>
      <c r="G6" s="3" t="s">
        <v>11</v>
      </c>
      <c r="H6" s="4">
        <v>3.4409722222222223E-2</v>
      </c>
      <c r="I6" s="9" t="s">
        <v>21</v>
      </c>
      <c r="J6" s="10" t="s">
        <v>22</v>
      </c>
    </row>
    <row r="7" spans="1:22" ht="15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23</v>
      </c>
      <c r="F7" s="3" t="s">
        <v>24</v>
      </c>
      <c r="G7" s="3" t="s">
        <v>17</v>
      </c>
      <c r="H7" s="4">
        <v>3.4502314814814812E-2</v>
      </c>
      <c r="I7" s="8" t="s">
        <v>25</v>
      </c>
      <c r="J7" s="7"/>
      <c r="K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">
      <c r="A8" s="3">
        <v>75</v>
      </c>
      <c r="B8" s="3">
        <v>300</v>
      </c>
      <c r="C8" s="3">
        <f t="shared" si="0"/>
        <v>4</v>
      </c>
      <c r="D8" s="3">
        <v>183</v>
      </c>
      <c r="E8" s="3" t="s">
        <v>26</v>
      </c>
      <c r="F8" s="3" t="s">
        <v>24</v>
      </c>
      <c r="G8" s="3" t="s">
        <v>17</v>
      </c>
      <c r="H8" s="4">
        <v>3.453703703703704E-2</v>
      </c>
      <c r="I8" s="9" t="s">
        <v>27</v>
      </c>
    </row>
    <row r="9" spans="1:22" ht="15">
      <c r="A9" s="3">
        <v>75</v>
      </c>
      <c r="B9" s="3">
        <v>300</v>
      </c>
      <c r="C9" s="3">
        <f t="shared" si="0"/>
        <v>4</v>
      </c>
      <c r="D9" s="3">
        <v>183</v>
      </c>
      <c r="E9" s="3" t="s">
        <v>28</v>
      </c>
      <c r="F9" s="3" t="s">
        <v>24</v>
      </c>
      <c r="G9" s="3" t="s">
        <v>17</v>
      </c>
      <c r="H9" s="4">
        <v>3.453703703703704E-2</v>
      </c>
      <c r="I9" s="9" t="s">
        <v>29</v>
      </c>
    </row>
    <row r="10" spans="1:22" ht="15">
      <c r="A10" s="3">
        <v>75</v>
      </c>
      <c r="B10" s="3">
        <v>300</v>
      </c>
      <c r="C10" s="3">
        <f t="shared" si="0"/>
        <v>4</v>
      </c>
      <c r="D10" s="3">
        <v>183</v>
      </c>
      <c r="E10" s="3" t="s">
        <v>30</v>
      </c>
      <c r="F10" s="3" t="s">
        <v>24</v>
      </c>
      <c r="G10" s="3" t="s">
        <v>17</v>
      </c>
      <c r="H10" s="4">
        <v>3.457175925925926E-2</v>
      </c>
      <c r="I10" s="9" t="s">
        <v>31</v>
      </c>
    </row>
    <row r="11" spans="1:22" ht="15">
      <c r="A11" s="3">
        <v>75</v>
      </c>
      <c r="B11" s="3">
        <v>300</v>
      </c>
      <c r="C11" s="3">
        <f t="shared" si="0"/>
        <v>4</v>
      </c>
      <c r="D11" s="3">
        <v>183</v>
      </c>
      <c r="E11" s="3" t="s">
        <v>32</v>
      </c>
      <c r="F11" s="3" t="s">
        <v>24</v>
      </c>
      <c r="G11" s="3" t="s">
        <v>17</v>
      </c>
      <c r="H11" s="4">
        <v>3.4618055555555555E-2</v>
      </c>
      <c r="I11" s="9" t="s">
        <v>33</v>
      </c>
    </row>
    <row r="12" spans="1:22" ht="15">
      <c r="A12" s="3">
        <v>75</v>
      </c>
      <c r="B12" s="3">
        <v>300</v>
      </c>
      <c r="C12" s="3">
        <f t="shared" si="0"/>
        <v>4</v>
      </c>
      <c r="D12" s="3">
        <v>183</v>
      </c>
      <c r="E12" s="3" t="s">
        <v>34</v>
      </c>
      <c r="F12" s="3" t="s">
        <v>24</v>
      </c>
      <c r="G12" s="3" t="s">
        <v>17</v>
      </c>
      <c r="H12" s="4">
        <v>3.4652777777777775E-2</v>
      </c>
      <c r="I12" s="9" t="s">
        <v>35</v>
      </c>
    </row>
    <row r="13" spans="1:22" ht="15">
      <c r="A13" s="3">
        <v>75</v>
      </c>
      <c r="B13" s="3">
        <v>300</v>
      </c>
      <c r="C13" s="3">
        <f t="shared" si="0"/>
        <v>4</v>
      </c>
      <c r="D13" s="3">
        <v>183</v>
      </c>
      <c r="E13" s="3" t="s">
        <v>36</v>
      </c>
      <c r="F13" s="3" t="s">
        <v>24</v>
      </c>
      <c r="G13" s="3" t="s">
        <v>17</v>
      </c>
      <c r="H13" s="4">
        <v>3.4699074074074077E-2</v>
      </c>
      <c r="I13" s="9" t="s">
        <v>37</v>
      </c>
    </row>
    <row r="14" spans="1:22" ht="15">
      <c r="A14" s="3">
        <v>75</v>
      </c>
      <c r="B14" s="3">
        <v>300</v>
      </c>
      <c r="C14" s="3">
        <f t="shared" si="0"/>
        <v>4</v>
      </c>
      <c r="D14" s="3">
        <v>183</v>
      </c>
      <c r="E14" s="3" t="s">
        <v>38</v>
      </c>
      <c r="F14" s="3" t="s">
        <v>24</v>
      </c>
      <c r="G14" s="3" t="s">
        <v>17</v>
      </c>
      <c r="H14" s="4">
        <v>3.4699074074074077E-2</v>
      </c>
      <c r="I14" s="9" t="s">
        <v>39</v>
      </c>
    </row>
    <row r="15" spans="1:22" ht="15">
      <c r="A15" s="3">
        <v>75</v>
      </c>
      <c r="B15" s="3">
        <v>300</v>
      </c>
      <c r="C15" s="3">
        <f t="shared" si="0"/>
        <v>4</v>
      </c>
      <c r="D15" s="3">
        <v>183</v>
      </c>
      <c r="E15" s="3" t="s">
        <v>40</v>
      </c>
      <c r="F15" s="3" t="s">
        <v>24</v>
      </c>
      <c r="G15" s="3" t="s">
        <v>17</v>
      </c>
      <c r="H15" s="4">
        <v>3.4699074074074077E-2</v>
      </c>
      <c r="I15" s="9" t="s">
        <v>41</v>
      </c>
    </row>
    <row r="16" spans="1:22" ht="15">
      <c r="A16" s="3">
        <v>75</v>
      </c>
      <c r="B16" s="3">
        <v>300</v>
      </c>
      <c r="C16" s="3">
        <f t="shared" si="0"/>
        <v>4</v>
      </c>
      <c r="D16" s="3">
        <v>183</v>
      </c>
      <c r="E16" s="3" t="s">
        <v>42</v>
      </c>
      <c r="F16" s="3" t="s">
        <v>24</v>
      </c>
      <c r="G16" s="3" t="s">
        <v>17</v>
      </c>
      <c r="H16" s="4">
        <v>3.4699074074074077E-2</v>
      </c>
      <c r="I16" s="9" t="s">
        <v>43</v>
      </c>
    </row>
    <row r="17" spans="1:22" ht="15">
      <c r="A17" s="3">
        <v>75</v>
      </c>
      <c r="B17" s="3">
        <v>300</v>
      </c>
      <c r="C17" s="3">
        <f t="shared" si="0"/>
        <v>4</v>
      </c>
      <c r="D17" s="3">
        <v>183</v>
      </c>
      <c r="E17" s="3" t="s">
        <v>44</v>
      </c>
      <c r="F17" s="3" t="s">
        <v>24</v>
      </c>
      <c r="G17" s="3" t="s">
        <v>17</v>
      </c>
      <c r="H17" s="4">
        <v>3.471064814814815E-2</v>
      </c>
      <c r="I17" s="9" t="s">
        <v>45</v>
      </c>
    </row>
    <row r="18" spans="1:22" ht="15">
      <c r="A18" s="3">
        <v>75</v>
      </c>
      <c r="B18" s="3">
        <v>300</v>
      </c>
      <c r="C18" s="3">
        <f t="shared" si="0"/>
        <v>4</v>
      </c>
      <c r="D18" s="3">
        <v>183</v>
      </c>
      <c r="E18" s="3" t="s">
        <v>46</v>
      </c>
      <c r="F18" s="3" t="s">
        <v>24</v>
      </c>
      <c r="G18" s="3" t="s">
        <v>17</v>
      </c>
      <c r="H18" s="4">
        <v>3.471064814814815E-2</v>
      </c>
      <c r="I18" s="9" t="s">
        <v>47</v>
      </c>
    </row>
    <row r="19" spans="1:22" ht="15">
      <c r="A19" s="3">
        <v>75</v>
      </c>
      <c r="B19" s="3">
        <v>300</v>
      </c>
      <c r="C19" s="3">
        <f t="shared" si="0"/>
        <v>4</v>
      </c>
      <c r="D19" s="3">
        <v>183</v>
      </c>
      <c r="E19" s="3" t="s">
        <v>48</v>
      </c>
      <c r="F19" s="3" t="s">
        <v>24</v>
      </c>
      <c r="G19" s="3" t="s">
        <v>17</v>
      </c>
      <c r="H19" s="4">
        <v>3.471064814814815E-2</v>
      </c>
      <c r="I19" s="9" t="s">
        <v>49</v>
      </c>
    </row>
    <row r="20" spans="1:22" ht="15">
      <c r="A20" s="3">
        <v>75</v>
      </c>
      <c r="B20" s="3">
        <v>300</v>
      </c>
      <c r="C20" s="3">
        <f t="shared" si="0"/>
        <v>4</v>
      </c>
      <c r="D20" s="3">
        <v>183</v>
      </c>
      <c r="E20" s="3" t="s">
        <v>50</v>
      </c>
      <c r="F20" s="3" t="s">
        <v>24</v>
      </c>
      <c r="G20" s="3" t="s">
        <v>17</v>
      </c>
      <c r="H20" s="4">
        <v>3.471064814814815E-2</v>
      </c>
      <c r="I20" s="9" t="s">
        <v>51</v>
      </c>
    </row>
    <row r="21" spans="1:22" ht="15">
      <c r="A21" s="3">
        <v>75</v>
      </c>
      <c r="B21" s="3">
        <v>300</v>
      </c>
      <c r="C21" s="3">
        <f t="shared" si="0"/>
        <v>4</v>
      </c>
      <c r="D21" s="3">
        <v>183</v>
      </c>
      <c r="E21" s="3" t="s">
        <v>52</v>
      </c>
      <c r="F21" s="3" t="s">
        <v>24</v>
      </c>
      <c r="G21" s="3" t="s">
        <v>17</v>
      </c>
      <c r="H21" s="4">
        <v>3.471064814814815E-2</v>
      </c>
      <c r="I21" s="9" t="s">
        <v>53</v>
      </c>
    </row>
    <row r="22" spans="1:22" ht="15">
      <c r="A22" s="3">
        <v>75</v>
      </c>
      <c r="B22" s="3">
        <v>300</v>
      </c>
      <c r="C22" s="3">
        <f t="shared" si="0"/>
        <v>4</v>
      </c>
      <c r="D22" s="3">
        <v>183</v>
      </c>
      <c r="E22" s="3" t="s">
        <v>9</v>
      </c>
      <c r="F22" s="3" t="s">
        <v>10</v>
      </c>
      <c r="G22" s="3" t="s">
        <v>11</v>
      </c>
      <c r="H22" s="4">
        <v>3.4884259259259261E-2</v>
      </c>
      <c r="I22" s="9" t="s">
        <v>54</v>
      </c>
      <c r="J22" s="10" t="s">
        <v>55</v>
      </c>
    </row>
    <row r="23" spans="1:22" ht="15">
      <c r="A23" s="3">
        <v>75</v>
      </c>
      <c r="B23" s="3">
        <v>300</v>
      </c>
      <c r="C23" s="3">
        <f t="shared" si="0"/>
        <v>4</v>
      </c>
      <c r="D23" s="3">
        <v>183</v>
      </c>
      <c r="E23" s="3" t="s">
        <v>56</v>
      </c>
      <c r="F23" s="3" t="s">
        <v>24</v>
      </c>
      <c r="G23" s="3" t="s">
        <v>17</v>
      </c>
      <c r="H23" s="4">
        <v>3.4907407407407408E-2</v>
      </c>
      <c r="I23" s="9" t="s">
        <v>57</v>
      </c>
      <c r="J23" s="2"/>
    </row>
    <row r="24" spans="1:22" ht="15">
      <c r="A24" s="3">
        <v>75</v>
      </c>
      <c r="B24" s="3">
        <v>300</v>
      </c>
      <c r="C24" s="3">
        <f t="shared" si="0"/>
        <v>4</v>
      </c>
      <c r="D24" s="3">
        <v>183</v>
      </c>
      <c r="E24" s="3" t="s">
        <v>9</v>
      </c>
      <c r="F24" s="3" t="s">
        <v>10</v>
      </c>
      <c r="G24" s="3" t="s">
        <v>11</v>
      </c>
      <c r="H24" s="4">
        <v>3.4988425925925923E-2</v>
      </c>
      <c r="I24" s="8" t="s">
        <v>12</v>
      </c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5">
      <c r="A25" s="3">
        <v>75</v>
      </c>
      <c r="B25" s="3">
        <v>300</v>
      </c>
      <c r="C25" s="3">
        <f t="shared" si="0"/>
        <v>4</v>
      </c>
      <c r="D25" s="3">
        <v>183</v>
      </c>
      <c r="E25" s="3" t="s">
        <v>58</v>
      </c>
      <c r="F25" s="3" t="s">
        <v>10</v>
      </c>
      <c r="G25" s="3" t="s">
        <v>11</v>
      </c>
      <c r="H25" s="4">
        <v>3.5011574074074077E-2</v>
      </c>
      <c r="I25" s="9" t="s">
        <v>59</v>
      </c>
      <c r="J25" s="2"/>
    </row>
    <row r="26" spans="1:22" ht="15">
      <c r="A26" s="3">
        <v>75</v>
      </c>
      <c r="B26" s="3">
        <v>300</v>
      </c>
      <c r="C26" s="3">
        <f t="shared" si="0"/>
        <v>4</v>
      </c>
      <c r="D26" s="3">
        <v>183</v>
      </c>
      <c r="E26" s="3" t="s">
        <v>9</v>
      </c>
      <c r="F26" s="3" t="s">
        <v>10</v>
      </c>
      <c r="G26" s="3" t="s">
        <v>11</v>
      </c>
      <c r="H26" s="4">
        <v>3.5011574074074077E-2</v>
      </c>
      <c r="I26" s="9" t="s">
        <v>60</v>
      </c>
      <c r="J26" s="2"/>
    </row>
    <row r="27" spans="1:22" ht="15">
      <c r="A27" s="3">
        <v>75</v>
      </c>
      <c r="B27" s="3">
        <v>300</v>
      </c>
      <c r="C27" s="3">
        <f t="shared" si="0"/>
        <v>4</v>
      </c>
      <c r="D27" s="3">
        <v>183</v>
      </c>
      <c r="E27" s="3" t="s">
        <v>61</v>
      </c>
      <c r="F27" s="3" t="s">
        <v>10</v>
      </c>
      <c r="G27" s="3" t="s">
        <v>11</v>
      </c>
      <c r="H27" s="4">
        <v>3.502314814814815E-2</v>
      </c>
      <c r="I27" s="9" t="s">
        <v>62</v>
      </c>
      <c r="J27" s="2"/>
    </row>
    <row r="28" spans="1:22" ht="15">
      <c r="A28" s="3">
        <v>75</v>
      </c>
      <c r="B28" s="3">
        <v>300</v>
      </c>
      <c r="C28" s="3">
        <f t="shared" si="0"/>
        <v>4</v>
      </c>
      <c r="D28" s="3">
        <v>183</v>
      </c>
      <c r="E28" s="3" t="s">
        <v>63</v>
      </c>
      <c r="F28" s="3" t="s">
        <v>10</v>
      </c>
      <c r="G28" s="3" t="s">
        <v>11</v>
      </c>
      <c r="H28" s="4">
        <v>3.502314814814815E-2</v>
      </c>
      <c r="I28" s="9" t="s">
        <v>64</v>
      </c>
      <c r="J28" s="2"/>
    </row>
    <row r="29" spans="1:22" ht="15">
      <c r="A29" s="3">
        <v>75</v>
      </c>
      <c r="B29" s="3">
        <v>300</v>
      </c>
      <c r="C29" s="3">
        <f t="shared" si="0"/>
        <v>4</v>
      </c>
      <c r="D29" s="3">
        <v>183</v>
      </c>
      <c r="E29" s="3" t="s">
        <v>9</v>
      </c>
      <c r="F29" s="3" t="s">
        <v>10</v>
      </c>
      <c r="G29" s="3" t="s">
        <v>65</v>
      </c>
      <c r="H29" s="4">
        <v>3.5034722222222224E-2</v>
      </c>
      <c r="I29" s="9" t="s">
        <v>66</v>
      </c>
      <c r="J29" s="2"/>
    </row>
    <row r="30" spans="1:22" ht="15">
      <c r="A30" s="3">
        <v>75</v>
      </c>
      <c r="B30" s="3">
        <v>300</v>
      </c>
      <c r="C30" s="3">
        <f t="shared" si="0"/>
        <v>4</v>
      </c>
      <c r="D30" s="3">
        <v>183</v>
      </c>
      <c r="E30" s="3" t="s">
        <v>67</v>
      </c>
      <c r="F30" s="3" t="s">
        <v>10</v>
      </c>
      <c r="G30" s="3" t="s">
        <v>11</v>
      </c>
      <c r="H30" s="4">
        <v>3.5034722222222224E-2</v>
      </c>
      <c r="I30" s="9" t="s">
        <v>68</v>
      </c>
      <c r="J30" s="2"/>
    </row>
    <row r="31" spans="1:22" ht="15">
      <c r="A31" s="3">
        <v>75</v>
      </c>
      <c r="B31" s="3">
        <v>300</v>
      </c>
      <c r="C31" s="3">
        <f t="shared" si="0"/>
        <v>4</v>
      </c>
      <c r="D31" s="3">
        <v>183</v>
      </c>
      <c r="E31" s="3" t="s">
        <v>13</v>
      </c>
      <c r="F31" s="3" t="s">
        <v>10</v>
      </c>
      <c r="G31" s="3" t="s">
        <v>11</v>
      </c>
      <c r="H31" s="4">
        <v>3.5034722222222224E-2</v>
      </c>
      <c r="I31" s="11" t="s">
        <v>69</v>
      </c>
      <c r="J31" s="2"/>
      <c r="L31" s="12" t="s">
        <v>70</v>
      </c>
    </row>
    <row r="32" spans="1:22" ht="15">
      <c r="A32" s="3">
        <v>75</v>
      </c>
      <c r="B32" s="3">
        <v>300</v>
      </c>
      <c r="C32" s="3">
        <f t="shared" si="0"/>
        <v>4</v>
      </c>
      <c r="D32" s="3">
        <v>183</v>
      </c>
      <c r="E32" s="3" t="s">
        <v>71</v>
      </c>
      <c r="F32" s="3" t="s">
        <v>10</v>
      </c>
      <c r="G32" s="3" t="s">
        <v>11</v>
      </c>
      <c r="H32" s="4">
        <v>3.5034722222222224E-2</v>
      </c>
      <c r="I32" s="9" t="s">
        <v>72</v>
      </c>
      <c r="J32" s="2"/>
    </row>
    <row r="33" spans="1:22" ht="15">
      <c r="A33" s="3">
        <v>75</v>
      </c>
      <c r="B33" s="3">
        <v>300</v>
      </c>
      <c r="C33" s="3">
        <f t="shared" si="0"/>
        <v>4</v>
      </c>
      <c r="D33" s="3">
        <v>183</v>
      </c>
      <c r="E33" s="3" t="s">
        <v>73</v>
      </c>
      <c r="F33" s="3" t="s">
        <v>10</v>
      </c>
      <c r="G33" s="3" t="s">
        <v>73</v>
      </c>
      <c r="H33" s="4">
        <v>3.5046296296296298E-2</v>
      </c>
      <c r="I33" s="9" t="s">
        <v>74</v>
      </c>
      <c r="J33" s="2"/>
    </row>
    <row r="34" spans="1:22" ht="15">
      <c r="A34" s="3">
        <v>75</v>
      </c>
      <c r="B34" s="3">
        <v>300</v>
      </c>
      <c r="C34" s="3">
        <f t="shared" si="0"/>
        <v>4</v>
      </c>
      <c r="D34" s="3">
        <v>183</v>
      </c>
      <c r="E34" s="3" t="s">
        <v>75</v>
      </c>
      <c r="F34" s="3" t="s">
        <v>10</v>
      </c>
      <c r="G34" s="3" t="s">
        <v>11</v>
      </c>
      <c r="H34" s="4">
        <v>3.5046296296296298E-2</v>
      </c>
      <c r="I34" s="9" t="s">
        <v>76</v>
      </c>
      <c r="J34" s="2"/>
    </row>
    <row r="35" spans="1:22" ht="15">
      <c r="A35" s="3">
        <v>75</v>
      </c>
      <c r="B35" s="3">
        <v>300</v>
      </c>
      <c r="C35" s="3">
        <f t="shared" si="0"/>
        <v>4</v>
      </c>
      <c r="D35" s="3">
        <v>183</v>
      </c>
      <c r="E35" s="3" t="s">
        <v>77</v>
      </c>
      <c r="F35" s="3" t="s">
        <v>10</v>
      </c>
      <c r="G35" s="3" t="s">
        <v>11</v>
      </c>
      <c r="H35" s="4">
        <v>3.5069444444444445E-2</v>
      </c>
      <c r="I35" s="9" t="s">
        <v>78</v>
      </c>
      <c r="J35" s="2"/>
    </row>
    <row r="36" spans="1:22" ht="15">
      <c r="A36" s="3">
        <v>75</v>
      </c>
      <c r="B36" s="3">
        <v>300</v>
      </c>
      <c r="C36" s="3">
        <f t="shared" si="0"/>
        <v>4</v>
      </c>
      <c r="D36" s="3">
        <v>183</v>
      </c>
      <c r="E36" s="3" t="s">
        <v>9</v>
      </c>
      <c r="F36" s="3" t="s">
        <v>10</v>
      </c>
      <c r="G36" s="3" t="s">
        <v>79</v>
      </c>
      <c r="H36" s="4">
        <v>3.5069444444444445E-2</v>
      </c>
      <c r="I36" s="11" t="s">
        <v>80</v>
      </c>
      <c r="J36" s="2" t="s">
        <v>81</v>
      </c>
    </row>
    <row r="37" spans="1:22" ht="15">
      <c r="A37" s="3">
        <v>75</v>
      </c>
      <c r="B37" s="3">
        <v>300</v>
      </c>
      <c r="C37" s="3">
        <f t="shared" si="0"/>
        <v>4</v>
      </c>
      <c r="D37" s="3">
        <v>183</v>
      </c>
      <c r="E37" s="3" t="s">
        <v>9</v>
      </c>
      <c r="F37" s="3" t="s">
        <v>10</v>
      </c>
      <c r="G37" s="3" t="s">
        <v>79</v>
      </c>
      <c r="H37" s="4">
        <v>3.5081018518518518E-2</v>
      </c>
      <c r="I37" s="2" t="s">
        <v>82</v>
      </c>
    </row>
    <row r="38" spans="1:22" ht="15">
      <c r="A38" s="3">
        <v>75</v>
      </c>
      <c r="B38" s="3">
        <v>300</v>
      </c>
      <c r="C38" s="3">
        <f t="shared" si="0"/>
        <v>4</v>
      </c>
      <c r="D38" s="3">
        <v>183</v>
      </c>
      <c r="E38" s="3" t="s">
        <v>19</v>
      </c>
      <c r="F38" s="3" t="s">
        <v>10</v>
      </c>
      <c r="G38" s="3" t="s">
        <v>11</v>
      </c>
      <c r="H38" s="4">
        <v>3.5092592592592592E-2</v>
      </c>
      <c r="I38" s="13" t="s">
        <v>83</v>
      </c>
      <c r="J38" s="6" t="s">
        <v>84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5">
      <c r="A39" s="3">
        <v>75</v>
      </c>
      <c r="B39" s="3">
        <v>300</v>
      </c>
      <c r="C39" s="3">
        <f t="shared" si="0"/>
        <v>4</v>
      </c>
      <c r="D39" s="3">
        <v>183</v>
      </c>
      <c r="E39" s="3" t="s">
        <v>9</v>
      </c>
      <c r="F39" s="3" t="s">
        <v>10</v>
      </c>
      <c r="G39" s="3" t="s">
        <v>79</v>
      </c>
      <c r="H39" s="4">
        <v>3.5092592592592592E-2</v>
      </c>
      <c r="I39" s="13" t="s">
        <v>85</v>
      </c>
      <c r="J39" s="6" t="s">
        <v>86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5">
      <c r="A40" s="3">
        <v>75</v>
      </c>
      <c r="B40" s="3">
        <v>300</v>
      </c>
      <c r="C40" s="3">
        <f t="shared" si="0"/>
        <v>4</v>
      </c>
      <c r="D40" s="3">
        <v>183</v>
      </c>
      <c r="E40" s="3" t="s">
        <v>13</v>
      </c>
      <c r="F40" s="3" t="s">
        <v>10</v>
      </c>
      <c r="G40" s="3" t="s">
        <v>79</v>
      </c>
      <c r="H40" s="4">
        <v>3.5127314814814813E-2</v>
      </c>
      <c r="I40" s="9" t="s">
        <v>87</v>
      </c>
      <c r="J40" s="2"/>
    </row>
    <row r="41" spans="1:22" ht="15">
      <c r="A41" s="3">
        <v>75</v>
      </c>
      <c r="B41" s="3">
        <v>300</v>
      </c>
      <c r="C41" s="3">
        <f t="shared" si="0"/>
        <v>4</v>
      </c>
      <c r="D41" s="3">
        <v>183</v>
      </c>
      <c r="E41" s="3" t="s">
        <v>13</v>
      </c>
      <c r="F41" s="3" t="s">
        <v>10</v>
      </c>
      <c r="G41" s="3" t="s">
        <v>88</v>
      </c>
      <c r="H41" s="4">
        <v>3.515046296296296E-2</v>
      </c>
      <c r="I41" s="9" t="s">
        <v>89</v>
      </c>
      <c r="J41" s="2"/>
    </row>
    <row r="42" spans="1:22" ht="15">
      <c r="A42" s="3">
        <v>75</v>
      </c>
      <c r="B42" s="3">
        <v>300</v>
      </c>
      <c r="C42" s="3">
        <f t="shared" si="0"/>
        <v>4</v>
      </c>
      <c r="D42" s="3">
        <v>183</v>
      </c>
      <c r="E42" s="3" t="s">
        <v>90</v>
      </c>
      <c r="F42" s="3" t="s">
        <v>10</v>
      </c>
      <c r="G42" s="3" t="s">
        <v>11</v>
      </c>
      <c r="H42" s="4">
        <v>3.515046296296296E-2</v>
      </c>
      <c r="I42" s="2"/>
      <c r="J42" s="2"/>
    </row>
    <row r="43" spans="1:22" ht="15">
      <c r="A43" s="3">
        <v>75</v>
      </c>
      <c r="B43" s="3">
        <v>300</v>
      </c>
      <c r="C43" s="3">
        <f t="shared" si="0"/>
        <v>4</v>
      </c>
      <c r="D43" s="3">
        <v>183</v>
      </c>
      <c r="E43" s="3" t="s">
        <v>13</v>
      </c>
      <c r="F43" s="3" t="s">
        <v>10</v>
      </c>
      <c r="G43" s="3" t="s">
        <v>91</v>
      </c>
      <c r="H43" s="4">
        <v>3.516203703703704E-2</v>
      </c>
      <c r="I43" s="9" t="s">
        <v>92</v>
      </c>
      <c r="J43" s="2"/>
    </row>
    <row r="44" spans="1:22" ht="15">
      <c r="A44" s="3">
        <v>75</v>
      </c>
      <c r="B44" s="3">
        <v>300</v>
      </c>
      <c r="C44" s="3">
        <f t="shared" si="0"/>
        <v>4</v>
      </c>
      <c r="D44" s="3">
        <v>183</v>
      </c>
      <c r="E44" s="3" t="s">
        <v>9</v>
      </c>
      <c r="F44" s="3" t="s">
        <v>10</v>
      </c>
      <c r="G44" s="3" t="s">
        <v>79</v>
      </c>
      <c r="H44" s="4">
        <v>3.5104166666666665E-2</v>
      </c>
      <c r="I44" s="9" t="s">
        <v>93</v>
      </c>
      <c r="J44" s="2"/>
    </row>
    <row r="45" spans="1:22" ht="15">
      <c r="A45" s="3">
        <v>75</v>
      </c>
      <c r="B45" s="3">
        <v>300</v>
      </c>
      <c r="C45" s="3">
        <f t="shared" si="0"/>
        <v>4</v>
      </c>
      <c r="D45" s="3">
        <v>183</v>
      </c>
      <c r="E45" s="3" t="s">
        <v>94</v>
      </c>
      <c r="F45" s="3" t="s">
        <v>10</v>
      </c>
      <c r="G45" s="3" t="s">
        <v>11</v>
      </c>
      <c r="H45" s="4">
        <v>3.5185185185185187E-2</v>
      </c>
      <c r="I45" s="2"/>
      <c r="J45" s="2"/>
    </row>
    <row r="46" spans="1:22" ht="15">
      <c r="A46" s="3">
        <v>75</v>
      </c>
      <c r="B46" s="3">
        <v>300</v>
      </c>
      <c r="C46" s="3">
        <f t="shared" si="0"/>
        <v>4</v>
      </c>
      <c r="D46" s="3">
        <v>183</v>
      </c>
      <c r="E46" s="3" t="s">
        <v>19</v>
      </c>
      <c r="F46" s="3" t="s">
        <v>10</v>
      </c>
      <c r="G46" s="3" t="s">
        <v>11</v>
      </c>
      <c r="H46" s="4">
        <v>3.5104166666666665E-2</v>
      </c>
      <c r="I46" s="9" t="s">
        <v>95</v>
      </c>
      <c r="J46" s="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5">
      <c r="A47" s="3">
        <v>75</v>
      </c>
      <c r="B47" s="3">
        <v>300</v>
      </c>
      <c r="C47" s="3">
        <f t="shared" si="0"/>
        <v>4</v>
      </c>
      <c r="D47" s="3">
        <v>183</v>
      </c>
      <c r="E47" s="3" t="s">
        <v>9</v>
      </c>
      <c r="F47" s="3" t="s">
        <v>10</v>
      </c>
      <c r="G47" s="3" t="s">
        <v>88</v>
      </c>
      <c r="H47" s="4">
        <v>3.5115740740740739E-2</v>
      </c>
      <c r="I47" s="2"/>
      <c r="J47" s="2"/>
    </row>
    <row r="48" spans="1:22" ht="15">
      <c r="A48" s="3">
        <v>75</v>
      </c>
      <c r="B48" s="3">
        <v>300</v>
      </c>
      <c r="C48" s="3">
        <f t="shared" si="0"/>
        <v>4</v>
      </c>
      <c r="D48" s="3">
        <v>183</v>
      </c>
      <c r="E48" s="3" t="s">
        <v>96</v>
      </c>
      <c r="F48" s="3" t="s">
        <v>10</v>
      </c>
      <c r="G48" s="3" t="s">
        <v>79</v>
      </c>
      <c r="H48" s="4">
        <v>3.5196759259259261E-2</v>
      </c>
      <c r="I48" s="9" t="s">
        <v>97</v>
      </c>
      <c r="J48" s="2"/>
    </row>
    <row r="49" spans="1:22" ht="15">
      <c r="A49" s="3">
        <v>75</v>
      </c>
      <c r="B49" s="3">
        <v>300</v>
      </c>
      <c r="C49" s="3">
        <f t="shared" si="0"/>
        <v>4</v>
      </c>
      <c r="D49" s="3">
        <v>183</v>
      </c>
      <c r="E49" s="3" t="s">
        <v>19</v>
      </c>
      <c r="F49" s="3" t="s">
        <v>10</v>
      </c>
      <c r="G49" s="3" t="s">
        <v>65</v>
      </c>
      <c r="H49" s="4">
        <v>3.5115740740740739E-2</v>
      </c>
      <c r="I49" s="9" t="s">
        <v>98</v>
      </c>
      <c r="J49" s="2"/>
    </row>
    <row r="50" spans="1:22" ht="15">
      <c r="A50" s="3">
        <v>75</v>
      </c>
      <c r="B50" s="3">
        <v>300</v>
      </c>
      <c r="C50" s="3">
        <f t="shared" si="0"/>
        <v>4</v>
      </c>
      <c r="D50" s="3">
        <v>183</v>
      </c>
      <c r="E50" s="3" t="s">
        <v>19</v>
      </c>
      <c r="F50" s="3" t="s">
        <v>10</v>
      </c>
      <c r="G50" s="3" t="s">
        <v>79</v>
      </c>
      <c r="H50" s="4">
        <v>3.5173611111111114E-2</v>
      </c>
      <c r="I50" s="9" t="s">
        <v>99</v>
      </c>
      <c r="J50" s="2"/>
    </row>
    <row r="51" spans="1:22" ht="15">
      <c r="A51" s="3">
        <v>75</v>
      </c>
      <c r="B51" s="3">
        <v>300</v>
      </c>
      <c r="C51" s="3">
        <f t="shared" si="0"/>
        <v>4</v>
      </c>
      <c r="D51" s="3">
        <v>183</v>
      </c>
      <c r="E51" s="3" t="s">
        <v>90</v>
      </c>
      <c r="F51" s="3" t="s">
        <v>10</v>
      </c>
      <c r="G51" s="3" t="s">
        <v>79</v>
      </c>
      <c r="H51" s="4">
        <v>3.5243055555555555E-2</v>
      </c>
      <c r="I51" s="2"/>
      <c r="J51" s="2"/>
    </row>
    <row r="52" spans="1:22" ht="15">
      <c r="A52" s="3">
        <v>75</v>
      </c>
      <c r="B52" s="3">
        <v>300</v>
      </c>
      <c r="C52" s="3">
        <f t="shared" si="0"/>
        <v>4</v>
      </c>
      <c r="D52" s="3">
        <v>183</v>
      </c>
      <c r="E52" s="3" t="s">
        <v>13</v>
      </c>
      <c r="F52" s="3" t="s">
        <v>10</v>
      </c>
      <c r="G52" s="3" t="s">
        <v>14</v>
      </c>
      <c r="H52" s="4">
        <v>3.5254629629629629E-2</v>
      </c>
      <c r="I52" s="9" t="s">
        <v>100</v>
      </c>
      <c r="J52" s="2"/>
    </row>
    <row r="53" spans="1:22" ht="15">
      <c r="A53" s="3">
        <v>75</v>
      </c>
      <c r="B53" s="3">
        <v>300</v>
      </c>
      <c r="C53" s="3">
        <f t="shared" si="0"/>
        <v>4</v>
      </c>
      <c r="D53" s="3">
        <v>183</v>
      </c>
      <c r="E53" s="3" t="s">
        <v>13</v>
      </c>
      <c r="F53" s="3" t="s">
        <v>10</v>
      </c>
      <c r="G53" s="3" t="s">
        <v>14</v>
      </c>
      <c r="H53" s="4">
        <v>3.5254629629629629E-2</v>
      </c>
      <c r="I53" s="8" t="s">
        <v>15</v>
      </c>
      <c r="J53" s="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">
      <c r="A54" s="3">
        <v>75</v>
      </c>
      <c r="B54" s="3">
        <v>300</v>
      </c>
      <c r="C54" s="3">
        <f t="shared" si="0"/>
        <v>4</v>
      </c>
      <c r="D54" s="3">
        <v>183</v>
      </c>
      <c r="E54" s="3" t="s">
        <v>90</v>
      </c>
      <c r="F54" s="3" t="s">
        <v>10</v>
      </c>
      <c r="G54" s="3" t="s">
        <v>88</v>
      </c>
      <c r="H54" s="4">
        <v>3.5254629629629629E-2</v>
      </c>
      <c r="I54" s="2"/>
      <c r="J54" s="2"/>
    </row>
    <row r="55" spans="1:22" ht="15">
      <c r="A55" s="3">
        <v>75</v>
      </c>
      <c r="B55" s="3">
        <v>300</v>
      </c>
      <c r="C55" s="3">
        <f t="shared" si="0"/>
        <v>4</v>
      </c>
      <c r="D55" s="3">
        <v>183</v>
      </c>
      <c r="E55" s="3" t="s">
        <v>101</v>
      </c>
      <c r="F55" s="3" t="s">
        <v>10</v>
      </c>
      <c r="G55" s="3" t="s">
        <v>14</v>
      </c>
      <c r="H55" s="4">
        <v>3.5277777777777776E-2</v>
      </c>
      <c r="I55" s="9" t="s">
        <v>102</v>
      </c>
      <c r="J55" s="2"/>
      <c r="L55" s="12" t="s">
        <v>103</v>
      </c>
    </row>
    <row r="56" spans="1:22" ht="15">
      <c r="A56" s="3">
        <v>75</v>
      </c>
      <c r="B56" s="3">
        <v>300</v>
      </c>
      <c r="C56" s="3">
        <f t="shared" si="0"/>
        <v>4</v>
      </c>
      <c r="D56" s="3">
        <v>183</v>
      </c>
      <c r="E56" s="3" t="s">
        <v>94</v>
      </c>
      <c r="F56" s="3" t="s">
        <v>10</v>
      </c>
      <c r="G56" s="3" t="s">
        <v>79</v>
      </c>
      <c r="H56" s="4">
        <v>3.5277777777777776E-2</v>
      </c>
      <c r="I56" s="2"/>
      <c r="J56" s="2"/>
    </row>
    <row r="57" spans="1:22" ht="15">
      <c r="A57" s="3">
        <v>75</v>
      </c>
      <c r="B57" s="3">
        <v>300</v>
      </c>
      <c r="C57" s="3">
        <f t="shared" si="0"/>
        <v>4</v>
      </c>
      <c r="D57" s="3">
        <v>183</v>
      </c>
      <c r="E57" s="3" t="s">
        <v>94</v>
      </c>
      <c r="F57" s="3" t="s">
        <v>10</v>
      </c>
      <c r="G57" s="3" t="s">
        <v>88</v>
      </c>
      <c r="H57" s="4">
        <v>3.528935185185185E-2</v>
      </c>
      <c r="I57" s="2"/>
      <c r="J57" s="2"/>
    </row>
    <row r="58" spans="1:22" ht="15">
      <c r="A58" s="3">
        <v>75</v>
      </c>
      <c r="B58" s="3">
        <v>300</v>
      </c>
      <c r="C58" s="3">
        <f t="shared" si="0"/>
        <v>4</v>
      </c>
      <c r="D58" s="3">
        <v>183</v>
      </c>
      <c r="E58" s="3" t="s">
        <v>19</v>
      </c>
      <c r="F58" s="3" t="s">
        <v>10</v>
      </c>
      <c r="G58" s="3" t="s">
        <v>79</v>
      </c>
      <c r="H58" s="4">
        <v>3.5185185185185187E-2</v>
      </c>
      <c r="I58" s="13" t="s">
        <v>104</v>
      </c>
      <c r="J58" s="2" t="s">
        <v>105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">
      <c r="A59" s="3">
        <v>75</v>
      </c>
      <c r="B59" s="3">
        <v>300</v>
      </c>
      <c r="C59" s="3">
        <f t="shared" si="0"/>
        <v>4</v>
      </c>
      <c r="D59" s="3">
        <v>183</v>
      </c>
      <c r="E59" s="3" t="s">
        <v>19</v>
      </c>
      <c r="F59" s="3" t="s">
        <v>10</v>
      </c>
      <c r="G59" s="3" t="s">
        <v>106</v>
      </c>
      <c r="H59" s="4">
        <v>3.5196759259259261E-2</v>
      </c>
      <c r="I59" s="9" t="s">
        <v>107</v>
      </c>
      <c r="J59" s="2"/>
    </row>
    <row r="60" spans="1:22" ht="15">
      <c r="A60" s="3">
        <v>75</v>
      </c>
      <c r="B60" s="3">
        <v>300</v>
      </c>
      <c r="C60" s="3">
        <f t="shared" si="0"/>
        <v>4</v>
      </c>
      <c r="D60" s="3">
        <v>183</v>
      </c>
      <c r="E60" s="3" t="s">
        <v>19</v>
      </c>
      <c r="F60" s="3" t="s">
        <v>10</v>
      </c>
      <c r="G60" s="3" t="s">
        <v>108</v>
      </c>
      <c r="H60" s="4">
        <v>3.5196759259259261E-2</v>
      </c>
      <c r="I60" s="9" t="s">
        <v>109</v>
      </c>
      <c r="J60" s="2"/>
    </row>
    <row r="61" spans="1:22" ht="15">
      <c r="A61" s="3">
        <v>75</v>
      </c>
      <c r="B61" s="3">
        <v>300</v>
      </c>
      <c r="C61" s="3">
        <f t="shared" si="0"/>
        <v>4</v>
      </c>
      <c r="D61" s="3">
        <v>183</v>
      </c>
      <c r="E61" s="3" t="s">
        <v>19</v>
      </c>
      <c r="F61" s="3" t="s">
        <v>10</v>
      </c>
      <c r="G61" s="3" t="s">
        <v>91</v>
      </c>
      <c r="H61" s="4">
        <v>3.5219907407407408E-2</v>
      </c>
      <c r="I61" s="9" t="s">
        <v>110</v>
      </c>
      <c r="J61" s="2"/>
    </row>
    <row r="62" spans="1:22" ht="15">
      <c r="A62" s="3">
        <v>75</v>
      </c>
      <c r="B62" s="3">
        <v>300</v>
      </c>
      <c r="C62" s="3">
        <f t="shared" si="0"/>
        <v>4</v>
      </c>
      <c r="D62" s="3">
        <v>183</v>
      </c>
      <c r="E62" s="3" t="s">
        <v>9</v>
      </c>
      <c r="F62" s="3" t="s">
        <v>10</v>
      </c>
      <c r="G62" s="3" t="s">
        <v>14</v>
      </c>
      <c r="H62" s="4">
        <v>3.5231481481481482E-2</v>
      </c>
      <c r="I62" s="2"/>
      <c r="J62" s="2"/>
    </row>
    <row r="63" spans="1:22" ht="15">
      <c r="A63" s="3">
        <v>75</v>
      </c>
      <c r="B63" s="3">
        <v>300</v>
      </c>
      <c r="C63" s="3">
        <f t="shared" si="0"/>
        <v>4</v>
      </c>
      <c r="D63" s="3">
        <v>183</v>
      </c>
      <c r="E63" s="3" t="s">
        <v>13</v>
      </c>
      <c r="F63" s="3" t="s">
        <v>10</v>
      </c>
      <c r="G63" s="3" t="s">
        <v>111</v>
      </c>
      <c r="H63" s="4">
        <v>3.5347222222222224E-2</v>
      </c>
      <c r="I63" s="9" t="s">
        <v>112</v>
      </c>
      <c r="J63" s="2"/>
    </row>
    <row r="64" spans="1:22" ht="15">
      <c r="A64" s="3">
        <v>75</v>
      </c>
      <c r="B64" s="3">
        <v>300</v>
      </c>
      <c r="C64" s="3">
        <f t="shared" si="0"/>
        <v>4</v>
      </c>
      <c r="D64" s="3">
        <v>183</v>
      </c>
      <c r="E64" s="3" t="s">
        <v>19</v>
      </c>
      <c r="F64" s="3" t="s">
        <v>10</v>
      </c>
      <c r="G64" s="3" t="s">
        <v>113</v>
      </c>
      <c r="H64" s="4">
        <v>3.5300925925925923E-2</v>
      </c>
      <c r="I64" s="9" t="s">
        <v>114</v>
      </c>
      <c r="J64" s="2"/>
    </row>
    <row r="65" spans="1:22" ht="15">
      <c r="A65" s="3">
        <v>75</v>
      </c>
      <c r="B65" s="3">
        <v>300</v>
      </c>
      <c r="C65" s="3">
        <f t="shared" si="0"/>
        <v>4</v>
      </c>
      <c r="D65" s="3">
        <v>183</v>
      </c>
      <c r="E65" s="3" t="s">
        <v>19</v>
      </c>
      <c r="F65" s="3" t="s">
        <v>10</v>
      </c>
      <c r="G65" s="3" t="s">
        <v>14</v>
      </c>
      <c r="H65" s="4">
        <v>3.5312499999999997E-2</v>
      </c>
      <c r="I65" s="9" t="s">
        <v>115</v>
      </c>
      <c r="J65" s="2"/>
    </row>
    <row r="66" spans="1:22" ht="15">
      <c r="A66" s="3">
        <v>75</v>
      </c>
      <c r="B66" s="3">
        <v>300</v>
      </c>
      <c r="C66" s="3">
        <f t="shared" si="0"/>
        <v>4</v>
      </c>
      <c r="D66" s="3">
        <v>183</v>
      </c>
      <c r="E66" s="3" t="s">
        <v>90</v>
      </c>
      <c r="F66" s="3" t="s">
        <v>10</v>
      </c>
      <c r="G66" s="3" t="s">
        <v>14</v>
      </c>
      <c r="H66" s="4">
        <v>3.5370370370370371E-2</v>
      </c>
      <c r="I66" s="2"/>
      <c r="J66" s="2"/>
    </row>
    <row r="67" spans="1:22" ht="15">
      <c r="A67" s="3">
        <v>75</v>
      </c>
      <c r="B67" s="3">
        <v>300</v>
      </c>
      <c r="C67" s="3">
        <f t="shared" si="0"/>
        <v>4</v>
      </c>
      <c r="D67" s="3">
        <v>183</v>
      </c>
      <c r="E67" s="3" t="s">
        <v>9</v>
      </c>
      <c r="F67" s="3" t="s">
        <v>10</v>
      </c>
      <c r="G67" s="3" t="s">
        <v>111</v>
      </c>
      <c r="H67" s="4">
        <v>3.5324074074074077E-2</v>
      </c>
      <c r="I67" s="2"/>
      <c r="J67" s="2"/>
    </row>
    <row r="68" spans="1:22" ht="15">
      <c r="A68" s="3">
        <v>75</v>
      </c>
      <c r="B68" s="3">
        <v>300</v>
      </c>
      <c r="C68" s="3">
        <f t="shared" si="0"/>
        <v>4</v>
      </c>
      <c r="D68" s="3">
        <v>183</v>
      </c>
      <c r="E68" s="3" t="s">
        <v>19</v>
      </c>
      <c r="F68" s="3" t="s">
        <v>10</v>
      </c>
      <c r="G68" s="3" t="s">
        <v>116</v>
      </c>
      <c r="H68" s="4">
        <v>3.5335648148148151E-2</v>
      </c>
      <c r="I68" s="9" t="s">
        <v>117</v>
      </c>
      <c r="J68" s="2"/>
    </row>
    <row r="69" spans="1:22" ht="15">
      <c r="A69" s="3">
        <v>75</v>
      </c>
      <c r="B69" s="3">
        <v>300</v>
      </c>
      <c r="C69" s="3">
        <f t="shared" si="0"/>
        <v>4</v>
      </c>
      <c r="D69" s="3">
        <v>183</v>
      </c>
      <c r="E69" s="3" t="s">
        <v>94</v>
      </c>
      <c r="F69" s="3" t="s">
        <v>10</v>
      </c>
      <c r="G69" s="3" t="s">
        <v>14</v>
      </c>
      <c r="H69" s="4">
        <v>3.5405092592592592E-2</v>
      </c>
      <c r="I69" s="2"/>
      <c r="J69" s="2"/>
    </row>
    <row r="70" spans="1:22" ht="15">
      <c r="A70" s="3">
        <v>75</v>
      </c>
      <c r="B70" s="3">
        <v>300</v>
      </c>
      <c r="C70" s="3">
        <f t="shared" si="0"/>
        <v>4</v>
      </c>
      <c r="D70" s="3">
        <v>183</v>
      </c>
      <c r="E70" s="3" t="s">
        <v>19</v>
      </c>
      <c r="F70" s="3" t="s">
        <v>10</v>
      </c>
      <c r="G70" s="3" t="s">
        <v>118</v>
      </c>
      <c r="H70" s="4">
        <v>3.5335648148148151E-2</v>
      </c>
      <c r="I70" s="9" t="s">
        <v>119</v>
      </c>
      <c r="J70" s="6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">
      <c r="A71" s="3">
        <v>75</v>
      </c>
      <c r="B71" s="3">
        <v>300</v>
      </c>
      <c r="C71" s="3">
        <f t="shared" si="0"/>
        <v>4</v>
      </c>
      <c r="D71" s="3">
        <v>183</v>
      </c>
      <c r="E71" s="3" t="s">
        <v>19</v>
      </c>
      <c r="F71" s="3" t="s">
        <v>10</v>
      </c>
      <c r="G71" s="3" t="s">
        <v>120</v>
      </c>
      <c r="H71" s="4">
        <v>3.5347222222222224E-2</v>
      </c>
      <c r="I71" s="9" t="s">
        <v>121</v>
      </c>
      <c r="J71" s="2"/>
    </row>
    <row r="72" spans="1:22" ht="15">
      <c r="A72" s="3">
        <v>75</v>
      </c>
      <c r="B72" s="3">
        <v>300</v>
      </c>
      <c r="C72" s="3">
        <f t="shared" si="0"/>
        <v>4</v>
      </c>
      <c r="D72" s="3">
        <v>183</v>
      </c>
      <c r="E72" s="3" t="s">
        <v>19</v>
      </c>
      <c r="F72" s="3" t="s">
        <v>10</v>
      </c>
      <c r="G72" s="3" t="s">
        <v>122</v>
      </c>
      <c r="H72" s="4">
        <v>3.5347222222222224E-2</v>
      </c>
      <c r="I72" s="9" t="s">
        <v>123</v>
      </c>
      <c r="J72" s="2"/>
    </row>
    <row r="73" spans="1:22" ht="15">
      <c r="A73" s="3">
        <v>75</v>
      </c>
      <c r="B73" s="3">
        <v>300</v>
      </c>
      <c r="C73" s="3">
        <f t="shared" si="0"/>
        <v>4</v>
      </c>
      <c r="D73" s="3">
        <v>183</v>
      </c>
      <c r="E73" s="3" t="s">
        <v>19</v>
      </c>
      <c r="F73" s="3" t="s">
        <v>10</v>
      </c>
      <c r="G73" s="3" t="s">
        <v>124</v>
      </c>
      <c r="H73" s="4">
        <v>3.5370370370370371E-2</v>
      </c>
      <c r="I73" s="9" t="s">
        <v>125</v>
      </c>
      <c r="J73" s="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">
      <c r="A74" s="3">
        <v>75</v>
      </c>
      <c r="B74" s="3">
        <v>300</v>
      </c>
      <c r="C74" s="3">
        <f t="shared" si="0"/>
        <v>4</v>
      </c>
      <c r="D74" s="3">
        <v>183</v>
      </c>
      <c r="E74" s="3" t="s">
        <v>90</v>
      </c>
      <c r="F74" s="3" t="s">
        <v>10</v>
      </c>
      <c r="G74" s="3" t="s">
        <v>111</v>
      </c>
      <c r="H74" s="4">
        <v>3.546296296296296E-2</v>
      </c>
      <c r="I74" s="2"/>
      <c r="J74" s="2"/>
    </row>
    <row r="75" spans="1:22" ht="15">
      <c r="A75" s="3">
        <v>75</v>
      </c>
      <c r="B75" s="3">
        <v>300</v>
      </c>
      <c r="C75" s="3">
        <f t="shared" si="0"/>
        <v>4</v>
      </c>
      <c r="D75" s="3">
        <v>183</v>
      </c>
      <c r="E75" s="3" t="s">
        <v>19</v>
      </c>
      <c r="F75" s="3" t="s">
        <v>10</v>
      </c>
      <c r="G75" s="3" t="s">
        <v>126</v>
      </c>
      <c r="H75" s="4">
        <v>3.5405092592592592E-2</v>
      </c>
      <c r="I75" s="9" t="s">
        <v>127</v>
      </c>
      <c r="J75" s="2"/>
    </row>
    <row r="76" spans="1:22" ht="15">
      <c r="A76" s="3">
        <v>75</v>
      </c>
      <c r="B76" s="3">
        <v>300</v>
      </c>
      <c r="C76" s="3">
        <f t="shared" si="0"/>
        <v>4</v>
      </c>
      <c r="D76" s="3">
        <v>183</v>
      </c>
      <c r="E76" s="3" t="s">
        <v>16</v>
      </c>
      <c r="F76" s="3" t="s">
        <v>10</v>
      </c>
      <c r="G76" s="3" t="s">
        <v>122</v>
      </c>
      <c r="H76" s="4">
        <v>3.546296296296296E-2</v>
      </c>
      <c r="I76" s="8" t="s">
        <v>128</v>
      </c>
      <c r="J76" s="14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">
      <c r="A77" s="3">
        <v>75</v>
      </c>
      <c r="B77" s="3">
        <v>300</v>
      </c>
      <c r="C77" s="3">
        <f t="shared" si="0"/>
        <v>4</v>
      </c>
      <c r="D77" s="3">
        <v>183</v>
      </c>
      <c r="E77" s="3" t="s">
        <v>19</v>
      </c>
      <c r="F77" s="3" t="s">
        <v>10</v>
      </c>
      <c r="G77" s="3" t="s">
        <v>129</v>
      </c>
      <c r="H77" s="4">
        <v>3.5405092592592592E-2</v>
      </c>
      <c r="I77" s="9" t="s">
        <v>130</v>
      </c>
      <c r="J77" s="2"/>
    </row>
    <row r="78" spans="1:22" ht="15">
      <c r="A78" s="3">
        <v>75</v>
      </c>
      <c r="B78" s="3">
        <v>300</v>
      </c>
      <c r="C78" s="3">
        <f t="shared" si="0"/>
        <v>4</v>
      </c>
      <c r="D78" s="3">
        <v>183</v>
      </c>
      <c r="E78" s="3" t="s">
        <v>19</v>
      </c>
      <c r="F78" s="3" t="s">
        <v>10</v>
      </c>
      <c r="G78" s="3" t="s">
        <v>131</v>
      </c>
      <c r="H78" s="4">
        <v>3.5416666666666666E-2</v>
      </c>
      <c r="I78" s="9" t="s">
        <v>132</v>
      </c>
      <c r="J78" s="2"/>
    </row>
    <row r="79" spans="1:22" ht="15">
      <c r="A79" s="3">
        <v>75</v>
      </c>
      <c r="B79" s="3">
        <v>300</v>
      </c>
      <c r="C79" s="3">
        <f t="shared" si="0"/>
        <v>4</v>
      </c>
      <c r="D79" s="3">
        <v>183</v>
      </c>
      <c r="E79" s="3" t="s">
        <v>13</v>
      </c>
      <c r="F79" s="3" t="s">
        <v>10</v>
      </c>
      <c r="G79" s="3" t="s">
        <v>133</v>
      </c>
      <c r="H79" s="4">
        <v>3.5497685185185188E-2</v>
      </c>
      <c r="I79" s="11" t="s">
        <v>134</v>
      </c>
      <c r="J79" s="2"/>
    </row>
    <row r="80" spans="1:22" ht="15">
      <c r="A80" s="3">
        <v>75</v>
      </c>
      <c r="B80" s="3">
        <v>300</v>
      </c>
      <c r="C80" s="3">
        <f t="shared" si="0"/>
        <v>4</v>
      </c>
      <c r="D80" s="3">
        <v>183</v>
      </c>
      <c r="E80" s="3" t="s">
        <v>19</v>
      </c>
      <c r="F80" s="3" t="s">
        <v>10</v>
      </c>
      <c r="G80" s="3" t="s">
        <v>135</v>
      </c>
      <c r="H80" s="4">
        <v>3.5439814814814813E-2</v>
      </c>
      <c r="I80" s="9" t="s">
        <v>136</v>
      </c>
      <c r="J80" s="2"/>
    </row>
    <row r="81" spans="1:22" ht="15">
      <c r="A81" s="3">
        <v>75</v>
      </c>
      <c r="B81" s="3">
        <v>300</v>
      </c>
      <c r="C81" s="3">
        <f t="shared" si="0"/>
        <v>4</v>
      </c>
      <c r="D81" s="3">
        <v>183</v>
      </c>
      <c r="E81" s="3" t="s">
        <v>94</v>
      </c>
      <c r="F81" s="3" t="s">
        <v>10</v>
      </c>
      <c r="G81" s="3" t="s">
        <v>111</v>
      </c>
      <c r="H81" s="4">
        <v>3.5509259259259261E-2</v>
      </c>
      <c r="I81" s="2"/>
      <c r="J81" s="2"/>
    </row>
    <row r="82" spans="1:22" ht="15">
      <c r="A82" s="3">
        <v>75</v>
      </c>
      <c r="B82" s="3">
        <v>300</v>
      </c>
      <c r="C82" s="3">
        <f t="shared" si="0"/>
        <v>4</v>
      </c>
      <c r="D82" s="3">
        <v>183</v>
      </c>
      <c r="E82" s="3" t="s">
        <v>19</v>
      </c>
      <c r="F82" s="3" t="s">
        <v>10</v>
      </c>
      <c r="G82" s="3" t="s">
        <v>137</v>
      </c>
      <c r="H82" s="4">
        <v>3.5439814814814813E-2</v>
      </c>
      <c r="I82" s="9" t="s">
        <v>138</v>
      </c>
      <c r="J82" s="2"/>
    </row>
    <row r="83" spans="1:22" ht="15">
      <c r="A83" s="3">
        <v>75</v>
      </c>
      <c r="B83" s="3">
        <v>300</v>
      </c>
      <c r="C83" s="3">
        <f t="shared" si="0"/>
        <v>4</v>
      </c>
      <c r="D83" s="3">
        <v>183</v>
      </c>
      <c r="E83" s="3" t="s">
        <v>19</v>
      </c>
      <c r="F83" s="3" t="s">
        <v>10</v>
      </c>
      <c r="G83" s="3" t="s">
        <v>139</v>
      </c>
      <c r="H83" s="4">
        <v>3.546296296296296E-2</v>
      </c>
      <c r="I83" s="9" t="s">
        <v>140</v>
      </c>
      <c r="J83" s="2"/>
    </row>
    <row r="84" spans="1:22" ht="15">
      <c r="A84" s="3">
        <v>75</v>
      </c>
      <c r="B84" s="3">
        <v>300</v>
      </c>
      <c r="C84" s="3">
        <f t="shared" si="0"/>
        <v>4</v>
      </c>
      <c r="D84" s="3">
        <v>183</v>
      </c>
      <c r="E84" s="3" t="s">
        <v>9</v>
      </c>
      <c r="F84" s="3" t="s">
        <v>10</v>
      </c>
      <c r="G84" s="3" t="s">
        <v>133</v>
      </c>
      <c r="H84" s="4">
        <v>3.5474537037037034E-2</v>
      </c>
      <c r="I84" s="2"/>
      <c r="J84" s="2"/>
    </row>
    <row r="85" spans="1:22" ht="15">
      <c r="A85" s="3">
        <v>75</v>
      </c>
      <c r="B85" s="3">
        <v>300</v>
      </c>
      <c r="C85" s="3">
        <f t="shared" si="0"/>
        <v>4</v>
      </c>
      <c r="D85" s="3">
        <v>183</v>
      </c>
      <c r="E85" s="3" t="s">
        <v>19</v>
      </c>
      <c r="F85" s="3" t="s">
        <v>10</v>
      </c>
      <c r="G85" s="3" t="s">
        <v>141</v>
      </c>
      <c r="H85" s="4">
        <v>3.5497685185185188E-2</v>
      </c>
      <c r="I85" s="9" t="s">
        <v>142</v>
      </c>
      <c r="J85" s="2"/>
    </row>
    <row r="86" spans="1:22" ht="15">
      <c r="A86" s="3">
        <v>75</v>
      </c>
      <c r="B86" s="3">
        <v>300</v>
      </c>
      <c r="C86" s="3">
        <f t="shared" si="0"/>
        <v>4</v>
      </c>
      <c r="D86" s="3">
        <v>183</v>
      </c>
      <c r="E86" s="3" t="s">
        <v>90</v>
      </c>
      <c r="F86" s="3" t="s">
        <v>10</v>
      </c>
      <c r="G86" s="3" t="s">
        <v>133</v>
      </c>
      <c r="H86" s="4">
        <v>3.5613425925925923E-2</v>
      </c>
      <c r="I86" s="2"/>
      <c r="J86" s="2"/>
    </row>
    <row r="87" spans="1:22" ht="15">
      <c r="A87" s="3">
        <v>75</v>
      </c>
      <c r="B87" s="3">
        <v>300</v>
      </c>
      <c r="C87" s="3">
        <f t="shared" si="0"/>
        <v>4</v>
      </c>
      <c r="D87" s="3">
        <v>183</v>
      </c>
      <c r="E87" s="3" t="s">
        <v>19</v>
      </c>
      <c r="F87" s="3" t="s">
        <v>10</v>
      </c>
      <c r="G87" s="3" t="s">
        <v>143</v>
      </c>
      <c r="H87" s="4">
        <v>3.5497685185185188E-2</v>
      </c>
      <c r="I87" s="9" t="s">
        <v>144</v>
      </c>
      <c r="J87" s="2"/>
    </row>
    <row r="88" spans="1:22" ht="15">
      <c r="A88" s="3">
        <v>75</v>
      </c>
      <c r="B88" s="3">
        <v>300</v>
      </c>
      <c r="C88" s="3">
        <f t="shared" si="0"/>
        <v>4</v>
      </c>
      <c r="D88" s="3">
        <v>183</v>
      </c>
      <c r="E88" s="3" t="s">
        <v>19</v>
      </c>
      <c r="F88" s="3" t="s">
        <v>10</v>
      </c>
      <c r="G88" s="3" t="s">
        <v>145</v>
      </c>
      <c r="H88" s="4">
        <v>3.5532407407407408E-2</v>
      </c>
      <c r="I88" s="9" t="s">
        <v>146</v>
      </c>
      <c r="J88" s="2"/>
    </row>
    <row r="89" spans="1:22" ht="15">
      <c r="A89" s="3">
        <v>75</v>
      </c>
      <c r="B89" s="3">
        <v>300</v>
      </c>
      <c r="C89" s="3">
        <f t="shared" si="0"/>
        <v>4</v>
      </c>
      <c r="D89" s="3">
        <v>183</v>
      </c>
      <c r="E89" s="3" t="s">
        <v>9</v>
      </c>
      <c r="F89" s="3" t="s">
        <v>10</v>
      </c>
      <c r="G89" s="3" t="s">
        <v>17</v>
      </c>
      <c r="H89" s="4">
        <v>3.5624999999999997E-2</v>
      </c>
      <c r="I89" s="9" t="s">
        <v>147</v>
      </c>
      <c r="J89" s="2"/>
    </row>
    <row r="90" spans="1:22" ht="15">
      <c r="A90" s="3">
        <v>75</v>
      </c>
      <c r="B90" s="3">
        <v>300</v>
      </c>
      <c r="C90" s="3">
        <f t="shared" si="0"/>
        <v>4</v>
      </c>
      <c r="D90" s="3">
        <v>183</v>
      </c>
      <c r="E90" s="3" t="s">
        <v>9</v>
      </c>
      <c r="F90" s="3" t="s">
        <v>10</v>
      </c>
      <c r="G90" s="3" t="s">
        <v>17</v>
      </c>
      <c r="H90" s="4">
        <v>3.5624999999999997E-2</v>
      </c>
      <c r="I90" s="9" t="s">
        <v>148</v>
      </c>
      <c r="J90" s="2" t="s">
        <v>149</v>
      </c>
    </row>
    <row r="91" spans="1:22" ht="15">
      <c r="A91" s="3">
        <v>75</v>
      </c>
      <c r="B91" s="3">
        <v>300</v>
      </c>
      <c r="C91" s="3">
        <f t="shared" si="0"/>
        <v>4</v>
      </c>
      <c r="D91" s="3">
        <v>183</v>
      </c>
      <c r="E91" s="3" t="s">
        <v>58</v>
      </c>
      <c r="F91" s="3" t="s">
        <v>10</v>
      </c>
      <c r="G91" s="3" t="s">
        <v>17</v>
      </c>
      <c r="H91" s="4">
        <v>3.5636574074074077E-2</v>
      </c>
      <c r="I91" s="9" t="s">
        <v>150</v>
      </c>
      <c r="J91" s="2"/>
    </row>
    <row r="92" spans="1:22" ht="15">
      <c r="A92" s="3">
        <v>75</v>
      </c>
      <c r="B92" s="3">
        <v>300</v>
      </c>
      <c r="C92" s="3">
        <f t="shared" si="0"/>
        <v>4</v>
      </c>
      <c r="D92" s="3">
        <v>183</v>
      </c>
      <c r="E92" s="3" t="s">
        <v>61</v>
      </c>
      <c r="F92" s="3" t="s">
        <v>10</v>
      </c>
      <c r="G92" s="3" t="s">
        <v>17</v>
      </c>
      <c r="H92" s="4">
        <v>3.5636574074074077E-2</v>
      </c>
      <c r="I92" s="9" t="s">
        <v>151</v>
      </c>
      <c r="J92" s="2"/>
    </row>
    <row r="93" spans="1:22" ht="15">
      <c r="A93" s="3">
        <v>75</v>
      </c>
      <c r="B93" s="3">
        <v>300</v>
      </c>
      <c r="C93" s="3">
        <f t="shared" si="0"/>
        <v>4</v>
      </c>
      <c r="D93" s="3">
        <v>183</v>
      </c>
      <c r="E93" s="3" t="s">
        <v>94</v>
      </c>
      <c r="F93" s="3" t="s">
        <v>10</v>
      </c>
      <c r="G93" s="3" t="s">
        <v>133</v>
      </c>
      <c r="H93" s="4">
        <v>3.5648148148148151E-2</v>
      </c>
      <c r="I93" s="9" t="s">
        <v>152</v>
      </c>
      <c r="J93" s="2" t="s">
        <v>153</v>
      </c>
    </row>
    <row r="94" spans="1:22" ht="15">
      <c r="A94" s="3">
        <v>75</v>
      </c>
      <c r="B94" s="3">
        <v>300</v>
      </c>
      <c r="C94" s="3">
        <f t="shared" si="0"/>
        <v>4</v>
      </c>
      <c r="D94" s="3">
        <v>183</v>
      </c>
      <c r="E94" s="3" t="s">
        <v>19</v>
      </c>
      <c r="F94" s="3" t="s">
        <v>10</v>
      </c>
      <c r="G94" s="3" t="s">
        <v>133</v>
      </c>
      <c r="H94" s="4">
        <v>3.5555555555555556E-2</v>
      </c>
      <c r="I94" s="9" t="s">
        <v>154</v>
      </c>
      <c r="J94" s="2"/>
    </row>
    <row r="95" spans="1:22" ht="15">
      <c r="A95" s="3">
        <v>75</v>
      </c>
      <c r="B95" s="3">
        <v>300</v>
      </c>
      <c r="C95" s="3">
        <f t="shared" si="0"/>
        <v>4</v>
      </c>
      <c r="D95" s="3">
        <v>183</v>
      </c>
      <c r="E95" s="3" t="s">
        <v>67</v>
      </c>
      <c r="F95" s="3" t="s">
        <v>10</v>
      </c>
      <c r="G95" s="3" t="s">
        <v>17</v>
      </c>
      <c r="H95" s="4">
        <v>3.5648148148148151E-2</v>
      </c>
      <c r="I95" s="9" t="s">
        <v>155</v>
      </c>
      <c r="J95" s="2"/>
    </row>
    <row r="96" spans="1:22" ht="15">
      <c r="A96" s="3">
        <v>75</v>
      </c>
      <c r="B96" s="3">
        <v>300</v>
      </c>
      <c r="C96" s="3">
        <f t="shared" si="0"/>
        <v>4</v>
      </c>
      <c r="D96" s="3">
        <v>183</v>
      </c>
      <c r="E96" s="3" t="s">
        <v>101</v>
      </c>
      <c r="F96" s="3" t="s">
        <v>10</v>
      </c>
      <c r="G96" s="3" t="s">
        <v>17</v>
      </c>
      <c r="H96" s="4">
        <v>3.5648148148148151E-2</v>
      </c>
      <c r="I96" s="8" t="s">
        <v>156</v>
      </c>
      <c r="J96" s="6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12" ht="15">
      <c r="A97" s="3">
        <v>75</v>
      </c>
      <c r="B97" s="3">
        <v>300</v>
      </c>
      <c r="C97" s="3">
        <f t="shared" si="0"/>
        <v>4</v>
      </c>
      <c r="D97" s="3">
        <v>183</v>
      </c>
      <c r="E97" s="3" t="s">
        <v>63</v>
      </c>
      <c r="F97" s="3" t="s">
        <v>10</v>
      </c>
      <c r="G97" s="3" t="s">
        <v>17</v>
      </c>
      <c r="H97" s="4">
        <v>3.5648148148148151E-2</v>
      </c>
      <c r="I97" s="9" t="s">
        <v>157</v>
      </c>
      <c r="J97" s="2"/>
    </row>
    <row r="98" spans="1:12" ht="15">
      <c r="A98" s="3">
        <v>75</v>
      </c>
      <c r="B98" s="3">
        <v>300</v>
      </c>
      <c r="C98" s="3">
        <f t="shared" si="0"/>
        <v>4</v>
      </c>
      <c r="D98" s="3">
        <v>183</v>
      </c>
      <c r="E98" s="3" t="s">
        <v>13</v>
      </c>
      <c r="F98" s="3" t="s">
        <v>10</v>
      </c>
      <c r="G98" s="3" t="s">
        <v>17</v>
      </c>
      <c r="H98" s="4">
        <v>3.5659722222222225E-2</v>
      </c>
      <c r="I98" s="9" t="s">
        <v>158</v>
      </c>
      <c r="J98" s="2"/>
      <c r="L98" s="12" t="s">
        <v>159</v>
      </c>
    </row>
    <row r="99" spans="1:12" ht="15">
      <c r="A99" s="3">
        <v>75</v>
      </c>
      <c r="B99" s="3">
        <v>300</v>
      </c>
      <c r="C99" s="3">
        <f t="shared" si="0"/>
        <v>4</v>
      </c>
      <c r="D99" s="3">
        <v>183</v>
      </c>
      <c r="E99" s="3" t="s">
        <v>71</v>
      </c>
      <c r="F99" s="3" t="s">
        <v>10</v>
      </c>
      <c r="G99" s="3" t="s">
        <v>17</v>
      </c>
      <c r="H99" s="4">
        <v>3.5659722222222225E-2</v>
      </c>
      <c r="I99" s="9" t="s">
        <v>160</v>
      </c>
      <c r="J99" s="2"/>
    </row>
    <row r="100" spans="1:12" ht="15">
      <c r="A100" s="3">
        <v>75</v>
      </c>
      <c r="B100" s="3">
        <v>300</v>
      </c>
      <c r="C100" s="3">
        <f t="shared" si="0"/>
        <v>4</v>
      </c>
      <c r="D100" s="3">
        <v>183</v>
      </c>
      <c r="E100" s="3" t="s">
        <v>75</v>
      </c>
      <c r="F100" s="3" t="s">
        <v>10</v>
      </c>
      <c r="G100" s="3" t="s">
        <v>17</v>
      </c>
      <c r="H100" s="4">
        <v>3.5671296296296298E-2</v>
      </c>
      <c r="I100" s="9" t="s">
        <v>161</v>
      </c>
      <c r="J100" s="2"/>
    </row>
    <row r="101" spans="1:12" ht="15">
      <c r="A101" s="3">
        <v>75</v>
      </c>
      <c r="B101" s="3">
        <v>300</v>
      </c>
      <c r="C101" s="3">
        <f t="shared" si="0"/>
        <v>4</v>
      </c>
      <c r="D101" s="3">
        <v>183</v>
      </c>
      <c r="E101" s="3" t="s">
        <v>162</v>
      </c>
      <c r="F101" s="3" t="s">
        <v>10</v>
      </c>
      <c r="G101" s="3" t="s">
        <v>17</v>
      </c>
      <c r="H101" s="15">
        <v>3.5682870370370372E-2</v>
      </c>
      <c r="I101" s="9" t="s">
        <v>163</v>
      </c>
      <c r="J101" s="2"/>
    </row>
    <row r="102" spans="1:12" ht="15">
      <c r="A102" s="3">
        <v>75</v>
      </c>
      <c r="B102" s="3">
        <v>300</v>
      </c>
      <c r="C102" s="3">
        <f t="shared" si="0"/>
        <v>4</v>
      </c>
      <c r="D102" s="3">
        <v>183</v>
      </c>
      <c r="E102" s="3" t="s">
        <v>164</v>
      </c>
      <c r="F102" s="3" t="s">
        <v>10</v>
      </c>
      <c r="G102" s="3" t="s">
        <v>17</v>
      </c>
      <c r="H102" s="4">
        <v>3.5682870370370372E-2</v>
      </c>
      <c r="I102" s="9" t="s">
        <v>165</v>
      </c>
      <c r="J102" s="2"/>
    </row>
    <row r="103" spans="1:12" ht="15">
      <c r="A103" s="3">
        <v>75</v>
      </c>
      <c r="B103" s="3">
        <v>300</v>
      </c>
      <c r="C103" s="3">
        <f t="shared" si="0"/>
        <v>4</v>
      </c>
      <c r="D103" s="3">
        <v>183</v>
      </c>
      <c r="E103" s="3" t="s">
        <v>166</v>
      </c>
      <c r="F103" s="3" t="s">
        <v>10</v>
      </c>
      <c r="G103" s="3" t="s">
        <v>17</v>
      </c>
      <c r="H103" s="4">
        <v>3.5682870370370372E-2</v>
      </c>
      <c r="I103" s="9" t="s">
        <v>167</v>
      </c>
      <c r="J103" s="2"/>
    </row>
    <row r="104" spans="1:12" ht="15">
      <c r="A104" s="3">
        <v>75</v>
      </c>
      <c r="B104" s="3">
        <v>300</v>
      </c>
      <c r="C104" s="3">
        <f t="shared" si="0"/>
        <v>4</v>
      </c>
      <c r="D104" s="3">
        <v>183</v>
      </c>
      <c r="E104" s="3" t="s">
        <v>168</v>
      </c>
      <c r="F104" s="3" t="s">
        <v>10</v>
      </c>
      <c r="G104" s="3" t="s">
        <v>17</v>
      </c>
      <c r="H104" s="4">
        <v>3.5694444444444445E-2</v>
      </c>
      <c r="I104" s="9" t="s">
        <v>169</v>
      </c>
      <c r="J104" s="2"/>
    </row>
    <row r="105" spans="1:12" ht="15">
      <c r="A105" s="3">
        <v>75</v>
      </c>
      <c r="B105" s="3">
        <v>300</v>
      </c>
      <c r="C105" s="3">
        <f t="shared" si="0"/>
        <v>4</v>
      </c>
      <c r="D105" s="3">
        <v>183</v>
      </c>
      <c r="E105" s="3" t="s">
        <v>19</v>
      </c>
      <c r="F105" s="3" t="s">
        <v>10</v>
      </c>
      <c r="G105" s="3" t="s">
        <v>170</v>
      </c>
      <c r="H105" s="4">
        <v>3.5578703703703703E-2</v>
      </c>
      <c r="I105" s="9" t="s">
        <v>171</v>
      </c>
      <c r="J105" s="2"/>
    </row>
    <row r="106" spans="1:12" ht="15">
      <c r="A106" s="3">
        <v>75</v>
      </c>
      <c r="B106" s="3">
        <v>300</v>
      </c>
      <c r="C106" s="3">
        <f t="shared" si="0"/>
        <v>4</v>
      </c>
      <c r="D106" s="3">
        <v>183</v>
      </c>
      <c r="E106" s="3" t="s">
        <v>19</v>
      </c>
      <c r="F106" s="3" t="s">
        <v>10</v>
      </c>
      <c r="G106" s="3" t="s">
        <v>172</v>
      </c>
      <c r="H106" s="4">
        <v>3.560185185185185E-2</v>
      </c>
      <c r="I106" s="9" t="s">
        <v>173</v>
      </c>
      <c r="J106" s="2"/>
    </row>
    <row r="107" spans="1:12" ht="15">
      <c r="A107" s="3">
        <v>75</v>
      </c>
      <c r="B107" s="3">
        <v>300</v>
      </c>
      <c r="C107" s="3">
        <f t="shared" si="0"/>
        <v>4</v>
      </c>
      <c r="D107" s="3">
        <v>183</v>
      </c>
      <c r="E107" s="3" t="s">
        <v>174</v>
      </c>
      <c r="F107" s="3" t="s">
        <v>10</v>
      </c>
      <c r="G107" s="3" t="s">
        <v>17</v>
      </c>
      <c r="H107" s="4">
        <v>3.5694444444444445E-2</v>
      </c>
      <c r="I107" s="9" t="s">
        <v>175</v>
      </c>
      <c r="J107" s="2"/>
    </row>
    <row r="108" spans="1:12" ht="15">
      <c r="A108" s="3">
        <v>75</v>
      </c>
      <c r="B108" s="3">
        <v>300</v>
      </c>
      <c r="C108" s="3">
        <f t="shared" si="0"/>
        <v>4</v>
      </c>
      <c r="D108" s="3">
        <v>183</v>
      </c>
      <c r="E108" s="3" t="s">
        <v>77</v>
      </c>
      <c r="F108" s="3" t="s">
        <v>10</v>
      </c>
      <c r="G108" s="3" t="s">
        <v>17</v>
      </c>
      <c r="H108" s="4">
        <v>3.5694444444444445E-2</v>
      </c>
      <c r="I108" s="9" t="s">
        <v>176</v>
      </c>
      <c r="J108" s="2"/>
    </row>
    <row r="109" spans="1:12" ht="15">
      <c r="A109" s="3">
        <v>75</v>
      </c>
      <c r="B109" s="3">
        <v>300</v>
      </c>
      <c r="C109" s="3">
        <f t="shared" si="0"/>
        <v>4</v>
      </c>
      <c r="D109" s="3">
        <v>183</v>
      </c>
      <c r="E109" s="3" t="s">
        <v>177</v>
      </c>
      <c r="F109" s="3" t="s">
        <v>10</v>
      </c>
      <c r="G109" s="3" t="s">
        <v>17</v>
      </c>
      <c r="H109" s="4">
        <v>3.5706018518518519E-2</v>
      </c>
      <c r="I109" s="9" t="s">
        <v>178</v>
      </c>
      <c r="J109" s="2"/>
    </row>
    <row r="110" spans="1:12" ht="15">
      <c r="A110" s="3">
        <v>75</v>
      </c>
      <c r="B110" s="3">
        <v>300</v>
      </c>
      <c r="C110" s="3">
        <f t="shared" si="0"/>
        <v>4</v>
      </c>
      <c r="D110" s="3">
        <v>183</v>
      </c>
      <c r="E110" s="3" t="s">
        <v>179</v>
      </c>
      <c r="F110" s="3" t="s">
        <v>10</v>
      </c>
      <c r="G110" s="3" t="s">
        <v>17</v>
      </c>
      <c r="H110" s="4">
        <v>3.5717592592592592E-2</v>
      </c>
      <c r="I110" s="9" t="s">
        <v>180</v>
      </c>
      <c r="J110" s="2"/>
    </row>
    <row r="111" spans="1:12" ht="15">
      <c r="A111" s="3">
        <v>75</v>
      </c>
      <c r="B111" s="3">
        <v>300</v>
      </c>
      <c r="C111" s="3">
        <f t="shared" si="0"/>
        <v>4</v>
      </c>
      <c r="D111" s="3">
        <v>183</v>
      </c>
      <c r="E111" s="3" t="s">
        <v>9</v>
      </c>
      <c r="F111" s="3" t="s">
        <v>10</v>
      </c>
      <c r="G111" s="3" t="s">
        <v>10</v>
      </c>
      <c r="H111" s="4">
        <v>3.5624999999999997E-2</v>
      </c>
      <c r="I111" s="11" t="s">
        <v>181</v>
      </c>
      <c r="J111" s="2" t="s">
        <v>105</v>
      </c>
    </row>
    <row r="112" spans="1:12" ht="15">
      <c r="A112" s="3">
        <v>75</v>
      </c>
      <c r="B112" s="3">
        <v>300</v>
      </c>
      <c r="C112" s="3">
        <f t="shared" si="0"/>
        <v>4</v>
      </c>
      <c r="D112" s="3">
        <v>183</v>
      </c>
      <c r="E112" s="3" t="s">
        <v>19</v>
      </c>
      <c r="F112" s="3" t="s">
        <v>10</v>
      </c>
      <c r="G112" s="3" t="s">
        <v>17</v>
      </c>
      <c r="H112" s="4">
        <v>3.5717592592592592E-2</v>
      </c>
      <c r="I112" s="9" t="s">
        <v>182</v>
      </c>
      <c r="J112" s="2"/>
    </row>
    <row r="113" spans="1:10" ht="15">
      <c r="A113" s="3">
        <v>75</v>
      </c>
      <c r="B113" s="3">
        <v>300</v>
      </c>
      <c r="C113" s="3">
        <f t="shared" si="0"/>
        <v>4</v>
      </c>
      <c r="D113" s="3">
        <v>183</v>
      </c>
      <c r="E113" s="3" t="s">
        <v>183</v>
      </c>
      <c r="F113" s="3" t="s">
        <v>10</v>
      </c>
      <c r="G113" s="3" t="s">
        <v>17</v>
      </c>
      <c r="H113" s="4">
        <v>3.5729166666666666E-2</v>
      </c>
      <c r="I113" s="9" t="s">
        <v>184</v>
      </c>
      <c r="J113" s="2"/>
    </row>
    <row r="114" spans="1:10" ht="15">
      <c r="A114" s="3">
        <v>75</v>
      </c>
      <c r="B114" s="3">
        <v>300</v>
      </c>
      <c r="C114" s="3">
        <f t="shared" si="0"/>
        <v>4</v>
      </c>
      <c r="D114" s="3">
        <v>183</v>
      </c>
      <c r="E114" s="3" t="s">
        <v>96</v>
      </c>
      <c r="F114" s="3" t="s">
        <v>10</v>
      </c>
      <c r="G114" s="3" t="s">
        <v>17</v>
      </c>
      <c r="H114" s="4">
        <v>3.5729166666666666E-2</v>
      </c>
      <c r="I114" s="9" t="s">
        <v>185</v>
      </c>
      <c r="J114" s="2"/>
    </row>
    <row r="115" spans="1:10" ht="15">
      <c r="A115" s="3">
        <v>75</v>
      </c>
      <c r="B115" s="3">
        <v>300</v>
      </c>
      <c r="C115" s="3">
        <f t="shared" si="0"/>
        <v>4</v>
      </c>
      <c r="D115" s="3">
        <v>183</v>
      </c>
      <c r="E115" s="3" t="s">
        <v>186</v>
      </c>
      <c r="F115" s="3" t="s">
        <v>10</v>
      </c>
      <c r="G115" s="3" t="s">
        <v>17</v>
      </c>
      <c r="H115" s="4">
        <v>3.574074074074074E-2</v>
      </c>
      <c r="I115" s="9" t="s">
        <v>187</v>
      </c>
      <c r="J115" s="2"/>
    </row>
    <row r="116" spans="1:10" ht="15">
      <c r="A116" s="3">
        <v>75</v>
      </c>
      <c r="B116" s="3">
        <v>300</v>
      </c>
      <c r="C116" s="3">
        <f t="shared" si="0"/>
        <v>4</v>
      </c>
      <c r="D116" s="3">
        <v>183</v>
      </c>
      <c r="E116" s="3" t="s">
        <v>19</v>
      </c>
      <c r="F116" s="3" t="s">
        <v>10</v>
      </c>
      <c r="G116" s="3" t="s">
        <v>188</v>
      </c>
      <c r="H116" s="4">
        <v>3.5648148148148151E-2</v>
      </c>
      <c r="I116" s="9" t="s">
        <v>189</v>
      </c>
      <c r="J116" s="2"/>
    </row>
    <row r="117" spans="1:10" ht="15">
      <c r="A117" s="3">
        <v>75</v>
      </c>
      <c r="B117" s="3">
        <v>300</v>
      </c>
      <c r="C117" s="3">
        <f t="shared" si="0"/>
        <v>4</v>
      </c>
      <c r="D117" s="3">
        <v>183</v>
      </c>
      <c r="E117" s="3" t="s">
        <v>190</v>
      </c>
      <c r="F117" s="3" t="s">
        <v>10</v>
      </c>
      <c r="G117" s="3" t="s">
        <v>17</v>
      </c>
      <c r="H117" s="4">
        <v>3.574074074074074E-2</v>
      </c>
      <c r="I117" s="9" t="s">
        <v>191</v>
      </c>
      <c r="J117" s="2"/>
    </row>
    <row r="118" spans="1:10" ht="15">
      <c r="A118" s="3">
        <v>75</v>
      </c>
      <c r="B118" s="3">
        <v>300</v>
      </c>
      <c r="C118" s="3">
        <f t="shared" si="0"/>
        <v>4</v>
      </c>
      <c r="D118" s="3">
        <v>183</v>
      </c>
      <c r="E118" s="3" t="s">
        <v>192</v>
      </c>
      <c r="F118" s="3" t="s">
        <v>10</v>
      </c>
      <c r="G118" s="3" t="s">
        <v>17</v>
      </c>
      <c r="H118" s="4">
        <v>3.5763888888888887E-2</v>
      </c>
      <c r="I118" s="9" t="s">
        <v>193</v>
      </c>
      <c r="J118" s="2"/>
    </row>
    <row r="119" spans="1:10" ht="15">
      <c r="A119" s="3">
        <v>75</v>
      </c>
      <c r="B119" s="3">
        <v>300</v>
      </c>
      <c r="C119" s="3">
        <f t="shared" si="0"/>
        <v>4</v>
      </c>
      <c r="D119" s="3">
        <v>183</v>
      </c>
      <c r="E119" s="3" t="s">
        <v>90</v>
      </c>
      <c r="F119" s="3" t="s">
        <v>10</v>
      </c>
      <c r="G119" s="3" t="s">
        <v>17</v>
      </c>
      <c r="H119" s="4">
        <v>3.5763888888888887E-2</v>
      </c>
      <c r="I119" s="9" t="s">
        <v>194</v>
      </c>
      <c r="J119" s="2"/>
    </row>
    <row r="120" spans="1:10" ht="15">
      <c r="A120" s="3">
        <v>75</v>
      </c>
      <c r="B120" s="3">
        <v>300</v>
      </c>
      <c r="C120" s="3">
        <f t="shared" si="0"/>
        <v>4</v>
      </c>
      <c r="D120" s="3">
        <v>183</v>
      </c>
      <c r="E120" s="3" t="s">
        <v>19</v>
      </c>
      <c r="F120" s="3" t="s">
        <v>10</v>
      </c>
      <c r="G120" s="3" t="s">
        <v>195</v>
      </c>
      <c r="H120" s="4">
        <v>3.5706018518518519E-2</v>
      </c>
      <c r="I120" s="9" t="s">
        <v>196</v>
      </c>
      <c r="J120" s="2"/>
    </row>
    <row r="121" spans="1:10" ht="15">
      <c r="A121" s="3">
        <v>75</v>
      </c>
      <c r="B121" s="3">
        <v>300</v>
      </c>
      <c r="C121" s="3">
        <f t="shared" si="0"/>
        <v>4</v>
      </c>
      <c r="D121" s="3">
        <v>183</v>
      </c>
      <c r="E121" s="3" t="s">
        <v>197</v>
      </c>
      <c r="F121" s="3" t="s">
        <v>10</v>
      </c>
      <c r="G121" s="3" t="s">
        <v>17</v>
      </c>
      <c r="H121" s="4">
        <v>3.577546296296296E-2</v>
      </c>
      <c r="I121" s="9" t="s">
        <v>198</v>
      </c>
      <c r="J121" s="2"/>
    </row>
    <row r="122" spans="1:10" ht="15">
      <c r="A122" s="3">
        <v>75</v>
      </c>
      <c r="B122" s="3">
        <v>300</v>
      </c>
      <c r="C122" s="3">
        <f t="shared" si="0"/>
        <v>4</v>
      </c>
      <c r="D122" s="3">
        <v>183</v>
      </c>
      <c r="E122" s="3" t="s">
        <v>199</v>
      </c>
      <c r="F122" s="3" t="s">
        <v>10</v>
      </c>
      <c r="G122" s="3" t="s">
        <v>17</v>
      </c>
      <c r="H122" s="4">
        <v>3.577546296296296E-2</v>
      </c>
      <c r="I122" s="9" t="s">
        <v>200</v>
      </c>
      <c r="J122" s="2"/>
    </row>
    <row r="123" spans="1:10" ht="15">
      <c r="A123" s="3">
        <v>75</v>
      </c>
      <c r="B123" s="3">
        <v>300</v>
      </c>
      <c r="C123" s="3">
        <f t="shared" si="0"/>
        <v>4</v>
      </c>
      <c r="D123" s="3">
        <v>183</v>
      </c>
      <c r="E123" s="3" t="s">
        <v>201</v>
      </c>
      <c r="F123" s="3" t="s">
        <v>10</v>
      </c>
      <c r="G123" s="3" t="s">
        <v>17</v>
      </c>
      <c r="H123" s="4">
        <v>3.577546296296296E-2</v>
      </c>
      <c r="I123" s="9" t="s">
        <v>202</v>
      </c>
      <c r="J123" s="2"/>
    </row>
    <row r="124" spans="1:10" ht="15">
      <c r="A124" s="3">
        <v>75</v>
      </c>
      <c r="B124" s="3">
        <v>300</v>
      </c>
      <c r="C124" s="3">
        <f t="shared" si="0"/>
        <v>4</v>
      </c>
      <c r="D124" s="3">
        <v>183</v>
      </c>
      <c r="E124" s="3" t="s">
        <v>203</v>
      </c>
      <c r="F124" s="3" t="s">
        <v>10</v>
      </c>
      <c r="G124" s="3" t="s">
        <v>17</v>
      </c>
      <c r="H124" s="4">
        <v>3.5787037037037034E-2</v>
      </c>
      <c r="I124" s="9" t="s">
        <v>204</v>
      </c>
      <c r="J124" s="2"/>
    </row>
    <row r="125" spans="1:10" ht="15">
      <c r="A125" s="3">
        <v>75</v>
      </c>
      <c r="B125" s="3">
        <v>300</v>
      </c>
      <c r="C125" s="3">
        <f t="shared" si="0"/>
        <v>4</v>
      </c>
      <c r="D125" s="3">
        <v>183</v>
      </c>
      <c r="E125" s="3" t="s">
        <v>205</v>
      </c>
      <c r="F125" s="3" t="s">
        <v>10</v>
      </c>
      <c r="G125" s="3" t="s">
        <v>17</v>
      </c>
      <c r="H125" s="4">
        <v>3.5787037037037034E-2</v>
      </c>
      <c r="I125" s="9" t="s">
        <v>206</v>
      </c>
      <c r="J125" s="2"/>
    </row>
    <row r="126" spans="1:10" ht="15">
      <c r="A126" s="3">
        <v>75</v>
      </c>
      <c r="B126" s="3">
        <v>300</v>
      </c>
      <c r="C126" s="3">
        <f t="shared" si="0"/>
        <v>4</v>
      </c>
      <c r="D126" s="3">
        <v>183</v>
      </c>
      <c r="E126" s="3" t="s">
        <v>207</v>
      </c>
      <c r="F126" s="3" t="s">
        <v>10</v>
      </c>
      <c r="G126" s="3" t="s">
        <v>17</v>
      </c>
      <c r="H126" s="4">
        <v>3.5798611111111114E-2</v>
      </c>
      <c r="I126" s="9" t="s">
        <v>208</v>
      </c>
      <c r="J126" s="2"/>
    </row>
    <row r="127" spans="1:10" ht="15">
      <c r="A127" s="3">
        <v>75</v>
      </c>
      <c r="B127" s="3">
        <v>300</v>
      </c>
      <c r="C127" s="3">
        <f t="shared" si="0"/>
        <v>4</v>
      </c>
      <c r="D127" s="3">
        <v>183</v>
      </c>
      <c r="E127" s="3" t="s">
        <v>209</v>
      </c>
      <c r="F127" s="3" t="s">
        <v>10</v>
      </c>
      <c r="G127" s="3" t="s">
        <v>17</v>
      </c>
      <c r="H127" s="4">
        <v>3.5798611111111114E-2</v>
      </c>
      <c r="I127" s="9" t="s">
        <v>210</v>
      </c>
      <c r="J127" s="2"/>
    </row>
    <row r="128" spans="1:10" ht="15">
      <c r="A128" s="3">
        <v>75</v>
      </c>
      <c r="B128" s="3">
        <v>300</v>
      </c>
      <c r="C128" s="3">
        <f t="shared" si="0"/>
        <v>4</v>
      </c>
      <c r="D128" s="3">
        <v>183</v>
      </c>
      <c r="E128" s="3" t="s">
        <v>211</v>
      </c>
      <c r="F128" s="3" t="s">
        <v>10</v>
      </c>
      <c r="G128" s="3" t="s">
        <v>17</v>
      </c>
      <c r="H128" s="4">
        <v>3.5798611111111114E-2</v>
      </c>
      <c r="I128" s="9" t="s">
        <v>212</v>
      </c>
      <c r="J128" s="2"/>
    </row>
    <row r="129" spans="1:10" ht="15">
      <c r="A129" s="3">
        <v>75</v>
      </c>
      <c r="B129" s="3">
        <v>300</v>
      </c>
      <c r="C129" s="3">
        <f t="shared" si="0"/>
        <v>4</v>
      </c>
      <c r="D129" s="3">
        <v>183</v>
      </c>
      <c r="E129" s="3" t="s">
        <v>19</v>
      </c>
      <c r="F129" s="3" t="s">
        <v>10</v>
      </c>
      <c r="G129" s="3" t="s">
        <v>213</v>
      </c>
      <c r="H129" s="4">
        <v>3.5706018518518519E-2</v>
      </c>
      <c r="I129" s="9" t="s">
        <v>214</v>
      </c>
      <c r="J129" s="2"/>
    </row>
    <row r="130" spans="1:10" ht="15">
      <c r="A130" s="3">
        <v>75</v>
      </c>
      <c r="B130" s="3">
        <v>300</v>
      </c>
      <c r="C130" s="3">
        <f t="shared" si="0"/>
        <v>4</v>
      </c>
      <c r="D130" s="3">
        <v>183</v>
      </c>
      <c r="E130" s="3" t="s">
        <v>215</v>
      </c>
      <c r="F130" s="3" t="s">
        <v>10</v>
      </c>
      <c r="G130" s="3" t="s">
        <v>17</v>
      </c>
      <c r="H130" s="4">
        <v>3.5798611111111114E-2</v>
      </c>
      <c r="I130" s="9" t="s">
        <v>216</v>
      </c>
      <c r="J130" s="2"/>
    </row>
    <row r="131" spans="1:10" ht="15">
      <c r="A131" s="3">
        <v>75</v>
      </c>
      <c r="B131" s="3">
        <v>300</v>
      </c>
      <c r="C131" s="3">
        <f t="shared" si="0"/>
        <v>4</v>
      </c>
      <c r="D131" s="3">
        <v>183</v>
      </c>
      <c r="E131" s="3" t="s">
        <v>217</v>
      </c>
      <c r="F131" s="3" t="s">
        <v>10</v>
      </c>
      <c r="G131" s="3" t="s">
        <v>17</v>
      </c>
      <c r="H131" s="4">
        <v>3.5798611111111114E-2</v>
      </c>
      <c r="I131" s="9" t="s">
        <v>218</v>
      </c>
      <c r="J131" s="2"/>
    </row>
    <row r="132" spans="1:10" ht="15">
      <c r="A132" s="3">
        <v>75</v>
      </c>
      <c r="B132" s="3">
        <v>300</v>
      </c>
      <c r="C132" s="3">
        <f t="shared" si="0"/>
        <v>4</v>
      </c>
      <c r="D132" s="3">
        <v>183</v>
      </c>
      <c r="E132" s="3" t="s">
        <v>219</v>
      </c>
      <c r="F132" s="3" t="s">
        <v>10</v>
      </c>
      <c r="G132" s="3" t="s">
        <v>17</v>
      </c>
      <c r="H132" s="4">
        <v>3.5798611111111114E-2</v>
      </c>
      <c r="I132" s="9" t="s">
        <v>220</v>
      </c>
      <c r="J132" s="2"/>
    </row>
    <row r="133" spans="1:10" ht="15">
      <c r="A133" s="3">
        <v>75</v>
      </c>
      <c r="B133" s="3">
        <v>300</v>
      </c>
      <c r="C133" s="3">
        <f t="shared" si="0"/>
        <v>4</v>
      </c>
      <c r="D133" s="3">
        <v>183</v>
      </c>
      <c r="E133" s="3" t="s">
        <v>221</v>
      </c>
      <c r="F133" s="3" t="s">
        <v>10</v>
      </c>
      <c r="G133" s="3" t="s">
        <v>17</v>
      </c>
      <c r="H133" s="4">
        <v>3.5798611111111114E-2</v>
      </c>
      <c r="I133" s="9" t="s">
        <v>222</v>
      </c>
      <c r="J133" s="2"/>
    </row>
    <row r="134" spans="1:10" ht="15">
      <c r="A134" s="3">
        <v>75</v>
      </c>
      <c r="B134" s="3">
        <v>300</v>
      </c>
      <c r="C134" s="3">
        <f t="shared" si="0"/>
        <v>4</v>
      </c>
      <c r="D134" s="3">
        <v>183</v>
      </c>
      <c r="E134" s="3" t="s">
        <v>94</v>
      </c>
      <c r="F134" s="3" t="s">
        <v>10</v>
      </c>
      <c r="G134" s="3" t="s">
        <v>17</v>
      </c>
      <c r="H134" s="4">
        <v>3.5798611111111114E-2</v>
      </c>
      <c r="I134" s="9" t="s">
        <v>223</v>
      </c>
      <c r="J134" s="2" t="s">
        <v>224</v>
      </c>
    </row>
    <row r="135" spans="1:10" ht="15">
      <c r="A135" s="3">
        <v>75</v>
      </c>
      <c r="B135" s="3">
        <v>300</v>
      </c>
      <c r="C135" s="3">
        <f t="shared" si="0"/>
        <v>4</v>
      </c>
      <c r="D135" s="3">
        <v>183</v>
      </c>
      <c r="E135" s="3" t="s">
        <v>225</v>
      </c>
      <c r="F135" s="3" t="s">
        <v>10</v>
      </c>
      <c r="G135" s="3" t="s">
        <v>17</v>
      </c>
      <c r="H135" s="4">
        <v>3.5798611111111114E-2</v>
      </c>
      <c r="I135" s="9" t="s">
        <v>226</v>
      </c>
      <c r="J135" s="2"/>
    </row>
    <row r="136" spans="1:10" ht="15">
      <c r="A136" s="3">
        <v>75</v>
      </c>
      <c r="B136" s="3">
        <v>300</v>
      </c>
      <c r="C136" s="3">
        <f t="shared" si="0"/>
        <v>4</v>
      </c>
      <c r="D136" s="3">
        <v>183</v>
      </c>
      <c r="E136" s="3" t="s">
        <v>227</v>
      </c>
      <c r="F136" s="3" t="s">
        <v>10</v>
      </c>
      <c r="G136" s="3" t="s">
        <v>17</v>
      </c>
      <c r="H136" s="4">
        <v>3.5798611111111114E-2</v>
      </c>
      <c r="I136" s="9" t="s">
        <v>228</v>
      </c>
      <c r="J136" s="2"/>
    </row>
    <row r="137" spans="1:10" ht="15">
      <c r="A137" s="3">
        <v>75</v>
      </c>
      <c r="B137" s="3">
        <v>300</v>
      </c>
      <c r="C137" s="3">
        <f t="shared" si="0"/>
        <v>4</v>
      </c>
      <c r="D137" s="3">
        <v>183</v>
      </c>
      <c r="E137" s="3" t="s">
        <v>229</v>
      </c>
      <c r="F137" s="3" t="s">
        <v>10</v>
      </c>
      <c r="G137" s="3" t="s">
        <v>17</v>
      </c>
      <c r="H137" s="4">
        <v>3.5798611111111114E-2</v>
      </c>
      <c r="I137" s="9" t="s">
        <v>230</v>
      </c>
      <c r="J137" s="2"/>
    </row>
    <row r="138" spans="1:10" ht="15">
      <c r="A138" s="3">
        <v>75</v>
      </c>
      <c r="B138" s="3">
        <v>300</v>
      </c>
      <c r="C138" s="3">
        <f t="shared" si="0"/>
        <v>4</v>
      </c>
      <c r="D138" s="3">
        <v>183</v>
      </c>
      <c r="E138" s="3" t="s">
        <v>231</v>
      </c>
      <c r="F138" s="3" t="s">
        <v>10</v>
      </c>
      <c r="G138" s="3" t="s">
        <v>17</v>
      </c>
      <c r="H138" s="4">
        <v>3.5810185185185188E-2</v>
      </c>
      <c r="I138" s="9" t="s">
        <v>232</v>
      </c>
      <c r="J138" s="2"/>
    </row>
    <row r="139" spans="1:10" ht="15">
      <c r="A139" s="3">
        <v>75</v>
      </c>
      <c r="B139" s="3">
        <v>300</v>
      </c>
      <c r="C139" s="3">
        <f t="shared" si="0"/>
        <v>4</v>
      </c>
      <c r="D139" s="3">
        <v>183</v>
      </c>
      <c r="E139" s="3" t="s">
        <v>233</v>
      </c>
      <c r="F139" s="3" t="s">
        <v>10</v>
      </c>
      <c r="G139" s="3" t="s">
        <v>17</v>
      </c>
      <c r="H139" s="4">
        <v>3.5810185185185188E-2</v>
      </c>
      <c r="I139" s="9" t="s">
        <v>234</v>
      </c>
      <c r="J139" s="2"/>
    </row>
    <row r="140" spans="1:10" ht="15">
      <c r="A140" s="3">
        <v>75</v>
      </c>
      <c r="B140" s="3">
        <v>300</v>
      </c>
      <c r="C140" s="3">
        <f t="shared" si="0"/>
        <v>4</v>
      </c>
      <c r="D140" s="3">
        <v>183</v>
      </c>
      <c r="E140" s="3" t="s">
        <v>235</v>
      </c>
      <c r="F140" s="3" t="s">
        <v>10</v>
      </c>
      <c r="G140" s="3" t="s">
        <v>17</v>
      </c>
      <c r="H140" s="4">
        <v>3.5810185185185188E-2</v>
      </c>
      <c r="I140" s="9" t="s">
        <v>236</v>
      </c>
      <c r="J140" s="2"/>
    </row>
    <row r="141" spans="1:10" ht="15">
      <c r="A141" s="3">
        <v>75</v>
      </c>
      <c r="B141" s="3">
        <v>300</v>
      </c>
      <c r="C141" s="3">
        <f t="shared" si="0"/>
        <v>4</v>
      </c>
      <c r="D141" s="3">
        <v>183</v>
      </c>
      <c r="E141" s="3" t="s">
        <v>237</v>
      </c>
      <c r="F141" s="3" t="s">
        <v>10</v>
      </c>
      <c r="G141" s="3" t="s">
        <v>17</v>
      </c>
      <c r="H141" s="4">
        <v>3.5810185185185188E-2</v>
      </c>
      <c r="I141" s="9" t="s">
        <v>238</v>
      </c>
      <c r="J141" s="2"/>
    </row>
    <row r="142" spans="1:10" ht="15">
      <c r="A142" s="3">
        <v>75</v>
      </c>
      <c r="B142" s="3">
        <v>300</v>
      </c>
      <c r="C142" s="3">
        <f t="shared" si="0"/>
        <v>4</v>
      </c>
      <c r="D142" s="3">
        <v>183</v>
      </c>
      <c r="E142" s="3" t="s">
        <v>239</v>
      </c>
      <c r="F142" s="3" t="s">
        <v>10</v>
      </c>
      <c r="G142" s="3" t="s">
        <v>17</v>
      </c>
      <c r="H142" s="4">
        <v>3.5810185185185188E-2</v>
      </c>
      <c r="I142" s="9" t="s">
        <v>240</v>
      </c>
      <c r="J142" s="2"/>
    </row>
    <row r="143" spans="1:10" ht="15">
      <c r="A143" s="3">
        <v>75</v>
      </c>
      <c r="B143" s="3">
        <v>300</v>
      </c>
      <c r="C143" s="3">
        <f t="shared" si="0"/>
        <v>4</v>
      </c>
      <c r="D143" s="3">
        <v>183</v>
      </c>
      <c r="E143" s="3" t="s">
        <v>241</v>
      </c>
      <c r="F143" s="3" t="s">
        <v>10</v>
      </c>
      <c r="G143" s="3" t="s">
        <v>17</v>
      </c>
      <c r="H143" s="4">
        <v>3.5810185185185188E-2</v>
      </c>
      <c r="I143" s="9" t="s">
        <v>242</v>
      </c>
      <c r="J143" s="2"/>
    </row>
    <row r="144" spans="1:10" ht="15">
      <c r="A144" s="3">
        <v>75</v>
      </c>
      <c r="B144" s="3">
        <v>300</v>
      </c>
      <c r="C144" s="3">
        <f t="shared" si="0"/>
        <v>4</v>
      </c>
      <c r="D144" s="3">
        <v>183</v>
      </c>
      <c r="E144" s="3" t="s">
        <v>243</v>
      </c>
      <c r="F144" s="3" t="s">
        <v>10</v>
      </c>
      <c r="G144" s="3" t="s">
        <v>17</v>
      </c>
      <c r="H144" s="4">
        <v>3.5810185185185188E-2</v>
      </c>
      <c r="I144" s="9" t="s">
        <v>244</v>
      </c>
      <c r="J144" s="2"/>
    </row>
    <row r="145" spans="1:22" ht="15">
      <c r="A145" s="3">
        <v>75</v>
      </c>
      <c r="B145" s="3">
        <v>300</v>
      </c>
      <c r="C145" s="3">
        <f t="shared" si="0"/>
        <v>4</v>
      </c>
      <c r="D145" s="3">
        <v>183</v>
      </c>
      <c r="E145" s="3" t="s">
        <v>245</v>
      </c>
      <c r="F145" s="3" t="s">
        <v>10</v>
      </c>
      <c r="G145" s="3" t="s">
        <v>17</v>
      </c>
      <c r="H145" s="4">
        <v>3.5810185185185188E-2</v>
      </c>
      <c r="I145" s="9" t="s">
        <v>246</v>
      </c>
      <c r="J145" s="2"/>
    </row>
    <row r="146" spans="1:22" ht="15">
      <c r="A146" s="3">
        <v>75</v>
      </c>
      <c r="B146" s="3">
        <v>300</v>
      </c>
      <c r="C146" s="3">
        <f t="shared" si="0"/>
        <v>4</v>
      </c>
      <c r="D146" s="3">
        <v>183</v>
      </c>
      <c r="E146" s="3" t="s">
        <v>247</v>
      </c>
      <c r="F146" s="3" t="s">
        <v>10</v>
      </c>
      <c r="G146" s="3" t="s">
        <v>17</v>
      </c>
      <c r="H146" s="4">
        <v>3.5810185185185188E-2</v>
      </c>
      <c r="I146" s="9" t="s">
        <v>248</v>
      </c>
      <c r="J146" s="2"/>
    </row>
    <row r="147" spans="1:22" ht="15">
      <c r="A147" s="3">
        <v>75</v>
      </c>
      <c r="B147" s="3">
        <v>300</v>
      </c>
      <c r="C147" s="3">
        <f t="shared" si="0"/>
        <v>4</v>
      </c>
      <c r="D147" s="3">
        <v>183</v>
      </c>
      <c r="E147" s="3" t="s">
        <v>249</v>
      </c>
      <c r="F147" s="3" t="s">
        <v>10</v>
      </c>
      <c r="G147" s="3" t="s">
        <v>17</v>
      </c>
      <c r="H147" s="4">
        <v>3.5821759259259262E-2</v>
      </c>
      <c r="I147" s="9" t="s">
        <v>250</v>
      </c>
      <c r="J147" s="2"/>
    </row>
    <row r="148" spans="1:22" ht="15">
      <c r="A148" s="3">
        <v>75</v>
      </c>
      <c r="B148" s="3">
        <v>300</v>
      </c>
      <c r="C148" s="3">
        <f t="shared" si="0"/>
        <v>4</v>
      </c>
      <c r="D148" s="3">
        <v>183</v>
      </c>
      <c r="E148" s="3" t="s">
        <v>251</v>
      </c>
      <c r="F148" s="3" t="s">
        <v>10</v>
      </c>
      <c r="G148" s="3" t="s">
        <v>17</v>
      </c>
      <c r="H148" s="4">
        <v>3.5821759259259262E-2</v>
      </c>
      <c r="I148" s="9" t="s">
        <v>252</v>
      </c>
      <c r="J148" s="2"/>
    </row>
    <row r="149" spans="1:22" ht="15">
      <c r="A149" s="3">
        <v>75</v>
      </c>
      <c r="B149" s="3">
        <v>300</v>
      </c>
      <c r="C149" s="3">
        <f t="shared" si="0"/>
        <v>4</v>
      </c>
      <c r="D149" s="3">
        <v>183</v>
      </c>
      <c r="E149" s="3" t="s">
        <v>19</v>
      </c>
      <c r="F149" s="3" t="s">
        <v>10</v>
      </c>
      <c r="G149" s="3" t="s">
        <v>253</v>
      </c>
      <c r="H149" s="4">
        <v>3.5706018518518519E-2</v>
      </c>
      <c r="I149" s="9" t="s">
        <v>254</v>
      </c>
      <c r="J149" s="2"/>
    </row>
    <row r="150" spans="1:22" ht="15" hidden="1">
      <c r="A150" s="3">
        <v>50</v>
      </c>
      <c r="B150" s="3">
        <v>200</v>
      </c>
      <c r="C150" s="3">
        <f t="shared" si="0"/>
        <v>4</v>
      </c>
      <c r="D150" s="3">
        <v>183</v>
      </c>
      <c r="E150" s="3" t="s">
        <v>19</v>
      </c>
      <c r="F150" s="3" t="s">
        <v>10</v>
      </c>
      <c r="G150" s="3" t="s">
        <v>17</v>
      </c>
      <c r="H150" s="4">
        <v>3.8449074074074073E-2</v>
      </c>
      <c r="I150" s="9" t="s">
        <v>255</v>
      </c>
      <c r="J150" s="2"/>
    </row>
    <row r="151" spans="1:22" ht="15">
      <c r="A151" s="3">
        <v>75</v>
      </c>
      <c r="B151" s="3">
        <v>300</v>
      </c>
      <c r="C151" s="3">
        <f t="shared" si="0"/>
        <v>4</v>
      </c>
      <c r="D151" s="3">
        <v>183</v>
      </c>
      <c r="E151" s="3" t="s">
        <v>256</v>
      </c>
      <c r="F151" s="3" t="s">
        <v>10</v>
      </c>
      <c r="G151" s="3" t="s">
        <v>17</v>
      </c>
      <c r="H151" s="4">
        <v>3.5821759259259262E-2</v>
      </c>
      <c r="I151" s="9" t="s">
        <v>257</v>
      </c>
      <c r="J151" s="2"/>
    </row>
    <row r="152" spans="1:22" ht="15">
      <c r="A152" s="3">
        <v>75</v>
      </c>
      <c r="B152" s="3">
        <v>300</v>
      </c>
      <c r="C152" s="3">
        <f t="shared" si="0"/>
        <v>4</v>
      </c>
      <c r="D152" s="3">
        <v>183</v>
      </c>
      <c r="E152" s="3" t="s">
        <v>258</v>
      </c>
      <c r="F152" s="3" t="s">
        <v>10</v>
      </c>
      <c r="G152" s="3" t="s">
        <v>17</v>
      </c>
      <c r="H152" s="4">
        <v>3.5821759259259262E-2</v>
      </c>
      <c r="I152" s="9" t="s">
        <v>259</v>
      </c>
      <c r="J152" s="2"/>
    </row>
    <row r="153" spans="1:22" ht="15">
      <c r="A153" s="3">
        <v>75</v>
      </c>
      <c r="B153" s="3">
        <v>300</v>
      </c>
      <c r="C153" s="3">
        <f t="shared" si="0"/>
        <v>4</v>
      </c>
      <c r="D153" s="3">
        <v>183</v>
      </c>
      <c r="E153" s="3" t="s">
        <v>260</v>
      </c>
      <c r="F153" s="3" t="s">
        <v>10</v>
      </c>
      <c r="G153" s="3" t="s">
        <v>260</v>
      </c>
      <c r="H153" s="4">
        <v>3.5844907407407409E-2</v>
      </c>
      <c r="I153" s="8" t="s">
        <v>261</v>
      </c>
      <c r="J153" s="6"/>
      <c r="K153" s="7"/>
      <c r="L153" s="7" t="s">
        <v>262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">
      <c r="A154" s="3">
        <v>75</v>
      </c>
      <c r="B154" s="3">
        <v>300</v>
      </c>
      <c r="C154" s="3">
        <f t="shared" si="0"/>
        <v>4</v>
      </c>
      <c r="D154" s="3">
        <v>183</v>
      </c>
      <c r="E154" s="3" t="s">
        <v>253</v>
      </c>
      <c r="F154" s="3" t="s">
        <v>10</v>
      </c>
      <c r="G154" s="3" t="s">
        <v>253</v>
      </c>
      <c r="H154" s="4">
        <v>3.5844907407407409E-2</v>
      </c>
      <c r="I154" s="16" t="s">
        <v>263</v>
      </c>
      <c r="J154" s="17"/>
    </row>
    <row r="155" spans="1:22" ht="15">
      <c r="A155" s="3">
        <v>75</v>
      </c>
      <c r="B155" s="3">
        <v>300</v>
      </c>
      <c r="C155" s="3">
        <f t="shared" si="0"/>
        <v>4</v>
      </c>
      <c r="D155" s="3">
        <v>183</v>
      </c>
      <c r="E155" s="3" t="s">
        <v>264</v>
      </c>
      <c r="F155" s="3" t="s">
        <v>10</v>
      </c>
      <c r="G155" s="3" t="s">
        <v>17</v>
      </c>
      <c r="H155" s="4">
        <v>3.5821759259259262E-2</v>
      </c>
      <c r="I155" s="16" t="s">
        <v>265</v>
      </c>
      <c r="J155" s="17"/>
    </row>
    <row r="156" spans="1:22" ht="15">
      <c r="A156" s="3">
        <v>75</v>
      </c>
      <c r="B156" s="3">
        <v>300</v>
      </c>
      <c r="C156" s="3">
        <f t="shared" si="0"/>
        <v>4</v>
      </c>
      <c r="D156" s="3">
        <v>183</v>
      </c>
      <c r="E156" s="3" t="s">
        <v>266</v>
      </c>
      <c r="F156" s="3" t="s">
        <v>267</v>
      </c>
      <c r="G156" s="3" t="s">
        <v>268</v>
      </c>
      <c r="H156" s="4">
        <v>3.7349537037037035E-2</v>
      </c>
      <c r="I156" s="16" t="s">
        <v>269</v>
      </c>
      <c r="J156" s="17"/>
    </row>
    <row r="157" spans="1:22" ht="15">
      <c r="A157" s="3">
        <v>75</v>
      </c>
      <c r="B157" s="3">
        <v>300</v>
      </c>
      <c r="C157" s="3">
        <f t="shared" si="0"/>
        <v>4</v>
      </c>
      <c r="D157" s="3">
        <v>183</v>
      </c>
      <c r="E157" s="3" t="s">
        <v>270</v>
      </c>
      <c r="F157" s="3" t="s">
        <v>267</v>
      </c>
      <c r="G157" s="3" t="s">
        <v>268</v>
      </c>
      <c r="H157" s="4">
        <v>3.7372685185185182E-2</v>
      </c>
      <c r="I157" s="9" t="s">
        <v>271</v>
      </c>
      <c r="J157" s="2"/>
    </row>
    <row r="158" spans="1:22" ht="15">
      <c r="A158" s="3">
        <v>75</v>
      </c>
      <c r="B158" s="3">
        <v>300</v>
      </c>
      <c r="C158" s="3">
        <f t="shared" si="0"/>
        <v>4</v>
      </c>
      <c r="D158" s="3">
        <v>183</v>
      </c>
      <c r="E158" s="3" t="s">
        <v>272</v>
      </c>
      <c r="F158" s="3" t="s">
        <v>267</v>
      </c>
      <c r="G158" s="3" t="s">
        <v>268</v>
      </c>
      <c r="H158" s="4">
        <v>3.7418981481481484E-2</v>
      </c>
      <c r="I158" s="9" t="s">
        <v>273</v>
      </c>
      <c r="J158" s="2"/>
    </row>
    <row r="159" spans="1:22" ht="15">
      <c r="A159" s="3">
        <v>75</v>
      </c>
      <c r="B159" s="3">
        <v>300</v>
      </c>
      <c r="C159" s="3">
        <f t="shared" si="0"/>
        <v>4</v>
      </c>
      <c r="D159" s="3">
        <v>183</v>
      </c>
      <c r="E159" s="3" t="s">
        <v>274</v>
      </c>
      <c r="F159" s="3" t="s">
        <v>267</v>
      </c>
      <c r="G159" s="3" t="s">
        <v>268</v>
      </c>
      <c r="H159" s="4">
        <v>3.7418981481481484E-2</v>
      </c>
      <c r="I159" s="18" t="s">
        <v>275</v>
      </c>
      <c r="J159" s="1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" hidden="1">
      <c r="A160" s="3">
        <v>75</v>
      </c>
      <c r="B160" s="3">
        <v>225</v>
      </c>
      <c r="C160" s="3">
        <f t="shared" si="0"/>
        <v>3</v>
      </c>
      <c r="D160" s="3">
        <v>183</v>
      </c>
      <c r="E160" s="3" t="s">
        <v>9</v>
      </c>
      <c r="F160" s="3" t="s">
        <v>10</v>
      </c>
      <c r="G160" s="3" t="s">
        <v>11</v>
      </c>
      <c r="H160" s="4">
        <v>3.8900462962962963E-2</v>
      </c>
      <c r="I160" s="18" t="s">
        <v>12</v>
      </c>
      <c r="J160" s="1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" hidden="1">
      <c r="A161" s="3">
        <v>75</v>
      </c>
      <c r="B161" s="3">
        <v>225</v>
      </c>
      <c r="C161" s="3">
        <f t="shared" si="0"/>
        <v>3</v>
      </c>
      <c r="D161" s="3">
        <v>183</v>
      </c>
      <c r="E161" s="3" t="s">
        <v>13</v>
      </c>
      <c r="F161" s="3" t="s">
        <v>10</v>
      </c>
      <c r="G161" s="3" t="s">
        <v>14</v>
      </c>
      <c r="H161" s="4">
        <v>3.9189814814814816E-2</v>
      </c>
      <c r="I161" s="18" t="s">
        <v>15</v>
      </c>
      <c r="J161" s="1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" hidden="1">
      <c r="A162" s="3">
        <v>75</v>
      </c>
      <c r="B162" s="3">
        <v>225</v>
      </c>
      <c r="C162" s="3">
        <f t="shared" si="0"/>
        <v>3</v>
      </c>
      <c r="D162" s="3">
        <v>183</v>
      </c>
      <c r="E162" s="3" t="s">
        <v>19</v>
      </c>
      <c r="F162" s="3" t="s">
        <v>10</v>
      </c>
      <c r="G162" s="3" t="s">
        <v>17</v>
      </c>
      <c r="H162" s="4">
        <v>3.9699074074074074E-2</v>
      </c>
      <c r="I162" s="16" t="s">
        <v>276</v>
      </c>
      <c r="J162" s="17"/>
    </row>
    <row r="163" spans="1:22" ht="15" hidden="1">
      <c r="A163" s="3">
        <v>75</v>
      </c>
      <c r="B163" s="3">
        <v>225</v>
      </c>
      <c r="C163" s="3">
        <f t="shared" si="0"/>
        <v>3</v>
      </c>
      <c r="D163" s="3">
        <v>183</v>
      </c>
      <c r="E163" s="3" t="s">
        <v>16</v>
      </c>
      <c r="F163" s="3" t="s">
        <v>10</v>
      </c>
      <c r="G163" s="3" t="s">
        <v>17</v>
      </c>
      <c r="H163" s="4">
        <v>3.9837962962962964E-2</v>
      </c>
      <c r="I163" s="18" t="s">
        <v>18</v>
      </c>
      <c r="J163" s="1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" hidden="1">
      <c r="A164" s="3">
        <v>50</v>
      </c>
      <c r="B164" s="3">
        <v>150</v>
      </c>
      <c r="C164" s="3">
        <f t="shared" si="0"/>
        <v>3</v>
      </c>
      <c r="D164" s="3">
        <v>183</v>
      </c>
      <c r="E164" s="3" t="s">
        <v>19</v>
      </c>
      <c r="F164" s="3" t="s">
        <v>10</v>
      </c>
      <c r="G164" s="3" t="s">
        <v>17</v>
      </c>
      <c r="H164" s="4">
        <v>4.2719907407407408E-2</v>
      </c>
      <c r="I164" s="16" t="s">
        <v>277</v>
      </c>
      <c r="J164" s="17"/>
    </row>
    <row r="165" spans="1:22" ht="15" hidden="1">
      <c r="A165" s="3">
        <v>100</v>
      </c>
      <c r="B165" s="3">
        <v>200</v>
      </c>
      <c r="C165" s="3">
        <f t="shared" si="0"/>
        <v>2</v>
      </c>
      <c r="D165" s="3">
        <v>183</v>
      </c>
      <c r="E165" s="3" t="s">
        <v>19</v>
      </c>
      <c r="F165" s="3" t="s">
        <v>10</v>
      </c>
      <c r="G165" s="3" t="s">
        <v>17</v>
      </c>
      <c r="H165" s="4">
        <v>4.3969907407407409E-2</v>
      </c>
      <c r="I165" s="16" t="s">
        <v>278</v>
      </c>
      <c r="J165" s="17"/>
    </row>
    <row r="166" spans="1:22" ht="15" hidden="1">
      <c r="A166" s="3">
        <v>75</v>
      </c>
      <c r="B166" s="3">
        <v>150</v>
      </c>
      <c r="C166" s="3">
        <f t="shared" si="0"/>
        <v>2</v>
      </c>
      <c r="D166" s="3">
        <v>183</v>
      </c>
      <c r="E166" s="3" t="s">
        <v>9</v>
      </c>
      <c r="F166" s="3" t="s">
        <v>10</v>
      </c>
      <c r="G166" s="3" t="s">
        <v>11</v>
      </c>
      <c r="H166" s="4">
        <v>4.5358796296296293E-2</v>
      </c>
      <c r="I166" s="19" t="s">
        <v>12</v>
      </c>
      <c r="J166" s="1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" hidden="1">
      <c r="A167" s="3">
        <v>75</v>
      </c>
      <c r="B167" s="3">
        <v>150</v>
      </c>
      <c r="C167" s="3">
        <f t="shared" si="0"/>
        <v>2</v>
      </c>
      <c r="D167" s="3">
        <v>183</v>
      </c>
      <c r="E167" s="3" t="s">
        <v>9</v>
      </c>
      <c r="F167" s="3" t="s">
        <v>10</v>
      </c>
      <c r="G167" s="3" t="s">
        <v>11</v>
      </c>
      <c r="H167" s="4">
        <v>4.5381944444444447E-2</v>
      </c>
      <c r="I167" s="16" t="s">
        <v>279</v>
      </c>
      <c r="J167" s="17"/>
    </row>
    <row r="168" spans="1:22" ht="15" hidden="1">
      <c r="A168" s="3">
        <v>75</v>
      </c>
      <c r="B168" s="3">
        <v>150</v>
      </c>
      <c r="C168" s="3">
        <f t="shared" si="0"/>
        <v>2</v>
      </c>
      <c r="D168" s="3">
        <v>183</v>
      </c>
      <c r="E168" s="3" t="s">
        <v>73</v>
      </c>
      <c r="F168" s="3" t="s">
        <v>10</v>
      </c>
      <c r="G168" s="3" t="s">
        <v>73</v>
      </c>
      <c r="H168" s="4">
        <v>4.5428240740740741E-2</v>
      </c>
      <c r="I168" s="16" t="s">
        <v>280</v>
      </c>
      <c r="J168" s="17"/>
    </row>
    <row r="169" spans="1:22" ht="15" hidden="1">
      <c r="A169" s="3">
        <v>75</v>
      </c>
      <c r="B169" s="3">
        <v>150</v>
      </c>
      <c r="C169" s="3">
        <f t="shared" si="0"/>
        <v>2</v>
      </c>
      <c r="D169" s="3">
        <v>183</v>
      </c>
      <c r="E169" s="3" t="s">
        <v>13</v>
      </c>
      <c r="F169" s="3" t="s">
        <v>10</v>
      </c>
      <c r="G169" s="3" t="s">
        <v>14</v>
      </c>
      <c r="H169" s="4">
        <v>4.5682870370370374E-2</v>
      </c>
      <c r="I169" s="18" t="s">
        <v>15</v>
      </c>
      <c r="J169" s="1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" hidden="1">
      <c r="A170" s="3">
        <v>75</v>
      </c>
      <c r="B170" s="3">
        <v>150</v>
      </c>
      <c r="C170" s="3">
        <f t="shared" si="0"/>
        <v>2</v>
      </c>
      <c r="D170" s="3">
        <v>183</v>
      </c>
      <c r="E170" s="3" t="s">
        <v>19</v>
      </c>
      <c r="F170" s="3" t="s">
        <v>10</v>
      </c>
      <c r="G170" s="3" t="s">
        <v>17</v>
      </c>
      <c r="H170" s="4">
        <v>4.628472222222222E-2</v>
      </c>
      <c r="I170" s="16" t="s">
        <v>281</v>
      </c>
      <c r="J170" s="17"/>
    </row>
    <row r="171" spans="1:22" ht="15" hidden="1">
      <c r="A171" s="3">
        <v>75</v>
      </c>
      <c r="B171" s="3">
        <v>150</v>
      </c>
      <c r="C171" s="3">
        <f t="shared" si="0"/>
        <v>2</v>
      </c>
      <c r="D171" s="3">
        <v>183</v>
      </c>
      <c r="E171" s="3" t="s">
        <v>16</v>
      </c>
      <c r="F171" s="3" t="s">
        <v>10</v>
      </c>
      <c r="G171" s="3" t="s">
        <v>17</v>
      </c>
      <c r="H171" s="4">
        <v>4.6435185185185184E-2</v>
      </c>
      <c r="I171" s="18" t="s">
        <v>18</v>
      </c>
      <c r="J171" s="1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" hidden="1">
      <c r="A172" s="3">
        <v>50</v>
      </c>
      <c r="B172" s="3">
        <v>100</v>
      </c>
      <c r="C172" s="3">
        <f t="shared" si="0"/>
        <v>2</v>
      </c>
      <c r="D172" s="3">
        <v>183</v>
      </c>
      <c r="E172" s="3" t="s">
        <v>19</v>
      </c>
      <c r="F172" s="3" t="s">
        <v>10</v>
      </c>
      <c r="G172" s="3" t="s">
        <v>17</v>
      </c>
      <c r="H172" s="4">
        <v>4.9780092592592591E-2</v>
      </c>
      <c r="I172" s="16" t="s">
        <v>282</v>
      </c>
      <c r="J172" s="17"/>
    </row>
    <row r="173" spans="1:22" ht="15">
      <c r="A173" s="3">
        <v>75</v>
      </c>
      <c r="B173" s="3">
        <v>300</v>
      </c>
      <c r="C173" s="3">
        <f t="shared" si="0"/>
        <v>4</v>
      </c>
      <c r="D173" s="3">
        <v>183</v>
      </c>
      <c r="E173" s="3" t="s">
        <v>268</v>
      </c>
      <c r="F173" s="3" t="s">
        <v>267</v>
      </c>
      <c r="G173" s="3" t="s">
        <v>268</v>
      </c>
      <c r="H173" s="4">
        <v>3.7430555555555557E-2</v>
      </c>
      <c r="I173" s="16" t="s">
        <v>283</v>
      </c>
      <c r="J173" s="17"/>
    </row>
    <row r="174" spans="1:22" ht="15" hidden="1">
      <c r="A174" s="3">
        <v>75</v>
      </c>
      <c r="B174" s="3">
        <v>150</v>
      </c>
      <c r="C174" s="3">
        <f t="shared" si="0"/>
        <v>2</v>
      </c>
      <c r="D174" s="3">
        <v>183</v>
      </c>
      <c r="E174" s="3" t="s">
        <v>16</v>
      </c>
      <c r="F174" s="3" t="s">
        <v>10</v>
      </c>
      <c r="G174" s="3" t="s">
        <v>17</v>
      </c>
      <c r="H174" s="4">
        <v>4.6435185185185184E-2</v>
      </c>
      <c r="I174" s="18" t="s">
        <v>18</v>
      </c>
      <c r="J174" s="1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">
      <c r="A175" s="3">
        <v>75</v>
      </c>
      <c r="B175" s="3">
        <v>300</v>
      </c>
      <c r="C175" s="3">
        <f t="shared" si="0"/>
        <v>4</v>
      </c>
      <c r="D175" s="3">
        <v>183</v>
      </c>
      <c r="E175" s="3" t="s">
        <v>284</v>
      </c>
      <c r="F175" s="3" t="s">
        <v>285</v>
      </c>
      <c r="G175" s="3" t="s">
        <v>286</v>
      </c>
      <c r="H175" s="4">
        <v>3.8599537037037036E-2</v>
      </c>
      <c r="I175" s="9" t="s">
        <v>287</v>
      </c>
      <c r="J175" s="2"/>
      <c r="L175" s="10" t="s">
        <v>288</v>
      </c>
    </row>
    <row r="176" spans="1:22" ht="15">
      <c r="A176" s="3">
        <v>75</v>
      </c>
      <c r="B176" s="3">
        <v>300</v>
      </c>
      <c r="C176" s="3">
        <f t="shared" si="0"/>
        <v>4</v>
      </c>
      <c r="D176" s="3">
        <v>183</v>
      </c>
      <c r="E176" s="3" t="s">
        <v>289</v>
      </c>
      <c r="F176" s="3" t="s">
        <v>285</v>
      </c>
      <c r="G176" s="3" t="s">
        <v>286</v>
      </c>
      <c r="H176" s="4">
        <v>3.8599537037037036E-2</v>
      </c>
      <c r="I176" s="9" t="s">
        <v>290</v>
      </c>
      <c r="J176" s="2"/>
      <c r="L176" s="10" t="s">
        <v>288</v>
      </c>
    </row>
    <row r="177" spans="1:22" ht="15">
      <c r="A177" s="3">
        <v>75</v>
      </c>
      <c r="B177" s="3">
        <v>300</v>
      </c>
      <c r="C177" s="3">
        <f t="shared" si="0"/>
        <v>4</v>
      </c>
      <c r="D177" s="3">
        <v>183</v>
      </c>
      <c r="E177" s="3" t="s">
        <v>291</v>
      </c>
      <c r="F177" s="3" t="s">
        <v>285</v>
      </c>
      <c r="G177" s="3" t="s">
        <v>286</v>
      </c>
      <c r="H177" s="4">
        <v>3.861111111111111E-2</v>
      </c>
      <c r="I177" s="9" t="s">
        <v>292</v>
      </c>
      <c r="J177" s="2"/>
      <c r="L177" s="10" t="s">
        <v>288</v>
      </c>
    </row>
    <row r="178" spans="1:22" ht="15">
      <c r="A178" s="3">
        <v>75</v>
      </c>
      <c r="B178" s="3">
        <v>300</v>
      </c>
      <c r="C178" s="3">
        <f t="shared" si="0"/>
        <v>4</v>
      </c>
      <c r="D178" s="3">
        <v>183</v>
      </c>
      <c r="E178" s="3" t="s">
        <v>293</v>
      </c>
      <c r="F178" s="3" t="s">
        <v>285</v>
      </c>
      <c r="G178" s="3" t="s">
        <v>286</v>
      </c>
      <c r="H178" s="4">
        <v>3.8668981481481485E-2</v>
      </c>
      <c r="I178" s="20" t="s">
        <v>294</v>
      </c>
      <c r="J178" s="17"/>
    </row>
    <row r="179" spans="1:22" ht="15">
      <c r="A179" s="3">
        <v>75</v>
      </c>
      <c r="B179" s="3">
        <v>300</v>
      </c>
      <c r="C179" s="3">
        <f t="shared" si="0"/>
        <v>4</v>
      </c>
      <c r="D179" s="3">
        <v>183</v>
      </c>
      <c r="E179" s="3" t="s">
        <v>284</v>
      </c>
      <c r="F179" s="3" t="s">
        <v>285</v>
      </c>
      <c r="G179" s="3" t="s">
        <v>286</v>
      </c>
      <c r="H179" s="4">
        <v>3.8692129629629632E-2</v>
      </c>
      <c r="I179" s="8" t="s">
        <v>295</v>
      </c>
      <c r="J179" s="6"/>
      <c r="K179" s="7"/>
      <c r="L179" s="7" t="s">
        <v>262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">
      <c r="A180" s="3">
        <v>75</v>
      </c>
      <c r="B180" s="3">
        <v>300</v>
      </c>
      <c r="C180" s="3">
        <f t="shared" si="0"/>
        <v>4</v>
      </c>
      <c r="D180" s="3">
        <v>183</v>
      </c>
      <c r="E180" s="3" t="s">
        <v>286</v>
      </c>
      <c r="F180" s="3" t="s">
        <v>285</v>
      </c>
      <c r="G180" s="3" t="s">
        <v>286</v>
      </c>
      <c r="H180" s="4">
        <v>3.8692129629629632E-2</v>
      </c>
      <c r="I180" s="11" t="s">
        <v>296</v>
      </c>
      <c r="J180" s="2"/>
      <c r="L180" s="10" t="s">
        <v>288</v>
      </c>
    </row>
    <row r="181" spans="1:22" ht="15">
      <c r="A181" s="3">
        <v>75</v>
      </c>
      <c r="B181" s="3">
        <v>300</v>
      </c>
      <c r="C181" s="3">
        <f t="shared" si="0"/>
        <v>4</v>
      </c>
      <c r="D181" s="3">
        <v>183</v>
      </c>
      <c r="E181" s="3" t="s">
        <v>289</v>
      </c>
      <c r="F181" s="3" t="s">
        <v>285</v>
      </c>
      <c r="G181" s="3" t="s">
        <v>286</v>
      </c>
      <c r="H181" s="4">
        <v>3.8703703703703705E-2</v>
      </c>
      <c r="I181" s="16" t="s">
        <v>297</v>
      </c>
      <c r="J181" s="17"/>
      <c r="L181" s="10" t="s">
        <v>298</v>
      </c>
    </row>
    <row r="182" spans="1:22" ht="15">
      <c r="A182" s="3">
        <v>75</v>
      </c>
      <c r="B182" s="3">
        <v>300</v>
      </c>
      <c r="C182" s="3">
        <f t="shared" si="0"/>
        <v>4</v>
      </c>
      <c r="D182" s="3">
        <v>183</v>
      </c>
      <c r="E182" s="3" t="s">
        <v>291</v>
      </c>
      <c r="F182" s="3" t="s">
        <v>285</v>
      </c>
      <c r="G182" s="3" t="s">
        <v>286</v>
      </c>
      <c r="H182" s="4">
        <v>3.8715277777777779E-2</v>
      </c>
      <c r="I182" s="8" t="s">
        <v>299</v>
      </c>
      <c r="J182" s="6"/>
      <c r="K182" s="7"/>
      <c r="L182" s="7" t="s">
        <v>262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">
      <c r="A183" s="3">
        <v>75</v>
      </c>
      <c r="B183" s="3">
        <v>300</v>
      </c>
      <c r="C183" s="3">
        <f t="shared" si="0"/>
        <v>4</v>
      </c>
      <c r="D183" s="3">
        <v>183</v>
      </c>
      <c r="E183" s="3" t="s">
        <v>286</v>
      </c>
      <c r="F183" s="3" t="s">
        <v>285</v>
      </c>
      <c r="G183" s="3" t="s">
        <v>286</v>
      </c>
      <c r="H183" s="4">
        <v>3.8807870370370368E-2</v>
      </c>
      <c r="I183" s="8" t="s">
        <v>300</v>
      </c>
      <c r="J183" s="6"/>
      <c r="K183" s="7"/>
      <c r="L183" s="7" t="s">
        <v>262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">
      <c r="A184" s="3">
        <v>75</v>
      </c>
      <c r="B184" s="3">
        <v>300</v>
      </c>
      <c r="C184" s="3">
        <f t="shared" si="0"/>
        <v>4</v>
      </c>
      <c r="D184" s="3">
        <v>183</v>
      </c>
      <c r="E184" s="3" t="s">
        <v>16</v>
      </c>
      <c r="F184" s="3" t="s">
        <v>10</v>
      </c>
      <c r="G184" s="3" t="s">
        <v>17</v>
      </c>
      <c r="H184" s="4">
        <v>3.5821759259259262E-2</v>
      </c>
      <c r="I184" s="9" t="s">
        <v>301</v>
      </c>
      <c r="J184" s="2"/>
    </row>
    <row r="185" spans="1:22" ht="15">
      <c r="A185" s="3">
        <v>75</v>
      </c>
      <c r="B185" s="3">
        <v>300</v>
      </c>
      <c r="C185" s="3">
        <f t="shared" si="0"/>
        <v>4</v>
      </c>
      <c r="D185" s="3">
        <v>183</v>
      </c>
      <c r="E185" s="3" t="s">
        <v>19</v>
      </c>
      <c r="F185" s="3" t="s">
        <v>10</v>
      </c>
      <c r="G185" s="3" t="s">
        <v>302</v>
      </c>
      <c r="H185" s="4">
        <v>3.5763888888888887E-2</v>
      </c>
      <c r="I185" s="9" t="s">
        <v>303</v>
      </c>
      <c r="J185" s="6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">
      <c r="A186" s="3">
        <v>75</v>
      </c>
      <c r="B186" s="3">
        <v>300</v>
      </c>
      <c r="C186" s="3">
        <f t="shared" si="0"/>
        <v>4</v>
      </c>
      <c r="D186" s="3">
        <v>183</v>
      </c>
      <c r="E186" s="3" t="s">
        <v>16</v>
      </c>
      <c r="F186" s="3" t="s">
        <v>10</v>
      </c>
      <c r="G186" s="3" t="s">
        <v>17</v>
      </c>
      <c r="H186" s="4">
        <v>3.5833333333333335E-2</v>
      </c>
      <c r="I186" s="8" t="s">
        <v>18</v>
      </c>
      <c r="J186" s="1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">
      <c r="A187" s="3">
        <v>75</v>
      </c>
      <c r="B187" s="3">
        <v>300</v>
      </c>
      <c r="C187" s="3">
        <f t="shared" si="0"/>
        <v>4</v>
      </c>
      <c r="D187" s="3">
        <v>183</v>
      </c>
      <c r="E187" s="3" t="s">
        <v>19</v>
      </c>
      <c r="F187" s="3" t="s">
        <v>10</v>
      </c>
      <c r="G187" s="3" t="s">
        <v>304</v>
      </c>
      <c r="H187" s="4">
        <v>3.577546296296296E-2</v>
      </c>
      <c r="I187" s="9" t="s">
        <v>202</v>
      </c>
      <c r="J187" s="2"/>
    </row>
    <row r="188" spans="1:22" ht="15">
      <c r="A188" s="3">
        <v>75</v>
      </c>
      <c r="B188" s="3">
        <v>300</v>
      </c>
      <c r="C188" s="3">
        <f t="shared" si="0"/>
        <v>4</v>
      </c>
      <c r="D188" s="3">
        <v>183</v>
      </c>
      <c r="E188" s="3" t="s">
        <v>253</v>
      </c>
      <c r="F188" s="3" t="s">
        <v>10</v>
      </c>
      <c r="G188" s="3" t="s">
        <v>17</v>
      </c>
      <c r="H188" s="4">
        <v>3.5833333333333335E-2</v>
      </c>
      <c r="I188" s="9" t="s">
        <v>305</v>
      </c>
      <c r="J188" s="17"/>
    </row>
    <row r="189" spans="1:22" ht="15">
      <c r="A189" s="3">
        <v>75</v>
      </c>
      <c r="B189" s="3">
        <v>300</v>
      </c>
      <c r="C189" s="3">
        <f t="shared" si="0"/>
        <v>4</v>
      </c>
      <c r="D189" s="3">
        <v>183</v>
      </c>
      <c r="E189" s="3" t="s">
        <v>306</v>
      </c>
      <c r="F189" s="3" t="s">
        <v>10</v>
      </c>
      <c r="G189" s="3" t="s">
        <v>17</v>
      </c>
      <c r="H189" s="4">
        <v>3.5879629629629629E-2</v>
      </c>
      <c r="I189" s="9" t="s">
        <v>307</v>
      </c>
      <c r="J189" s="2"/>
    </row>
    <row r="190" spans="1:22" ht="15" hidden="1">
      <c r="A190" s="3">
        <v>100</v>
      </c>
      <c r="B190" s="3">
        <v>300</v>
      </c>
      <c r="C190" s="3">
        <f t="shared" si="0"/>
        <v>3</v>
      </c>
      <c r="D190" s="3">
        <v>183</v>
      </c>
      <c r="E190" s="3" t="s">
        <v>19</v>
      </c>
      <c r="F190" s="3" t="s">
        <v>10</v>
      </c>
      <c r="G190" s="3" t="s">
        <v>17</v>
      </c>
      <c r="H190" s="4">
        <v>3.7696759259259256E-2</v>
      </c>
      <c r="I190" s="9" t="s">
        <v>308</v>
      </c>
      <c r="J190" s="2"/>
    </row>
    <row r="191" spans="1:22" ht="15">
      <c r="A191" s="3">
        <v>75</v>
      </c>
      <c r="B191" s="3">
        <v>300</v>
      </c>
      <c r="C191" s="3">
        <f t="shared" si="0"/>
        <v>4</v>
      </c>
      <c r="D191" s="3">
        <v>183</v>
      </c>
      <c r="E191" s="3" t="s">
        <v>73</v>
      </c>
      <c r="F191" s="3" t="s">
        <v>10</v>
      </c>
      <c r="G191" s="3" t="s">
        <v>73</v>
      </c>
      <c r="H191" s="4">
        <v>3.502314814814815E-2</v>
      </c>
      <c r="I191" s="21" t="s">
        <v>309</v>
      </c>
      <c r="J191" s="22" t="s">
        <v>310</v>
      </c>
    </row>
  </sheetData>
  <autoFilter ref="A1:H191" xr:uid="{00000000-0009-0000-0000-000000000000}">
    <filterColumn colId="1">
      <filters>
        <filter val="375"/>
        <filter val="300"/>
      </filters>
    </filterColumn>
    <filterColumn colId="2">
      <filters>
        <filter val="2"/>
        <filter val="4"/>
      </filters>
    </filterColumn>
  </autoFilter>
  <customSheetViews>
    <customSheetView guid="{5B966157-D76D-4ACD-A64E-35B71110F4A8}" filter="1" showAutoFilter="1">
      <pageMargins left="0.7" right="0.7" top="0.75" bottom="0.75" header="0.3" footer="0.3"/>
      <autoFilter ref="A1:H157" xr:uid="{4B19BA41-BBEA-4659-BBEB-6BD10E2C263B}">
        <filterColumn colId="0">
          <filters>
            <filter val="75"/>
          </filters>
        </filterColumn>
        <filterColumn colId="3">
          <filters>
            <filter val="183"/>
          </filters>
        </filterColumn>
        <filterColumn colId="4">
          <filters>
            <filter val="BMC SLR01"/>
            <filter val="BMC Time Machine"/>
            <filter val="Bridgestone SR9s"/>
            <filter val="Cannondale CAAD12"/>
            <filter val="Cannondale EVO"/>
            <filter val="Cannondale SuperSix EVO"/>
            <filter val="Cannondale Synapse"/>
            <filter val="Cannondale SystemSix"/>
            <filter val="Canyon Aeroad 2021"/>
            <filter val="Canyon Grail"/>
            <filter val="Canyon Speedmax"/>
            <filter val="Canyon Speedmax CF SLX Disc"/>
            <filter val="Canyon Ultimate"/>
            <filter val="Cervelo Aspero"/>
            <filter val="Cervelo P5"/>
            <filter val="Cervelo P5x"/>
            <filter val="Cervelo R5"/>
            <filter val="Cervelo S3D"/>
            <filter val="Chapter2 Rere"/>
            <filter val="Chapter2 Tere"/>
            <filter val="Colnago V3RS"/>
            <filter val="Cube Aerium"/>
            <filter val="Cube Litening"/>
            <filter val="Diamondback Andean"/>
            <filter val="Factor One"/>
            <filter val="Felt AR"/>
            <filter val="Felt IA"/>
            <filter val="Focus Izalco Max 2020"/>
            <filter val="Giant Propel Advanced SL Disc"/>
            <filter val="Giant TCR Advanced SL"/>
            <filter val="Giant TCR Advanced SL Disc"/>
            <filter val="Liv Langma Advanced SL"/>
            <filter val="Parlee RZ7"/>
            <filter val="Pinarello Bolide"/>
            <filter val="Pinarello Bolide TT"/>
            <filter val="Pinarello Dogma 65.1"/>
            <filter val="Pinarello Dogma F"/>
            <filter val="Pinarello Dogma F10"/>
            <filter val="Pinarello Dogma F12"/>
            <filter val="Pinarello F8"/>
            <filter val="Ribble Endurance"/>
            <filter val="Ridley Helium"/>
            <filter val="Ridley Noah Fast Disc"/>
            <filter val="Scott Foil"/>
            <filter val="Scott Plasma"/>
            <filter val="Specialized Aethos"/>
            <filter val="Specialized Allez"/>
            <filter val="Specialized Allez Sprint"/>
            <filter val="Specialized Amira"/>
            <filter val="Specialized Amira S-Works"/>
            <filter val="Specialized Roubaix"/>
            <filter val="Specialized Roubaix S-Works"/>
            <filter val="Specialized Ruby"/>
            <filter val="Specialized Ruby S-Works"/>
            <filter val="Specialized Shiv"/>
            <filter val="Specialized Shiv Disc"/>
            <filter val="Specialized Shiv S-Works"/>
            <filter val="Specialized Tarmac"/>
            <filter val="Specialized Tarmac Pro"/>
            <filter val="Specialized Tarmac SL7"/>
            <filter val="Specialized Venge"/>
            <filter val="Specialized Venge S-Works"/>
            <filter val="Trek Emonda"/>
            <filter val="Trek Emonda SL"/>
            <filter val="Tron (Concept Z1)"/>
            <filter val="Ventum One"/>
            <filter val="Zwift Big Wheel"/>
            <filter val="Zwift Buffalo Fahrrad"/>
            <filter val="Zwift Carbon"/>
            <filter val="Zwift Safety"/>
            <filter val="Zwift TT"/>
          </filters>
        </filterColumn>
        <filterColumn colId="6">
          <filters>
            <filter val="32mm Carbon"/>
            <filter val="50mm Carbon"/>
            <filter val="Bontrager Aeolus5"/>
            <filter val="Campagnolo Bora Ultra 35"/>
            <filter val="Campagnolo Bora Ultra 50"/>
            <filter val="DT Swiss ARC 62"/>
            <filter val="ENVE 3.4"/>
            <filter val="ENVE 7.8"/>
            <filter val="ENVE SES 2.2"/>
            <filter val="ENVE SES 3.4"/>
            <filter val="ENVE SES 6.7"/>
            <filter val="ENVE SES 7.8"/>
            <filter val="ENVE SES 8.9"/>
            <filter val="Giant SLR 0"/>
            <filter val="Lightweight Meilenstein"/>
            <filter val="Mavic Comete Pro Carbon SL UST"/>
            <filter val="Mavic Cosmic Ultimate UST"/>
            <filter val="Roval Alpinist CLX"/>
            <filter val="Roval CLX64"/>
            <filter val="Roval Rapide CLX"/>
            <filter val="Shimano C40"/>
            <filter val="Shimano C60"/>
            <filter val="Standard"/>
            <filter val="Tron (Concept Z1)"/>
            <filter val="Zipp 353 NSW"/>
            <filter val="Zipp 454"/>
            <filter val="Zipp 808/Super9"/>
            <filter val="Zipp 858"/>
            <filter val="Zipp 858/Super9"/>
            <filter val="Zwift Big Wheel"/>
            <filter val="Zwift Gravel"/>
            <filter val="Zwift Safety"/>
          </filters>
        </filterColumn>
      </autoFilter>
    </customSheetView>
    <customSheetView guid="{76999AAD-A7A0-4C0B-8C86-CC12D092308D}" filter="1" showAutoFilter="1">
      <pageMargins left="0.7" right="0.7" top="0.75" bottom="0.75" header="0.3" footer="0.3"/>
      <autoFilter ref="A1:I116" xr:uid="{6532CE18-4C99-4D37-A92A-B9E29AFA5F5F}"/>
    </customSheetView>
  </customSheetViews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  <hyperlink ref="I22" r:id="rId21" xr:uid="{00000000-0004-0000-0000-000014000000}"/>
    <hyperlink ref="I23" r:id="rId22" xr:uid="{00000000-0004-0000-0000-000015000000}"/>
    <hyperlink ref="I24" r:id="rId23" xr:uid="{00000000-0004-0000-0000-000016000000}"/>
    <hyperlink ref="I25" r:id="rId24" xr:uid="{00000000-0004-0000-0000-000017000000}"/>
    <hyperlink ref="I26" r:id="rId25" xr:uid="{00000000-0004-0000-0000-000018000000}"/>
    <hyperlink ref="I27" r:id="rId26" xr:uid="{00000000-0004-0000-0000-000019000000}"/>
    <hyperlink ref="I28" r:id="rId27" xr:uid="{00000000-0004-0000-0000-00001A000000}"/>
    <hyperlink ref="I29" r:id="rId28" xr:uid="{00000000-0004-0000-0000-00001B000000}"/>
    <hyperlink ref="I30" r:id="rId29" xr:uid="{00000000-0004-0000-0000-00001C000000}"/>
    <hyperlink ref="I31" r:id="rId30" xr:uid="{00000000-0004-0000-0000-00001D000000}"/>
    <hyperlink ref="L31" r:id="rId31" xr:uid="{00000000-0004-0000-0000-00001E000000}"/>
    <hyperlink ref="I32" r:id="rId32" xr:uid="{00000000-0004-0000-0000-00001F000000}"/>
    <hyperlink ref="I33" r:id="rId33" xr:uid="{00000000-0004-0000-0000-000020000000}"/>
    <hyperlink ref="I34" r:id="rId34" xr:uid="{00000000-0004-0000-0000-000021000000}"/>
    <hyperlink ref="I35" r:id="rId35" xr:uid="{00000000-0004-0000-0000-000022000000}"/>
    <hyperlink ref="I36" r:id="rId36" xr:uid="{00000000-0004-0000-0000-000023000000}"/>
    <hyperlink ref="I38" r:id="rId37" xr:uid="{00000000-0004-0000-0000-000024000000}"/>
    <hyperlink ref="I39" r:id="rId38" xr:uid="{00000000-0004-0000-0000-000025000000}"/>
    <hyperlink ref="I40" r:id="rId39" xr:uid="{00000000-0004-0000-0000-000026000000}"/>
    <hyperlink ref="I41" r:id="rId40" xr:uid="{00000000-0004-0000-0000-000027000000}"/>
    <hyperlink ref="I43" r:id="rId41" xr:uid="{00000000-0004-0000-0000-000028000000}"/>
    <hyperlink ref="I44" r:id="rId42" xr:uid="{00000000-0004-0000-0000-000029000000}"/>
    <hyperlink ref="I46" r:id="rId43" xr:uid="{00000000-0004-0000-0000-00002A000000}"/>
    <hyperlink ref="I48" r:id="rId44" xr:uid="{00000000-0004-0000-0000-00002B000000}"/>
    <hyperlink ref="I49" r:id="rId45" xr:uid="{00000000-0004-0000-0000-00002C000000}"/>
    <hyperlink ref="I50" r:id="rId46" xr:uid="{00000000-0004-0000-0000-00002D000000}"/>
    <hyperlink ref="I52" r:id="rId47" xr:uid="{00000000-0004-0000-0000-00002E000000}"/>
    <hyperlink ref="I53" r:id="rId48" xr:uid="{00000000-0004-0000-0000-00002F000000}"/>
    <hyperlink ref="I55" r:id="rId49" xr:uid="{00000000-0004-0000-0000-000030000000}"/>
    <hyperlink ref="L55" r:id="rId50" xr:uid="{00000000-0004-0000-0000-000031000000}"/>
    <hyperlink ref="I58" r:id="rId51" xr:uid="{00000000-0004-0000-0000-000032000000}"/>
    <hyperlink ref="I59" r:id="rId52" xr:uid="{00000000-0004-0000-0000-000033000000}"/>
    <hyperlink ref="I60" r:id="rId53" xr:uid="{00000000-0004-0000-0000-000034000000}"/>
    <hyperlink ref="I61" r:id="rId54" xr:uid="{00000000-0004-0000-0000-000035000000}"/>
    <hyperlink ref="I63" r:id="rId55" xr:uid="{00000000-0004-0000-0000-000036000000}"/>
    <hyperlink ref="I64" r:id="rId56" xr:uid="{00000000-0004-0000-0000-000037000000}"/>
    <hyperlink ref="I65" r:id="rId57" xr:uid="{00000000-0004-0000-0000-000038000000}"/>
    <hyperlink ref="I68" r:id="rId58" xr:uid="{00000000-0004-0000-0000-000039000000}"/>
    <hyperlink ref="I70" r:id="rId59" xr:uid="{00000000-0004-0000-0000-00003A000000}"/>
    <hyperlink ref="I71" r:id="rId60" xr:uid="{00000000-0004-0000-0000-00003B000000}"/>
    <hyperlink ref="I72" r:id="rId61" xr:uid="{00000000-0004-0000-0000-00003C000000}"/>
    <hyperlink ref="I73" r:id="rId62" xr:uid="{00000000-0004-0000-0000-00003D000000}"/>
    <hyperlink ref="I75" r:id="rId63" xr:uid="{00000000-0004-0000-0000-00003E000000}"/>
    <hyperlink ref="I76" r:id="rId64" xr:uid="{00000000-0004-0000-0000-00003F000000}"/>
    <hyperlink ref="I77" r:id="rId65" xr:uid="{00000000-0004-0000-0000-000040000000}"/>
    <hyperlink ref="I78" r:id="rId66" xr:uid="{00000000-0004-0000-0000-000041000000}"/>
    <hyperlink ref="I79" r:id="rId67" xr:uid="{00000000-0004-0000-0000-000042000000}"/>
    <hyperlink ref="I80" r:id="rId68" xr:uid="{00000000-0004-0000-0000-000043000000}"/>
    <hyperlink ref="I82" r:id="rId69" xr:uid="{00000000-0004-0000-0000-000044000000}"/>
    <hyperlink ref="I83" r:id="rId70" xr:uid="{00000000-0004-0000-0000-000045000000}"/>
    <hyperlink ref="I85" r:id="rId71" xr:uid="{00000000-0004-0000-0000-000046000000}"/>
    <hyperlink ref="I87" r:id="rId72" xr:uid="{00000000-0004-0000-0000-000047000000}"/>
    <hyperlink ref="I88" r:id="rId73" xr:uid="{00000000-0004-0000-0000-000048000000}"/>
    <hyperlink ref="I89" r:id="rId74" xr:uid="{00000000-0004-0000-0000-000049000000}"/>
    <hyperlink ref="I90" r:id="rId75" xr:uid="{00000000-0004-0000-0000-00004A000000}"/>
    <hyperlink ref="I91" r:id="rId76" xr:uid="{00000000-0004-0000-0000-00004B000000}"/>
    <hyperlink ref="I92" r:id="rId77" xr:uid="{00000000-0004-0000-0000-00004C000000}"/>
    <hyperlink ref="I93" r:id="rId78" xr:uid="{00000000-0004-0000-0000-00004D000000}"/>
    <hyperlink ref="I94" r:id="rId79" xr:uid="{00000000-0004-0000-0000-00004E000000}"/>
    <hyperlink ref="I95" r:id="rId80" xr:uid="{00000000-0004-0000-0000-00004F000000}"/>
    <hyperlink ref="I96" r:id="rId81" xr:uid="{00000000-0004-0000-0000-000050000000}"/>
    <hyperlink ref="I97" r:id="rId82" xr:uid="{00000000-0004-0000-0000-000051000000}"/>
    <hyperlink ref="I98" r:id="rId83" xr:uid="{00000000-0004-0000-0000-000052000000}"/>
    <hyperlink ref="L98" r:id="rId84" xr:uid="{00000000-0004-0000-0000-000053000000}"/>
    <hyperlink ref="I99" r:id="rId85" xr:uid="{00000000-0004-0000-0000-000054000000}"/>
    <hyperlink ref="I100" r:id="rId86" xr:uid="{00000000-0004-0000-0000-000055000000}"/>
    <hyperlink ref="I101" r:id="rId87" xr:uid="{00000000-0004-0000-0000-000056000000}"/>
    <hyperlink ref="I102" r:id="rId88" xr:uid="{00000000-0004-0000-0000-000057000000}"/>
    <hyperlink ref="I103" r:id="rId89" xr:uid="{00000000-0004-0000-0000-000058000000}"/>
    <hyperlink ref="I104" r:id="rId90" xr:uid="{00000000-0004-0000-0000-000059000000}"/>
    <hyperlink ref="I105" r:id="rId91" xr:uid="{00000000-0004-0000-0000-00005A000000}"/>
    <hyperlink ref="I106" r:id="rId92" xr:uid="{00000000-0004-0000-0000-00005B000000}"/>
    <hyperlink ref="I107" r:id="rId93" xr:uid="{00000000-0004-0000-0000-00005C000000}"/>
    <hyperlink ref="I108" r:id="rId94" xr:uid="{00000000-0004-0000-0000-00005D000000}"/>
    <hyperlink ref="I109" r:id="rId95" xr:uid="{00000000-0004-0000-0000-00005E000000}"/>
    <hyperlink ref="I110" r:id="rId96" xr:uid="{00000000-0004-0000-0000-00005F000000}"/>
    <hyperlink ref="I111" r:id="rId97" xr:uid="{00000000-0004-0000-0000-000060000000}"/>
    <hyperlink ref="I112" r:id="rId98" xr:uid="{00000000-0004-0000-0000-000061000000}"/>
    <hyperlink ref="I113" r:id="rId99" xr:uid="{00000000-0004-0000-0000-000062000000}"/>
    <hyperlink ref="I114" r:id="rId100" xr:uid="{00000000-0004-0000-0000-000063000000}"/>
    <hyperlink ref="I115" r:id="rId101" xr:uid="{00000000-0004-0000-0000-000064000000}"/>
    <hyperlink ref="I116" r:id="rId102" xr:uid="{00000000-0004-0000-0000-000065000000}"/>
    <hyperlink ref="I117" r:id="rId103" xr:uid="{00000000-0004-0000-0000-000066000000}"/>
    <hyperlink ref="I118" r:id="rId104" xr:uid="{00000000-0004-0000-0000-000067000000}"/>
    <hyperlink ref="I119" r:id="rId105" xr:uid="{00000000-0004-0000-0000-000068000000}"/>
    <hyperlink ref="I120" r:id="rId106" xr:uid="{00000000-0004-0000-0000-000069000000}"/>
    <hyperlink ref="I121" r:id="rId107" xr:uid="{00000000-0004-0000-0000-00006A000000}"/>
    <hyperlink ref="I122" r:id="rId108" xr:uid="{00000000-0004-0000-0000-00006B000000}"/>
    <hyperlink ref="I123" r:id="rId109" xr:uid="{00000000-0004-0000-0000-00006C000000}"/>
    <hyperlink ref="I124" r:id="rId110" xr:uid="{00000000-0004-0000-0000-00006D000000}"/>
    <hyperlink ref="I125" r:id="rId111" xr:uid="{00000000-0004-0000-0000-00006E000000}"/>
    <hyperlink ref="I126" r:id="rId112" xr:uid="{00000000-0004-0000-0000-00006F000000}"/>
    <hyperlink ref="I127" r:id="rId113" xr:uid="{00000000-0004-0000-0000-000070000000}"/>
    <hyperlink ref="I128" r:id="rId114" xr:uid="{00000000-0004-0000-0000-000071000000}"/>
    <hyperlink ref="I129" r:id="rId115" xr:uid="{00000000-0004-0000-0000-000072000000}"/>
    <hyperlink ref="I130" r:id="rId116" xr:uid="{00000000-0004-0000-0000-000073000000}"/>
    <hyperlink ref="I131" r:id="rId117" xr:uid="{00000000-0004-0000-0000-000074000000}"/>
    <hyperlink ref="I132" r:id="rId118" xr:uid="{00000000-0004-0000-0000-000075000000}"/>
    <hyperlink ref="I133" r:id="rId119" xr:uid="{00000000-0004-0000-0000-000076000000}"/>
    <hyperlink ref="I134" r:id="rId120" xr:uid="{00000000-0004-0000-0000-000077000000}"/>
    <hyperlink ref="I135" r:id="rId121" xr:uid="{00000000-0004-0000-0000-000078000000}"/>
    <hyperlink ref="I136" r:id="rId122" xr:uid="{00000000-0004-0000-0000-000079000000}"/>
    <hyperlink ref="I137" r:id="rId123" xr:uid="{00000000-0004-0000-0000-00007A000000}"/>
    <hyperlink ref="I138" r:id="rId124" xr:uid="{00000000-0004-0000-0000-00007B000000}"/>
    <hyperlink ref="I139" r:id="rId125" xr:uid="{00000000-0004-0000-0000-00007C000000}"/>
    <hyperlink ref="I140" r:id="rId126" xr:uid="{00000000-0004-0000-0000-00007D000000}"/>
    <hyperlink ref="I141" r:id="rId127" xr:uid="{00000000-0004-0000-0000-00007E000000}"/>
    <hyperlink ref="I142" r:id="rId128" xr:uid="{00000000-0004-0000-0000-00007F000000}"/>
    <hyperlink ref="I143" r:id="rId129" xr:uid="{00000000-0004-0000-0000-000080000000}"/>
    <hyperlink ref="I144" r:id="rId130" xr:uid="{00000000-0004-0000-0000-000081000000}"/>
    <hyperlink ref="I145" r:id="rId131" xr:uid="{00000000-0004-0000-0000-000082000000}"/>
    <hyperlink ref="I146" r:id="rId132" xr:uid="{00000000-0004-0000-0000-000083000000}"/>
    <hyperlink ref="I147" r:id="rId133" xr:uid="{00000000-0004-0000-0000-000084000000}"/>
    <hyperlink ref="I148" r:id="rId134" xr:uid="{00000000-0004-0000-0000-000085000000}"/>
    <hyperlink ref="I149" r:id="rId135" xr:uid="{00000000-0004-0000-0000-000086000000}"/>
    <hyperlink ref="I150" r:id="rId136" xr:uid="{00000000-0004-0000-0000-000087000000}"/>
    <hyperlink ref="I151" r:id="rId137" xr:uid="{00000000-0004-0000-0000-000088000000}"/>
    <hyperlink ref="I152" r:id="rId138" xr:uid="{00000000-0004-0000-0000-000089000000}"/>
    <hyperlink ref="I153" r:id="rId139" xr:uid="{00000000-0004-0000-0000-00008A000000}"/>
    <hyperlink ref="I154" r:id="rId140" xr:uid="{00000000-0004-0000-0000-00008B000000}"/>
    <hyperlink ref="I155" r:id="rId141" xr:uid="{00000000-0004-0000-0000-00008C000000}"/>
    <hyperlink ref="I156" r:id="rId142" xr:uid="{00000000-0004-0000-0000-00008D000000}"/>
    <hyperlink ref="I157" r:id="rId143" xr:uid="{00000000-0004-0000-0000-00008E000000}"/>
    <hyperlink ref="I158" r:id="rId144" xr:uid="{00000000-0004-0000-0000-00008F000000}"/>
    <hyperlink ref="I159" r:id="rId145" xr:uid="{00000000-0004-0000-0000-000090000000}"/>
    <hyperlink ref="I160" r:id="rId146" xr:uid="{00000000-0004-0000-0000-000091000000}"/>
    <hyperlink ref="I161" r:id="rId147" xr:uid="{00000000-0004-0000-0000-000092000000}"/>
    <hyperlink ref="I162" r:id="rId148" xr:uid="{00000000-0004-0000-0000-000093000000}"/>
    <hyperlink ref="I163" r:id="rId149" xr:uid="{00000000-0004-0000-0000-000094000000}"/>
    <hyperlink ref="I164" r:id="rId150" xr:uid="{00000000-0004-0000-0000-000095000000}"/>
    <hyperlink ref="I165" r:id="rId151" xr:uid="{00000000-0004-0000-0000-000096000000}"/>
    <hyperlink ref="I166" r:id="rId152" xr:uid="{00000000-0004-0000-0000-000097000000}"/>
    <hyperlink ref="I167" r:id="rId153" xr:uid="{00000000-0004-0000-0000-000098000000}"/>
    <hyperlink ref="I168" r:id="rId154" xr:uid="{00000000-0004-0000-0000-000099000000}"/>
    <hyperlink ref="I169" r:id="rId155" xr:uid="{00000000-0004-0000-0000-00009A000000}"/>
    <hyperlink ref="I170" r:id="rId156" xr:uid="{00000000-0004-0000-0000-00009B000000}"/>
    <hyperlink ref="I171" r:id="rId157" xr:uid="{00000000-0004-0000-0000-00009C000000}"/>
    <hyperlink ref="I172" r:id="rId158" xr:uid="{00000000-0004-0000-0000-00009D000000}"/>
    <hyperlink ref="I173" r:id="rId159" xr:uid="{00000000-0004-0000-0000-00009E000000}"/>
    <hyperlink ref="I174" r:id="rId160" xr:uid="{00000000-0004-0000-0000-00009F000000}"/>
    <hyperlink ref="I175" r:id="rId161" xr:uid="{00000000-0004-0000-0000-0000A0000000}"/>
    <hyperlink ref="I176" r:id="rId162" xr:uid="{00000000-0004-0000-0000-0000A1000000}"/>
    <hyperlink ref="I177" r:id="rId163" xr:uid="{00000000-0004-0000-0000-0000A2000000}"/>
    <hyperlink ref="I178" r:id="rId164" xr:uid="{00000000-0004-0000-0000-0000A3000000}"/>
    <hyperlink ref="I179" r:id="rId165" xr:uid="{00000000-0004-0000-0000-0000A4000000}"/>
    <hyperlink ref="I180" r:id="rId166" xr:uid="{00000000-0004-0000-0000-0000A5000000}"/>
    <hyperlink ref="I181" r:id="rId167" xr:uid="{00000000-0004-0000-0000-0000A6000000}"/>
    <hyperlink ref="I182" r:id="rId168" xr:uid="{00000000-0004-0000-0000-0000A7000000}"/>
    <hyperlink ref="I183" r:id="rId169" xr:uid="{00000000-0004-0000-0000-0000A8000000}"/>
    <hyperlink ref="I184" r:id="rId170" xr:uid="{00000000-0004-0000-0000-0000A9000000}"/>
    <hyperlink ref="I185" r:id="rId171" xr:uid="{00000000-0004-0000-0000-0000AA000000}"/>
    <hyperlink ref="I186" r:id="rId172" xr:uid="{00000000-0004-0000-0000-0000AB000000}"/>
    <hyperlink ref="I187" r:id="rId173" xr:uid="{00000000-0004-0000-0000-0000AC000000}"/>
    <hyperlink ref="I188" r:id="rId174" xr:uid="{00000000-0004-0000-0000-0000AD000000}"/>
    <hyperlink ref="I189" r:id="rId175" xr:uid="{00000000-0004-0000-0000-0000AE000000}"/>
    <hyperlink ref="I190" r:id="rId176" xr:uid="{00000000-0004-0000-0000-0000AF000000}"/>
    <hyperlink ref="I191" r:id="rId177" xr:uid="{00000000-0004-0000-0000-0000B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8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  <col min="6" max="6" width="16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454</v>
      </c>
      <c r="H1" s="1"/>
      <c r="I1" s="1" t="s">
        <v>8</v>
      </c>
    </row>
    <row r="2" spans="1:9" ht="15.75" customHeight="1">
      <c r="A2" s="3">
        <v>75</v>
      </c>
      <c r="B2" s="3">
        <v>300</v>
      </c>
      <c r="C2" s="3">
        <f t="shared" ref="C2:C47" si="0">B2/A2</f>
        <v>4</v>
      </c>
      <c r="D2" s="3">
        <v>183</v>
      </c>
      <c r="E2" s="3" t="s">
        <v>286</v>
      </c>
      <c r="F2" s="3" t="s">
        <v>286</v>
      </c>
      <c r="G2" s="15">
        <v>9.571759259259259E-3</v>
      </c>
      <c r="H2" s="28" t="str">
        <f t="shared" ref="H2:H3" si="1">HYPERLINK("https://www.strava.com/activities/2783960184","Strava")</f>
        <v>Strava</v>
      </c>
      <c r="I2" s="10" t="s">
        <v>455</v>
      </c>
    </row>
    <row r="3" spans="1:9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73</v>
      </c>
      <c r="F3" s="3" t="s">
        <v>351</v>
      </c>
      <c r="G3" s="4">
        <v>1.0416666666666666E-2</v>
      </c>
      <c r="H3" s="28" t="str">
        <f t="shared" si="1"/>
        <v>Strava</v>
      </c>
      <c r="I3" s="10" t="s">
        <v>455</v>
      </c>
    </row>
    <row r="4" spans="1:9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 t="s">
        <v>19</v>
      </c>
      <c r="F4" s="3" t="s">
        <v>79</v>
      </c>
      <c r="G4" s="4">
        <v>1.0462962962962962E-2</v>
      </c>
      <c r="H4" s="28" t="str">
        <f>HYPERLINK("https://www.strava.com/activities/2836865749","Strava")</f>
        <v>Strava</v>
      </c>
      <c r="I4" s="10" t="s">
        <v>456</v>
      </c>
    </row>
    <row r="5" spans="1:9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3" t="s">
        <v>19</v>
      </c>
      <c r="F5" s="3" t="s">
        <v>79</v>
      </c>
      <c r="G5" s="4">
        <v>1.0474537037037037E-2</v>
      </c>
      <c r="H5" s="28" t="str">
        <f>HYPERLINK("https://www.strava.com/activities/2787080223","Strava")</f>
        <v>Strava</v>
      </c>
      <c r="I5" s="10" t="s">
        <v>455</v>
      </c>
    </row>
    <row r="6" spans="1:9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19</v>
      </c>
      <c r="F6" s="3" t="s">
        <v>106</v>
      </c>
      <c r="G6" s="4">
        <v>1.0474537037037037E-2</v>
      </c>
      <c r="H6" s="28" t="str">
        <f>HYPERLINK("https://www.strava.com/activities/2833498283","Strava")</f>
        <v>Strava</v>
      </c>
      <c r="I6" s="10" t="s">
        <v>457</v>
      </c>
    </row>
    <row r="7" spans="1:9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19</v>
      </c>
      <c r="F7" s="3" t="s">
        <v>65</v>
      </c>
      <c r="G7" s="4">
        <v>1.0474537037037037E-2</v>
      </c>
      <c r="H7" s="28" t="str">
        <f t="shared" ref="H7:H8" si="2">HYPERLINK("https://www.strava.com/activities/2836865749","Strava")</f>
        <v>Strava</v>
      </c>
      <c r="I7" s="10" t="s">
        <v>456</v>
      </c>
    </row>
    <row r="8" spans="1:9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 t="s">
        <v>19</v>
      </c>
      <c r="F8" s="3" t="s">
        <v>11</v>
      </c>
      <c r="G8" s="4">
        <v>1.0474537037037037E-2</v>
      </c>
      <c r="H8" s="28" t="str">
        <f t="shared" si="2"/>
        <v>Strava</v>
      </c>
      <c r="I8" s="10" t="s">
        <v>456</v>
      </c>
    </row>
    <row r="9" spans="1:9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3" t="s">
        <v>19</v>
      </c>
      <c r="F9" s="3" t="s">
        <v>108</v>
      </c>
      <c r="G9" s="4">
        <v>1.0486111111111111E-2</v>
      </c>
      <c r="H9" s="28" t="str">
        <f>HYPERLINK("https://www.strava.com/activities/2833498283","Strava")</f>
        <v>Strava</v>
      </c>
      <c r="I9" s="10" t="s">
        <v>457</v>
      </c>
    </row>
    <row r="10" spans="1:9" ht="15.75" customHeight="1">
      <c r="A10" s="3">
        <v>75</v>
      </c>
      <c r="B10" s="3">
        <v>300</v>
      </c>
      <c r="C10" s="3">
        <f t="shared" si="0"/>
        <v>4</v>
      </c>
      <c r="D10" s="3">
        <v>183</v>
      </c>
      <c r="E10" s="3" t="s">
        <v>19</v>
      </c>
      <c r="F10" s="3" t="s">
        <v>113</v>
      </c>
      <c r="G10" s="4">
        <v>1.0486111111111111E-2</v>
      </c>
      <c r="H10" s="28" t="str">
        <f t="shared" ref="H10:H11" si="3">HYPERLINK("https://www.strava.com/activities/2836865749","Strava")</f>
        <v>Strava</v>
      </c>
      <c r="I10" s="10" t="s">
        <v>456</v>
      </c>
    </row>
    <row r="11" spans="1:9" ht="15.75" customHeight="1">
      <c r="A11" s="3">
        <v>75</v>
      </c>
      <c r="B11" s="3">
        <v>300</v>
      </c>
      <c r="C11" s="3">
        <f t="shared" si="0"/>
        <v>4</v>
      </c>
      <c r="D11" s="3">
        <v>183</v>
      </c>
      <c r="E11" s="3" t="s">
        <v>19</v>
      </c>
      <c r="F11" s="3" t="s">
        <v>91</v>
      </c>
      <c r="G11" s="4">
        <v>1.0486111111111111E-2</v>
      </c>
      <c r="H11" s="28" t="str">
        <f t="shared" si="3"/>
        <v>Strava</v>
      </c>
      <c r="I11" s="10" t="s">
        <v>456</v>
      </c>
    </row>
    <row r="12" spans="1:9" ht="15.75" customHeight="1">
      <c r="A12" s="3">
        <v>75</v>
      </c>
      <c r="B12" s="3">
        <v>300</v>
      </c>
      <c r="C12" s="3">
        <f t="shared" si="0"/>
        <v>4</v>
      </c>
      <c r="D12" s="3">
        <v>183</v>
      </c>
      <c r="E12" s="3" t="s">
        <v>19</v>
      </c>
      <c r="F12" s="3" t="s">
        <v>129</v>
      </c>
      <c r="G12" s="4">
        <v>1.050925925925926E-2</v>
      </c>
      <c r="H12" s="28" t="str">
        <f>HYPERLINK("https://www.strava.com/activities/2787080223","Strava")</f>
        <v>Strava</v>
      </c>
      <c r="I12" s="10" t="s">
        <v>455</v>
      </c>
    </row>
    <row r="13" spans="1:9" ht="15.75" customHeight="1">
      <c r="A13" s="3">
        <v>75</v>
      </c>
      <c r="B13" s="3">
        <v>300</v>
      </c>
      <c r="C13" s="3">
        <f t="shared" si="0"/>
        <v>4</v>
      </c>
      <c r="D13" s="3">
        <v>183</v>
      </c>
      <c r="E13" s="3" t="s">
        <v>19</v>
      </c>
      <c r="F13" s="3" t="s">
        <v>458</v>
      </c>
      <c r="G13" s="4">
        <v>1.050925925925926E-2</v>
      </c>
      <c r="H13" s="28" t="str">
        <f t="shared" ref="H13:H15" si="4">HYPERLINK("https://www.strava.com/activities/2833498283","Strava")</f>
        <v>Strava</v>
      </c>
      <c r="I13" s="10" t="s">
        <v>457</v>
      </c>
    </row>
    <row r="14" spans="1:9" ht="15.75" customHeight="1">
      <c r="A14" s="3">
        <v>75</v>
      </c>
      <c r="B14" s="3">
        <v>300</v>
      </c>
      <c r="C14" s="3">
        <f t="shared" si="0"/>
        <v>4</v>
      </c>
      <c r="D14" s="3">
        <v>183</v>
      </c>
      <c r="E14" s="3" t="s">
        <v>19</v>
      </c>
      <c r="F14" s="3" t="s">
        <v>129</v>
      </c>
      <c r="G14" s="4">
        <v>1.050925925925926E-2</v>
      </c>
      <c r="H14" s="28" t="str">
        <f t="shared" si="4"/>
        <v>Strava</v>
      </c>
      <c r="I14" s="10" t="s">
        <v>457</v>
      </c>
    </row>
    <row r="15" spans="1:9" ht="15.75" customHeight="1">
      <c r="A15" s="3">
        <v>75</v>
      </c>
      <c r="B15" s="3">
        <v>300</v>
      </c>
      <c r="C15" s="3">
        <f t="shared" si="0"/>
        <v>4</v>
      </c>
      <c r="D15" s="3">
        <v>183</v>
      </c>
      <c r="E15" s="3" t="s">
        <v>19</v>
      </c>
      <c r="F15" s="3" t="s">
        <v>459</v>
      </c>
      <c r="G15" s="4">
        <v>1.050925925925926E-2</v>
      </c>
      <c r="H15" s="28" t="str">
        <f t="shared" si="4"/>
        <v>Strava</v>
      </c>
      <c r="I15" s="10" t="s">
        <v>457</v>
      </c>
    </row>
    <row r="16" spans="1:9" ht="15.75" customHeight="1">
      <c r="A16" s="3">
        <v>75</v>
      </c>
      <c r="B16" s="3">
        <v>300</v>
      </c>
      <c r="C16" s="3">
        <f t="shared" si="0"/>
        <v>4</v>
      </c>
      <c r="D16" s="3">
        <v>183</v>
      </c>
      <c r="E16" s="3" t="s">
        <v>19</v>
      </c>
      <c r="F16" s="3" t="s">
        <v>135</v>
      </c>
      <c r="G16" s="4">
        <v>1.050925925925926E-2</v>
      </c>
      <c r="H16" s="28" t="str">
        <f>HYPERLINK("https://www.strava.com/activities/2833781846","Strava")</f>
        <v>Strava</v>
      </c>
      <c r="I16" s="10" t="s">
        <v>457</v>
      </c>
    </row>
    <row r="17" spans="1:9" ht="15.75" customHeight="1">
      <c r="A17" s="3">
        <v>75</v>
      </c>
      <c r="B17" s="3">
        <v>300</v>
      </c>
      <c r="C17" s="3">
        <f t="shared" si="0"/>
        <v>4</v>
      </c>
      <c r="D17" s="3">
        <v>183</v>
      </c>
      <c r="E17" s="3" t="s">
        <v>19</v>
      </c>
      <c r="F17" s="3" t="s">
        <v>120</v>
      </c>
      <c r="G17" s="4">
        <v>1.050925925925926E-2</v>
      </c>
      <c r="H17" s="28" t="str">
        <f t="shared" ref="H17:H19" si="5">HYPERLINK("https://www.strava.com/activities/2834186552","Strava")</f>
        <v>Strava</v>
      </c>
      <c r="I17" s="10" t="s">
        <v>456</v>
      </c>
    </row>
    <row r="18" spans="1:9" ht="15.75" customHeight="1">
      <c r="A18" s="3">
        <v>75</v>
      </c>
      <c r="B18" s="3">
        <v>300</v>
      </c>
      <c r="C18" s="3">
        <f t="shared" si="0"/>
        <v>4</v>
      </c>
      <c r="D18" s="3">
        <v>183</v>
      </c>
      <c r="E18" s="3" t="s">
        <v>19</v>
      </c>
      <c r="F18" s="3" t="s">
        <v>118</v>
      </c>
      <c r="G18" s="4">
        <v>1.050925925925926E-2</v>
      </c>
      <c r="H18" s="28" t="str">
        <f t="shared" si="5"/>
        <v>Strava</v>
      </c>
      <c r="I18" s="10" t="s">
        <v>456</v>
      </c>
    </row>
    <row r="19" spans="1:9" ht="15.75" customHeight="1">
      <c r="A19" s="3">
        <v>75</v>
      </c>
      <c r="B19" s="3">
        <v>300</v>
      </c>
      <c r="C19" s="3">
        <f t="shared" si="0"/>
        <v>4</v>
      </c>
      <c r="D19" s="3">
        <v>183</v>
      </c>
      <c r="E19" s="3" t="s">
        <v>19</v>
      </c>
      <c r="F19" s="3" t="s">
        <v>133</v>
      </c>
      <c r="G19" s="4">
        <v>1.0520833333333333E-2</v>
      </c>
      <c r="H19" s="28" t="str">
        <f t="shared" si="5"/>
        <v>Strava</v>
      </c>
      <c r="I19" s="10" t="s">
        <v>456</v>
      </c>
    </row>
    <row r="20" spans="1:9" ht="15.75" customHeight="1">
      <c r="A20" s="3">
        <v>75</v>
      </c>
      <c r="B20" s="3">
        <v>300</v>
      </c>
      <c r="C20" s="3">
        <f t="shared" si="0"/>
        <v>4</v>
      </c>
      <c r="D20" s="3">
        <v>183</v>
      </c>
      <c r="E20" s="3" t="s">
        <v>19</v>
      </c>
      <c r="F20" s="3" t="s">
        <v>141</v>
      </c>
      <c r="G20" s="4">
        <v>1.0532407407407407E-2</v>
      </c>
      <c r="H20" s="28" t="str">
        <f>HYPERLINK("https://www.strava.com/activities/2833498283","Strava")</f>
        <v>Strava</v>
      </c>
      <c r="I20" s="10" t="s">
        <v>457</v>
      </c>
    </row>
    <row r="21" spans="1:9" ht="15.75" customHeight="1">
      <c r="A21" s="3">
        <v>75</v>
      </c>
      <c r="B21" s="3">
        <v>300</v>
      </c>
      <c r="C21" s="3">
        <f t="shared" si="0"/>
        <v>4</v>
      </c>
      <c r="D21" s="3">
        <v>183</v>
      </c>
      <c r="E21" s="3" t="s">
        <v>19</v>
      </c>
      <c r="F21" s="3" t="s">
        <v>131</v>
      </c>
      <c r="G21" s="4">
        <v>1.0532407407407407E-2</v>
      </c>
      <c r="H21" s="28" t="str">
        <f t="shared" ref="H21:H25" si="6">HYPERLINK("https://www.strava.com/activities/2834186552","Strava")</f>
        <v>Strava</v>
      </c>
      <c r="I21" s="10" t="s">
        <v>456</v>
      </c>
    </row>
    <row r="22" spans="1:9" ht="15.75" customHeight="1">
      <c r="A22" s="3">
        <v>75</v>
      </c>
      <c r="B22" s="3">
        <v>300</v>
      </c>
      <c r="C22" s="3">
        <f t="shared" si="0"/>
        <v>4</v>
      </c>
      <c r="D22" s="3">
        <v>183</v>
      </c>
      <c r="E22" s="3" t="s">
        <v>19</v>
      </c>
      <c r="F22" s="3" t="s">
        <v>139</v>
      </c>
      <c r="G22" s="4">
        <v>1.0532407407407407E-2</v>
      </c>
      <c r="H22" s="28" t="str">
        <f t="shared" si="6"/>
        <v>Strava</v>
      </c>
      <c r="I22" s="10" t="s">
        <v>456</v>
      </c>
    </row>
    <row r="23" spans="1:9" ht="15.75" customHeight="1">
      <c r="A23" s="3">
        <v>75</v>
      </c>
      <c r="B23" s="3">
        <v>300</v>
      </c>
      <c r="C23" s="3">
        <f t="shared" si="0"/>
        <v>4</v>
      </c>
      <c r="D23" s="3">
        <v>183</v>
      </c>
      <c r="E23" s="3" t="s">
        <v>19</v>
      </c>
      <c r="F23" s="3" t="s">
        <v>137</v>
      </c>
      <c r="G23" s="4">
        <v>1.0532407407407407E-2</v>
      </c>
      <c r="H23" s="28" t="str">
        <f t="shared" si="6"/>
        <v>Strava</v>
      </c>
      <c r="I23" s="10" t="s">
        <v>456</v>
      </c>
    </row>
    <row r="24" spans="1:9" ht="15.75" customHeight="1">
      <c r="A24" s="3">
        <v>75</v>
      </c>
      <c r="B24" s="3">
        <v>300</v>
      </c>
      <c r="C24" s="3">
        <f t="shared" si="0"/>
        <v>4</v>
      </c>
      <c r="D24" s="3">
        <v>183</v>
      </c>
      <c r="E24" s="3" t="s">
        <v>19</v>
      </c>
      <c r="F24" s="3" t="s">
        <v>460</v>
      </c>
      <c r="G24" s="4">
        <v>1.0543981481481482E-2</v>
      </c>
      <c r="H24" s="28" t="str">
        <f t="shared" si="6"/>
        <v>Strava</v>
      </c>
      <c r="I24" s="10" t="s">
        <v>456</v>
      </c>
    </row>
    <row r="25" spans="1:9" ht="15.75" customHeight="1">
      <c r="A25" s="3">
        <v>75</v>
      </c>
      <c r="B25" s="3">
        <v>300</v>
      </c>
      <c r="C25" s="3">
        <f t="shared" si="0"/>
        <v>4</v>
      </c>
      <c r="D25" s="3">
        <v>183</v>
      </c>
      <c r="E25" s="3" t="s">
        <v>19</v>
      </c>
      <c r="F25" s="3" t="s">
        <v>188</v>
      </c>
      <c r="G25" s="4">
        <v>1.0543981481481482E-2</v>
      </c>
      <c r="H25" s="28" t="str">
        <f t="shared" si="6"/>
        <v>Strava</v>
      </c>
      <c r="I25" s="10" t="s">
        <v>456</v>
      </c>
    </row>
    <row r="26" spans="1:9" ht="15.75" customHeight="1">
      <c r="A26" s="3">
        <v>75</v>
      </c>
      <c r="B26" s="3">
        <v>300</v>
      </c>
      <c r="C26" s="3">
        <f t="shared" si="0"/>
        <v>4</v>
      </c>
      <c r="D26" s="3">
        <v>183</v>
      </c>
      <c r="E26" s="3" t="s">
        <v>19</v>
      </c>
      <c r="F26" s="3" t="s">
        <v>461</v>
      </c>
      <c r="G26" s="4">
        <v>1.0555555555555556E-2</v>
      </c>
      <c r="H26" s="28" t="str">
        <f>HYPERLINK("https://www.strava.com/activities/2833498283","Strava")</f>
        <v>Strava</v>
      </c>
      <c r="I26" s="10" t="s">
        <v>457</v>
      </c>
    </row>
    <row r="27" spans="1:9" ht="15.75" customHeight="1">
      <c r="A27" s="3">
        <v>75</v>
      </c>
      <c r="B27" s="3">
        <v>300</v>
      </c>
      <c r="C27" s="3">
        <f t="shared" si="0"/>
        <v>4</v>
      </c>
      <c r="D27" s="3">
        <v>183</v>
      </c>
      <c r="E27" s="3" t="s">
        <v>19</v>
      </c>
      <c r="F27" s="3" t="s">
        <v>170</v>
      </c>
      <c r="G27" s="4">
        <v>1.0555555555555556E-2</v>
      </c>
      <c r="H27" s="28" t="str">
        <f>HYPERLINK("https://www.strava.com/activities/2834186552","Strava")</f>
        <v>Strava</v>
      </c>
      <c r="I27" s="10" t="s">
        <v>456</v>
      </c>
    </row>
    <row r="28" spans="1:9" ht="15.75" customHeight="1">
      <c r="A28" s="3">
        <v>75</v>
      </c>
      <c r="B28" s="3">
        <v>300</v>
      </c>
      <c r="C28" s="3">
        <f t="shared" si="0"/>
        <v>4</v>
      </c>
      <c r="D28" s="3">
        <v>183</v>
      </c>
      <c r="E28" s="3" t="s">
        <v>19</v>
      </c>
      <c r="F28" s="3" t="s">
        <v>462</v>
      </c>
      <c r="G28" s="4">
        <v>1.0555555555555556E-2</v>
      </c>
      <c r="H28" s="28" t="str">
        <f>HYPERLINK("https://www.strava.com/activities/2836865749","Strava")</f>
        <v>Strava</v>
      </c>
      <c r="I28" s="10" t="s">
        <v>456</v>
      </c>
    </row>
    <row r="29" spans="1:9" ht="15.75" customHeight="1">
      <c r="A29" s="3">
        <v>75</v>
      </c>
      <c r="B29" s="3">
        <v>300</v>
      </c>
      <c r="C29" s="3">
        <f t="shared" si="0"/>
        <v>4</v>
      </c>
      <c r="D29" s="3">
        <v>183</v>
      </c>
      <c r="E29" s="3" t="s">
        <v>19</v>
      </c>
      <c r="F29" s="3" t="s">
        <v>213</v>
      </c>
      <c r="G29" s="4">
        <v>1.0567129629629629E-2</v>
      </c>
      <c r="H29" s="28" t="str">
        <f>HYPERLINK("https://www.strava.com/activities/2833498283","Strava")</f>
        <v>Strava</v>
      </c>
      <c r="I29" s="10" t="s">
        <v>457</v>
      </c>
    </row>
    <row r="30" spans="1:9" ht="15.75" customHeight="1">
      <c r="A30" s="3">
        <v>75</v>
      </c>
      <c r="B30" s="3">
        <v>300</v>
      </c>
      <c r="C30" s="3">
        <f t="shared" si="0"/>
        <v>4</v>
      </c>
      <c r="D30" s="3">
        <v>183</v>
      </c>
      <c r="E30" s="3" t="s">
        <v>19</v>
      </c>
      <c r="F30" s="3" t="s">
        <v>463</v>
      </c>
      <c r="G30" s="4">
        <v>1.0578703703703703E-2</v>
      </c>
      <c r="H30" s="28" t="str">
        <f t="shared" ref="H30:H33" si="7">HYPERLINK("https://www.strava.com/activities/2836865749","Strava")</f>
        <v>Strava</v>
      </c>
      <c r="I30" s="10" t="s">
        <v>456</v>
      </c>
    </row>
    <row r="31" spans="1:9" ht="15.75" customHeight="1">
      <c r="A31" s="3">
        <v>75</v>
      </c>
      <c r="B31" s="3">
        <v>300</v>
      </c>
      <c r="C31" s="3">
        <f t="shared" si="0"/>
        <v>4</v>
      </c>
      <c r="D31" s="3">
        <v>183</v>
      </c>
      <c r="E31" s="3" t="s">
        <v>19</v>
      </c>
      <c r="F31" s="3" t="s">
        <v>253</v>
      </c>
      <c r="G31" s="4">
        <v>1.0578703703703703E-2</v>
      </c>
      <c r="H31" s="28" t="str">
        <f t="shared" si="7"/>
        <v>Strava</v>
      </c>
      <c r="I31" s="10" t="s">
        <v>456</v>
      </c>
    </row>
    <row r="32" spans="1:9" ht="15.75" customHeight="1">
      <c r="A32" s="3">
        <v>75</v>
      </c>
      <c r="B32" s="3">
        <v>300</v>
      </c>
      <c r="C32" s="3">
        <f t="shared" si="0"/>
        <v>4</v>
      </c>
      <c r="D32" s="3">
        <v>183</v>
      </c>
      <c r="E32" s="3" t="s">
        <v>19</v>
      </c>
      <c r="F32" s="3" t="s">
        <v>464</v>
      </c>
      <c r="G32" s="4">
        <v>1.0601851851851852E-2</v>
      </c>
      <c r="H32" s="28" t="str">
        <f t="shared" si="7"/>
        <v>Strava</v>
      </c>
      <c r="I32" s="10" t="s">
        <v>456</v>
      </c>
    </row>
    <row r="33" spans="1:9" ht="15.75" customHeight="1">
      <c r="A33" s="3">
        <v>75</v>
      </c>
      <c r="B33" s="3">
        <v>300</v>
      </c>
      <c r="C33" s="3">
        <f t="shared" si="0"/>
        <v>4</v>
      </c>
      <c r="D33" s="3">
        <v>183</v>
      </c>
      <c r="E33" s="3" t="s">
        <v>19</v>
      </c>
      <c r="F33" s="3" t="s">
        <v>302</v>
      </c>
      <c r="G33" s="4">
        <v>1.0601851851851852E-2</v>
      </c>
      <c r="H33" s="28" t="str">
        <f t="shared" si="7"/>
        <v>Strava</v>
      </c>
      <c r="I33" s="10" t="s">
        <v>456</v>
      </c>
    </row>
    <row r="34" spans="1:9" ht="15.75" customHeight="1">
      <c r="A34" s="3">
        <v>75</v>
      </c>
      <c r="B34" s="3">
        <v>300</v>
      </c>
      <c r="C34" s="3">
        <f t="shared" si="0"/>
        <v>4</v>
      </c>
      <c r="D34" s="3">
        <v>183</v>
      </c>
      <c r="E34" s="3" t="s">
        <v>270</v>
      </c>
      <c r="F34" s="3" t="s">
        <v>268</v>
      </c>
      <c r="G34" s="4">
        <v>9.8495370370370369E-3</v>
      </c>
      <c r="H34" s="21" t="s">
        <v>465</v>
      </c>
      <c r="I34" s="10" t="s">
        <v>466</v>
      </c>
    </row>
    <row r="35" spans="1:9" ht="15.75" customHeight="1">
      <c r="A35" s="3">
        <v>75</v>
      </c>
      <c r="B35" s="3">
        <v>300</v>
      </c>
      <c r="C35" s="3">
        <f t="shared" si="0"/>
        <v>4</v>
      </c>
      <c r="D35" s="3">
        <v>183</v>
      </c>
      <c r="E35" s="3" t="s">
        <v>268</v>
      </c>
      <c r="F35" s="3" t="s">
        <v>268</v>
      </c>
      <c r="G35" s="4">
        <v>9.8842592592592593E-3</v>
      </c>
      <c r="H35" s="21" t="s">
        <v>465</v>
      </c>
      <c r="I35" s="10" t="s">
        <v>466</v>
      </c>
    </row>
    <row r="36" spans="1:9" ht="15.75" customHeight="1">
      <c r="A36" s="3">
        <v>75</v>
      </c>
      <c r="B36" s="3">
        <v>300</v>
      </c>
      <c r="C36" s="3">
        <f t="shared" si="0"/>
        <v>4</v>
      </c>
      <c r="D36" s="3">
        <v>183</v>
      </c>
      <c r="E36" s="3" t="s">
        <v>272</v>
      </c>
      <c r="F36" s="3" t="s">
        <v>268</v>
      </c>
      <c r="G36" s="4">
        <v>9.8842592592592593E-3</v>
      </c>
      <c r="H36" s="21" t="s">
        <v>467</v>
      </c>
      <c r="I36" s="10" t="s">
        <v>466</v>
      </c>
    </row>
    <row r="37" spans="1:9" ht="15">
      <c r="A37" s="3">
        <v>75</v>
      </c>
      <c r="B37" s="3">
        <v>300</v>
      </c>
      <c r="C37" s="3">
        <f t="shared" si="0"/>
        <v>4</v>
      </c>
      <c r="D37" s="3">
        <v>183</v>
      </c>
      <c r="E37" s="3" t="s">
        <v>266</v>
      </c>
      <c r="F37" s="3" t="s">
        <v>268</v>
      </c>
      <c r="G37" s="4">
        <v>9.8611111111111104E-3</v>
      </c>
      <c r="H37" s="21" t="s">
        <v>467</v>
      </c>
      <c r="I37" s="10" t="s">
        <v>466</v>
      </c>
    </row>
    <row r="38" spans="1:9" ht="15">
      <c r="A38" s="3">
        <v>75</v>
      </c>
      <c r="B38" s="3">
        <v>300</v>
      </c>
      <c r="C38" s="3">
        <f t="shared" si="0"/>
        <v>4</v>
      </c>
      <c r="D38" s="3">
        <v>183</v>
      </c>
      <c r="E38" s="3" t="s">
        <v>284</v>
      </c>
      <c r="F38" s="3" t="s">
        <v>286</v>
      </c>
      <c r="G38" s="4">
        <v>9.6296296296296303E-3</v>
      </c>
      <c r="H38" s="21" t="s">
        <v>467</v>
      </c>
      <c r="I38" s="10" t="s">
        <v>466</v>
      </c>
    </row>
    <row r="39" spans="1:9" ht="15">
      <c r="A39" s="3">
        <v>75</v>
      </c>
      <c r="B39" s="3">
        <v>300</v>
      </c>
      <c r="C39" s="3">
        <f t="shared" si="0"/>
        <v>4</v>
      </c>
      <c r="D39" s="3">
        <v>183</v>
      </c>
      <c r="E39" s="3" t="s">
        <v>286</v>
      </c>
      <c r="F39" s="3" t="s">
        <v>286</v>
      </c>
      <c r="G39" s="4">
        <v>9.6527777777777775E-3</v>
      </c>
      <c r="H39" s="21" t="s">
        <v>467</v>
      </c>
      <c r="I39" s="10" t="s">
        <v>466</v>
      </c>
    </row>
    <row r="40" spans="1:9" ht="15">
      <c r="A40" s="3">
        <v>75</v>
      </c>
      <c r="B40" s="3">
        <v>300</v>
      </c>
      <c r="C40" s="3">
        <f t="shared" si="0"/>
        <v>4</v>
      </c>
      <c r="D40" s="3">
        <v>183</v>
      </c>
      <c r="E40" s="3" t="s">
        <v>291</v>
      </c>
      <c r="F40" s="3" t="s">
        <v>286</v>
      </c>
      <c r="G40" s="4">
        <v>9.6296296296296303E-3</v>
      </c>
      <c r="H40" s="21" t="s">
        <v>467</v>
      </c>
      <c r="I40" s="10" t="s">
        <v>466</v>
      </c>
    </row>
    <row r="41" spans="1:9" ht="15">
      <c r="A41" s="3">
        <v>75</v>
      </c>
      <c r="B41" s="3">
        <v>300</v>
      </c>
      <c r="C41" s="3">
        <f t="shared" si="0"/>
        <v>4</v>
      </c>
      <c r="D41" s="3">
        <v>183</v>
      </c>
      <c r="E41" s="3" t="s">
        <v>289</v>
      </c>
      <c r="F41" s="3" t="s">
        <v>286</v>
      </c>
      <c r="G41" s="4">
        <v>9.618055555555555E-3</v>
      </c>
      <c r="H41" s="21" t="s">
        <v>467</v>
      </c>
      <c r="I41" s="10" t="s">
        <v>466</v>
      </c>
    </row>
    <row r="42" spans="1:9" ht="15">
      <c r="A42" s="3">
        <v>75</v>
      </c>
      <c r="B42" s="3">
        <v>300</v>
      </c>
      <c r="C42" s="3">
        <f t="shared" si="0"/>
        <v>4</v>
      </c>
      <c r="D42" s="3">
        <v>183</v>
      </c>
      <c r="E42" s="3" t="s">
        <v>406</v>
      </c>
      <c r="F42" s="3" t="s">
        <v>286</v>
      </c>
      <c r="G42" s="4">
        <v>9.6643518518518511E-3</v>
      </c>
      <c r="H42" s="21" t="s">
        <v>468</v>
      </c>
    </row>
    <row r="43" spans="1:9" ht="15">
      <c r="A43" s="3">
        <v>75</v>
      </c>
      <c r="B43" s="3">
        <v>300</v>
      </c>
      <c r="C43" s="3">
        <f t="shared" si="0"/>
        <v>4</v>
      </c>
      <c r="D43" s="3">
        <v>183</v>
      </c>
      <c r="E43" s="3" t="s">
        <v>289</v>
      </c>
      <c r="F43" s="3" t="s">
        <v>286</v>
      </c>
      <c r="G43" s="4">
        <v>9.6759259259259264E-3</v>
      </c>
      <c r="H43" s="21" t="s">
        <v>469</v>
      </c>
      <c r="I43" s="10" t="s">
        <v>470</v>
      </c>
    </row>
    <row r="44" spans="1:9" ht="15">
      <c r="A44" s="3">
        <v>75</v>
      </c>
      <c r="B44" s="3">
        <v>300</v>
      </c>
      <c r="C44" s="3">
        <f t="shared" si="0"/>
        <v>4</v>
      </c>
      <c r="D44" s="3">
        <v>183</v>
      </c>
      <c r="E44" s="3" t="s">
        <v>291</v>
      </c>
      <c r="F44" s="3" t="s">
        <v>286</v>
      </c>
      <c r="G44" s="4">
        <v>9.6759259259259264E-3</v>
      </c>
      <c r="H44" s="21" t="s">
        <v>469</v>
      </c>
      <c r="I44" s="10" t="s">
        <v>470</v>
      </c>
    </row>
    <row r="45" spans="1:9" ht="15">
      <c r="A45" s="3">
        <v>75</v>
      </c>
      <c r="B45" s="3">
        <v>300</v>
      </c>
      <c r="C45" s="3">
        <f t="shared" si="0"/>
        <v>4</v>
      </c>
      <c r="D45" s="3">
        <v>183</v>
      </c>
      <c r="E45" s="3" t="s">
        <v>286</v>
      </c>
      <c r="F45" s="3" t="s">
        <v>286</v>
      </c>
      <c r="G45" s="4">
        <v>9.6990740740740735E-3</v>
      </c>
      <c r="H45" s="21" t="s">
        <v>471</v>
      </c>
      <c r="I45" s="10" t="s">
        <v>470</v>
      </c>
    </row>
    <row r="46" spans="1:9" ht="15">
      <c r="A46" s="3">
        <v>75</v>
      </c>
      <c r="B46" s="3">
        <v>300</v>
      </c>
      <c r="C46" s="3">
        <f t="shared" si="0"/>
        <v>4</v>
      </c>
      <c r="D46" s="3">
        <v>183</v>
      </c>
      <c r="E46" s="3" t="s">
        <v>284</v>
      </c>
      <c r="F46" s="3" t="s">
        <v>286</v>
      </c>
      <c r="G46" s="4">
        <v>9.6759259259259264E-3</v>
      </c>
      <c r="H46" s="21" t="s">
        <v>471</v>
      </c>
      <c r="I46" s="10" t="s">
        <v>470</v>
      </c>
    </row>
    <row r="47" spans="1:9" ht="15">
      <c r="A47" s="3">
        <v>75</v>
      </c>
      <c r="B47" s="3">
        <v>300</v>
      </c>
      <c r="C47" s="3">
        <f t="shared" si="0"/>
        <v>4</v>
      </c>
      <c r="D47" s="3">
        <v>183</v>
      </c>
      <c r="E47" s="3" t="s">
        <v>274</v>
      </c>
      <c r="F47" s="3" t="s">
        <v>268</v>
      </c>
      <c r="G47" s="4">
        <v>9.8958333333333329E-3</v>
      </c>
      <c r="H47" s="21" t="s">
        <v>398</v>
      </c>
    </row>
    <row r="48" spans="1:9" ht="15">
      <c r="A48" s="3"/>
      <c r="B48" s="3"/>
      <c r="C48" s="3"/>
      <c r="D48" s="3"/>
      <c r="E48" s="3"/>
      <c r="F48" s="3"/>
      <c r="G48" s="4"/>
      <c r="H48" s="48"/>
    </row>
    <row r="49" spans="1:8" ht="15">
      <c r="A49" s="3"/>
      <c r="B49" s="3"/>
      <c r="C49" s="3"/>
      <c r="D49" s="3"/>
      <c r="E49" s="3"/>
      <c r="F49" s="3"/>
      <c r="G49" s="4"/>
      <c r="H49" s="48"/>
    </row>
    <row r="50" spans="1:8" ht="15">
      <c r="A50" s="3"/>
      <c r="B50" s="3"/>
      <c r="C50" s="3"/>
      <c r="D50" s="3"/>
      <c r="E50" s="3"/>
      <c r="F50" s="3"/>
      <c r="G50" s="4"/>
      <c r="H50" s="48"/>
    </row>
    <row r="51" spans="1:8" ht="15">
      <c r="A51" s="3"/>
      <c r="B51" s="3"/>
      <c r="C51" s="3"/>
      <c r="D51" s="3"/>
      <c r="E51" s="3"/>
      <c r="F51" s="3"/>
      <c r="G51" s="4"/>
      <c r="H51" s="48"/>
    </row>
    <row r="52" spans="1:8" ht="15">
      <c r="A52" s="3"/>
      <c r="B52" s="3"/>
      <c r="C52" s="3"/>
      <c r="D52" s="3"/>
      <c r="E52" s="3"/>
      <c r="F52" s="3"/>
      <c r="G52" s="4"/>
      <c r="H52" s="48"/>
    </row>
    <row r="53" spans="1:8" ht="15">
      <c r="A53" s="3"/>
      <c r="B53" s="3"/>
      <c r="C53" s="3"/>
      <c r="D53" s="3"/>
      <c r="E53" s="3"/>
      <c r="F53" s="3"/>
      <c r="G53" s="4"/>
      <c r="H53" s="48"/>
    </row>
    <row r="54" spans="1:8" ht="15">
      <c r="A54" s="3"/>
      <c r="B54" s="3"/>
      <c r="C54" s="3"/>
      <c r="D54" s="3"/>
      <c r="E54" s="3"/>
      <c r="F54" s="3"/>
      <c r="G54" s="4"/>
      <c r="H54" s="48"/>
    </row>
    <row r="55" spans="1:8" ht="15">
      <c r="A55" s="3"/>
      <c r="B55" s="3"/>
      <c r="C55" s="3"/>
      <c r="D55" s="3"/>
      <c r="E55" s="3"/>
      <c r="F55" s="3"/>
      <c r="G55" s="4"/>
      <c r="H55" s="48"/>
    </row>
    <row r="56" spans="1:8" ht="15">
      <c r="A56" s="3"/>
      <c r="B56" s="3"/>
      <c r="C56" s="3"/>
      <c r="D56" s="3"/>
      <c r="E56" s="3"/>
      <c r="F56" s="3"/>
      <c r="G56" s="4"/>
      <c r="H56" s="48"/>
    </row>
    <row r="57" spans="1:8" ht="15">
      <c r="A57" s="3"/>
      <c r="B57" s="3"/>
      <c r="C57" s="3"/>
      <c r="D57" s="3"/>
      <c r="E57" s="3"/>
      <c r="F57" s="3"/>
      <c r="G57" s="4"/>
      <c r="H57" s="48"/>
    </row>
    <row r="58" spans="1:8" ht="15">
      <c r="A58" s="3"/>
      <c r="B58" s="3"/>
      <c r="C58" s="3"/>
      <c r="D58" s="3"/>
      <c r="E58" s="3"/>
      <c r="F58" s="3"/>
      <c r="G58" s="4"/>
      <c r="H58" s="48"/>
    </row>
    <row r="59" spans="1:8" ht="15">
      <c r="A59" s="3"/>
      <c r="B59" s="3"/>
      <c r="C59" s="3"/>
      <c r="D59" s="3"/>
      <c r="E59" s="3"/>
      <c r="F59" s="3"/>
      <c r="G59" s="4"/>
      <c r="H59" s="48"/>
    </row>
    <row r="60" spans="1:8" ht="15">
      <c r="A60" s="3"/>
      <c r="B60" s="3"/>
      <c r="C60" s="3"/>
      <c r="D60" s="3"/>
      <c r="E60" s="3"/>
      <c r="F60" s="3"/>
      <c r="G60" s="4"/>
      <c r="H60" s="48"/>
    </row>
    <row r="61" spans="1:8" ht="15">
      <c r="A61" s="3"/>
      <c r="B61" s="3"/>
      <c r="C61" s="3"/>
      <c r="D61" s="3"/>
      <c r="E61" s="3"/>
      <c r="F61" s="3"/>
      <c r="G61" s="4"/>
      <c r="H61" s="48"/>
    </row>
    <row r="62" spans="1:8" ht="15">
      <c r="A62" s="3"/>
      <c r="B62" s="3"/>
      <c r="C62" s="3"/>
      <c r="D62" s="3"/>
      <c r="E62" s="3"/>
      <c r="F62" s="3"/>
      <c r="G62" s="4"/>
      <c r="H62" s="48"/>
    </row>
    <row r="63" spans="1:8" ht="15">
      <c r="A63" s="3"/>
      <c r="B63" s="3"/>
      <c r="C63" s="3"/>
      <c r="D63" s="3"/>
      <c r="E63" s="3"/>
      <c r="F63" s="3"/>
      <c r="G63" s="4"/>
      <c r="H63" s="48"/>
    </row>
    <row r="64" spans="1:8" ht="15">
      <c r="A64" s="3"/>
      <c r="B64" s="3"/>
      <c r="C64" s="3"/>
      <c r="D64" s="3"/>
      <c r="E64" s="3"/>
      <c r="F64" s="3"/>
      <c r="G64" s="4"/>
      <c r="H64" s="48"/>
    </row>
    <row r="65" spans="1:8" ht="15">
      <c r="A65" s="3"/>
      <c r="B65" s="3"/>
      <c r="C65" s="3"/>
      <c r="D65" s="3"/>
      <c r="E65" s="3"/>
      <c r="F65" s="3"/>
      <c r="G65" s="4"/>
      <c r="H65" s="48"/>
    </row>
    <row r="66" spans="1:8" ht="15">
      <c r="A66" s="3"/>
      <c r="B66" s="3"/>
      <c r="C66" s="3"/>
      <c r="D66" s="3"/>
      <c r="E66" s="3"/>
      <c r="F66" s="3"/>
      <c r="G66" s="4"/>
      <c r="H66" s="48"/>
    </row>
    <row r="67" spans="1:8" ht="15">
      <c r="A67" s="3"/>
      <c r="B67" s="3"/>
      <c r="C67" s="3"/>
      <c r="D67" s="3"/>
      <c r="E67" s="3"/>
      <c r="F67" s="3"/>
      <c r="G67" s="4"/>
      <c r="H67" s="48"/>
    </row>
    <row r="68" spans="1:8" ht="15">
      <c r="A68" s="3"/>
      <c r="B68" s="3"/>
      <c r="C68" s="3"/>
      <c r="D68" s="3"/>
      <c r="E68" s="3"/>
      <c r="F68" s="3"/>
      <c r="G68" s="4"/>
      <c r="H68" s="48"/>
    </row>
    <row r="69" spans="1:8" ht="15">
      <c r="E69" s="3"/>
    </row>
    <row r="70" spans="1:8" ht="15">
      <c r="E70" s="3"/>
    </row>
    <row r="71" spans="1:8" ht="15">
      <c r="E71" s="3"/>
    </row>
    <row r="73" spans="1:8" ht="15">
      <c r="E73" s="3"/>
    </row>
    <row r="74" spans="1:8" ht="15">
      <c r="E74" s="3"/>
    </row>
    <row r="75" spans="1:8" ht="15">
      <c r="E75" s="3"/>
    </row>
    <row r="76" spans="1:8" ht="15">
      <c r="A76" s="3"/>
      <c r="B76" s="3"/>
      <c r="C76" s="3"/>
      <c r="D76" s="3"/>
      <c r="E76" s="3"/>
      <c r="F76" s="3"/>
      <c r="G76" s="4"/>
      <c r="H76" s="48"/>
    </row>
    <row r="77" spans="1:8" ht="15">
      <c r="A77" s="3"/>
      <c r="B77" s="3"/>
      <c r="C77" s="3"/>
      <c r="D77" s="3"/>
      <c r="E77" s="3"/>
      <c r="F77" s="3"/>
      <c r="G77" s="4"/>
      <c r="H77" s="48"/>
    </row>
    <row r="78" spans="1:8" ht="15">
      <c r="A78" s="3"/>
      <c r="B78" s="3"/>
      <c r="C78" s="3"/>
      <c r="D78" s="3"/>
      <c r="E78" s="3"/>
      <c r="F78" s="3"/>
      <c r="G78" s="4"/>
      <c r="H78" s="48"/>
    </row>
    <row r="79" spans="1:8" ht="15">
      <c r="A79" s="3"/>
      <c r="B79" s="3"/>
      <c r="C79" s="3"/>
      <c r="D79" s="3"/>
      <c r="E79" s="3"/>
      <c r="F79" s="3"/>
      <c r="G79" s="4"/>
      <c r="H79" s="48"/>
    </row>
    <row r="80" spans="1:8" ht="15">
      <c r="A80" s="3"/>
      <c r="B80" s="3"/>
      <c r="C80" s="3"/>
      <c r="D80" s="3"/>
      <c r="E80" s="3"/>
      <c r="F80" s="3"/>
      <c r="G80" s="4"/>
      <c r="H80" s="48"/>
    </row>
    <row r="81" spans="1:8" ht="15">
      <c r="A81" s="3"/>
      <c r="B81" s="3"/>
      <c r="C81" s="3"/>
      <c r="D81" s="3"/>
      <c r="E81" s="3"/>
      <c r="F81" s="3"/>
      <c r="G81" s="4"/>
      <c r="H81" s="48"/>
    </row>
    <row r="82" spans="1:8" ht="15">
      <c r="A82" s="3"/>
      <c r="B82" s="3"/>
      <c r="C82" s="3"/>
      <c r="D82" s="3"/>
      <c r="E82" s="3"/>
      <c r="F82" s="3"/>
      <c r="G82" s="4"/>
      <c r="H82" s="48"/>
    </row>
    <row r="83" spans="1:8" ht="15">
      <c r="A83" s="3"/>
      <c r="B83" s="3"/>
      <c r="C83" s="3"/>
      <c r="D83" s="3"/>
      <c r="E83" s="3"/>
      <c r="F83" s="3"/>
      <c r="G83" s="4"/>
      <c r="H83" s="48"/>
    </row>
    <row r="84" spans="1:8" ht="15">
      <c r="A84" s="3"/>
      <c r="B84" s="3"/>
      <c r="C84" s="3"/>
      <c r="D84" s="3"/>
      <c r="E84" s="3"/>
      <c r="F84" s="3"/>
      <c r="G84" s="4"/>
      <c r="H84" s="48"/>
    </row>
    <row r="85" spans="1:8" ht="15">
      <c r="A85" s="3"/>
      <c r="B85" s="3"/>
      <c r="C85" s="3"/>
      <c r="D85" s="3"/>
      <c r="E85" s="3"/>
      <c r="F85" s="3"/>
      <c r="G85" s="4"/>
      <c r="H85" s="48"/>
    </row>
    <row r="86" spans="1:8" ht="15">
      <c r="A86" s="3"/>
      <c r="B86" s="3"/>
      <c r="C86" s="3"/>
      <c r="D86" s="3"/>
      <c r="E86" s="3"/>
      <c r="F86" s="3"/>
      <c r="G86" s="4"/>
      <c r="H86" s="48"/>
    </row>
  </sheetData>
  <autoFilter ref="A1:I47" xr:uid="{00000000-0009-0000-0000-000009000000}"/>
  <customSheetViews>
    <customSheetView guid="{5B966157-D76D-4ACD-A64E-35B71110F4A8}" filter="1" showAutoFilter="1">
      <pageMargins left="0.7" right="0.7" top="0.75" bottom="0.75" header="0.3" footer="0.3"/>
      <autoFilter ref="A1:H86" xr:uid="{BCA9BBFC-2C67-40A8-AA4A-43299B1DFD9C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Canyon Grail"/>
            <filter val="Canyon Inflite"/>
            <filter val="Canyon Lux"/>
            <filter val="Cervelo Aspero"/>
            <filter val="Lauf True Grit"/>
            <filter val="Scott Spark RC"/>
            <filter val="Specialized Epic S-Works"/>
            <filter val="Trek Supercaliber"/>
            <filter val="Tron (Concept Z1)"/>
            <filter val="Zwift Gravel"/>
            <filter val="Zwift Mountain"/>
          </filters>
        </filterColumn>
        <filterColumn colId="5">
          <filters blank="1">
            <filter val="Bontrager Aeolus5"/>
            <filter val="Bora Ultra 35"/>
            <filter val="Bora Ultra 50"/>
            <filter val="ENVE SES 2.2"/>
            <filter val="ENVE SES 3.4"/>
            <filter val="ENVE SES 6,7"/>
            <filter val="ENVE SES 7.8"/>
            <filter val="ENVE SES 8.9"/>
            <filter val="Giant SLR 0"/>
            <filter val="Lightweight Meilenstein"/>
            <filter val="Mavic Comete Pro Carbon SL UST"/>
            <filter val="Mavic Ultimate UST"/>
            <filter val="Roval CLX64"/>
            <filter val="Shimano C40"/>
            <filter val="Shimano C60"/>
            <filter val="Tron"/>
            <filter val="Zipp 454"/>
            <filter val="Zipp 808/Super9"/>
            <filter val="Zipp 858"/>
            <filter val="Zipp 858/Super9"/>
            <filter val="Zwift 32mm"/>
            <filter val="Zwift 50mm"/>
            <filter val="Zwift Buffalo Fahrhad"/>
            <filter val="Zwift Classic"/>
            <filter val="Zwift Gravel"/>
            <filter val="Zwift Mountain"/>
            <filter val="Zwift Safety"/>
          </filters>
        </filterColumn>
      </autoFilter>
    </customSheetView>
  </customSheetViews>
  <hyperlinks>
    <hyperlink ref="H34" r:id="rId1" xr:uid="{00000000-0004-0000-0900-000000000000}"/>
    <hyperlink ref="H35" r:id="rId2" xr:uid="{00000000-0004-0000-0900-000001000000}"/>
    <hyperlink ref="H36" r:id="rId3" xr:uid="{00000000-0004-0000-0900-000002000000}"/>
    <hyperlink ref="H37" r:id="rId4" xr:uid="{00000000-0004-0000-0900-000003000000}"/>
    <hyperlink ref="H38" r:id="rId5" xr:uid="{00000000-0004-0000-0900-000004000000}"/>
    <hyperlink ref="H39" r:id="rId6" xr:uid="{00000000-0004-0000-0900-000005000000}"/>
    <hyperlink ref="H40" r:id="rId7" xr:uid="{00000000-0004-0000-0900-000006000000}"/>
    <hyperlink ref="H41" r:id="rId8" xr:uid="{00000000-0004-0000-0900-000007000000}"/>
    <hyperlink ref="H42" r:id="rId9" xr:uid="{00000000-0004-0000-0900-000008000000}"/>
    <hyperlink ref="H43" r:id="rId10" xr:uid="{00000000-0004-0000-0900-000009000000}"/>
    <hyperlink ref="H44" r:id="rId11" xr:uid="{00000000-0004-0000-0900-00000A000000}"/>
    <hyperlink ref="H45" r:id="rId12" xr:uid="{00000000-0004-0000-0900-00000B000000}"/>
    <hyperlink ref="H46" r:id="rId13" xr:uid="{00000000-0004-0000-0900-00000C000000}"/>
    <hyperlink ref="H47" r:id="rId14" xr:uid="{00000000-0004-0000-0900-00000D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outlinePr summaryBelow="0" summaryRight="0"/>
  </sheetPr>
  <dimension ref="A1:V99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7.85546875" customWidth="1"/>
    <col min="5" max="5" width="25.5703125" customWidth="1"/>
    <col min="6" max="6" width="16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472</v>
      </c>
      <c r="H1" s="1" t="s">
        <v>430</v>
      </c>
      <c r="I1" s="1" t="s">
        <v>473</v>
      </c>
      <c r="J1" s="1" t="s">
        <v>430</v>
      </c>
      <c r="K1" s="1" t="s">
        <v>8</v>
      </c>
    </row>
    <row r="2" spans="1:11" ht="15">
      <c r="A2" s="3">
        <v>75</v>
      </c>
      <c r="B2" s="3">
        <v>300</v>
      </c>
      <c r="C2" s="3">
        <f t="shared" ref="C2:C65" si="0">B2/A2</f>
        <v>4</v>
      </c>
      <c r="D2" s="3">
        <v>183</v>
      </c>
      <c r="E2" s="49" t="s">
        <v>26</v>
      </c>
      <c r="F2" s="3" t="s">
        <v>17</v>
      </c>
      <c r="G2" s="4">
        <v>9.7106481481481488E-3</v>
      </c>
      <c r="H2" s="36">
        <f t="shared" ref="H2:H65" si="1">1-(PERCENTRANK(G:G,G2,4))</f>
        <v>1</v>
      </c>
      <c r="I2" s="4">
        <v>9.1898148148148156E-3</v>
      </c>
      <c r="J2" s="36">
        <f t="shared" ref="J2:J65" si="2">1-(PERCENTRANK(I:I,I2,4))</f>
        <v>1</v>
      </c>
      <c r="K2" s="21" t="s">
        <v>474</v>
      </c>
    </row>
    <row r="3" spans="1:11" ht="15">
      <c r="A3" s="3">
        <v>75</v>
      </c>
      <c r="B3" s="3">
        <v>300</v>
      </c>
      <c r="C3" s="3">
        <f t="shared" si="0"/>
        <v>4</v>
      </c>
      <c r="D3" s="3">
        <v>183</v>
      </c>
      <c r="E3" s="49" t="s">
        <v>30</v>
      </c>
      <c r="F3" s="3" t="s">
        <v>17</v>
      </c>
      <c r="G3" s="4">
        <v>9.7106481481481488E-3</v>
      </c>
      <c r="H3" s="36">
        <f t="shared" si="1"/>
        <v>1</v>
      </c>
      <c r="I3" s="4">
        <v>9.2013888888888892E-3</v>
      </c>
      <c r="J3" s="36">
        <f t="shared" si="2"/>
        <v>0.96830000000000005</v>
      </c>
      <c r="K3" s="21" t="s">
        <v>475</v>
      </c>
    </row>
    <row r="4" spans="1:11" ht="15">
      <c r="A4" s="3">
        <v>75</v>
      </c>
      <c r="B4" s="3">
        <v>300</v>
      </c>
      <c r="C4" s="3">
        <f t="shared" si="0"/>
        <v>4</v>
      </c>
      <c r="D4" s="3">
        <v>183</v>
      </c>
      <c r="E4" s="49" t="s">
        <v>28</v>
      </c>
      <c r="F4" s="3" t="s">
        <v>17</v>
      </c>
      <c r="G4" s="4">
        <v>9.7222222222222224E-3</v>
      </c>
      <c r="H4" s="36">
        <f t="shared" si="1"/>
        <v>0.96830000000000005</v>
      </c>
      <c r="I4" s="4">
        <v>9.1898148148148156E-3</v>
      </c>
      <c r="J4" s="36">
        <f t="shared" si="2"/>
        <v>1</v>
      </c>
      <c r="K4" s="21" t="s">
        <v>476</v>
      </c>
    </row>
    <row r="5" spans="1:11" ht="15">
      <c r="A5" s="3">
        <v>75</v>
      </c>
      <c r="B5" s="3">
        <v>300</v>
      </c>
      <c r="C5" s="3">
        <f t="shared" si="0"/>
        <v>4</v>
      </c>
      <c r="D5" s="3">
        <v>183</v>
      </c>
      <c r="E5" s="49" t="s">
        <v>32</v>
      </c>
      <c r="F5" s="3" t="s">
        <v>17</v>
      </c>
      <c r="G5" s="4">
        <v>9.7337962962962959E-3</v>
      </c>
      <c r="H5" s="36">
        <f t="shared" si="1"/>
        <v>0.95240000000000002</v>
      </c>
      <c r="I5" s="4">
        <v>9.2013888888888892E-3</v>
      </c>
      <c r="J5" s="36">
        <f t="shared" si="2"/>
        <v>0.96830000000000005</v>
      </c>
      <c r="K5" s="21" t="s">
        <v>477</v>
      </c>
    </row>
    <row r="6" spans="1:11" ht="15" hidden="1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192</v>
      </c>
      <c r="F6" s="3" t="s">
        <v>11</v>
      </c>
      <c r="G6" s="4">
        <v>9.8611111111111104E-3</v>
      </c>
      <c r="H6" s="36">
        <f t="shared" si="1"/>
        <v>0.71429999999999993</v>
      </c>
      <c r="I6" s="4">
        <v>9.3287037037037036E-3</v>
      </c>
      <c r="J6" s="36">
        <f t="shared" si="2"/>
        <v>0.73019999999999996</v>
      </c>
    </row>
    <row r="7" spans="1:11" ht="15">
      <c r="A7" s="3">
        <v>75</v>
      </c>
      <c r="B7" s="3">
        <v>300</v>
      </c>
      <c r="C7" s="3">
        <f t="shared" si="0"/>
        <v>4</v>
      </c>
      <c r="D7" s="3">
        <v>183</v>
      </c>
      <c r="E7" s="49" t="s">
        <v>34</v>
      </c>
      <c r="F7" s="3" t="s">
        <v>17</v>
      </c>
      <c r="G7" s="4">
        <v>9.7337962962962959E-3</v>
      </c>
      <c r="H7" s="36">
        <f t="shared" si="1"/>
        <v>0.95240000000000002</v>
      </c>
      <c r="I7" s="4">
        <v>9.2245370370370363E-3</v>
      </c>
      <c r="J7" s="36">
        <f t="shared" si="2"/>
        <v>0.93659999999999999</v>
      </c>
      <c r="K7" s="21" t="s">
        <v>478</v>
      </c>
    </row>
    <row r="8" spans="1:11" ht="15">
      <c r="A8" s="3">
        <v>75</v>
      </c>
      <c r="B8" s="3">
        <v>300</v>
      </c>
      <c r="C8" s="3">
        <f t="shared" si="0"/>
        <v>4</v>
      </c>
      <c r="D8" s="3">
        <v>183</v>
      </c>
      <c r="E8" s="49" t="s">
        <v>44</v>
      </c>
      <c r="F8" s="3" t="s">
        <v>17</v>
      </c>
      <c r="G8" s="4">
        <v>9.7453703703703695E-3</v>
      </c>
      <c r="H8" s="36">
        <f t="shared" si="1"/>
        <v>0.92069999999999996</v>
      </c>
      <c r="I8" s="4">
        <v>9.2361111111111116E-3</v>
      </c>
      <c r="J8" s="36">
        <f t="shared" si="2"/>
        <v>0.85719999999999996</v>
      </c>
      <c r="K8" s="21" t="s">
        <v>479</v>
      </c>
    </row>
    <row r="9" spans="1:11" ht="15">
      <c r="A9" s="3">
        <v>75</v>
      </c>
      <c r="B9" s="3">
        <v>300</v>
      </c>
      <c r="C9" s="3">
        <f t="shared" si="0"/>
        <v>4</v>
      </c>
      <c r="D9" s="3">
        <v>183</v>
      </c>
      <c r="E9" s="49" t="s">
        <v>46</v>
      </c>
      <c r="F9" s="3" t="s">
        <v>17</v>
      </c>
      <c r="G9" s="4">
        <v>9.7453703703703695E-3</v>
      </c>
      <c r="H9" s="36">
        <f t="shared" si="1"/>
        <v>0.92069999999999996</v>
      </c>
      <c r="I9" s="4">
        <v>9.2361111111111116E-3</v>
      </c>
      <c r="J9" s="36">
        <f t="shared" si="2"/>
        <v>0.85719999999999996</v>
      </c>
      <c r="K9" s="21" t="s">
        <v>480</v>
      </c>
    </row>
    <row r="10" spans="1:11" ht="15">
      <c r="A10" s="3">
        <v>75</v>
      </c>
      <c r="B10" s="3">
        <v>300</v>
      </c>
      <c r="C10" s="3">
        <f t="shared" si="0"/>
        <v>4</v>
      </c>
      <c r="D10" s="3">
        <v>183</v>
      </c>
      <c r="E10" s="49" t="s">
        <v>36</v>
      </c>
      <c r="F10" s="3" t="s">
        <v>17</v>
      </c>
      <c r="G10" s="4">
        <v>9.7453703703703695E-3</v>
      </c>
      <c r="H10" s="36">
        <f t="shared" si="1"/>
        <v>0.92069999999999996</v>
      </c>
      <c r="I10" s="4">
        <v>9.2245370370370363E-3</v>
      </c>
      <c r="J10" s="36">
        <f t="shared" si="2"/>
        <v>0.93659999999999999</v>
      </c>
      <c r="K10" s="21" t="s">
        <v>481</v>
      </c>
    </row>
    <row r="11" spans="1:11" ht="15">
      <c r="A11" s="3">
        <v>75</v>
      </c>
      <c r="B11" s="3">
        <v>300</v>
      </c>
      <c r="C11" s="3">
        <f t="shared" si="0"/>
        <v>4</v>
      </c>
      <c r="D11" s="3">
        <v>183</v>
      </c>
      <c r="E11" s="49" t="s">
        <v>48</v>
      </c>
      <c r="F11" s="3" t="s">
        <v>17</v>
      </c>
      <c r="G11" s="4">
        <v>9.7453703703703695E-3</v>
      </c>
      <c r="H11" s="36">
        <f t="shared" si="1"/>
        <v>0.92069999999999996</v>
      </c>
      <c r="I11" s="4">
        <v>9.2361111111111116E-3</v>
      </c>
      <c r="J11" s="36">
        <f t="shared" si="2"/>
        <v>0.85719999999999996</v>
      </c>
      <c r="K11" s="21" t="s">
        <v>482</v>
      </c>
    </row>
    <row r="12" spans="1:11" ht="15">
      <c r="A12" s="3">
        <v>75</v>
      </c>
      <c r="B12" s="3">
        <v>300</v>
      </c>
      <c r="C12" s="3">
        <f t="shared" si="0"/>
        <v>4</v>
      </c>
      <c r="D12" s="3">
        <v>183</v>
      </c>
      <c r="E12" s="49" t="s">
        <v>50</v>
      </c>
      <c r="F12" s="3" t="s">
        <v>17</v>
      </c>
      <c r="G12" s="4">
        <v>9.7453703703703695E-3</v>
      </c>
      <c r="H12" s="36">
        <f t="shared" si="1"/>
        <v>0.92069999999999996</v>
      </c>
      <c r="I12" s="4">
        <v>9.2592592592592587E-3</v>
      </c>
      <c r="J12" s="36">
        <f t="shared" si="2"/>
        <v>0.80959999999999999</v>
      </c>
      <c r="K12" s="21" t="s">
        <v>483</v>
      </c>
    </row>
    <row r="13" spans="1:11" ht="15">
      <c r="A13" s="3">
        <v>75</v>
      </c>
      <c r="B13" s="3">
        <v>300</v>
      </c>
      <c r="C13" s="3">
        <f t="shared" si="0"/>
        <v>4</v>
      </c>
      <c r="D13" s="3">
        <v>183</v>
      </c>
      <c r="E13" s="49" t="s">
        <v>40</v>
      </c>
      <c r="F13" s="3" t="s">
        <v>17</v>
      </c>
      <c r="G13" s="4">
        <v>9.7453703703703695E-3</v>
      </c>
      <c r="H13" s="36">
        <f t="shared" si="1"/>
        <v>0.92069999999999996</v>
      </c>
      <c r="I13" s="4">
        <v>9.2245370370370363E-3</v>
      </c>
      <c r="J13" s="36">
        <f t="shared" si="2"/>
        <v>0.93659999999999999</v>
      </c>
      <c r="K13" s="21" t="s">
        <v>484</v>
      </c>
    </row>
    <row r="14" spans="1:11" ht="15">
      <c r="A14" s="3">
        <v>75</v>
      </c>
      <c r="B14" s="3">
        <v>300</v>
      </c>
      <c r="C14" s="3">
        <f t="shared" si="0"/>
        <v>4</v>
      </c>
      <c r="D14" s="3">
        <v>183</v>
      </c>
      <c r="E14" s="49" t="s">
        <v>52</v>
      </c>
      <c r="F14" s="3" t="s">
        <v>17</v>
      </c>
      <c r="G14" s="4">
        <v>9.7453703703703695E-3</v>
      </c>
      <c r="H14" s="36">
        <f t="shared" si="1"/>
        <v>0.92069999999999996</v>
      </c>
      <c r="I14" s="4">
        <v>9.3518518518518525E-3</v>
      </c>
      <c r="J14" s="36">
        <f t="shared" si="2"/>
        <v>0.71429999999999993</v>
      </c>
      <c r="K14" s="21" t="s">
        <v>485</v>
      </c>
    </row>
    <row r="15" spans="1:11" ht="15">
      <c r="A15" s="3">
        <v>75</v>
      </c>
      <c r="B15" s="3">
        <v>300</v>
      </c>
      <c r="C15" s="3">
        <f t="shared" si="0"/>
        <v>4</v>
      </c>
      <c r="D15" s="3">
        <v>183</v>
      </c>
      <c r="E15" s="49" t="s">
        <v>42</v>
      </c>
      <c r="F15" s="3" t="s">
        <v>17</v>
      </c>
      <c r="G15" s="4">
        <v>9.7453703703703695E-3</v>
      </c>
      <c r="H15" s="36">
        <f t="shared" si="1"/>
        <v>0.92069999999999996</v>
      </c>
      <c r="I15" s="4">
        <v>9.2245370370370363E-3</v>
      </c>
      <c r="J15" s="36">
        <f t="shared" si="2"/>
        <v>0.93659999999999999</v>
      </c>
      <c r="K15" s="21" t="s">
        <v>486</v>
      </c>
    </row>
    <row r="16" spans="1:11" ht="15">
      <c r="A16" s="3">
        <v>75</v>
      </c>
      <c r="B16" s="3">
        <v>300</v>
      </c>
      <c r="C16" s="3">
        <f t="shared" si="0"/>
        <v>4</v>
      </c>
      <c r="D16" s="3">
        <v>183</v>
      </c>
      <c r="E16" s="49" t="s">
        <v>38</v>
      </c>
      <c r="F16" s="3" t="s">
        <v>17</v>
      </c>
      <c r="G16" s="4">
        <v>9.7569444444444448E-3</v>
      </c>
      <c r="H16" s="36">
        <f t="shared" si="1"/>
        <v>0.79369999999999996</v>
      </c>
      <c r="I16" s="4">
        <v>9.2245370370370363E-3</v>
      </c>
      <c r="J16" s="36">
        <f t="shared" si="2"/>
        <v>0.93659999999999999</v>
      </c>
      <c r="K16" s="21" t="s">
        <v>487</v>
      </c>
    </row>
    <row r="17" spans="1:11" ht="15">
      <c r="A17" s="3">
        <v>75</v>
      </c>
      <c r="B17" s="3">
        <v>300</v>
      </c>
      <c r="C17" s="3">
        <f t="shared" si="0"/>
        <v>4</v>
      </c>
      <c r="D17" s="3">
        <v>183</v>
      </c>
      <c r="E17" s="49" t="s">
        <v>56</v>
      </c>
      <c r="F17" s="3" t="s">
        <v>17</v>
      </c>
      <c r="G17" s="4">
        <v>9.8032407407407408E-3</v>
      </c>
      <c r="H17" s="36">
        <f t="shared" si="1"/>
        <v>0.77780000000000005</v>
      </c>
      <c r="I17" s="4">
        <v>9.2824074074074076E-3</v>
      </c>
      <c r="J17" s="36">
        <f t="shared" si="2"/>
        <v>0.79369999999999996</v>
      </c>
      <c r="K17" s="21" t="s">
        <v>488</v>
      </c>
    </row>
    <row r="18" spans="1:11" ht="15">
      <c r="A18" s="3">
        <v>75</v>
      </c>
      <c r="B18" s="3">
        <v>300</v>
      </c>
      <c r="C18" s="3">
        <f t="shared" si="0"/>
        <v>4</v>
      </c>
      <c r="D18" s="3">
        <v>183</v>
      </c>
      <c r="E18" s="3" t="s">
        <v>58</v>
      </c>
      <c r="F18" s="3" t="s">
        <v>17</v>
      </c>
      <c r="G18" s="4">
        <v>0.01</v>
      </c>
      <c r="H18" s="36">
        <f t="shared" si="1"/>
        <v>0.69850000000000001</v>
      </c>
      <c r="I18" s="4">
        <v>9.4444444444444445E-3</v>
      </c>
      <c r="J18" s="36">
        <f t="shared" si="2"/>
        <v>0.69850000000000001</v>
      </c>
      <c r="K18" s="21" t="s">
        <v>489</v>
      </c>
    </row>
    <row r="19" spans="1:11" ht="15">
      <c r="A19" s="3">
        <v>75</v>
      </c>
      <c r="B19" s="3">
        <v>300</v>
      </c>
      <c r="C19" s="3">
        <f t="shared" si="0"/>
        <v>4</v>
      </c>
      <c r="D19" s="3">
        <v>183</v>
      </c>
      <c r="E19" s="3" t="s">
        <v>61</v>
      </c>
      <c r="F19" s="3" t="s">
        <v>17</v>
      </c>
      <c r="G19" s="4">
        <v>0.01</v>
      </c>
      <c r="H19" s="36">
        <f t="shared" si="1"/>
        <v>0.69850000000000001</v>
      </c>
      <c r="I19" s="4">
        <v>9.4444444444444445E-3</v>
      </c>
      <c r="J19" s="36">
        <f t="shared" si="2"/>
        <v>0.69850000000000001</v>
      </c>
      <c r="K19" s="21" t="s">
        <v>490</v>
      </c>
    </row>
    <row r="20" spans="1:11" ht="15">
      <c r="A20" s="3">
        <v>75</v>
      </c>
      <c r="B20" s="3">
        <v>300</v>
      </c>
      <c r="C20" s="3">
        <f t="shared" si="0"/>
        <v>4</v>
      </c>
      <c r="D20" s="3">
        <v>183</v>
      </c>
      <c r="E20" s="3" t="s">
        <v>67</v>
      </c>
      <c r="F20" s="3" t="s">
        <v>17</v>
      </c>
      <c r="G20" s="4">
        <v>1.0011574074074074E-2</v>
      </c>
      <c r="H20" s="36">
        <f t="shared" si="1"/>
        <v>0.66670000000000007</v>
      </c>
      <c r="I20" s="4">
        <v>9.4560185185185181E-3</v>
      </c>
      <c r="J20" s="36">
        <f t="shared" si="2"/>
        <v>0.60319999999999996</v>
      </c>
      <c r="K20" s="21" t="s">
        <v>491</v>
      </c>
    </row>
    <row r="21" spans="1:11" ht="15">
      <c r="A21" s="3">
        <v>75</v>
      </c>
      <c r="B21" s="3">
        <v>300</v>
      </c>
      <c r="C21" s="3">
        <f t="shared" si="0"/>
        <v>4</v>
      </c>
      <c r="D21" s="3">
        <v>183</v>
      </c>
      <c r="E21" s="3" t="s">
        <v>75</v>
      </c>
      <c r="F21" s="3" t="s">
        <v>17</v>
      </c>
      <c r="G21" s="4">
        <v>1.0011574074074074E-2</v>
      </c>
      <c r="H21" s="36">
        <f t="shared" si="1"/>
        <v>0.66670000000000007</v>
      </c>
      <c r="I21" s="4">
        <v>9.4675925925925934E-3</v>
      </c>
      <c r="J21" s="36">
        <f t="shared" si="2"/>
        <v>0.58739999999999992</v>
      </c>
      <c r="K21" s="21" t="s">
        <v>492</v>
      </c>
    </row>
    <row r="22" spans="1:11" ht="15">
      <c r="A22" s="3">
        <v>75</v>
      </c>
      <c r="B22" s="3">
        <v>300</v>
      </c>
      <c r="C22" s="3">
        <f t="shared" si="0"/>
        <v>4</v>
      </c>
      <c r="D22" s="3">
        <v>183</v>
      </c>
      <c r="E22" s="3" t="s">
        <v>77</v>
      </c>
      <c r="F22" s="3" t="s">
        <v>17</v>
      </c>
      <c r="G22" s="4">
        <v>1.0011574074074074E-2</v>
      </c>
      <c r="H22" s="36">
        <f t="shared" si="1"/>
        <v>0.66670000000000007</v>
      </c>
      <c r="I22" s="4">
        <v>9.4675925925925934E-3</v>
      </c>
      <c r="J22" s="36">
        <f t="shared" si="2"/>
        <v>0.58739999999999992</v>
      </c>
      <c r="K22" s="21" t="s">
        <v>493</v>
      </c>
    </row>
    <row r="23" spans="1:11" ht="15" hidden="1">
      <c r="A23" s="3">
        <v>75</v>
      </c>
      <c r="B23" s="3">
        <v>300</v>
      </c>
      <c r="C23" s="3">
        <f t="shared" si="0"/>
        <v>4</v>
      </c>
      <c r="D23" s="3">
        <v>183</v>
      </c>
      <c r="E23" s="3" t="s">
        <v>61</v>
      </c>
      <c r="F23" s="3" t="s">
        <v>11</v>
      </c>
      <c r="G23" s="4">
        <v>9.8379629629629633E-3</v>
      </c>
      <c r="H23" s="36">
        <f t="shared" si="1"/>
        <v>0.74609999999999999</v>
      </c>
      <c r="I23" s="4">
        <v>9.2939814814814812E-3</v>
      </c>
      <c r="J23" s="36">
        <f t="shared" si="2"/>
        <v>0.77780000000000005</v>
      </c>
      <c r="K23" s="21" t="s">
        <v>494</v>
      </c>
    </row>
    <row r="24" spans="1:11" ht="15">
      <c r="A24" s="3">
        <v>75</v>
      </c>
      <c r="B24" s="3">
        <v>300</v>
      </c>
      <c r="C24" s="3">
        <f t="shared" si="0"/>
        <v>4</v>
      </c>
      <c r="D24" s="3">
        <v>183</v>
      </c>
      <c r="E24" s="3" t="s">
        <v>9</v>
      </c>
      <c r="F24" s="3" t="s">
        <v>17</v>
      </c>
      <c r="G24" s="4">
        <v>1.0011574074074074E-2</v>
      </c>
      <c r="H24" s="36">
        <f t="shared" si="1"/>
        <v>0.66670000000000007</v>
      </c>
      <c r="I24" s="4">
        <v>9.4444444444444445E-3</v>
      </c>
      <c r="J24" s="36">
        <f t="shared" si="2"/>
        <v>0.69850000000000001</v>
      </c>
      <c r="K24" s="21" t="s">
        <v>495</v>
      </c>
    </row>
    <row r="25" spans="1:11" ht="15">
      <c r="A25" s="3">
        <v>75</v>
      </c>
      <c r="B25" s="3">
        <v>300</v>
      </c>
      <c r="C25" s="3">
        <f t="shared" si="0"/>
        <v>4</v>
      </c>
      <c r="D25" s="3">
        <v>183</v>
      </c>
      <c r="E25" s="3" t="s">
        <v>63</v>
      </c>
      <c r="F25" s="3" t="s">
        <v>17</v>
      </c>
      <c r="G25" s="4">
        <v>1.0011574074074074E-2</v>
      </c>
      <c r="H25" s="36">
        <f t="shared" si="1"/>
        <v>0.66670000000000007</v>
      </c>
      <c r="I25" s="4">
        <v>9.4444444444444445E-3</v>
      </c>
      <c r="J25" s="36">
        <f t="shared" si="2"/>
        <v>0.69850000000000001</v>
      </c>
      <c r="K25" s="21" t="s">
        <v>496</v>
      </c>
    </row>
    <row r="26" spans="1:11" ht="15">
      <c r="A26" s="3">
        <v>75</v>
      </c>
      <c r="B26" s="3">
        <v>300</v>
      </c>
      <c r="C26" s="3">
        <f t="shared" si="0"/>
        <v>4</v>
      </c>
      <c r="D26" s="3">
        <v>183</v>
      </c>
      <c r="E26" s="3" t="s">
        <v>73</v>
      </c>
      <c r="F26" s="3" t="s">
        <v>17</v>
      </c>
      <c r="G26" s="4">
        <v>1.0011574074074074E-2</v>
      </c>
      <c r="H26" s="36">
        <f t="shared" si="1"/>
        <v>0.66670000000000007</v>
      </c>
      <c r="I26" s="4">
        <v>9.4444444444444445E-3</v>
      </c>
      <c r="J26" s="36">
        <f t="shared" si="2"/>
        <v>0.69850000000000001</v>
      </c>
      <c r="K26" s="10" t="s">
        <v>497</v>
      </c>
    </row>
    <row r="27" spans="1:11" ht="15">
      <c r="A27" s="3">
        <v>75</v>
      </c>
      <c r="B27" s="3">
        <v>300</v>
      </c>
      <c r="C27" s="3">
        <f t="shared" si="0"/>
        <v>4</v>
      </c>
      <c r="D27" s="3">
        <v>183</v>
      </c>
      <c r="E27" s="3" t="s">
        <v>168</v>
      </c>
      <c r="F27" s="3" t="s">
        <v>17</v>
      </c>
      <c r="G27" s="4">
        <v>1.0023148148148147E-2</v>
      </c>
      <c r="H27" s="36">
        <f t="shared" si="1"/>
        <v>0.57150000000000001</v>
      </c>
      <c r="I27" s="4">
        <v>9.4675925925925934E-3</v>
      </c>
      <c r="J27" s="36">
        <f t="shared" si="2"/>
        <v>0.58739999999999992</v>
      </c>
      <c r="K27" s="21" t="s">
        <v>498</v>
      </c>
    </row>
    <row r="28" spans="1:11" ht="15">
      <c r="A28" s="3">
        <v>75</v>
      </c>
      <c r="B28" s="3">
        <v>300</v>
      </c>
      <c r="C28" s="3">
        <f t="shared" si="0"/>
        <v>4</v>
      </c>
      <c r="D28" s="3">
        <v>183</v>
      </c>
      <c r="E28" s="3" t="s">
        <v>164</v>
      </c>
      <c r="F28" s="3" t="s">
        <v>17</v>
      </c>
      <c r="G28" s="4">
        <v>1.0023148148148147E-2</v>
      </c>
      <c r="H28" s="36">
        <f t="shared" si="1"/>
        <v>0.57150000000000001</v>
      </c>
      <c r="I28" s="4">
        <v>9.4675925925925934E-3</v>
      </c>
      <c r="J28" s="36">
        <f t="shared" si="2"/>
        <v>0.58739999999999992</v>
      </c>
      <c r="K28" s="21" t="s">
        <v>499</v>
      </c>
    </row>
    <row r="29" spans="1:11" ht="15">
      <c r="A29" s="3">
        <v>75</v>
      </c>
      <c r="B29" s="3">
        <v>300</v>
      </c>
      <c r="C29" s="3">
        <f t="shared" si="0"/>
        <v>4</v>
      </c>
      <c r="D29" s="3">
        <v>183</v>
      </c>
      <c r="E29" s="3" t="s">
        <v>71</v>
      </c>
      <c r="F29" s="3" t="s">
        <v>17</v>
      </c>
      <c r="G29" s="4">
        <v>1.0023148148148147E-2</v>
      </c>
      <c r="H29" s="36">
        <f t="shared" si="1"/>
        <v>0.57150000000000001</v>
      </c>
      <c r="I29" s="4">
        <v>9.4444444444444445E-3</v>
      </c>
      <c r="J29" s="36">
        <f t="shared" si="2"/>
        <v>0.69850000000000001</v>
      </c>
      <c r="K29" s="21" t="s">
        <v>500</v>
      </c>
    </row>
    <row r="30" spans="1:11" ht="15">
      <c r="A30" s="3">
        <v>75</v>
      </c>
      <c r="B30" s="3">
        <v>300</v>
      </c>
      <c r="C30" s="3">
        <f t="shared" si="0"/>
        <v>4</v>
      </c>
      <c r="D30" s="3">
        <v>183</v>
      </c>
      <c r="E30" s="3" t="s">
        <v>19</v>
      </c>
      <c r="F30" s="3" t="s">
        <v>17</v>
      </c>
      <c r="G30" s="4">
        <v>1.0023148148148147E-2</v>
      </c>
      <c r="H30" s="36">
        <f t="shared" si="1"/>
        <v>0.57150000000000001</v>
      </c>
      <c r="I30" s="4">
        <v>9.479166666666667E-3</v>
      </c>
      <c r="J30" s="36">
        <f t="shared" si="2"/>
        <v>0.49209999999999998</v>
      </c>
      <c r="K30" s="21" t="s">
        <v>501</v>
      </c>
    </row>
    <row r="31" spans="1:11" ht="15">
      <c r="A31" s="3">
        <v>75</v>
      </c>
      <c r="B31" s="3">
        <v>300</v>
      </c>
      <c r="C31" s="3">
        <f t="shared" si="0"/>
        <v>4</v>
      </c>
      <c r="D31" s="3">
        <v>183</v>
      </c>
      <c r="E31" s="3" t="s">
        <v>502</v>
      </c>
      <c r="F31" s="3" t="s">
        <v>17</v>
      </c>
      <c r="G31" s="4">
        <v>1.0034722222222223E-2</v>
      </c>
      <c r="H31" s="36">
        <f t="shared" si="1"/>
        <v>0.50800000000000001</v>
      </c>
      <c r="I31" s="4">
        <v>9.479166666666667E-3</v>
      </c>
      <c r="J31" s="36">
        <f t="shared" si="2"/>
        <v>0.49209999999999998</v>
      </c>
      <c r="K31" s="21" t="s">
        <v>503</v>
      </c>
    </row>
    <row r="32" spans="1:11" ht="15">
      <c r="A32" s="3">
        <v>75</v>
      </c>
      <c r="B32" s="3">
        <v>300</v>
      </c>
      <c r="C32" s="3">
        <f t="shared" si="0"/>
        <v>4</v>
      </c>
      <c r="D32" s="3">
        <v>183</v>
      </c>
      <c r="E32" s="3" t="s">
        <v>199</v>
      </c>
      <c r="F32" s="3" t="s">
        <v>17</v>
      </c>
      <c r="G32" s="4">
        <v>1.0034722222222223E-2</v>
      </c>
      <c r="H32" s="36">
        <f t="shared" si="1"/>
        <v>0.50800000000000001</v>
      </c>
      <c r="I32" s="4">
        <v>9.4907407407407406E-3</v>
      </c>
      <c r="J32" s="36">
        <f t="shared" si="2"/>
        <v>0.34930000000000005</v>
      </c>
      <c r="K32" s="21" t="s">
        <v>504</v>
      </c>
    </row>
    <row r="33" spans="1:11" ht="15">
      <c r="A33" s="3">
        <v>75</v>
      </c>
      <c r="B33" s="3">
        <v>300</v>
      </c>
      <c r="C33" s="3">
        <f t="shared" si="0"/>
        <v>4</v>
      </c>
      <c r="D33" s="3">
        <v>183</v>
      </c>
      <c r="E33" s="3" t="s">
        <v>179</v>
      </c>
      <c r="F33" s="3" t="s">
        <v>17</v>
      </c>
      <c r="G33" s="4">
        <v>1.0034722222222223E-2</v>
      </c>
      <c r="H33" s="36">
        <f t="shared" si="1"/>
        <v>0.50800000000000001</v>
      </c>
      <c r="I33" s="4">
        <v>9.4675925925925934E-3</v>
      </c>
      <c r="J33" s="36">
        <f t="shared" si="2"/>
        <v>0.58739999999999992</v>
      </c>
      <c r="K33" s="21" t="s">
        <v>505</v>
      </c>
    </row>
    <row r="34" spans="1:11" ht="15">
      <c r="A34" s="3">
        <v>75</v>
      </c>
      <c r="B34" s="3">
        <v>300</v>
      </c>
      <c r="C34" s="3">
        <f t="shared" si="0"/>
        <v>4</v>
      </c>
      <c r="D34" s="3">
        <v>183</v>
      </c>
      <c r="E34" s="3" t="s">
        <v>205</v>
      </c>
      <c r="F34" s="3" t="s">
        <v>17</v>
      </c>
      <c r="G34" s="4">
        <v>1.0034722222222223E-2</v>
      </c>
      <c r="H34" s="36">
        <f t="shared" si="1"/>
        <v>0.50800000000000001</v>
      </c>
      <c r="I34" s="4">
        <v>9.479166666666667E-3</v>
      </c>
      <c r="J34" s="36">
        <f t="shared" si="2"/>
        <v>0.49209999999999998</v>
      </c>
      <c r="K34" s="21" t="s">
        <v>506</v>
      </c>
    </row>
    <row r="35" spans="1:11" ht="15">
      <c r="A35" s="3">
        <v>75</v>
      </c>
      <c r="B35" s="3">
        <v>300</v>
      </c>
      <c r="C35" s="3">
        <f t="shared" si="0"/>
        <v>4</v>
      </c>
      <c r="D35" s="3">
        <v>183</v>
      </c>
      <c r="E35" s="3" t="s">
        <v>190</v>
      </c>
      <c r="F35" s="3" t="s">
        <v>17</v>
      </c>
      <c r="G35" s="4">
        <v>1.0034722222222223E-2</v>
      </c>
      <c r="H35" s="36">
        <f t="shared" si="1"/>
        <v>0.50800000000000001</v>
      </c>
      <c r="I35" s="4">
        <v>9.4675925925925934E-3</v>
      </c>
      <c r="J35" s="36">
        <f t="shared" si="2"/>
        <v>0.58739999999999992</v>
      </c>
      <c r="K35" s="21" t="s">
        <v>507</v>
      </c>
    </row>
    <row r="36" spans="1:11" ht="15">
      <c r="A36" s="3">
        <v>75</v>
      </c>
      <c r="B36" s="3">
        <v>300</v>
      </c>
      <c r="C36" s="3">
        <f t="shared" si="0"/>
        <v>4</v>
      </c>
      <c r="D36" s="3">
        <v>183</v>
      </c>
      <c r="E36" s="3" t="s">
        <v>209</v>
      </c>
      <c r="F36" s="3" t="s">
        <v>17</v>
      </c>
      <c r="G36" s="4">
        <v>1.0046296296296296E-2</v>
      </c>
      <c r="H36" s="36">
        <f t="shared" si="1"/>
        <v>0.42859999999999998</v>
      </c>
      <c r="I36" s="4">
        <v>9.5833333333333326E-3</v>
      </c>
      <c r="J36" s="36">
        <f t="shared" si="2"/>
        <v>0</v>
      </c>
      <c r="K36" s="21" t="s">
        <v>508</v>
      </c>
    </row>
    <row r="37" spans="1:11" ht="15">
      <c r="A37" s="3">
        <v>75</v>
      </c>
      <c r="B37" s="3">
        <v>300</v>
      </c>
      <c r="C37" s="3">
        <f t="shared" si="0"/>
        <v>4</v>
      </c>
      <c r="D37" s="3">
        <v>183</v>
      </c>
      <c r="E37" s="3" t="s">
        <v>192</v>
      </c>
      <c r="F37" s="3" t="s">
        <v>17</v>
      </c>
      <c r="G37" s="4">
        <v>1.0046296296296296E-2</v>
      </c>
      <c r="H37" s="36">
        <f t="shared" si="1"/>
        <v>0.42859999999999998</v>
      </c>
      <c r="I37" s="4">
        <v>9.479166666666667E-3</v>
      </c>
      <c r="J37" s="36">
        <f t="shared" si="2"/>
        <v>0.49209999999999998</v>
      </c>
      <c r="K37" s="21" t="s">
        <v>509</v>
      </c>
    </row>
    <row r="38" spans="1:11" ht="15">
      <c r="A38" s="3">
        <v>75</v>
      </c>
      <c r="B38" s="3">
        <v>300</v>
      </c>
      <c r="C38" s="3">
        <f t="shared" si="0"/>
        <v>4</v>
      </c>
      <c r="D38" s="3">
        <v>183</v>
      </c>
      <c r="E38" s="3" t="s">
        <v>251</v>
      </c>
      <c r="F38" s="3" t="s">
        <v>17</v>
      </c>
      <c r="G38" s="4">
        <v>1.0046296296296296E-2</v>
      </c>
      <c r="H38" s="36">
        <f t="shared" si="1"/>
        <v>0.42859999999999998</v>
      </c>
      <c r="I38" s="4">
        <v>9.4907407407407406E-3</v>
      </c>
      <c r="J38" s="36">
        <f t="shared" si="2"/>
        <v>0.34930000000000005</v>
      </c>
      <c r="K38" s="21" t="s">
        <v>491</v>
      </c>
    </row>
    <row r="39" spans="1:11" ht="15">
      <c r="A39" s="3">
        <v>75</v>
      </c>
      <c r="B39" s="3">
        <v>300</v>
      </c>
      <c r="C39" s="3">
        <f t="shared" si="0"/>
        <v>4</v>
      </c>
      <c r="D39" s="3">
        <v>183</v>
      </c>
      <c r="E39" s="3" t="s">
        <v>233</v>
      </c>
      <c r="F39" s="3" t="s">
        <v>17</v>
      </c>
      <c r="G39" s="4">
        <v>1.0046296296296296E-2</v>
      </c>
      <c r="H39" s="36">
        <f t="shared" si="1"/>
        <v>0.42859999999999998</v>
      </c>
      <c r="I39" s="4">
        <v>9.479166666666667E-3</v>
      </c>
      <c r="J39" s="36">
        <f t="shared" si="2"/>
        <v>0.49209999999999998</v>
      </c>
      <c r="K39" s="21" t="s">
        <v>510</v>
      </c>
    </row>
    <row r="40" spans="1:11" ht="15">
      <c r="A40" s="3">
        <v>75</v>
      </c>
      <c r="B40" s="3">
        <v>300</v>
      </c>
      <c r="C40" s="3">
        <f t="shared" si="0"/>
        <v>4</v>
      </c>
      <c r="D40" s="3">
        <v>183</v>
      </c>
      <c r="E40" s="3" t="s">
        <v>211</v>
      </c>
      <c r="F40" s="3" t="s">
        <v>17</v>
      </c>
      <c r="G40" s="4">
        <v>1.0046296296296296E-2</v>
      </c>
      <c r="H40" s="36">
        <f t="shared" si="1"/>
        <v>0.42859999999999998</v>
      </c>
      <c r="I40" s="4">
        <v>9.4907407407407406E-3</v>
      </c>
      <c r="J40" s="36">
        <f t="shared" si="2"/>
        <v>0.34930000000000005</v>
      </c>
      <c r="K40" s="21" t="s">
        <v>511</v>
      </c>
    </row>
    <row r="41" spans="1:11" ht="15">
      <c r="A41" s="3">
        <v>75</v>
      </c>
      <c r="B41" s="3">
        <v>300</v>
      </c>
      <c r="C41" s="3">
        <f t="shared" si="0"/>
        <v>4</v>
      </c>
      <c r="D41" s="3">
        <v>183</v>
      </c>
      <c r="E41" s="3" t="s">
        <v>235</v>
      </c>
      <c r="F41" s="3" t="s">
        <v>17</v>
      </c>
      <c r="G41" s="4">
        <v>1.0046296296296296E-2</v>
      </c>
      <c r="H41" s="36">
        <f t="shared" si="1"/>
        <v>0.42859999999999998</v>
      </c>
      <c r="I41" s="4">
        <v>9.479166666666667E-3</v>
      </c>
      <c r="J41" s="36">
        <f t="shared" si="2"/>
        <v>0.49209999999999998</v>
      </c>
      <c r="K41" s="21" t="s">
        <v>512</v>
      </c>
    </row>
    <row r="42" spans="1:11" ht="15">
      <c r="A42" s="3">
        <v>75</v>
      </c>
      <c r="B42" s="3">
        <v>300</v>
      </c>
      <c r="C42" s="3">
        <f t="shared" si="0"/>
        <v>4</v>
      </c>
      <c r="D42" s="3">
        <v>183</v>
      </c>
      <c r="E42" s="3" t="s">
        <v>203</v>
      </c>
      <c r="F42" s="3" t="s">
        <v>17</v>
      </c>
      <c r="G42" s="4">
        <v>1.0046296296296296E-2</v>
      </c>
      <c r="H42" s="36">
        <f t="shared" si="1"/>
        <v>0.42859999999999998</v>
      </c>
      <c r="I42" s="4">
        <v>9.4907407407407406E-3</v>
      </c>
      <c r="J42" s="36">
        <f t="shared" si="2"/>
        <v>0.34930000000000005</v>
      </c>
      <c r="K42" s="21" t="s">
        <v>513</v>
      </c>
    </row>
    <row r="43" spans="1:11" ht="15">
      <c r="A43" s="3">
        <v>75</v>
      </c>
      <c r="B43" s="3">
        <v>300</v>
      </c>
      <c r="C43" s="3">
        <f t="shared" si="0"/>
        <v>4</v>
      </c>
      <c r="D43" s="3">
        <v>183</v>
      </c>
      <c r="E43" s="3" t="s">
        <v>258</v>
      </c>
      <c r="F43" s="3" t="s">
        <v>17</v>
      </c>
      <c r="G43" s="4">
        <v>1.0046296296296296E-2</v>
      </c>
      <c r="H43" s="36">
        <f t="shared" si="1"/>
        <v>0.42859999999999998</v>
      </c>
      <c r="I43" s="4">
        <v>9.4907407407407406E-3</v>
      </c>
      <c r="J43" s="36">
        <f t="shared" si="2"/>
        <v>0.34930000000000005</v>
      </c>
      <c r="K43" s="21" t="s">
        <v>514</v>
      </c>
    </row>
    <row r="44" spans="1:11" ht="15">
      <c r="A44" s="3">
        <v>75</v>
      </c>
      <c r="B44" s="3">
        <v>300</v>
      </c>
      <c r="C44" s="3">
        <f t="shared" si="0"/>
        <v>4</v>
      </c>
      <c r="D44" s="3">
        <v>183</v>
      </c>
      <c r="E44" s="3" t="s">
        <v>264</v>
      </c>
      <c r="F44" s="3" t="s">
        <v>17</v>
      </c>
      <c r="G44" s="4">
        <v>1.0046296296296296E-2</v>
      </c>
      <c r="H44" s="36">
        <f t="shared" si="1"/>
        <v>0.42859999999999998</v>
      </c>
      <c r="I44" s="4">
        <v>9.4907407407407406E-3</v>
      </c>
      <c r="J44" s="36">
        <f t="shared" si="2"/>
        <v>0.34930000000000005</v>
      </c>
      <c r="K44" s="21" t="s">
        <v>515</v>
      </c>
    </row>
    <row r="45" spans="1:11" ht="15">
      <c r="A45" s="3">
        <v>75</v>
      </c>
      <c r="B45" s="3">
        <v>300</v>
      </c>
      <c r="C45" s="3">
        <f t="shared" si="0"/>
        <v>4</v>
      </c>
      <c r="D45" s="3">
        <v>183</v>
      </c>
      <c r="E45" s="3" t="s">
        <v>241</v>
      </c>
      <c r="F45" s="3" t="s">
        <v>17</v>
      </c>
      <c r="G45" s="4">
        <v>1.0046296296296296E-2</v>
      </c>
      <c r="H45" s="36">
        <f t="shared" si="1"/>
        <v>0.42859999999999998</v>
      </c>
      <c r="I45" s="4">
        <v>9.4907407407407406E-3</v>
      </c>
      <c r="J45" s="36">
        <f t="shared" si="2"/>
        <v>0.34930000000000005</v>
      </c>
      <c r="K45" s="21" t="s">
        <v>516</v>
      </c>
    </row>
    <row r="46" spans="1:11" ht="15">
      <c r="A46" s="3">
        <v>75</v>
      </c>
      <c r="B46" s="3">
        <v>300</v>
      </c>
      <c r="C46" s="3">
        <f t="shared" si="0"/>
        <v>4</v>
      </c>
      <c r="D46" s="3">
        <v>183</v>
      </c>
      <c r="E46" s="3" t="s">
        <v>221</v>
      </c>
      <c r="F46" s="3" t="s">
        <v>17</v>
      </c>
      <c r="G46" s="4">
        <v>1.0046296296296296E-2</v>
      </c>
      <c r="H46" s="36">
        <f t="shared" si="1"/>
        <v>0.42859999999999998</v>
      </c>
      <c r="I46" s="4">
        <v>9.4907407407407406E-3</v>
      </c>
      <c r="J46" s="36">
        <f t="shared" si="2"/>
        <v>0.34930000000000005</v>
      </c>
      <c r="K46" s="21" t="s">
        <v>517</v>
      </c>
    </row>
    <row r="47" spans="1:11" ht="15">
      <c r="A47" s="3">
        <v>75</v>
      </c>
      <c r="B47" s="3">
        <v>300</v>
      </c>
      <c r="C47" s="3">
        <f t="shared" si="0"/>
        <v>4</v>
      </c>
      <c r="D47" s="3">
        <v>183</v>
      </c>
      <c r="E47" s="3" t="s">
        <v>94</v>
      </c>
      <c r="F47" s="3" t="s">
        <v>17</v>
      </c>
      <c r="G47" s="4">
        <v>1.0046296296296296E-2</v>
      </c>
      <c r="H47" s="36">
        <f t="shared" si="1"/>
        <v>0.42859999999999998</v>
      </c>
      <c r="I47" s="4">
        <v>9.479166666666667E-3</v>
      </c>
      <c r="J47" s="36">
        <f t="shared" si="2"/>
        <v>0.49209999999999998</v>
      </c>
      <c r="K47" s="21" t="s">
        <v>518</v>
      </c>
    </row>
    <row r="48" spans="1:11" ht="15">
      <c r="A48" s="3">
        <v>75</v>
      </c>
      <c r="B48" s="3">
        <v>300</v>
      </c>
      <c r="C48" s="3">
        <f t="shared" si="0"/>
        <v>4</v>
      </c>
      <c r="D48" s="3">
        <v>183</v>
      </c>
      <c r="E48" s="3" t="s">
        <v>225</v>
      </c>
      <c r="F48" s="3" t="s">
        <v>17</v>
      </c>
      <c r="G48" s="4">
        <v>1.0046296296296296E-2</v>
      </c>
      <c r="H48" s="36">
        <f t="shared" si="1"/>
        <v>0.42859999999999998</v>
      </c>
      <c r="I48" s="4">
        <v>9.4907407407407406E-3</v>
      </c>
      <c r="J48" s="36">
        <f t="shared" si="2"/>
        <v>0.34930000000000005</v>
      </c>
      <c r="K48" s="21" t="s">
        <v>519</v>
      </c>
    </row>
    <row r="49" spans="1:11" ht="15">
      <c r="A49" s="3">
        <v>75</v>
      </c>
      <c r="B49" s="3">
        <v>300</v>
      </c>
      <c r="C49" s="3">
        <f t="shared" si="0"/>
        <v>4</v>
      </c>
      <c r="D49" s="3">
        <v>183</v>
      </c>
      <c r="E49" s="3" t="s">
        <v>231</v>
      </c>
      <c r="F49" s="3" t="s">
        <v>17</v>
      </c>
      <c r="G49" s="4">
        <v>1.005787037037037E-2</v>
      </c>
      <c r="H49" s="36">
        <f t="shared" si="1"/>
        <v>0.22230000000000005</v>
      </c>
      <c r="I49" s="4">
        <v>9.4907407407407406E-3</v>
      </c>
      <c r="J49" s="36">
        <f t="shared" si="2"/>
        <v>0.34930000000000005</v>
      </c>
      <c r="K49" s="21" t="s">
        <v>520</v>
      </c>
    </row>
    <row r="50" spans="1:11" ht="15">
      <c r="A50" s="3">
        <v>75</v>
      </c>
      <c r="B50" s="3">
        <v>300</v>
      </c>
      <c r="C50" s="3">
        <f t="shared" si="0"/>
        <v>4</v>
      </c>
      <c r="D50" s="3">
        <v>183</v>
      </c>
      <c r="E50" s="3" t="s">
        <v>521</v>
      </c>
      <c r="F50" s="3" t="s">
        <v>17</v>
      </c>
      <c r="G50" s="4">
        <v>1.005787037037037E-2</v>
      </c>
      <c r="H50" s="36">
        <f t="shared" si="1"/>
        <v>0.22230000000000005</v>
      </c>
      <c r="I50" s="4">
        <v>9.4907407407407406E-3</v>
      </c>
      <c r="J50" s="36">
        <f t="shared" si="2"/>
        <v>0.34930000000000005</v>
      </c>
      <c r="K50" s="21" t="s">
        <v>522</v>
      </c>
    </row>
    <row r="51" spans="1:11" ht="15">
      <c r="A51" s="3">
        <v>75</v>
      </c>
      <c r="B51" s="3">
        <v>300</v>
      </c>
      <c r="C51" s="3">
        <f t="shared" si="0"/>
        <v>4</v>
      </c>
      <c r="D51" s="3">
        <v>183</v>
      </c>
      <c r="E51" s="3" t="s">
        <v>523</v>
      </c>
      <c r="F51" s="3" t="s">
        <v>17</v>
      </c>
      <c r="G51" s="4">
        <v>1.005787037037037E-2</v>
      </c>
      <c r="H51" s="36">
        <f t="shared" si="1"/>
        <v>0.22230000000000005</v>
      </c>
      <c r="I51" s="4">
        <v>9.4907407407407406E-3</v>
      </c>
      <c r="J51" s="36">
        <f t="shared" si="2"/>
        <v>0.34930000000000005</v>
      </c>
      <c r="K51" s="21" t="s">
        <v>524</v>
      </c>
    </row>
    <row r="52" spans="1:11" ht="15">
      <c r="A52" s="3">
        <v>75</v>
      </c>
      <c r="B52" s="3">
        <v>300</v>
      </c>
      <c r="C52" s="3">
        <f t="shared" si="0"/>
        <v>4</v>
      </c>
      <c r="D52" s="3">
        <v>183</v>
      </c>
      <c r="E52" s="3" t="s">
        <v>217</v>
      </c>
      <c r="F52" s="3" t="s">
        <v>17</v>
      </c>
      <c r="G52" s="4">
        <v>1.005787037037037E-2</v>
      </c>
      <c r="H52" s="36">
        <f t="shared" si="1"/>
        <v>0.22230000000000005</v>
      </c>
      <c r="I52" s="4">
        <v>9.4907407407407406E-3</v>
      </c>
      <c r="J52" s="36">
        <f t="shared" si="2"/>
        <v>0.34930000000000005</v>
      </c>
      <c r="K52" s="21" t="s">
        <v>525</v>
      </c>
    </row>
    <row r="53" spans="1:11" ht="15" hidden="1">
      <c r="A53" s="3">
        <v>75</v>
      </c>
      <c r="B53" s="3">
        <v>300</v>
      </c>
      <c r="C53" s="3">
        <f t="shared" si="0"/>
        <v>4</v>
      </c>
      <c r="D53" s="3">
        <v>183</v>
      </c>
      <c r="E53" s="3" t="s">
        <v>9</v>
      </c>
      <c r="F53" s="3" t="s">
        <v>11</v>
      </c>
      <c r="G53" s="4">
        <v>9.8263888888888897E-3</v>
      </c>
      <c r="H53" s="36">
        <f t="shared" si="1"/>
        <v>0.76200000000000001</v>
      </c>
      <c r="I53" s="4">
        <v>9.2939814814814812E-3</v>
      </c>
      <c r="J53" s="36">
        <f t="shared" si="2"/>
        <v>0.77780000000000005</v>
      </c>
      <c r="K53" s="21" t="s">
        <v>526</v>
      </c>
    </row>
    <row r="54" spans="1:11" ht="15">
      <c r="A54" s="3">
        <v>75</v>
      </c>
      <c r="B54" s="3">
        <v>300</v>
      </c>
      <c r="C54" s="3">
        <f t="shared" si="0"/>
        <v>4</v>
      </c>
      <c r="D54" s="3">
        <v>183</v>
      </c>
      <c r="E54" s="3" t="s">
        <v>237</v>
      </c>
      <c r="F54" s="3" t="s">
        <v>17</v>
      </c>
      <c r="G54" s="4">
        <v>1.005787037037037E-2</v>
      </c>
      <c r="H54" s="36">
        <f t="shared" si="1"/>
        <v>0.22230000000000005</v>
      </c>
      <c r="I54" s="4">
        <v>9.4907407407407406E-3</v>
      </c>
      <c r="J54" s="36">
        <f t="shared" si="2"/>
        <v>0.34930000000000005</v>
      </c>
      <c r="K54" s="21" t="s">
        <v>527</v>
      </c>
    </row>
    <row r="55" spans="1:11" ht="15">
      <c r="A55" s="3">
        <v>75</v>
      </c>
      <c r="B55" s="3">
        <v>300</v>
      </c>
      <c r="C55" s="3">
        <f t="shared" si="0"/>
        <v>4</v>
      </c>
      <c r="D55" s="3">
        <v>183</v>
      </c>
      <c r="E55" s="3" t="s">
        <v>239</v>
      </c>
      <c r="F55" s="3" t="s">
        <v>17</v>
      </c>
      <c r="G55" s="4">
        <v>1.005787037037037E-2</v>
      </c>
      <c r="H55" s="36">
        <f t="shared" si="1"/>
        <v>0.22230000000000005</v>
      </c>
      <c r="I55" s="4">
        <v>9.4907407407407406E-3</v>
      </c>
      <c r="J55" s="36">
        <f t="shared" si="2"/>
        <v>0.34930000000000005</v>
      </c>
      <c r="K55" s="21" t="s">
        <v>528</v>
      </c>
    </row>
    <row r="56" spans="1:11" ht="15">
      <c r="A56" s="3">
        <v>75</v>
      </c>
      <c r="B56" s="3">
        <v>300</v>
      </c>
      <c r="C56" s="3">
        <f t="shared" si="0"/>
        <v>4</v>
      </c>
      <c r="D56" s="3">
        <v>183</v>
      </c>
      <c r="E56" s="3" t="s">
        <v>219</v>
      </c>
      <c r="F56" s="3" t="s">
        <v>17</v>
      </c>
      <c r="G56" s="4">
        <v>1.005787037037037E-2</v>
      </c>
      <c r="H56" s="36">
        <f t="shared" si="1"/>
        <v>0.22230000000000005</v>
      </c>
      <c r="I56" s="4">
        <v>9.479166666666667E-3</v>
      </c>
      <c r="J56" s="36">
        <f t="shared" si="2"/>
        <v>0.49209999999999998</v>
      </c>
      <c r="K56" s="21" t="s">
        <v>529</v>
      </c>
    </row>
    <row r="57" spans="1:11" ht="15" hidden="1">
      <c r="A57" s="3">
        <v>75</v>
      </c>
      <c r="B57" s="3">
        <v>300</v>
      </c>
      <c r="C57" s="3">
        <f t="shared" si="0"/>
        <v>4</v>
      </c>
      <c r="D57" s="3">
        <v>183</v>
      </c>
      <c r="E57" s="3" t="s">
        <v>73</v>
      </c>
      <c r="F57" s="3" t="s">
        <v>351</v>
      </c>
      <c r="G57" s="4">
        <v>9.8379629629629633E-3</v>
      </c>
      <c r="H57" s="36">
        <f t="shared" si="1"/>
        <v>0.74609999999999999</v>
      </c>
      <c r="I57" s="4">
        <v>9.2939814814814812E-3</v>
      </c>
      <c r="J57" s="36">
        <f t="shared" si="2"/>
        <v>0.77780000000000005</v>
      </c>
      <c r="K57" s="21" t="s">
        <v>530</v>
      </c>
    </row>
    <row r="58" spans="1:11" ht="15">
      <c r="A58" s="3">
        <v>75</v>
      </c>
      <c r="B58" s="3">
        <v>300</v>
      </c>
      <c r="C58" s="3">
        <f t="shared" si="0"/>
        <v>4</v>
      </c>
      <c r="D58" s="3">
        <v>183</v>
      </c>
      <c r="E58" s="3" t="s">
        <v>243</v>
      </c>
      <c r="F58" s="3" t="s">
        <v>17</v>
      </c>
      <c r="G58" s="4">
        <v>1.005787037037037E-2</v>
      </c>
      <c r="H58" s="36">
        <f t="shared" si="1"/>
        <v>0.22230000000000005</v>
      </c>
      <c r="I58" s="4">
        <v>9.4907407407407406E-3</v>
      </c>
      <c r="J58" s="36">
        <f t="shared" si="2"/>
        <v>0.34930000000000005</v>
      </c>
      <c r="K58" s="21" t="s">
        <v>531</v>
      </c>
    </row>
    <row r="59" spans="1:11" ht="15">
      <c r="A59" s="3">
        <v>75</v>
      </c>
      <c r="B59" s="3">
        <v>300</v>
      </c>
      <c r="C59" s="3">
        <f t="shared" si="0"/>
        <v>4</v>
      </c>
      <c r="D59" s="3">
        <v>183</v>
      </c>
      <c r="E59" s="3" t="s">
        <v>245</v>
      </c>
      <c r="F59" s="3" t="s">
        <v>17</v>
      </c>
      <c r="G59" s="4">
        <v>1.005787037037037E-2</v>
      </c>
      <c r="H59" s="36">
        <f t="shared" si="1"/>
        <v>0.22230000000000005</v>
      </c>
      <c r="I59" s="4">
        <v>9.4907407407407406E-3</v>
      </c>
      <c r="J59" s="36">
        <f t="shared" si="2"/>
        <v>0.34930000000000005</v>
      </c>
      <c r="K59" s="21" t="s">
        <v>532</v>
      </c>
    </row>
    <row r="60" spans="1:11" ht="15">
      <c r="A60" s="3">
        <v>75</v>
      </c>
      <c r="B60" s="3">
        <v>300</v>
      </c>
      <c r="C60" s="3">
        <f t="shared" si="0"/>
        <v>4</v>
      </c>
      <c r="D60" s="3">
        <v>183</v>
      </c>
      <c r="E60" s="3" t="s">
        <v>247</v>
      </c>
      <c r="F60" s="3" t="s">
        <v>17</v>
      </c>
      <c r="G60" s="4">
        <v>1.005787037037037E-2</v>
      </c>
      <c r="H60" s="36">
        <f t="shared" si="1"/>
        <v>0.22230000000000005</v>
      </c>
      <c r="I60" s="4">
        <v>9.4907407407407406E-3</v>
      </c>
      <c r="J60" s="36">
        <f t="shared" si="2"/>
        <v>0.34930000000000005</v>
      </c>
      <c r="K60" s="21" t="s">
        <v>533</v>
      </c>
    </row>
    <row r="61" spans="1:11" ht="15">
      <c r="A61" s="3">
        <v>75</v>
      </c>
      <c r="B61" s="3">
        <v>300</v>
      </c>
      <c r="C61" s="3">
        <f t="shared" si="0"/>
        <v>4</v>
      </c>
      <c r="D61" s="3">
        <v>183</v>
      </c>
      <c r="E61" s="3" t="s">
        <v>227</v>
      </c>
      <c r="F61" s="3" t="s">
        <v>17</v>
      </c>
      <c r="G61" s="4">
        <v>1.005787037037037E-2</v>
      </c>
      <c r="H61" s="36">
        <f t="shared" si="1"/>
        <v>0.22230000000000005</v>
      </c>
      <c r="I61" s="4">
        <v>9.479166666666667E-3</v>
      </c>
      <c r="J61" s="36">
        <f t="shared" si="2"/>
        <v>0.49209999999999998</v>
      </c>
      <c r="K61" s="21" t="s">
        <v>534</v>
      </c>
    </row>
    <row r="62" spans="1:11" ht="15">
      <c r="A62" s="3">
        <v>75</v>
      </c>
      <c r="B62" s="3">
        <v>300</v>
      </c>
      <c r="C62" s="3">
        <f t="shared" si="0"/>
        <v>4</v>
      </c>
      <c r="D62" s="3">
        <v>183</v>
      </c>
      <c r="E62" s="3" t="s">
        <v>16</v>
      </c>
      <c r="F62" s="3" t="s">
        <v>17</v>
      </c>
      <c r="G62" s="4">
        <v>1.005787037037037E-2</v>
      </c>
      <c r="H62" s="36">
        <f t="shared" si="1"/>
        <v>0.22230000000000005</v>
      </c>
      <c r="I62" s="4">
        <v>9.5023148148148141E-3</v>
      </c>
      <c r="J62" s="36">
        <f t="shared" si="2"/>
        <v>6.3500000000000001E-2</v>
      </c>
      <c r="K62" s="21" t="s">
        <v>535</v>
      </c>
    </row>
    <row r="63" spans="1:11" ht="15">
      <c r="A63" s="3">
        <v>75</v>
      </c>
      <c r="B63" s="3">
        <v>300</v>
      </c>
      <c r="C63" s="3">
        <f t="shared" si="0"/>
        <v>4</v>
      </c>
      <c r="D63" s="3">
        <v>183</v>
      </c>
      <c r="E63" s="3" t="s">
        <v>253</v>
      </c>
      <c r="F63" s="3" t="s">
        <v>17</v>
      </c>
      <c r="G63" s="4">
        <v>1.005787037037037E-2</v>
      </c>
      <c r="H63" s="36">
        <f t="shared" si="1"/>
        <v>0.22230000000000005</v>
      </c>
      <c r="I63" s="4">
        <v>9.5023148148148141E-3</v>
      </c>
      <c r="J63" s="36">
        <f t="shared" si="2"/>
        <v>6.3500000000000001E-2</v>
      </c>
      <c r="K63" s="21" t="s">
        <v>536</v>
      </c>
    </row>
    <row r="64" spans="1:11" ht="15">
      <c r="A64" s="3">
        <v>75</v>
      </c>
      <c r="B64" s="3">
        <v>300</v>
      </c>
      <c r="C64" s="3">
        <f t="shared" si="0"/>
        <v>4</v>
      </c>
      <c r="D64" s="3">
        <v>183</v>
      </c>
      <c r="E64" s="3" t="s">
        <v>306</v>
      </c>
      <c r="F64" s="3" t="s">
        <v>17</v>
      </c>
      <c r="G64" s="4">
        <v>1.0069444444444445E-2</v>
      </c>
      <c r="H64" s="36">
        <f t="shared" si="1"/>
        <v>1.5900000000000025E-2</v>
      </c>
      <c r="I64" s="4">
        <v>9.5138888888888894E-3</v>
      </c>
      <c r="J64" s="36">
        <f t="shared" si="2"/>
        <v>3.180000000000005E-2</v>
      </c>
      <c r="K64" s="21" t="s">
        <v>537</v>
      </c>
    </row>
    <row r="65" spans="1:22" ht="15">
      <c r="A65" s="3">
        <v>75</v>
      </c>
      <c r="B65" s="3">
        <v>300</v>
      </c>
      <c r="C65" s="3">
        <f t="shared" si="0"/>
        <v>4</v>
      </c>
      <c r="D65" s="3">
        <v>183</v>
      </c>
      <c r="E65" s="3" t="s">
        <v>201</v>
      </c>
      <c r="F65" s="3" t="s">
        <v>17</v>
      </c>
      <c r="G65" s="4">
        <v>1.0092592592592592E-2</v>
      </c>
      <c r="H65" s="36">
        <f t="shared" si="1"/>
        <v>0</v>
      </c>
      <c r="I65" s="4">
        <v>9.5486111111111119E-3</v>
      </c>
      <c r="J65" s="36">
        <f t="shared" si="2"/>
        <v>1.5900000000000025E-2</v>
      </c>
      <c r="K65" s="21" t="s">
        <v>538</v>
      </c>
    </row>
    <row r="66" spans="1:22" ht="15" hidden="1">
      <c r="A66" s="3"/>
      <c r="B66" s="3"/>
      <c r="C66" s="3"/>
      <c r="D66" s="3"/>
      <c r="E66" s="3"/>
      <c r="F66" s="3"/>
      <c r="G66" s="4"/>
      <c r="H66" s="4"/>
      <c r="I66" s="4"/>
      <c r="J66" s="4"/>
    </row>
    <row r="67" spans="1:22" ht="15" hidden="1">
      <c r="A67" s="3"/>
      <c r="B67" s="3"/>
      <c r="C67" s="3"/>
      <c r="D67" s="3"/>
      <c r="E67" s="3"/>
      <c r="F67" s="3"/>
      <c r="G67" s="4"/>
      <c r="H67" s="4"/>
      <c r="I67" s="50"/>
      <c r="J67" s="4"/>
      <c r="K67" s="51"/>
    </row>
    <row r="68" spans="1:22" ht="15" hidden="1">
      <c r="A68" s="3"/>
      <c r="B68" s="3"/>
      <c r="C68" s="3"/>
      <c r="D68" s="3"/>
      <c r="E68" s="3"/>
      <c r="F68" s="3"/>
      <c r="G68" s="4"/>
      <c r="H68" s="4"/>
      <c r="I68" s="4"/>
      <c r="J68" s="4"/>
    </row>
    <row r="69" spans="1:22" ht="15" hidden="1">
      <c r="A69" s="3"/>
      <c r="B69" s="3"/>
      <c r="C69" s="3"/>
      <c r="D69" s="3"/>
      <c r="E69" s="3"/>
      <c r="F69" s="3"/>
      <c r="G69" s="4"/>
      <c r="H69" s="4"/>
      <c r="I69" s="4"/>
      <c r="J69" s="4"/>
    </row>
    <row r="70" spans="1:22" ht="15" hidden="1">
      <c r="A70" s="3"/>
      <c r="B70" s="3"/>
      <c r="C70" s="3"/>
      <c r="D70" s="3"/>
      <c r="E70" s="49"/>
      <c r="F70" s="3"/>
      <c r="G70" s="4"/>
      <c r="H70" s="4"/>
      <c r="I70" s="4"/>
      <c r="J70" s="4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" hidden="1">
      <c r="A71" s="3"/>
      <c r="B71" s="3"/>
      <c r="C71" s="3"/>
      <c r="D71" s="3"/>
      <c r="E71" s="49"/>
      <c r="F71" s="3"/>
      <c r="G71" s="4"/>
      <c r="H71" s="4"/>
      <c r="I71" s="4"/>
      <c r="J71" s="4"/>
    </row>
    <row r="72" spans="1:22" ht="15" hidden="1">
      <c r="A72" s="3"/>
      <c r="B72" s="3"/>
      <c r="C72" s="3"/>
      <c r="D72" s="3"/>
      <c r="E72" s="49"/>
      <c r="F72" s="3"/>
      <c r="G72" s="4"/>
      <c r="H72" s="4"/>
      <c r="I72" s="4"/>
      <c r="J72" s="4"/>
    </row>
    <row r="73" spans="1:22" ht="15" hidden="1">
      <c r="A73" s="3"/>
      <c r="B73" s="3"/>
      <c r="C73" s="3"/>
      <c r="D73" s="3"/>
      <c r="E73" s="49"/>
      <c r="F73" s="3"/>
      <c r="G73" s="4"/>
      <c r="H73" s="4"/>
      <c r="I73" s="4"/>
      <c r="J73" s="4"/>
    </row>
    <row r="74" spans="1:22" ht="15" hidden="1">
      <c r="A74" s="3"/>
      <c r="B74" s="3"/>
      <c r="C74" s="3"/>
      <c r="D74" s="3"/>
      <c r="E74" s="3"/>
      <c r="F74" s="3"/>
      <c r="G74" s="4"/>
      <c r="H74" s="4"/>
      <c r="I74" s="4"/>
      <c r="J74" s="4"/>
    </row>
    <row r="75" spans="1:22" ht="15" hidden="1">
      <c r="A75" s="3"/>
      <c r="B75" s="3"/>
      <c r="C75" s="3"/>
      <c r="D75" s="3"/>
      <c r="E75" s="3"/>
      <c r="F75" s="3"/>
      <c r="G75" s="4"/>
      <c r="H75" s="4"/>
      <c r="I75" s="4"/>
      <c r="J75" s="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" hidden="1">
      <c r="A76" s="3"/>
      <c r="B76" s="3"/>
      <c r="C76" s="3"/>
      <c r="D76" s="3"/>
      <c r="E76" s="3"/>
      <c r="F76" s="3"/>
      <c r="G76" s="4"/>
      <c r="H76" s="4"/>
      <c r="I76" s="4"/>
      <c r="J76" s="4"/>
    </row>
    <row r="77" spans="1:22" ht="15" hidden="1">
      <c r="A77" s="3"/>
      <c r="B77" s="3"/>
      <c r="C77" s="3"/>
      <c r="D77" s="3"/>
      <c r="E77" s="3"/>
      <c r="F77" s="3"/>
      <c r="G77" s="4"/>
      <c r="H77" s="4"/>
      <c r="I77" s="4"/>
      <c r="J77" s="4"/>
    </row>
    <row r="78" spans="1:22" ht="15" hidden="1">
      <c r="A78" s="3"/>
      <c r="B78" s="3"/>
      <c r="C78" s="3"/>
      <c r="D78" s="3"/>
      <c r="E78" s="3"/>
      <c r="F78" s="3"/>
      <c r="G78" s="4"/>
      <c r="H78" s="4"/>
      <c r="I78" s="4"/>
      <c r="J78" s="4"/>
    </row>
    <row r="79" spans="1:22" ht="15" hidden="1">
      <c r="A79" s="3"/>
      <c r="B79" s="3"/>
      <c r="C79" s="3"/>
      <c r="D79" s="3"/>
      <c r="E79" s="3"/>
      <c r="F79" s="3"/>
      <c r="G79" s="4"/>
      <c r="H79" s="4"/>
      <c r="I79" s="4"/>
      <c r="J79" s="4"/>
    </row>
    <row r="80" spans="1:22" ht="15" hidden="1">
      <c r="A80" s="3"/>
      <c r="B80" s="3"/>
      <c r="C80" s="3"/>
      <c r="D80" s="3"/>
      <c r="E80" s="3"/>
      <c r="F80" s="3"/>
      <c r="G80" s="4"/>
      <c r="H80" s="4"/>
      <c r="I80" s="4"/>
      <c r="J80" s="4"/>
    </row>
    <row r="81" spans="1:22" ht="15" hidden="1">
      <c r="A81" s="3"/>
      <c r="B81" s="3"/>
      <c r="C81" s="3"/>
      <c r="D81" s="3"/>
      <c r="E81" s="3"/>
      <c r="F81" s="3"/>
      <c r="G81" s="4"/>
      <c r="H81" s="4"/>
      <c r="I81" s="4"/>
      <c r="J81" s="4"/>
    </row>
    <row r="82" spans="1:22" ht="15" hidden="1">
      <c r="A82" s="3"/>
      <c r="B82" s="3"/>
      <c r="C82" s="3"/>
      <c r="D82" s="3"/>
      <c r="E82" s="3"/>
      <c r="F82" s="3"/>
      <c r="G82" s="4"/>
      <c r="H82" s="4"/>
      <c r="I82" s="4"/>
      <c r="J82" s="4"/>
    </row>
    <row r="83" spans="1:22" ht="15" hidden="1">
      <c r="A83" s="3"/>
      <c r="B83" s="3"/>
      <c r="C83" s="3"/>
      <c r="D83" s="3"/>
      <c r="E83" s="3"/>
      <c r="F83" s="3"/>
      <c r="G83" s="4"/>
      <c r="H83" s="4"/>
      <c r="I83" s="4"/>
      <c r="J83" s="4"/>
    </row>
    <row r="84" spans="1:22" ht="15" hidden="1">
      <c r="A84" s="3"/>
      <c r="B84" s="3"/>
      <c r="C84" s="3"/>
      <c r="D84" s="3"/>
      <c r="E84" s="3"/>
      <c r="F84" s="3"/>
      <c r="G84" s="4"/>
      <c r="H84" s="4"/>
      <c r="I84" s="4"/>
      <c r="J84" s="4"/>
    </row>
    <row r="85" spans="1:22" ht="15" hidden="1">
      <c r="A85" s="3"/>
      <c r="B85" s="3"/>
      <c r="C85" s="3"/>
      <c r="D85" s="3"/>
      <c r="E85" s="49"/>
      <c r="F85" s="3"/>
      <c r="G85" s="4"/>
      <c r="H85" s="4"/>
      <c r="I85" s="4"/>
      <c r="J85" s="4"/>
    </row>
    <row r="86" spans="1:22" ht="15" hidden="1">
      <c r="A86" s="3"/>
      <c r="B86" s="3"/>
      <c r="C86" s="3"/>
      <c r="D86" s="3"/>
      <c r="E86" s="3"/>
      <c r="F86" s="3"/>
      <c r="G86" s="4"/>
      <c r="H86" s="4"/>
      <c r="I86" s="4"/>
      <c r="J86" s="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" hidden="1">
      <c r="A87" s="3"/>
      <c r="B87" s="3"/>
      <c r="C87" s="3"/>
      <c r="D87" s="3"/>
      <c r="E87" s="3"/>
      <c r="F87" s="3"/>
      <c r="G87" s="4"/>
      <c r="H87" s="4"/>
      <c r="I87" s="4"/>
      <c r="J87" s="4"/>
    </row>
    <row r="88" spans="1:22" ht="15" hidden="1">
      <c r="E88" s="3"/>
    </row>
    <row r="89" spans="1:22" ht="15" hidden="1">
      <c r="E89" s="3"/>
    </row>
    <row r="90" spans="1:22" ht="15" hidden="1">
      <c r="E90" s="3"/>
    </row>
    <row r="91" spans="1:22" ht="12.75" hidden="1"/>
    <row r="92" spans="1:22" ht="12.75" hidden="1"/>
    <row r="93" spans="1:22" ht="12.75" hidden="1"/>
    <row r="94" spans="1:22" ht="12.75" hidden="1"/>
    <row r="95" spans="1:22" ht="12.75" hidden="1"/>
    <row r="96" spans="1:22" ht="12.75" hidden="1"/>
    <row r="97" ht="12.75" hidden="1"/>
    <row r="98" ht="12.75" hidden="1"/>
    <row r="99" ht="12.75" hidden="1"/>
    <row r="100" ht="12.75" hidden="1"/>
    <row r="101" ht="12.75" hidden="1"/>
    <row r="102" ht="12.75" hidden="1"/>
    <row r="103" ht="12.75" hidden="1"/>
    <row r="104" ht="12.75" hidden="1"/>
    <row r="105" ht="12.75" hidden="1"/>
    <row r="106" ht="12.75" hidden="1"/>
    <row r="107" ht="12.75" hidden="1"/>
    <row r="108" ht="12.75" hidden="1"/>
    <row r="109" ht="12.75" hidden="1"/>
    <row r="110" ht="12.75" hidden="1"/>
    <row r="111" ht="12.75" hidden="1"/>
    <row r="112" ht="12.75" hidden="1"/>
    <row r="113" ht="12.75" hidden="1"/>
    <row r="114" ht="12.75" hidden="1"/>
    <row r="115" ht="12.75" hidden="1"/>
    <row r="116" ht="12.75" hidden="1"/>
    <row r="117" ht="12.75" hidden="1"/>
    <row r="118" ht="12.75" hidden="1"/>
    <row r="119" ht="12.75" hidden="1"/>
    <row r="120" ht="12.75" hidden="1"/>
    <row r="121" ht="12.75" hidden="1"/>
    <row r="122" ht="12.75" hidden="1"/>
    <row r="123" ht="12.75" hidden="1"/>
    <row r="124" ht="12.75" hidden="1"/>
    <row r="125" ht="12.75" hidden="1"/>
    <row r="126" ht="12.75" hidden="1"/>
    <row r="127" ht="12.75" hidden="1"/>
    <row r="128" ht="12.75" hidden="1"/>
    <row r="129" ht="12.75" hidden="1"/>
    <row r="130" ht="12.75" hidden="1"/>
    <row r="131" ht="12.75" hidden="1"/>
    <row r="132" ht="12.75" hidden="1"/>
    <row r="133" ht="12.75" hidden="1"/>
    <row r="134" ht="12.75" hidden="1"/>
    <row r="135" ht="12.75" hidden="1"/>
    <row r="136" ht="12.75" hidden="1"/>
    <row r="137" ht="12.75" hidden="1"/>
    <row r="138" ht="12.75" hidden="1"/>
    <row r="139" ht="12.75" hidden="1"/>
    <row r="140" ht="12.75" hidden="1"/>
    <row r="141" ht="12.75" hidden="1"/>
    <row r="142" ht="12.75" hidden="1"/>
    <row r="143" ht="12.75" hidden="1"/>
    <row r="144" ht="12.75" hidden="1"/>
    <row r="145" ht="12.75" hidden="1"/>
    <row r="146" ht="12.75" hidden="1"/>
    <row r="147" ht="12.75" hidden="1"/>
    <row r="148" ht="12.75" hidden="1"/>
    <row r="149" ht="12.75" hidden="1"/>
    <row r="150" ht="12.75" hidden="1"/>
    <row r="151" ht="12.75" hidden="1"/>
    <row r="152" ht="12.75" hidden="1"/>
    <row r="153" ht="12.75" hidden="1"/>
    <row r="154" ht="12.75" hidden="1"/>
    <row r="155" ht="12.75" hidden="1"/>
    <row r="156" ht="12.75" hidden="1"/>
    <row r="157" ht="12.75" hidden="1"/>
    <row r="158" ht="12.75" hidden="1"/>
    <row r="159" ht="12.75" hidden="1"/>
    <row r="160" ht="12.75" hidden="1"/>
    <row r="161" ht="12.75" hidden="1"/>
    <row r="162" ht="12.75" hidden="1"/>
    <row r="163" ht="12.75" hidden="1"/>
    <row r="164" ht="12.75" hidden="1"/>
    <row r="165" ht="12.75" hidden="1"/>
    <row r="166" ht="12.75" hidden="1"/>
    <row r="167" ht="12.75" hidden="1"/>
    <row r="168" ht="12.75" hidden="1"/>
    <row r="169" ht="12.75" hidden="1"/>
    <row r="170" ht="12.75" hidden="1"/>
    <row r="171" ht="12.75" hidden="1"/>
    <row r="172" ht="12.75" hidden="1"/>
    <row r="173" ht="12.75" hidden="1"/>
    <row r="174" ht="12.75" hidden="1"/>
    <row r="175" ht="12.75" hidden="1"/>
    <row r="176" ht="12.75" hidden="1"/>
    <row r="177" ht="12.75" hidden="1"/>
    <row r="178" ht="12.75" hidden="1"/>
    <row r="179" ht="12.75" hidden="1"/>
    <row r="180" ht="12.75" hidden="1"/>
    <row r="181" ht="12.75" hidden="1"/>
    <row r="182" ht="12.75" hidden="1"/>
    <row r="183" ht="12.75" hidden="1"/>
    <row r="184" ht="12.75" hidden="1"/>
    <row r="185" ht="12.75" hidden="1"/>
    <row r="186" ht="12.75" hidden="1"/>
    <row r="187" ht="12.75" hidden="1"/>
    <row r="188" ht="12.75" hidden="1"/>
    <row r="189" ht="12.75" hidden="1"/>
    <row r="190" ht="12.75" hidden="1"/>
    <row r="191" ht="12.75" hidden="1"/>
    <row r="192" ht="12.75" hidden="1"/>
    <row r="193" ht="12.75" hidden="1"/>
    <row r="194" ht="12.75" hidden="1"/>
    <row r="195" ht="12.75" hidden="1"/>
    <row r="196" ht="12.75" hidden="1"/>
    <row r="197" ht="12.75" hidden="1"/>
    <row r="198" ht="12.75" hidden="1"/>
    <row r="199" ht="12.75" hidden="1"/>
    <row r="200" ht="12.75" hidden="1"/>
    <row r="201" ht="12.75" hidden="1"/>
    <row r="202" ht="12.75" hidden="1"/>
    <row r="203" ht="12.75" hidden="1"/>
    <row r="204" ht="12.75" hidden="1"/>
    <row r="205" ht="12.75" hidden="1"/>
    <row r="206" ht="12.75" hidden="1"/>
    <row r="207" ht="12.75" hidden="1"/>
    <row r="208" ht="12.75" hidden="1"/>
    <row r="209" ht="12.75" hidden="1"/>
    <row r="210" ht="12.75" hidden="1"/>
    <row r="211" ht="12.75" hidden="1"/>
    <row r="212" ht="12.75" hidden="1"/>
    <row r="213" ht="12.75" hidden="1"/>
    <row r="214" ht="12.75" hidden="1"/>
    <row r="215" ht="12.75" hidden="1"/>
    <row r="216" ht="12.75" hidden="1"/>
    <row r="217" ht="12.75" hidden="1"/>
    <row r="218" ht="12.75" hidden="1"/>
    <row r="219" ht="12.75" hidden="1"/>
    <row r="220" ht="12.75" hidden="1"/>
    <row r="221" ht="12.75" hidden="1"/>
    <row r="222" ht="12.75" hidden="1"/>
    <row r="223" ht="12.75" hidden="1"/>
    <row r="224" ht="12.75" hidden="1"/>
    <row r="225" ht="12.75" hidden="1"/>
    <row r="226" ht="12.75" hidden="1"/>
    <row r="227" ht="12.75" hidden="1"/>
    <row r="228" ht="12.75" hidden="1"/>
    <row r="229" ht="12.75" hidden="1"/>
    <row r="230" ht="12.75" hidden="1"/>
    <row r="231" ht="12.75" hidden="1"/>
    <row r="232" ht="12.75" hidden="1"/>
    <row r="233" ht="12.75" hidden="1"/>
    <row r="234" ht="12.75" hidden="1"/>
    <row r="235" ht="12.75" hidden="1"/>
    <row r="236" ht="12.75" hidden="1"/>
    <row r="237" ht="12.75" hidden="1"/>
    <row r="238" ht="12.75" hidden="1"/>
    <row r="239" ht="12.75" hidden="1"/>
    <row r="240" ht="12.75" hidden="1"/>
    <row r="241" ht="12.75" hidden="1"/>
    <row r="242" ht="12.75" hidden="1"/>
    <row r="243" ht="12.75" hidden="1"/>
    <row r="244" ht="12.75" hidden="1"/>
    <row r="245" ht="12.75" hidden="1"/>
    <row r="246" ht="12.75" hidden="1"/>
    <row r="247" ht="12.75" hidden="1"/>
    <row r="248" ht="12.75" hidden="1"/>
    <row r="249" ht="12.75" hidden="1"/>
    <row r="250" ht="12.75" hidden="1"/>
    <row r="251" ht="12.75" hidden="1"/>
    <row r="252" ht="12.75" hidden="1"/>
    <row r="253" ht="12.75" hidden="1"/>
    <row r="254" ht="12.75" hidden="1"/>
    <row r="255" ht="12.75" hidden="1"/>
    <row r="256" ht="12.75" hidden="1"/>
    <row r="257" ht="12.75" hidden="1"/>
    <row r="258" ht="12.75" hidden="1"/>
    <row r="259" ht="12.75" hidden="1"/>
    <row r="260" ht="12.75" hidden="1"/>
    <row r="261" ht="12.75" hidden="1"/>
    <row r="262" ht="12.75" hidden="1"/>
    <row r="263" ht="12.75" hidden="1"/>
    <row r="264" ht="12.75" hidden="1"/>
    <row r="265" ht="12.75" hidden="1"/>
    <row r="266" ht="12.75" hidden="1"/>
    <row r="267" ht="12.75" hidden="1"/>
    <row r="268" ht="12.75" hidden="1"/>
    <row r="269" ht="12.75" hidden="1"/>
    <row r="270" ht="12.75" hidden="1"/>
    <row r="271" ht="12.75" hidden="1"/>
    <row r="272" ht="12.75" hidden="1"/>
    <row r="273" ht="12.75" hidden="1"/>
    <row r="274" ht="12.75" hidden="1"/>
    <row r="275" ht="12.75" hidden="1"/>
    <row r="276" ht="12.75" hidden="1"/>
    <row r="277" ht="12.75" hidden="1"/>
    <row r="278" ht="12.75" hidden="1"/>
    <row r="279" ht="12.75" hidden="1"/>
    <row r="280" ht="12.75" hidden="1"/>
    <row r="281" ht="12.75" hidden="1"/>
    <row r="282" ht="12.75" hidden="1"/>
    <row r="283" ht="12.75" hidden="1"/>
    <row r="284" ht="12.75" hidden="1"/>
    <row r="285" ht="12.75" hidden="1"/>
    <row r="286" ht="12.75" hidden="1"/>
    <row r="287" ht="12.75" hidden="1"/>
    <row r="288" ht="12.75" hidden="1"/>
    <row r="289" ht="12.75" hidden="1"/>
    <row r="290" ht="12.75" hidden="1"/>
    <row r="291" ht="12.75" hidden="1"/>
    <row r="292" ht="12.75" hidden="1"/>
    <row r="293" ht="12.75" hidden="1"/>
    <row r="294" ht="12.75" hidden="1"/>
    <row r="295" ht="12.75" hidden="1"/>
    <row r="296" ht="12.75" hidden="1"/>
    <row r="297" ht="12.75" hidden="1"/>
    <row r="298" ht="12.75" hidden="1"/>
    <row r="299" ht="12.75" hidden="1"/>
    <row r="300" ht="12.75" hidden="1"/>
    <row r="301" ht="12.75" hidden="1"/>
    <row r="302" ht="12.75" hidden="1"/>
    <row r="303" ht="12.75" hidden="1"/>
    <row r="304" ht="12.75" hidden="1"/>
    <row r="305" ht="12.75" hidden="1"/>
    <row r="306" ht="12.75" hidden="1"/>
    <row r="307" ht="12.75" hidden="1"/>
    <row r="308" ht="12.75" hidden="1"/>
    <row r="309" ht="12.75" hidden="1"/>
    <row r="310" ht="12.75" hidden="1"/>
    <row r="311" ht="12.75" hidden="1"/>
    <row r="312" ht="12.75" hidden="1"/>
    <row r="313" ht="12.75" hidden="1"/>
    <row r="314" ht="12.75" hidden="1"/>
    <row r="315" ht="12.75" hidden="1"/>
    <row r="316" ht="12.75" hidden="1"/>
    <row r="317" ht="12.75" hidden="1"/>
    <row r="318" ht="12.75" hidden="1"/>
    <row r="319" ht="12.75" hidden="1"/>
    <row r="320" ht="12.75" hidden="1"/>
    <row r="321" ht="12.75" hidden="1"/>
    <row r="322" ht="12.75" hidden="1"/>
    <row r="323" ht="12.75" hidden="1"/>
    <row r="324" ht="12.75" hidden="1"/>
    <row r="325" ht="12.75" hidden="1"/>
    <row r="326" ht="12.75" hidden="1"/>
    <row r="327" ht="12.75" hidden="1"/>
    <row r="328" ht="12.75" hidden="1"/>
    <row r="329" ht="12.75" hidden="1"/>
    <row r="330" ht="12.75" hidden="1"/>
    <row r="331" ht="12.75" hidden="1"/>
    <row r="332" ht="12.75" hidden="1"/>
    <row r="333" ht="12.75" hidden="1"/>
    <row r="334" ht="12.75" hidden="1"/>
    <row r="335" ht="12.75" hidden="1"/>
    <row r="336" ht="12.75" hidden="1"/>
    <row r="337" ht="12.75" hidden="1"/>
    <row r="338" ht="12.75" hidden="1"/>
    <row r="339" ht="12.75" hidden="1"/>
    <row r="340" ht="12.75" hidden="1"/>
    <row r="341" ht="12.75" hidden="1"/>
    <row r="342" ht="12.75" hidden="1"/>
    <row r="343" ht="12.75" hidden="1"/>
    <row r="344" ht="12.75" hidden="1"/>
    <row r="345" ht="12.75" hidden="1"/>
    <row r="346" ht="12.75" hidden="1"/>
    <row r="347" ht="12.75" hidden="1"/>
    <row r="348" ht="12.75" hidden="1"/>
    <row r="349" ht="12.75" hidden="1"/>
    <row r="350" ht="12.75" hidden="1"/>
    <row r="351" ht="12.75" hidden="1"/>
    <row r="352" ht="12.75" hidden="1"/>
    <row r="353" ht="12.75" hidden="1"/>
    <row r="354" ht="12.75" hidden="1"/>
    <row r="355" ht="12.75" hidden="1"/>
    <row r="356" ht="12.75" hidden="1"/>
    <row r="357" ht="12.75" hidden="1"/>
    <row r="358" ht="12.75" hidden="1"/>
    <row r="359" ht="12.75" hidden="1"/>
    <row r="360" ht="12.75" hidden="1"/>
    <row r="361" ht="12.75" hidden="1"/>
    <row r="362" ht="12.75" hidden="1"/>
    <row r="363" ht="12.75" hidden="1"/>
    <row r="364" ht="12.75" hidden="1"/>
    <row r="365" ht="12.75" hidden="1"/>
    <row r="366" ht="12.75" hidden="1"/>
    <row r="367" ht="12.75" hidden="1"/>
    <row r="368" ht="12.75" hidden="1"/>
    <row r="369" ht="12.75" hidden="1"/>
    <row r="370" ht="12.75" hidden="1"/>
    <row r="371" ht="12.75" hidden="1"/>
    <row r="372" ht="12.75" hidden="1"/>
    <row r="373" ht="12.75" hidden="1"/>
    <row r="374" ht="12.75" hidden="1"/>
    <row r="375" ht="12.75" hidden="1"/>
    <row r="376" ht="12.75" hidden="1"/>
    <row r="377" ht="12.75" hidden="1"/>
    <row r="378" ht="12.75" hidden="1"/>
    <row r="379" ht="12.75" hidden="1"/>
    <row r="380" ht="12.75" hidden="1"/>
    <row r="381" ht="12.75" hidden="1"/>
    <row r="382" ht="12.75" hidden="1"/>
    <row r="383" ht="12.75" hidden="1"/>
    <row r="384" ht="12.75" hidden="1"/>
    <row r="385" ht="12.75" hidden="1"/>
    <row r="386" ht="12.75" hidden="1"/>
    <row r="387" ht="12.75" hidden="1"/>
    <row r="388" ht="12.75" hidden="1"/>
    <row r="389" ht="12.75" hidden="1"/>
    <row r="390" ht="12.75" hidden="1"/>
    <row r="391" ht="12.75" hidden="1"/>
    <row r="392" ht="12.75" hidden="1"/>
    <row r="393" ht="12.75" hidden="1"/>
    <row r="394" ht="12.75" hidden="1"/>
    <row r="395" ht="12.75" hidden="1"/>
    <row r="396" ht="12.75" hidden="1"/>
    <row r="397" ht="12.75" hidden="1"/>
    <row r="398" ht="12.75" hidden="1"/>
    <row r="399" ht="12.75" hidden="1"/>
    <row r="400" ht="12.75" hidden="1"/>
    <row r="401" ht="12.75" hidden="1"/>
    <row r="402" ht="12.75" hidden="1"/>
    <row r="403" ht="12.75" hidden="1"/>
    <row r="404" ht="12.75" hidden="1"/>
    <row r="405" ht="12.75" hidden="1"/>
    <row r="406" ht="12.75" hidden="1"/>
    <row r="407" ht="12.75" hidden="1"/>
    <row r="408" ht="12.75" hidden="1"/>
    <row r="409" ht="12.75" hidden="1"/>
    <row r="410" ht="12.75" hidden="1"/>
    <row r="411" ht="12.75" hidden="1"/>
    <row r="412" ht="12.75" hidden="1"/>
    <row r="413" ht="12.75" hidden="1"/>
    <row r="414" ht="12.75" hidden="1"/>
    <row r="415" ht="12.75" hidden="1"/>
    <row r="416" ht="12.75" hidden="1"/>
    <row r="417" ht="12.75" hidden="1"/>
    <row r="418" ht="12.75" hidden="1"/>
    <row r="419" ht="12.75" hidden="1"/>
    <row r="420" ht="12.75" hidden="1"/>
    <row r="421" ht="12.75" hidden="1"/>
    <row r="422" ht="12.75" hidden="1"/>
    <row r="423" ht="12.75" hidden="1"/>
    <row r="424" ht="12.75" hidden="1"/>
    <row r="425" ht="12.75" hidden="1"/>
    <row r="426" ht="12.75" hidden="1"/>
    <row r="427" ht="12.75" hidden="1"/>
    <row r="428" ht="12.75" hidden="1"/>
    <row r="429" ht="12.75" hidden="1"/>
    <row r="430" ht="12.75" hidden="1"/>
    <row r="431" ht="12.75" hidden="1"/>
    <row r="432" ht="12.75" hidden="1"/>
    <row r="433" ht="12.75" hidden="1"/>
    <row r="434" ht="12.75" hidden="1"/>
    <row r="435" ht="12.75" hidden="1"/>
    <row r="436" ht="12.75" hidden="1"/>
    <row r="437" ht="12.75" hidden="1"/>
    <row r="438" ht="12.75" hidden="1"/>
    <row r="439" ht="12.75" hidden="1"/>
    <row r="440" ht="12.75" hidden="1"/>
    <row r="441" ht="12.75" hidden="1"/>
    <row r="442" ht="12.75" hidden="1"/>
    <row r="443" ht="12.75" hidden="1"/>
    <row r="444" ht="12.75" hidden="1"/>
    <row r="445" ht="12.75" hidden="1"/>
    <row r="446" ht="12.75" hidden="1"/>
    <row r="447" ht="12.75" hidden="1"/>
    <row r="448" ht="12.75" hidden="1"/>
    <row r="449" ht="12.75" hidden="1"/>
    <row r="450" ht="12.75" hidden="1"/>
    <row r="451" ht="12.75" hidden="1"/>
    <row r="452" ht="12.75" hidden="1"/>
    <row r="453" ht="12.75" hidden="1"/>
    <row r="454" ht="12.75" hidden="1"/>
    <row r="455" ht="12.75" hidden="1"/>
    <row r="456" ht="12.75" hidden="1"/>
    <row r="457" ht="12.75" hidden="1"/>
    <row r="458" ht="12.75" hidden="1"/>
    <row r="459" ht="12.75" hidden="1"/>
    <row r="460" ht="12.75" hidden="1"/>
    <row r="461" ht="12.75" hidden="1"/>
    <row r="462" ht="12.75" hidden="1"/>
    <row r="463" ht="12.75" hidden="1"/>
    <row r="464" ht="12.75" hidden="1"/>
    <row r="465" ht="12.75" hidden="1"/>
    <row r="466" ht="12.75" hidden="1"/>
    <row r="467" ht="12.75" hidden="1"/>
    <row r="468" ht="12.75" hidden="1"/>
    <row r="469" ht="12.75" hidden="1"/>
    <row r="470" ht="12.75" hidden="1"/>
    <row r="471" ht="12.75" hidden="1"/>
    <row r="472" ht="12.75" hidden="1"/>
    <row r="473" ht="12.75" hidden="1"/>
    <row r="474" ht="12.75" hidden="1"/>
    <row r="475" ht="12.75" hidden="1"/>
    <row r="476" ht="12.75" hidden="1"/>
    <row r="477" ht="12.75" hidden="1"/>
    <row r="478" ht="12.75" hidden="1"/>
    <row r="479" ht="12.75" hidden="1"/>
    <row r="480" ht="12.75" hidden="1"/>
    <row r="481" ht="12.75" hidden="1"/>
    <row r="482" ht="12.75" hidden="1"/>
    <row r="483" ht="12.75" hidden="1"/>
    <row r="484" ht="12.75" hidden="1"/>
    <row r="485" ht="12.75" hidden="1"/>
    <row r="486" ht="12.75" hidden="1"/>
    <row r="487" ht="12.75" hidden="1"/>
    <row r="488" ht="12.75" hidden="1"/>
    <row r="489" ht="12.75" hidden="1"/>
    <row r="490" ht="12.75" hidden="1"/>
    <row r="491" ht="12.75" hidden="1"/>
    <row r="492" ht="12.75" hidden="1"/>
    <row r="493" ht="12.75" hidden="1"/>
    <row r="494" ht="12.75" hidden="1"/>
    <row r="495" ht="12.75" hidden="1"/>
    <row r="496" ht="12.75" hidden="1"/>
    <row r="497" ht="12.75" hidden="1"/>
    <row r="498" ht="12.75" hidden="1"/>
    <row r="499" ht="12.75" hidden="1"/>
    <row r="500" ht="12.75" hidden="1"/>
    <row r="501" ht="12.75" hidden="1"/>
    <row r="502" ht="12.75" hidden="1"/>
    <row r="503" ht="12.75" hidden="1"/>
    <row r="504" ht="12.75" hidden="1"/>
    <row r="505" ht="12.75" hidden="1"/>
    <row r="506" ht="12.75" hidden="1"/>
    <row r="507" ht="12.75" hidden="1"/>
    <row r="508" ht="12.75" hidden="1"/>
    <row r="509" ht="12.75" hidden="1"/>
    <row r="510" ht="12.75" hidden="1"/>
    <row r="511" ht="12.75" hidden="1"/>
    <row r="512" ht="12.75" hidden="1"/>
    <row r="513" ht="12.75" hidden="1"/>
    <row r="514" ht="12.75" hidden="1"/>
    <row r="515" ht="12.75" hidden="1"/>
    <row r="516" ht="12.75" hidden="1"/>
    <row r="517" ht="12.75" hidden="1"/>
    <row r="518" ht="12.75" hidden="1"/>
    <row r="519" ht="12.75" hidden="1"/>
    <row r="520" ht="12.75" hidden="1"/>
    <row r="521" ht="12.75" hidden="1"/>
    <row r="522" ht="12.75" hidden="1"/>
    <row r="523" ht="12.75" hidden="1"/>
    <row r="524" ht="12.75" hidden="1"/>
    <row r="525" ht="12.75" hidden="1"/>
    <row r="526" ht="12.75" hidden="1"/>
    <row r="527" ht="12.75" hidden="1"/>
    <row r="528" ht="12.75" hidden="1"/>
    <row r="529" ht="12.75" hidden="1"/>
    <row r="530" ht="12.75" hidden="1"/>
    <row r="531" ht="12.75" hidden="1"/>
    <row r="532" ht="12.75" hidden="1"/>
    <row r="533" ht="12.75" hidden="1"/>
    <row r="534" ht="12.75" hidden="1"/>
    <row r="535" ht="12.75" hidden="1"/>
    <row r="536" ht="12.75" hidden="1"/>
    <row r="537" ht="12.75" hidden="1"/>
    <row r="538" ht="12.75" hidden="1"/>
    <row r="539" ht="12.75" hidden="1"/>
    <row r="540" ht="12.75" hidden="1"/>
    <row r="541" ht="12.75" hidden="1"/>
    <row r="542" ht="12.75" hidden="1"/>
    <row r="543" ht="12.75" hidden="1"/>
    <row r="544" ht="12.75" hidden="1"/>
    <row r="545" ht="12.75" hidden="1"/>
    <row r="546" ht="12.75" hidden="1"/>
    <row r="547" ht="12.75" hidden="1"/>
    <row r="548" ht="12.75" hidden="1"/>
    <row r="549" ht="12.75" hidden="1"/>
    <row r="550" ht="12.75" hidden="1"/>
    <row r="551" ht="12.75" hidden="1"/>
    <row r="552" ht="12.75" hidden="1"/>
    <row r="553" ht="12.75" hidden="1"/>
    <row r="554" ht="12.75" hidden="1"/>
    <row r="555" ht="12.75" hidden="1"/>
    <row r="556" ht="12.75" hidden="1"/>
    <row r="557" ht="12.75" hidden="1"/>
    <row r="558" ht="12.75" hidden="1"/>
    <row r="559" ht="12.75" hidden="1"/>
    <row r="560" ht="12.75" hidden="1"/>
    <row r="561" ht="12.75" hidden="1"/>
    <row r="562" ht="12.75" hidden="1"/>
    <row r="563" ht="12.75" hidden="1"/>
    <row r="564" ht="12.75" hidden="1"/>
    <row r="565" ht="12.75" hidden="1"/>
    <row r="566" ht="12.75" hidden="1"/>
    <row r="567" ht="12.75" hidden="1"/>
    <row r="568" ht="12.75" hidden="1"/>
    <row r="569" ht="12.75" hidden="1"/>
    <row r="570" ht="12.75" hidden="1"/>
    <row r="571" ht="12.75" hidden="1"/>
    <row r="572" ht="12.75" hidden="1"/>
    <row r="573" ht="12.75" hidden="1"/>
    <row r="574" ht="12.75" hidden="1"/>
    <row r="575" ht="12.75" hidden="1"/>
    <row r="576" ht="12.75" hidden="1"/>
    <row r="577" ht="12.75" hidden="1"/>
    <row r="578" ht="12.75" hidden="1"/>
    <row r="579" ht="12.75" hidden="1"/>
    <row r="580" ht="12.75" hidden="1"/>
    <row r="581" ht="12.75" hidden="1"/>
    <row r="582" ht="12.75" hidden="1"/>
    <row r="583" ht="12.75" hidden="1"/>
    <row r="584" ht="12.75" hidden="1"/>
    <row r="585" ht="12.75" hidden="1"/>
    <row r="586" ht="12.75" hidden="1"/>
    <row r="587" ht="12.75" hidden="1"/>
    <row r="588" ht="12.75" hidden="1"/>
    <row r="589" ht="12.75" hidden="1"/>
    <row r="590" ht="12.75" hidden="1"/>
    <row r="591" ht="12.75" hidden="1"/>
    <row r="592" ht="12.75" hidden="1"/>
    <row r="593" ht="12.75" hidden="1"/>
    <row r="594" ht="12.75" hidden="1"/>
    <row r="595" ht="12.75" hidden="1"/>
    <row r="596" ht="12.75" hidden="1"/>
    <row r="597" ht="12.75" hidden="1"/>
    <row r="598" ht="12.75" hidden="1"/>
    <row r="599" ht="12.75" hidden="1"/>
    <row r="600" ht="12.75" hidden="1"/>
    <row r="601" ht="12.75" hidden="1"/>
    <row r="602" ht="12.75" hidden="1"/>
    <row r="603" ht="12.75" hidden="1"/>
    <row r="604" ht="12.75" hidden="1"/>
    <row r="605" ht="12.75" hidden="1"/>
    <row r="606" ht="12.75" hidden="1"/>
    <row r="607" ht="12.75" hidden="1"/>
    <row r="608" ht="12.75" hidden="1"/>
    <row r="609" ht="12.75" hidden="1"/>
    <row r="610" ht="12.75" hidden="1"/>
    <row r="611" ht="12.75" hidden="1"/>
    <row r="612" ht="12.75" hidden="1"/>
    <row r="613" ht="12.75" hidden="1"/>
    <row r="614" ht="12.75" hidden="1"/>
    <row r="615" ht="12.75" hidden="1"/>
    <row r="616" ht="12.75" hidden="1"/>
    <row r="617" ht="12.75" hidden="1"/>
    <row r="618" ht="12.75" hidden="1"/>
    <row r="619" ht="12.75" hidden="1"/>
    <row r="620" ht="12.75" hidden="1"/>
    <row r="621" ht="12.75" hidden="1"/>
    <row r="622" ht="12.75" hidden="1"/>
    <row r="623" ht="12.75" hidden="1"/>
    <row r="624" ht="12.75" hidden="1"/>
    <row r="625" ht="12.75" hidden="1"/>
    <row r="626" ht="12.75" hidden="1"/>
    <row r="627" ht="12.75" hidden="1"/>
    <row r="628" ht="12.75" hidden="1"/>
    <row r="629" ht="12.75" hidden="1"/>
    <row r="630" ht="12.75" hidden="1"/>
    <row r="631" ht="12.75" hidden="1"/>
    <row r="632" ht="12.75" hidden="1"/>
    <row r="633" ht="12.75" hidden="1"/>
    <row r="634" ht="12.75" hidden="1"/>
    <row r="635" ht="12.75" hidden="1"/>
    <row r="636" ht="12.75" hidden="1"/>
    <row r="637" ht="12.75" hidden="1"/>
    <row r="638" ht="12.75" hidden="1"/>
    <row r="639" ht="12.75" hidden="1"/>
    <row r="640" ht="12.75" hidden="1"/>
    <row r="641" ht="12.75" hidden="1"/>
    <row r="642" ht="12.75" hidden="1"/>
    <row r="643" ht="12.75" hidden="1"/>
    <row r="644" ht="12.75" hidden="1"/>
    <row r="645" ht="12.75" hidden="1"/>
    <row r="646" ht="12.75" hidden="1"/>
    <row r="647" ht="12.75" hidden="1"/>
    <row r="648" ht="12.75" hidden="1"/>
    <row r="649" ht="12.75" hidden="1"/>
    <row r="650" ht="12.75" hidden="1"/>
    <row r="651" ht="12.75" hidden="1"/>
    <row r="652" ht="12.75" hidden="1"/>
    <row r="653" ht="12.75" hidden="1"/>
    <row r="654" ht="12.75" hidden="1"/>
    <row r="655" ht="12.75" hidden="1"/>
    <row r="656" ht="12.75" hidden="1"/>
    <row r="657" ht="12.75" hidden="1"/>
    <row r="658" ht="12.75" hidden="1"/>
    <row r="659" ht="12.75" hidden="1"/>
    <row r="660" ht="12.75" hidden="1"/>
    <row r="661" ht="12.75" hidden="1"/>
    <row r="662" ht="12.75" hidden="1"/>
    <row r="663" ht="12.75" hidden="1"/>
    <row r="664" ht="12.75" hidden="1"/>
    <row r="665" ht="12.75" hidden="1"/>
    <row r="666" ht="12.75" hidden="1"/>
    <row r="667" ht="12.75" hidden="1"/>
    <row r="668" ht="12.75" hidden="1"/>
    <row r="669" ht="12.75" hidden="1"/>
    <row r="670" ht="12.75" hidden="1"/>
    <row r="671" ht="12.75" hidden="1"/>
    <row r="672" ht="12.75" hidden="1"/>
    <row r="673" ht="12.75" hidden="1"/>
    <row r="674" ht="12.75" hidden="1"/>
    <row r="675" ht="12.75" hidden="1"/>
    <row r="676" ht="12.75" hidden="1"/>
    <row r="677" ht="12.75" hidden="1"/>
    <row r="678" ht="12.75" hidden="1"/>
    <row r="679" ht="12.75" hidden="1"/>
    <row r="680" ht="12.75" hidden="1"/>
    <row r="681" ht="12.75" hidden="1"/>
    <row r="682" ht="12.75" hidden="1"/>
    <row r="683" ht="12.75" hidden="1"/>
    <row r="684" ht="12.75" hidden="1"/>
    <row r="685" ht="12.75" hidden="1"/>
    <row r="686" ht="12.75" hidden="1"/>
    <row r="687" ht="12.75" hidden="1"/>
    <row r="688" ht="12.75" hidden="1"/>
    <row r="689" ht="12.75" hidden="1"/>
    <row r="690" ht="12.75" hidden="1"/>
    <row r="691" ht="12.75" hidden="1"/>
    <row r="692" ht="12.75" hidden="1"/>
    <row r="693" ht="12.75" hidden="1"/>
    <row r="694" ht="12.75" hidden="1"/>
    <row r="695" ht="12.75" hidden="1"/>
    <row r="696" ht="12.75" hidden="1"/>
    <row r="697" ht="12.75" hidden="1"/>
    <row r="698" ht="12.75" hidden="1"/>
    <row r="699" ht="12.75" hidden="1"/>
    <row r="700" ht="12.75" hidden="1"/>
    <row r="701" ht="12.75" hidden="1"/>
    <row r="702" ht="12.75" hidden="1"/>
    <row r="703" ht="12.75" hidden="1"/>
    <row r="704" ht="12.75" hidden="1"/>
    <row r="705" ht="12.75" hidden="1"/>
    <row r="706" ht="12.75" hidden="1"/>
    <row r="707" ht="12.75" hidden="1"/>
    <row r="708" ht="12.75" hidden="1"/>
    <row r="709" ht="12.75" hidden="1"/>
    <row r="710" ht="12.75" hidden="1"/>
    <row r="711" ht="12.75" hidden="1"/>
    <row r="712" ht="12.75" hidden="1"/>
    <row r="713" ht="12.75" hidden="1"/>
    <row r="714" ht="12.75" hidden="1"/>
    <row r="715" ht="12.75" hidden="1"/>
    <row r="716" ht="12.75" hidden="1"/>
    <row r="717" ht="12.75" hidden="1"/>
    <row r="718" ht="12.75" hidden="1"/>
    <row r="719" ht="12.75" hidden="1"/>
    <row r="720" ht="12.75" hidden="1"/>
    <row r="721" ht="12.75" hidden="1"/>
    <row r="722" ht="12.75" hidden="1"/>
    <row r="723" ht="12.75" hidden="1"/>
    <row r="724" ht="12.75" hidden="1"/>
    <row r="725" ht="12.75" hidden="1"/>
    <row r="726" ht="12.75" hidden="1"/>
    <row r="727" ht="12.75" hidden="1"/>
    <row r="728" ht="12.75" hidden="1"/>
    <row r="729" ht="12.75" hidden="1"/>
    <row r="730" ht="12.75" hidden="1"/>
    <row r="731" ht="12.75" hidden="1"/>
    <row r="732" ht="12.75" hidden="1"/>
    <row r="733" ht="12.75" hidden="1"/>
    <row r="734" ht="12.75" hidden="1"/>
    <row r="735" ht="12.75" hidden="1"/>
    <row r="736" ht="12.75" hidden="1"/>
    <row r="737" ht="12.75" hidden="1"/>
    <row r="738" ht="12.75" hidden="1"/>
    <row r="739" ht="12.75" hidden="1"/>
    <row r="740" ht="12.75" hidden="1"/>
    <row r="741" ht="12.75" hidden="1"/>
    <row r="742" ht="12.75" hidden="1"/>
    <row r="743" ht="12.75" hidden="1"/>
    <row r="744" ht="12.75" hidden="1"/>
    <row r="745" ht="12.75" hidden="1"/>
    <row r="746" ht="12.75" hidden="1"/>
    <row r="747" ht="12.75" hidden="1"/>
    <row r="748" ht="12.75" hidden="1"/>
    <row r="749" ht="12.75" hidden="1"/>
    <row r="750" ht="12.75" hidden="1"/>
    <row r="751" ht="12.75" hidden="1"/>
    <row r="752" ht="12.75" hidden="1"/>
    <row r="753" ht="12.75" hidden="1"/>
    <row r="754" ht="12.75" hidden="1"/>
    <row r="755" ht="12.75" hidden="1"/>
    <row r="756" ht="12.75" hidden="1"/>
    <row r="757" ht="12.75" hidden="1"/>
    <row r="758" ht="12.75" hidden="1"/>
    <row r="759" ht="12.75" hidden="1"/>
    <row r="760" ht="12.75" hidden="1"/>
    <row r="761" ht="12.75" hidden="1"/>
    <row r="762" ht="12.75" hidden="1"/>
    <row r="763" ht="12.75" hidden="1"/>
    <row r="764" ht="12.75" hidden="1"/>
    <row r="765" ht="12.75" hidden="1"/>
    <row r="766" ht="12.75" hidden="1"/>
    <row r="767" ht="12.75" hidden="1"/>
    <row r="768" ht="12.75" hidden="1"/>
    <row r="769" ht="12.75" hidden="1"/>
    <row r="770" ht="12.75" hidden="1"/>
    <row r="771" ht="12.75" hidden="1"/>
    <row r="772" ht="12.75" hidden="1"/>
    <row r="773" ht="12.75" hidden="1"/>
    <row r="774" ht="12.75" hidden="1"/>
    <row r="775" ht="12.75" hidden="1"/>
    <row r="776" ht="12.75" hidden="1"/>
    <row r="777" ht="12.75" hidden="1"/>
    <row r="778" ht="12.75" hidden="1"/>
    <row r="779" ht="12.75" hidden="1"/>
    <row r="780" ht="12.75" hidden="1"/>
    <row r="781" ht="12.75" hidden="1"/>
    <row r="782" ht="12.75" hidden="1"/>
    <row r="783" ht="12.75" hidden="1"/>
    <row r="784" ht="12.75" hidden="1"/>
    <row r="785" ht="12.75" hidden="1"/>
    <row r="786" ht="12.75" hidden="1"/>
    <row r="787" ht="12.75" hidden="1"/>
    <row r="788" ht="12.75" hidden="1"/>
    <row r="789" ht="12.75" hidden="1"/>
    <row r="790" ht="12.75" hidden="1"/>
    <row r="791" ht="12.75" hidden="1"/>
    <row r="792" ht="12.75" hidden="1"/>
    <row r="793" ht="12.75" hidden="1"/>
    <row r="794" ht="12.75" hidden="1"/>
    <row r="795" ht="12.75" hidden="1"/>
    <row r="796" ht="12.75" hidden="1"/>
    <row r="797" ht="12.75" hidden="1"/>
    <row r="798" ht="12.75" hidden="1"/>
    <row r="799" ht="12.75" hidden="1"/>
    <row r="800" ht="12.75" hidden="1"/>
    <row r="801" ht="12.75" hidden="1"/>
    <row r="802" ht="12.75" hidden="1"/>
    <row r="803" ht="12.75" hidden="1"/>
    <row r="804" ht="12.75" hidden="1"/>
    <row r="805" ht="12.75" hidden="1"/>
    <row r="806" ht="12.75" hidden="1"/>
    <row r="807" ht="12.75" hidden="1"/>
    <row r="808" ht="12.75" hidden="1"/>
    <row r="809" ht="12.75" hidden="1"/>
    <row r="810" ht="12.75" hidden="1"/>
    <row r="811" ht="12.75" hidden="1"/>
    <row r="812" ht="12.75" hidden="1"/>
    <row r="813" ht="12.75" hidden="1"/>
    <row r="814" ht="12.75" hidden="1"/>
    <row r="815" ht="12.75" hidden="1"/>
    <row r="816" ht="12.75" hidden="1"/>
    <row r="817" ht="12.75" hidden="1"/>
    <row r="818" ht="12.75" hidden="1"/>
    <row r="819" ht="12.75" hidden="1"/>
    <row r="820" ht="12.75" hidden="1"/>
    <row r="821" ht="12.75" hidden="1"/>
    <row r="822" ht="12.75" hidden="1"/>
    <row r="823" ht="12.75" hidden="1"/>
    <row r="824" ht="12.75" hidden="1"/>
    <row r="825" ht="12.75" hidden="1"/>
    <row r="826" ht="12.75" hidden="1"/>
    <row r="827" ht="12.75" hidden="1"/>
    <row r="828" ht="12.75" hidden="1"/>
    <row r="829" ht="12.75" hidden="1"/>
    <row r="830" ht="12.75" hidden="1"/>
    <row r="831" ht="12.75" hidden="1"/>
    <row r="832" ht="12.75" hidden="1"/>
    <row r="833" ht="12.75" hidden="1"/>
    <row r="834" ht="12.75" hidden="1"/>
    <row r="835" ht="12.75" hidden="1"/>
    <row r="836" ht="12.75" hidden="1"/>
    <row r="837" ht="12.75" hidden="1"/>
    <row r="838" ht="12.75" hidden="1"/>
    <row r="839" ht="12.75" hidden="1"/>
    <row r="840" ht="12.75" hidden="1"/>
    <row r="841" ht="12.75" hidden="1"/>
    <row r="842" ht="12.75" hidden="1"/>
    <row r="843" ht="12.75" hidden="1"/>
    <row r="844" ht="12.75" hidden="1"/>
    <row r="845" ht="12.75" hidden="1"/>
    <row r="846" ht="12.75" hidden="1"/>
    <row r="847" ht="12.75" hidden="1"/>
    <row r="848" ht="12.75" hidden="1"/>
    <row r="849" ht="12.75" hidden="1"/>
    <row r="850" ht="12.75" hidden="1"/>
    <row r="851" ht="12.75" hidden="1"/>
    <row r="852" ht="12.75" hidden="1"/>
    <row r="853" ht="12.75" hidden="1"/>
    <row r="854" ht="12.75" hidden="1"/>
    <row r="855" ht="12.75" hidden="1"/>
    <row r="856" ht="12.75" hidden="1"/>
    <row r="857" ht="12.75" hidden="1"/>
    <row r="858" ht="12.75" hidden="1"/>
    <row r="859" ht="12.75" hidden="1"/>
    <row r="860" ht="12.75" hidden="1"/>
    <row r="861" ht="12.75" hidden="1"/>
    <row r="862" ht="12.75" hidden="1"/>
    <row r="863" ht="12.75" hidden="1"/>
    <row r="864" ht="12.75" hidden="1"/>
    <row r="865" ht="12.75" hidden="1"/>
    <row r="866" ht="12.75" hidden="1"/>
    <row r="867" ht="12.75" hidden="1"/>
    <row r="868" ht="12.75" hidden="1"/>
    <row r="869" ht="12.75" hidden="1"/>
    <row r="870" ht="12.75" hidden="1"/>
    <row r="871" ht="12.75" hidden="1"/>
    <row r="872" ht="12.75" hidden="1"/>
    <row r="873" ht="12.75" hidden="1"/>
    <row r="874" ht="12.75" hidden="1"/>
    <row r="875" ht="12.75" hidden="1"/>
    <row r="876" ht="12.75" hidden="1"/>
    <row r="877" ht="12.75" hidden="1"/>
    <row r="878" ht="12.75" hidden="1"/>
    <row r="879" ht="12.75" hidden="1"/>
    <row r="880" ht="12.75" hidden="1"/>
    <row r="881" ht="12.75" hidden="1"/>
    <row r="882" ht="12.75" hidden="1"/>
    <row r="883" ht="12.75" hidden="1"/>
    <row r="884" ht="12.75" hidden="1"/>
    <row r="885" ht="12.75" hidden="1"/>
    <row r="886" ht="12.75" hidden="1"/>
    <row r="887" ht="12.75" hidden="1"/>
    <row r="888" ht="12.75" hidden="1"/>
    <row r="889" ht="12.75" hidden="1"/>
    <row r="890" ht="12.75" hidden="1"/>
    <row r="891" ht="12.75" hidden="1"/>
    <row r="892" ht="12.75" hidden="1"/>
    <row r="893" ht="12.75" hidden="1"/>
    <row r="894" ht="12.75" hidden="1"/>
    <row r="895" ht="12.75" hidden="1"/>
    <row r="896" ht="12.75" hidden="1"/>
    <row r="897" ht="12.75" hidden="1"/>
    <row r="898" ht="12.75" hidden="1"/>
    <row r="899" ht="12.75" hidden="1"/>
    <row r="900" ht="12.75" hidden="1"/>
    <row r="901" ht="12.75" hidden="1"/>
    <row r="902" ht="12.75" hidden="1"/>
    <row r="903" ht="12.75" hidden="1"/>
    <row r="904" ht="12.75" hidden="1"/>
    <row r="905" ht="12.75" hidden="1"/>
    <row r="906" ht="12.75" hidden="1"/>
    <row r="907" ht="12.75" hidden="1"/>
    <row r="908" ht="12.75" hidden="1"/>
    <row r="909" ht="12.75" hidden="1"/>
    <row r="910" ht="12.75" hidden="1"/>
    <row r="911" ht="12.75" hidden="1"/>
    <row r="912" ht="12.75" hidden="1"/>
    <row r="913" ht="12.75" hidden="1"/>
    <row r="914" ht="12.75" hidden="1"/>
    <row r="915" ht="12.75" hidden="1"/>
    <row r="916" ht="12.75" hidden="1"/>
    <row r="917" ht="12.75" hidden="1"/>
    <row r="918" ht="12.75" hidden="1"/>
    <row r="919" ht="12.75" hidden="1"/>
    <row r="920" ht="12.75" hidden="1"/>
    <row r="921" ht="12.75" hidden="1"/>
    <row r="922" ht="12.75" hidden="1"/>
    <row r="923" ht="12.75" hidden="1"/>
    <row r="924" ht="12.75" hidden="1"/>
    <row r="925" ht="12.75" hidden="1"/>
    <row r="926" ht="12.75" hidden="1"/>
    <row r="927" ht="12.75" hidden="1"/>
    <row r="928" ht="12.75" hidden="1"/>
    <row r="929" ht="12.75" hidden="1"/>
    <row r="930" ht="12.75" hidden="1"/>
    <row r="931" ht="12.75" hidden="1"/>
    <row r="932" ht="12.75" hidden="1"/>
    <row r="933" ht="12.75" hidden="1"/>
    <row r="934" ht="12.75" hidden="1"/>
    <row r="935" ht="12.75" hidden="1"/>
    <row r="936" ht="12.75" hidden="1"/>
    <row r="937" ht="12.75" hidden="1"/>
    <row r="938" ht="12.75" hidden="1"/>
    <row r="939" ht="12.75" hidden="1"/>
    <row r="940" ht="12.75" hidden="1"/>
    <row r="941" ht="12.75" hidden="1"/>
    <row r="942" ht="12.75" hidden="1"/>
    <row r="943" ht="12.75" hidden="1"/>
    <row r="944" ht="12.75" hidden="1"/>
    <row r="945" ht="12.75" hidden="1"/>
    <row r="946" ht="12.75" hidden="1"/>
    <row r="947" ht="12.75" hidden="1"/>
    <row r="948" ht="12.75" hidden="1"/>
    <row r="949" ht="12.75" hidden="1"/>
    <row r="950" ht="12.75" hidden="1"/>
    <row r="951" ht="12.75" hidden="1"/>
    <row r="952" ht="12.75" hidden="1"/>
    <row r="953" ht="12.75" hidden="1"/>
    <row r="954" ht="12.75" hidden="1"/>
    <row r="955" ht="12.75" hidden="1"/>
    <row r="956" ht="12.75" hidden="1"/>
    <row r="957" ht="12.75" hidden="1"/>
    <row r="958" ht="12.75" hidden="1"/>
    <row r="959" ht="12.75" hidden="1"/>
    <row r="960" ht="12.75" hidden="1"/>
    <row r="961" ht="12.75" hidden="1"/>
    <row r="962" ht="12.75" hidden="1"/>
    <row r="963" ht="12.75" hidden="1"/>
    <row r="964" ht="12.75" hidden="1"/>
    <row r="965" ht="12.75" hidden="1"/>
    <row r="966" ht="12.75" hidden="1"/>
    <row r="967" ht="12.75" hidden="1"/>
    <row r="968" ht="12.75" hidden="1"/>
    <row r="969" ht="12.75" hidden="1"/>
    <row r="970" ht="12.75" hidden="1"/>
    <row r="971" ht="12.75" hidden="1"/>
    <row r="972" ht="12.75" hidden="1"/>
    <row r="973" ht="12.75" hidden="1"/>
    <row r="974" ht="12.75" hidden="1"/>
    <row r="975" ht="12.75" hidden="1"/>
    <row r="976" ht="12.75" hidden="1"/>
    <row r="977" ht="12.75" hidden="1"/>
    <row r="978" ht="12.75" hidden="1"/>
    <row r="979" ht="12.75" hidden="1"/>
    <row r="980" ht="12.75" hidden="1"/>
    <row r="981" ht="12.75" hidden="1"/>
    <row r="982" ht="12.75" hidden="1"/>
    <row r="983" ht="12.75" hidden="1"/>
    <row r="984" ht="12.75" hidden="1"/>
    <row r="985" ht="12.75" hidden="1"/>
    <row r="986" ht="12.75" hidden="1"/>
    <row r="987" ht="12.75" hidden="1"/>
    <row r="988" ht="12.75" hidden="1"/>
    <row r="989" ht="12.75" hidden="1"/>
    <row r="990" ht="12.75" hidden="1"/>
    <row r="991" ht="12.75" hidden="1"/>
    <row r="992" ht="12.75" hidden="1"/>
  </sheetData>
  <autoFilter ref="A1:J992" xr:uid="{00000000-0009-0000-0000-00000A000000}">
    <filterColumn colId="5">
      <filters>
        <filter val="32mm Carbon"/>
      </filters>
    </filterColumn>
  </autoFilter>
  <customSheetViews>
    <customSheetView guid="{5B966157-D76D-4ACD-A64E-35B71110F4A8}" filter="1" showAutoFilter="1">
      <pageMargins left="0.7" right="0.7" top="0.75" bottom="0.75" header="0.3" footer="0.3"/>
      <autoFilter ref="A1:J992" xr:uid="{FD1EB4A1-5526-4B7E-8754-8C5D57497391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BMC SLR01"/>
            <filter val="BMC Time Machine"/>
            <filter val="Cannondale Caad12"/>
            <filter val="Cannondale EVO"/>
            <filter val="Cannondale SuperSix EVO"/>
            <filter val="Cannondale Synapse"/>
            <filter val="Cannondale SystemSix"/>
            <filter val="Canyon Speedmax"/>
            <filter val="Canyon Ultimate"/>
            <filter val="Cervelo P5"/>
            <filter val="Cervelo P5x"/>
            <filter val="Cervelo R5"/>
            <filter val="Cervelo S3D"/>
            <filter val="Chapter 2 Rere"/>
            <filter val="Chapter 2 Tere"/>
            <filter val="Cube Aerium"/>
            <filter val="Cube Litening"/>
            <filter val="Diamondback Andean"/>
            <filter val="Felt AR"/>
            <filter val="Felt IA"/>
            <filter val="Giant Propel Advanced SL Disc"/>
            <filter val="Giant TCR Advanced SL"/>
            <filter val="Liv Langma Advanced SL"/>
            <filter val="Pinarello Bolide"/>
            <filter val="Pinarello Bolide TT"/>
            <filter val="Pinarello Dogma 65.1"/>
            <filter val="Pinarello Dogma F10"/>
            <filter val="Pinarello F8"/>
            <filter val="Ridley Helium"/>
            <filter val="Scott Foil"/>
            <filter val="Scott Plasma"/>
            <filter val="Specialized Allez"/>
            <filter val="Specialized Allez Sprint"/>
            <filter val="Specialized Amira"/>
            <filter val="Specialized Amira S-Works"/>
            <filter val="Specialized Roubaix"/>
            <filter val="Specialized Roubaix S-Works"/>
            <filter val="Specialized Ruby"/>
            <filter val="Specialized Ruby S-Works"/>
            <filter val="Specialized Shiv"/>
            <filter val="Specialized Shiv Disc"/>
            <filter val="Specialized Shiv S-Works"/>
            <filter val="Specialized Tarmac"/>
            <filter val="Specialized Tarmac Pro"/>
            <filter val="Specialized Venge"/>
            <filter val="Specialized Venge S-Works"/>
            <filter val="Trek Emonda"/>
            <filter val="Trek Emonda SL"/>
            <filter val="Tron (Concept Z1)"/>
            <filter val="Ventum One"/>
            <filter val="Zwift Buffalo Fahrrad"/>
            <filter val="Zwift Carbon"/>
            <filter val="Zwift Safety"/>
            <filter val="Zwift Steel"/>
            <filter val="Zwift TT"/>
          </filters>
        </filterColumn>
        <filterColumn colId="5">
          <filters blank="1">
            <filter val="32mm Carbon"/>
            <filter val="Tron"/>
            <filter val="Zipp 858/Super9"/>
          </filters>
        </filterColumn>
      </autoFilter>
    </customSheetView>
  </customSheetViews>
  <conditionalFormatting sqref="H1:H1181 J1:J118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K2" r:id="rId1" xr:uid="{00000000-0004-0000-0A00-000000000000}"/>
    <hyperlink ref="K3" r:id="rId2" xr:uid="{00000000-0004-0000-0A00-000001000000}"/>
    <hyperlink ref="K4" r:id="rId3" xr:uid="{00000000-0004-0000-0A00-000002000000}"/>
    <hyperlink ref="K5" r:id="rId4" xr:uid="{00000000-0004-0000-0A00-000003000000}"/>
    <hyperlink ref="K7" r:id="rId5" xr:uid="{00000000-0004-0000-0A00-000004000000}"/>
    <hyperlink ref="K8" r:id="rId6" xr:uid="{00000000-0004-0000-0A00-000005000000}"/>
    <hyperlink ref="K9" r:id="rId7" xr:uid="{00000000-0004-0000-0A00-000006000000}"/>
    <hyperlink ref="K10" r:id="rId8" xr:uid="{00000000-0004-0000-0A00-000007000000}"/>
    <hyperlink ref="K11" r:id="rId9" xr:uid="{00000000-0004-0000-0A00-000008000000}"/>
    <hyperlink ref="K12" r:id="rId10" xr:uid="{00000000-0004-0000-0A00-000009000000}"/>
    <hyperlink ref="K13" r:id="rId11" xr:uid="{00000000-0004-0000-0A00-00000A000000}"/>
    <hyperlink ref="K14" r:id="rId12" xr:uid="{00000000-0004-0000-0A00-00000B000000}"/>
    <hyperlink ref="K15" r:id="rId13" xr:uid="{00000000-0004-0000-0A00-00000C000000}"/>
    <hyperlink ref="K16" r:id="rId14" xr:uid="{00000000-0004-0000-0A00-00000D000000}"/>
    <hyperlink ref="K17" r:id="rId15" xr:uid="{00000000-0004-0000-0A00-00000E000000}"/>
    <hyperlink ref="K18" r:id="rId16" xr:uid="{00000000-0004-0000-0A00-00000F000000}"/>
    <hyperlink ref="K19" r:id="rId17" xr:uid="{00000000-0004-0000-0A00-000010000000}"/>
    <hyperlink ref="K20" r:id="rId18" xr:uid="{00000000-0004-0000-0A00-000011000000}"/>
    <hyperlink ref="K21" r:id="rId19" xr:uid="{00000000-0004-0000-0A00-000012000000}"/>
    <hyperlink ref="K22" r:id="rId20" xr:uid="{00000000-0004-0000-0A00-000013000000}"/>
    <hyperlink ref="K23" r:id="rId21" xr:uid="{00000000-0004-0000-0A00-000014000000}"/>
    <hyperlink ref="K24" r:id="rId22" xr:uid="{00000000-0004-0000-0A00-000015000000}"/>
    <hyperlink ref="K25" r:id="rId23" xr:uid="{00000000-0004-0000-0A00-000016000000}"/>
    <hyperlink ref="K27" r:id="rId24" xr:uid="{00000000-0004-0000-0A00-000017000000}"/>
    <hyperlink ref="K28" r:id="rId25" xr:uid="{00000000-0004-0000-0A00-000018000000}"/>
    <hyperlink ref="K29" r:id="rId26" xr:uid="{00000000-0004-0000-0A00-000019000000}"/>
    <hyperlink ref="K30" r:id="rId27" xr:uid="{00000000-0004-0000-0A00-00001A000000}"/>
    <hyperlink ref="K31" r:id="rId28" xr:uid="{00000000-0004-0000-0A00-00001B000000}"/>
    <hyperlink ref="K32" r:id="rId29" xr:uid="{00000000-0004-0000-0A00-00001C000000}"/>
    <hyperlink ref="K33" r:id="rId30" xr:uid="{00000000-0004-0000-0A00-00001D000000}"/>
    <hyperlink ref="K34" r:id="rId31" xr:uid="{00000000-0004-0000-0A00-00001E000000}"/>
    <hyperlink ref="K35" r:id="rId32" xr:uid="{00000000-0004-0000-0A00-00001F000000}"/>
    <hyperlink ref="K36" r:id="rId33" xr:uid="{00000000-0004-0000-0A00-000020000000}"/>
    <hyperlink ref="K37" r:id="rId34" xr:uid="{00000000-0004-0000-0A00-000021000000}"/>
    <hyperlink ref="K38" r:id="rId35" xr:uid="{00000000-0004-0000-0A00-000022000000}"/>
    <hyperlink ref="K39" r:id="rId36" xr:uid="{00000000-0004-0000-0A00-000023000000}"/>
    <hyperlink ref="K40" r:id="rId37" xr:uid="{00000000-0004-0000-0A00-000024000000}"/>
    <hyperlink ref="K41" r:id="rId38" xr:uid="{00000000-0004-0000-0A00-000025000000}"/>
    <hyperlink ref="K42" r:id="rId39" xr:uid="{00000000-0004-0000-0A00-000026000000}"/>
    <hyperlink ref="K43" r:id="rId40" xr:uid="{00000000-0004-0000-0A00-000027000000}"/>
    <hyperlink ref="K44" r:id="rId41" xr:uid="{00000000-0004-0000-0A00-000028000000}"/>
    <hyperlink ref="K45" r:id="rId42" xr:uid="{00000000-0004-0000-0A00-000029000000}"/>
    <hyperlink ref="K46" r:id="rId43" xr:uid="{00000000-0004-0000-0A00-00002A000000}"/>
    <hyperlink ref="K47" r:id="rId44" xr:uid="{00000000-0004-0000-0A00-00002B000000}"/>
    <hyperlink ref="K48" r:id="rId45" xr:uid="{00000000-0004-0000-0A00-00002C000000}"/>
    <hyperlink ref="K49" r:id="rId46" xr:uid="{00000000-0004-0000-0A00-00002D000000}"/>
    <hyperlink ref="K50" r:id="rId47" xr:uid="{00000000-0004-0000-0A00-00002E000000}"/>
    <hyperlink ref="K51" r:id="rId48" xr:uid="{00000000-0004-0000-0A00-00002F000000}"/>
    <hyperlink ref="K52" r:id="rId49" xr:uid="{00000000-0004-0000-0A00-000030000000}"/>
    <hyperlink ref="K53" r:id="rId50" xr:uid="{00000000-0004-0000-0A00-000031000000}"/>
    <hyperlink ref="K54" r:id="rId51" xr:uid="{00000000-0004-0000-0A00-000032000000}"/>
    <hyperlink ref="K55" r:id="rId52" xr:uid="{00000000-0004-0000-0A00-000033000000}"/>
    <hyperlink ref="K56" r:id="rId53" xr:uid="{00000000-0004-0000-0A00-000034000000}"/>
    <hyperlink ref="K57" r:id="rId54" xr:uid="{00000000-0004-0000-0A00-000035000000}"/>
    <hyperlink ref="K58" r:id="rId55" xr:uid="{00000000-0004-0000-0A00-000036000000}"/>
    <hyperlink ref="K59" r:id="rId56" xr:uid="{00000000-0004-0000-0A00-000037000000}"/>
    <hyperlink ref="K60" r:id="rId57" xr:uid="{00000000-0004-0000-0A00-000038000000}"/>
    <hyperlink ref="K61" r:id="rId58" xr:uid="{00000000-0004-0000-0A00-000039000000}"/>
    <hyperlink ref="K62" r:id="rId59" xr:uid="{00000000-0004-0000-0A00-00003A000000}"/>
    <hyperlink ref="K63" r:id="rId60" xr:uid="{00000000-0004-0000-0A00-00003B000000}"/>
    <hyperlink ref="K64" r:id="rId61" xr:uid="{00000000-0004-0000-0A00-00003C000000}"/>
    <hyperlink ref="K65" r:id="rId62" xr:uid="{00000000-0004-0000-0A00-00003D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W10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  <col min="6" max="6" width="16.7109375" customWidth="1"/>
    <col min="9" max="9" width="17.1406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540</v>
      </c>
      <c r="I1" s="1" t="s">
        <v>541</v>
      </c>
      <c r="J1" s="1" t="s">
        <v>542</v>
      </c>
      <c r="K1" s="1"/>
      <c r="L1" s="1" t="s">
        <v>8</v>
      </c>
    </row>
    <row r="2" spans="1:23" ht="15.75" customHeight="1">
      <c r="A2" s="3">
        <v>75</v>
      </c>
      <c r="B2" s="3">
        <v>300</v>
      </c>
      <c r="C2" s="3">
        <f t="shared" ref="C2:C104" si="0">B2/A2</f>
        <v>4</v>
      </c>
      <c r="D2" s="3">
        <v>183</v>
      </c>
      <c r="E2" s="49" t="s">
        <v>26</v>
      </c>
      <c r="F2" s="3" t="s">
        <v>65</v>
      </c>
      <c r="G2" s="4">
        <v>2.3657407407407408E-2</v>
      </c>
      <c r="H2" s="4">
        <v>0.01</v>
      </c>
      <c r="I2" s="4">
        <v>5.7060185185185183E-3</v>
      </c>
      <c r="J2" s="4">
        <v>2.5462962962962965E-3</v>
      </c>
      <c r="K2" s="28" t="str">
        <f>HYPERLINK("https://www.strava.com/activities/2187523578","Strava")</f>
        <v>Strava</v>
      </c>
    </row>
    <row r="3" spans="1:23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49" t="s">
        <v>26</v>
      </c>
      <c r="F3" s="3" t="s">
        <v>11</v>
      </c>
      <c r="G3" s="4">
        <v>2.3645833333333335E-2</v>
      </c>
      <c r="H3" s="4">
        <v>0.01</v>
      </c>
      <c r="I3" s="4">
        <v>5.7175925925925927E-3</v>
      </c>
      <c r="J3" s="4">
        <v>2.5462962962962965E-3</v>
      </c>
      <c r="K3" s="28" t="str">
        <f>HYPERLINK("https://www.strava.com/activities/2302367066","Strava")</f>
        <v>Strava</v>
      </c>
    </row>
    <row r="4" spans="1:23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49" t="s">
        <v>28</v>
      </c>
      <c r="F4" s="3" t="s">
        <v>65</v>
      </c>
      <c r="G4" s="4">
        <v>2.3645833333333335E-2</v>
      </c>
      <c r="H4" s="4">
        <v>0.01</v>
      </c>
      <c r="I4" s="4">
        <v>5.7175925925925927E-3</v>
      </c>
      <c r="J4" s="4">
        <v>2.5462962962962965E-3</v>
      </c>
      <c r="K4" s="28" t="str">
        <f>HYPERLINK("https://www.strava.com/activities/2412367319","Strava")</f>
        <v>Strava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49" t="s">
        <v>30</v>
      </c>
      <c r="F5" s="3" t="s">
        <v>65</v>
      </c>
      <c r="G5" s="4">
        <v>2.3657407407407408E-2</v>
      </c>
      <c r="H5" s="4">
        <v>0.01</v>
      </c>
      <c r="I5" s="4">
        <v>5.7175925925925927E-3</v>
      </c>
      <c r="J5" s="4">
        <v>2.5578703703703705E-3</v>
      </c>
      <c r="K5" s="28" t="str">
        <f>HYPERLINK("https://www.strava.com/activities/2187524133","Strava")</f>
        <v>Strava</v>
      </c>
    </row>
    <row r="6" spans="1:23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49" t="s">
        <v>32</v>
      </c>
      <c r="F6" s="3" t="s">
        <v>65</v>
      </c>
      <c r="G6" s="4">
        <v>2.3703703703703703E-2</v>
      </c>
      <c r="H6" s="4">
        <v>1.0023148148148147E-2</v>
      </c>
      <c r="I6" s="4">
        <v>5.7175925925925927E-3</v>
      </c>
      <c r="J6" s="4">
        <v>2.5578703703703705E-3</v>
      </c>
      <c r="K6" s="28" t="str">
        <f>HYPERLINK("https://www.strava.com/activities/2187524145","Strava")</f>
        <v>Strava</v>
      </c>
    </row>
    <row r="7" spans="1:23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9</v>
      </c>
      <c r="F7" s="3" t="s">
        <v>11</v>
      </c>
      <c r="G7" s="4">
        <v>2.4305555555555556E-2</v>
      </c>
      <c r="H7" s="4">
        <v>1.0324074074074074E-2</v>
      </c>
      <c r="I7" s="4">
        <v>5.7291666666666663E-3</v>
      </c>
      <c r="J7" s="4">
        <v>2.673611111111111E-3</v>
      </c>
      <c r="K7" s="28" t="str">
        <f>HYPERLINK("https://www.strava.com/activities/2316339893","Strava")</f>
        <v>Strava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 t="s">
        <v>73</v>
      </c>
      <c r="F8" s="3" t="s">
        <v>351</v>
      </c>
      <c r="G8" s="4">
        <v>2.4305555555555556E-2</v>
      </c>
      <c r="H8" s="4">
        <v>1.0324074074074074E-2</v>
      </c>
      <c r="I8" s="4">
        <v>5.7291666666666663E-3</v>
      </c>
      <c r="J8" s="4">
        <v>2.685185185185185E-3</v>
      </c>
      <c r="K8" s="28" t="str">
        <f>HYPERLINK("https://www.strava.com/activities/2182067318","Strava")</f>
        <v>Strava</v>
      </c>
    </row>
    <row r="9" spans="1:23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3" t="s">
        <v>9</v>
      </c>
      <c r="F9" s="3" t="s">
        <v>65</v>
      </c>
      <c r="G9" s="4">
        <v>2.431712962962963E-2</v>
      </c>
      <c r="H9" s="4">
        <v>1.03125E-2</v>
      </c>
      <c r="I9" s="4">
        <v>5.7291666666666663E-3</v>
      </c>
      <c r="J9" s="4">
        <v>2.673611111111111E-3</v>
      </c>
      <c r="K9" s="28" t="str">
        <f>HYPERLINK("https://www.strava.com/activities/2187388690","Strava")</f>
        <v>Strava</v>
      </c>
    </row>
    <row r="10" spans="1:23" ht="15.75" customHeight="1">
      <c r="A10" s="3">
        <v>75</v>
      </c>
      <c r="B10" s="3">
        <v>300</v>
      </c>
      <c r="C10" s="3">
        <f t="shared" si="0"/>
        <v>4</v>
      </c>
      <c r="D10" s="3">
        <v>183</v>
      </c>
      <c r="E10" s="3" t="s">
        <v>58</v>
      </c>
      <c r="F10" s="3" t="s">
        <v>65</v>
      </c>
      <c r="G10" s="4">
        <v>2.431712962962963E-2</v>
      </c>
      <c r="H10" s="4">
        <v>1.0324074074074074E-2</v>
      </c>
      <c r="I10" s="4">
        <v>5.7407407407407407E-3</v>
      </c>
      <c r="J10" s="4">
        <v>2.673611111111111E-3</v>
      </c>
      <c r="K10" s="28" t="str">
        <f>HYPERLINK("https://www.strava.com/activities/2187419145","Strava")</f>
        <v>Strava</v>
      </c>
    </row>
    <row r="11" spans="1:23" ht="15.75" customHeight="1">
      <c r="A11" s="3">
        <v>75</v>
      </c>
      <c r="B11" s="3">
        <v>300</v>
      </c>
      <c r="C11" s="3">
        <f t="shared" si="0"/>
        <v>4</v>
      </c>
      <c r="D11" s="3">
        <v>183</v>
      </c>
      <c r="E11" s="3" t="s">
        <v>61</v>
      </c>
      <c r="F11" s="3" t="s">
        <v>65</v>
      </c>
      <c r="G11" s="4">
        <v>2.431712962962963E-2</v>
      </c>
      <c r="H11" s="4">
        <v>1.03125E-2</v>
      </c>
      <c r="I11" s="4">
        <v>5.7407407407407407E-3</v>
      </c>
      <c r="J11" s="4">
        <v>2.662037037037037E-3</v>
      </c>
      <c r="K11" s="28" t="str">
        <f>HYPERLINK("https://www.strava.com/activities/2412813844","Strava")</f>
        <v>Strava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5.75" customHeight="1">
      <c r="A12" s="3">
        <v>75</v>
      </c>
      <c r="B12" s="3">
        <v>300</v>
      </c>
      <c r="C12" s="3">
        <f t="shared" si="0"/>
        <v>4</v>
      </c>
      <c r="D12" s="3">
        <v>183</v>
      </c>
      <c r="E12" s="3" t="s">
        <v>63</v>
      </c>
      <c r="F12" s="3" t="s">
        <v>65</v>
      </c>
      <c r="G12" s="4">
        <v>2.4328703703703703E-2</v>
      </c>
      <c r="H12" s="4">
        <v>1.03125E-2</v>
      </c>
      <c r="I12" s="4">
        <v>5.7407407407407407E-3</v>
      </c>
      <c r="J12" s="4">
        <v>2.673611111111111E-3</v>
      </c>
      <c r="K12" s="28" t="str">
        <f>HYPERLINK("https://www.strava.com/activities/2187419292","Strava")</f>
        <v>Strava</v>
      </c>
    </row>
    <row r="13" spans="1:23" ht="15.75" customHeight="1">
      <c r="A13" s="3">
        <v>75</v>
      </c>
      <c r="B13" s="3">
        <v>300</v>
      </c>
      <c r="C13" s="3">
        <f t="shared" si="0"/>
        <v>4</v>
      </c>
      <c r="D13" s="3">
        <v>183</v>
      </c>
      <c r="E13" s="3" t="s">
        <v>543</v>
      </c>
      <c r="F13" s="3" t="s">
        <v>65</v>
      </c>
      <c r="G13" s="4">
        <v>2.4340277777777777E-2</v>
      </c>
      <c r="H13" s="4">
        <v>1.0324074074074074E-2</v>
      </c>
      <c r="I13" s="4">
        <v>5.7407407407407407E-3</v>
      </c>
      <c r="J13" s="4">
        <v>2.673611111111111E-3</v>
      </c>
      <c r="K13" s="28" t="str">
        <f>HYPERLINK("https://www.strava.com/activities/2187447226","Strava")</f>
        <v>Strava</v>
      </c>
    </row>
    <row r="14" spans="1:23" ht="15.75" customHeight="1">
      <c r="A14" s="3">
        <v>75</v>
      </c>
      <c r="B14" s="3">
        <v>300</v>
      </c>
      <c r="C14" s="3">
        <f t="shared" si="0"/>
        <v>4</v>
      </c>
      <c r="D14" s="3">
        <v>183</v>
      </c>
      <c r="E14" s="49" t="s">
        <v>28</v>
      </c>
      <c r="F14" s="3" t="s">
        <v>17</v>
      </c>
      <c r="G14" s="4">
        <v>2.4039351851851853E-2</v>
      </c>
      <c r="H14" s="4">
        <v>1.0185185185185186E-2</v>
      </c>
      <c r="I14" s="4">
        <v>5.7523148148148151E-3</v>
      </c>
      <c r="J14" s="4">
        <v>2.6041666666666665E-3</v>
      </c>
      <c r="K14" s="28" t="str">
        <f>HYPERLINK("https://www.strava.com/activities/2412265056","Strava")</f>
        <v>Strava</v>
      </c>
    </row>
    <row r="15" spans="1:23" ht="15.75" customHeight="1">
      <c r="A15" s="3">
        <v>75</v>
      </c>
      <c r="B15" s="3">
        <v>300</v>
      </c>
      <c r="C15" s="3">
        <f t="shared" si="0"/>
        <v>4</v>
      </c>
      <c r="D15" s="3">
        <v>183</v>
      </c>
      <c r="E15" s="52" t="s">
        <v>26</v>
      </c>
      <c r="F15" s="3" t="s">
        <v>17</v>
      </c>
      <c r="G15" s="4">
        <v>2.4050925925925927E-2</v>
      </c>
      <c r="H15" s="4">
        <v>1.0185185185185186E-2</v>
      </c>
      <c r="I15" s="4">
        <v>5.7523148148148151E-3</v>
      </c>
      <c r="J15" s="4">
        <v>2.6157407407407405E-3</v>
      </c>
      <c r="K15" s="28" t="str">
        <f>HYPERLINK("https://www.strava.com/activities/2184396568","Strava")</f>
        <v>Strava</v>
      </c>
    </row>
    <row r="16" spans="1:23" ht="15.75" customHeight="1">
      <c r="A16" s="3">
        <v>75</v>
      </c>
      <c r="B16" s="3">
        <v>300</v>
      </c>
      <c r="C16" s="3">
        <f t="shared" si="0"/>
        <v>4</v>
      </c>
      <c r="D16" s="3">
        <v>183</v>
      </c>
      <c r="E16" s="52" t="s">
        <v>42</v>
      </c>
      <c r="F16" s="3" t="s">
        <v>17</v>
      </c>
      <c r="G16" s="4">
        <v>2.4143518518518519E-2</v>
      </c>
      <c r="H16" s="4">
        <v>1.0219907407407407E-2</v>
      </c>
      <c r="I16" s="4">
        <v>5.7523148148148151E-3</v>
      </c>
      <c r="J16" s="4">
        <v>2.627314814814815E-3</v>
      </c>
      <c r="K16" s="28" t="str">
        <f>HYPERLINK("https://www.strava.com/activities/2186036507","Strava")</f>
        <v>Strava</v>
      </c>
    </row>
    <row r="17" spans="1:11" ht="15.75" customHeight="1">
      <c r="A17" s="3">
        <v>75</v>
      </c>
      <c r="B17" s="3">
        <v>300</v>
      </c>
      <c r="C17" s="3">
        <f t="shared" si="0"/>
        <v>4</v>
      </c>
      <c r="D17" s="3">
        <v>183</v>
      </c>
      <c r="E17" s="3" t="s">
        <v>77</v>
      </c>
      <c r="F17" s="3" t="s">
        <v>65</v>
      </c>
      <c r="G17" s="4">
        <v>2.435185185185185E-2</v>
      </c>
      <c r="H17" s="4">
        <v>1.0324074074074074E-2</v>
      </c>
      <c r="I17" s="4">
        <v>5.7523148148148151E-3</v>
      </c>
      <c r="J17" s="4">
        <v>2.673611111111111E-3</v>
      </c>
      <c r="K17" s="28" t="str">
        <f>HYPERLINK("https://www.strava.com/activities/2187478207","Strava")</f>
        <v>Strava</v>
      </c>
    </row>
    <row r="18" spans="1:11" ht="15.75" customHeight="1">
      <c r="A18" s="3">
        <v>75</v>
      </c>
      <c r="B18" s="3">
        <v>300</v>
      </c>
      <c r="C18" s="3">
        <f t="shared" si="0"/>
        <v>4</v>
      </c>
      <c r="D18" s="3">
        <v>183</v>
      </c>
      <c r="E18" s="3" t="s">
        <v>19</v>
      </c>
      <c r="F18" s="3" t="s">
        <v>106</v>
      </c>
      <c r="G18" s="4">
        <v>2.4432870370370369E-2</v>
      </c>
      <c r="H18" s="4">
        <v>1.0381944444444444E-2</v>
      </c>
      <c r="I18" s="4">
        <v>5.7523148148148151E-3</v>
      </c>
      <c r="J18" s="4">
        <v>2.685185185185185E-3</v>
      </c>
      <c r="K18" s="28" t="str">
        <f>HYPERLINK("https://www.strava.com/activities/2182660672","Strava")</f>
        <v>Strava</v>
      </c>
    </row>
    <row r="19" spans="1:11" ht="15.75" customHeight="1">
      <c r="A19" s="3">
        <v>75</v>
      </c>
      <c r="B19" s="3">
        <v>300</v>
      </c>
      <c r="C19" s="3">
        <f t="shared" si="0"/>
        <v>4</v>
      </c>
      <c r="D19" s="3">
        <v>183</v>
      </c>
      <c r="E19" s="3" t="s">
        <v>9</v>
      </c>
      <c r="F19" s="3" t="s">
        <v>14</v>
      </c>
      <c r="G19" s="4"/>
      <c r="H19" s="4"/>
      <c r="I19" s="4">
        <v>5.7523148148148151E-3</v>
      </c>
      <c r="J19" s="4"/>
      <c r="K19" s="28" t="s">
        <v>544</v>
      </c>
    </row>
    <row r="20" spans="1:11" ht="15.75" customHeight="1">
      <c r="A20" s="3">
        <v>75</v>
      </c>
      <c r="B20" s="3">
        <v>300</v>
      </c>
      <c r="C20" s="3">
        <f t="shared" si="0"/>
        <v>4</v>
      </c>
      <c r="D20" s="3">
        <v>183</v>
      </c>
      <c r="E20" s="52" t="s">
        <v>30</v>
      </c>
      <c r="F20" s="3" t="s">
        <v>17</v>
      </c>
      <c r="G20" s="4">
        <v>2.4062500000000001E-2</v>
      </c>
      <c r="H20" s="4">
        <v>1.0185185185185186E-2</v>
      </c>
      <c r="I20" s="4">
        <v>5.7638888888888887E-3</v>
      </c>
      <c r="J20" s="4">
        <v>2.6157407407407405E-3</v>
      </c>
      <c r="K20" s="28" t="str">
        <f>HYPERLINK("https://www.strava.com/activities/2186035487","Strava")</f>
        <v>Strava</v>
      </c>
    </row>
    <row r="21" spans="1:11" ht="15.75" customHeight="1">
      <c r="A21" s="3">
        <v>75</v>
      </c>
      <c r="B21" s="3">
        <v>300</v>
      </c>
      <c r="C21" s="3">
        <f t="shared" si="0"/>
        <v>4</v>
      </c>
      <c r="D21" s="3">
        <v>183</v>
      </c>
      <c r="E21" s="52" t="s">
        <v>32</v>
      </c>
      <c r="F21" s="3" t="s">
        <v>17</v>
      </c>
      <c r="G21" s="4">
        <v>2.4085648148148148E-2</v>
      </c>
      <c r="H21" s="4">
        <v>1.0208333333333333E-2</v>
      </c>
      <c r="I21" s="4">
        <v>5.7638888888888887E-3</v>
      </c>
      <c r="J21" s="4">
        <v>2.6157407407407405E-3</v>
      </c>
      <c r="K21" s="28" t="str">
        <f>HYPERLINK("https://www.strava.com/activities/2184396610","Strava")</f>
        <v>Strava</v>
      </c>
    </row>
    <row r="22" spans="1:11" ht="15.75" customHeight="1">
      <c r="A22" s="3">
        <v>75</v>
      </c>
      <c r="B22" s="3">
        <v>300</v>
      </c>
      <c r="C22" s="3">
        <f t="shared" si="0"/>
        <v>4</v>
      </c>
      <c r="D22" s="3">
        <v>183</v>
      </c>
      <c r="E22" s="49" t="s">
        <v>36</v>
      </c>
      <c r="F22" s="3" t="s">
        <v>17</v>
      </c>
      <c r="G22" s="4">
        <v>2.4143518518518519E-2</v>
      </c>
      <c r="H22" s="4">
        <v>1.0219907407407407E-2</v>
      </c>
      <c r="I22" s="4">
        <v>5.7638888888888887E-3</v>
      </c>
      <c r="J22" s="4">
        <v>2.627314814814815E-3</v>
      </c>
      <c r="K22" s="28" t="str">
        <f>HYPERLINK("https://www.strava.com/activities/2356949681","Strava")</f>
        <v>Strava</v>
      </c>
    </row>
    <row r="23" spans="1:11" ht="15.75" customHeight="1">
      <c r="A23" s="3">
        <v>75</v>
      </c>
      <c r="B23" s="3">
        <v>300</v>
      </c>
      <c r="C23" s="3">
        <f t="shared" si="0"/>
        <v>4</v>
      </c>
      <c r="D23" s="3">
        <v>183</v>
      </c>
      <c r="E23" s="52" t="s">
        <v>38</v>
      </c>
      <c r="F23" s="3" t="s">
        <v>17</v>
      </c>
      <c r="G23" s="4">
        <v>2.4143518518518519E-2</v>
      </c>
      <c r="H23" s="4">
        <v>1.0231481481481482E-2</v>
      </c>
      <c r="I23" s="4">
        <v>5.7638888888888887E-3</v>
      </c>
      <c r="J23" s="4">
        <v>2.627314814814815E-3</v>
      </c>
      <c r="K23" s="28" t="str">
        <f>HYPERLINK("https://www.strava.com/activities/2183022153","Strava")</f>
        <v>Strava</v>
      </c>
    </row>
    <row r="24" spans="1:11" ht="15.75" customHeight="1">
      <c r="A24" s="3">
        <v>75</v>
      </c>
      <c r="B24" s="3">
        <v>300</v>
      </c>
      <c r="C24" s="3">
        <f t="shared" si="0"/>
        <v>4</v>
      </c>
      <c r="D24" s="3">
        <v>183</v>
      </c>
      <c r="E24" s="49" t="s">
        <v>40</v>
      </c>
      <c r="F24" s="3" t="s">
        <v>17</v>
      </c>
      <c r="G24" s="4">
        <v>2.4143518518518519E-2</v>
      </c>
      <c r="H24" s="4">
        <v>1.0219907407407407E-2</v>
      </c>
      <c r="I24" s="4">
        <v>5.7638888888888887E-3</v>
      </c>
      <c r="J24" s="4">
        <v>2.627314814814815E-3</v>
      </c>
      <c r="K24" s="28" t="str">
        <f>HYPERLINK("https://www.strava.com/activities/2356934477","Strava")</f>
        <v>Strava</v>
      </c>
    </row>
    <row r="25" spans="1:11" ht="15.75" customHeight="1">
      <c r="A25" s="3">
        <v>75</v>
      </c>
      <c r="B25" s="3">
        <v>300</v>
      </c>
      <c r="C25" s="3">
        <f t="shared" si="0"/>
        <v>4</v>
      </c>
      <c r="D25" s="3">
        <v>183</v>
      </c>
      <c r="E25" s="52" t="s">
        <v>385</v>
      </c>
      <c r="F25" s="3" t="s">
        <v>17</v>
      </c>
      <c r="G25" s="4">
        <v>2.4155092592592593E-2</v>
      </c>
      <c r="H25" s="4">
        <v>1.0231481481481482E-2</v>
      </c>
      <c r="I25" s="4">
        <v>5.7638888888888887E-3</v>
      </c>
      <c r="J25" s="4">
        <v>2.627314814814815E-3</v>
      </c>
      <c r="K25" s="28" t="str">
        <f>HYPERLINK("https://www.strava.com/activities/2184210218","Strava")</f>
        <v>Strava</v>
      </c>
    </row>
    <row r="26" spans="1:11" ht="15.75" customHeight="1">
      <c r="A26" s="3">
        <v>75</v>
      </c>
      <c r="B26" s="3">
        <v>300</v>
      </c>
      <c r="C26" s="3">
        <f t="shared" si="0"/>
        <v>4</v>
      </c>
      <c r="D26" s="3">
        <v>183</v>
      </c>
      <c r="E26" s="52" t="s">
        <v>52</v>
      </c>
      <c r="F26" s="3" t="s">
        <v>17</v>
      </c>
      <c r="G26" s="4">
        <v>2.4155092592592593E-2</v>
      </c>
      <c r="H26" s="4">
        <v>1.0231481481481482E-2</v>
      </c>
      <c r="I26" s="4">
        <v>5.7638888888888887E-3</v>
      </c>
      <c r="J26" s="4">
        <v>2.627314814814815E-3</v>
      </c>
      <c r="K26" s="28" t="str">
        <f>HYPERLINK("https://www.strava.com/activities/2184934229","Strava")</f>
        <v>Strava</v>
      </c>
    </row>
    <row r="27" spans="1:11" ht="15.75" customHeight="1">
      <c r="A27" s="3">
        <v>75</v>
      </c>
      <c r="B27" s="3">
        <v>300</v>
      </c>
      <c r="C27" s="3">
        <f t="shared" si="0"/>
        <v>4</v>
      </c>
      <c r="D27" s="3">
        <v>183</v>
      </c>
      <c r="E27" s="3" t="s">
        <v>545</v>
      </c>
      <c r="F27" s="3" t="s">
        <v>65</v>
      </c>
      <c r="G27" s="4">
        <v>2.4340277777777777E-2</v>
      </c>
      <c r="H27" s="4">
        <v>1.0324074074074074E-2</v>
      </c>
      <c r="I27" s="4">
        <v>5.7638888888888887E-3</v>
      </c>
      <c r="J27" s="4">
        <v>2.662037037037037E-3</v>
      </c>
      <c r="K27" s="28" t="str">
        <f>HYPERLINK("https://www.strava.com/activities/2187479000","Strava")</f>
        <v>Strava</v>
      </c>
    </row>
    <row r="28" spans="1:11" ht="15.75" customHeight="1">
      <c r="A28" s="3">
        <v>75</v>
      </c>
      <c r="B28" s="3">
        <v>300</v>
      </c>
      <c r="C28" s="3">
        <f t="shared" si="0"/>
        <v>4</v>
      </c>
      <c r="D28" s="3">
        <v>183</v>
      </c>
      <c r="E28" s="3" t="s">
        <v>71</v>
      </c>
      <c r="F28" s="3" t="s">
        <v>65</v>
      </c>
      <c r="G28" s="4">
        <v>2.4340277777777777E-2</v>
      </c>
      <c r="H28" s="4">
        <v>1.0324074074074074E-2</v>
      </c>
      <c r="I28" s="4">
        <v>5.7638888888888887E-3</v>
      </c>
      <c r="J28" s="4">
        <v>2.662037037037037E-3</v>
      </c>
      <c r="K28" s="28" t="str">
        <f>HYPERLINK("https://www.strava.com/activities/2187446571","Strava")</f>
        <v>Strava</v>
      </c>
    </row>
    <row r="29" spans="1:11" ht="15.75" customHeight="1">
      <c r="A29" s="3">
        <v>75</v>
      </c>
      <c r="B29" s="3">
        <v>300</v>
      </c>
      <c r="C29" s="3">
        <f t="shared" si="0"/>
        <v>4</v>
      </c>
      <c r="D29" s="3">
        <v>183</v>
      </c>
      <c r="E29" s="3" t="s">
        <v>75</v>
      </c>
      <c r="F29" s="3" t="s">
        <v>65</v>
      </c>
      <c r="G29" s="4">
        <v>2.435185185185185E-2</v>
      </c>
      <c r="H29" s="4">
        <v>1.0324074074074074E-2</v>
      </c>
      <c r="I29" s="4">
        <v>5.7638888888888887E-3</v>
      </c>
      <c r="J29" s="4">
        <v>2.662037037037037E-3</v>
      </c>
      <c r="K29" s="28" t="str">
        <f>HYPERLINK("https://www.strava.com/activities/2187480396","Strava")</f>
        <v>Strava</v>
      </c>
    </row>
    <row r="30" spans="1:11" ht="15.75" customHeight="1">
      <c r="A30" s="3">
        <v>75</v>
      </c>
      <c r="B30" s="3">
        <v>300</v>
      </c>
      <c r="C30" s="3">
        <f t="shared" si="0"/>
        <v>4</v>
      </c>
      <c r="D30" s="3">
        <v>183</v>
      </c>
      <c r="E30" s="3" t="s">
        <v>19</v>
      </c>
      <c r="F30" s="3" t="s">
        <v>65</v>
      </c>
      <c r="G30" s="4">
        <v>2.4398148148148148E-2</v>
      </c>
      <c r="H30" s="4">
        <v>1.0347222222222223E-2</v>
      </c>
      <c r="I30" s="4">
        <v>5.7638888888888887E-3</v>
      </c>
      <c r="J30" s="4">
        <v>2.673611111111111E-3</v>
      </c>
      <c r="K30" s="28" t="str">
        <f>HYPERLINK("https://www.strava.com/activities/2182063121","Strava")</f>
        <v>Strava</v>
      </c>
    </row>
    <row r="31" spans="1:11" ht="15.75" customHeight="1">
      <c r="A31" s="3">
        <v>75</v>
      </c>
      <c r="B31" s="3">
        <v>300</v>
      </c>
      <c r="C31" s="3">
        <f t="shared" si="0"/>
        <v>4</v>
      </c>
      <c r="D31" s="3">
        <v>183</v>
      </c>
      <c r="E31" s="3" t="s">
        <v>19</v>
      </c>
      <c r="F31" s="3" t="s">
        <v>79</v>
      </c>
      <c r="G31" s="4">
        <v>2.4421296296296295E-2</v>
      </c>
      <c r="H31" s="4">
        <v>1.0358796296296297E-2</v>
      </c>
      <c r="I31" s="4">
        <v>5.7638888888888887E-3</v>
      </c>
      <c r="J31" s="4">
        <v>2.685185185185185E-3</v>
      </c>
      <c r="K31" s="28" t="str">
        <f>HYPERLINK("https://www.strava.com/activities/2182187032","Strava")</f>
        <v>Strava</v>
      </c>
    </row>
    <row r="32" spans="1:11" ht="15.75" customHeight="1">
      <c r="A32" s="3">
        <v>75</v>
      </c>
      <c r="B32" s="3">
        <v>300</v>
      </c>
      <c r="C32" s="3">
        <f t="shared" si="0"/>
        <v>4</v>
      </c>
      <c r="D32" s="3">
        <v>183</v>
      </c>
      <c r="E32" s="3" t="s">
        <v>19</v>
      </c>
      <c r="F32" s="3" t="s">
        <v>113</v>
      </c>
      <c r="G32" s="4">
        <v>2.449074074074074E-2</v>
      </c>
      <c r="H32" s="4">
        <v>1.0393518518518519E-2</v>
      </c>
      <c r="I32" s="4">
        <v>5.7638888888888887E-3</v>
      </c>
      <c r="J32" s="4">
        <v>2.6967592592592594E-3</v>
      </c>
      <c r="K32" s="28" t="str">
        <f>HYPERLINK("https://www.strava.com/activities/2182284435","Strava")</f>
        <v>Strava</v>
      </c>
    </row>
    <row r="33" spans="1:11" ht="15.75" customHeight="1">
      <c r="A33" s="3">
        <v>75</v>
      </c>
      <c r="B33" s="3">
        <v>300</v>
      </c>
      <c r="C33" s="3">
        <f t="shared" si="0"/>
        <v>4</v>
      </c>
      <c r="D33" s="3">
        <v>183</v>
      </c>
      <c r="E33" s="52" t="s">
        <v>46</v>
      </c>
      <c r="F33" s="3" t="s">
        <v>17</v>
      </c>
      <c r="G33" s="4">
        <v>2.4155092592592593E-2</v>
      </c>
      <c r="H33" s="4">
        <v>1.0231481481481482E-2</v>
      </c>
      <c r="I33" s="4">
        <v>5.7754629629629631E-3</v>
      </c>
      <c r="J33" s="4">
        <v>2.6157407407407405E-3</v>
      </c>
      <c r="K33" s="28" t="str">
        <f>HYPERLINK("https://www.strava.com/activities/2184334709","Strava")</f>
        <v>Strava</v>
      </c>
    </row>
    <row r="34" spans="1:11" ht="15.75" customHeight="1">
      <c r="A34" s="3">
        <v>75</v>
      </c>
      <c r="B34" s="3">
        <v>300</v>
      </c>
      <c r="C34" s="3">
        <f t="shared" si="0"/>
        <v>4</v>
      </c>
      <c r="D34" s="3">
        <v>183</v>
      </c>
      <c r="E34" s="52" t="s">
        <v>48</v>
      </c>
      <c r="F34" s="3" t="s">
        <v>17</v>
      </c>
      <c r="G34" s="4">
        <v>2.4155092592592593E-2</v>
      </c>
      <c r="H34" s="4">
        <v>1.0219907407407407E-2</v>
      </c>
      <c r="I34" s="4">
        <v>5.7754629629629631E-3</v>
      </c>
      <c r="J34" s="4">
        <v>2.627314814814815E-3</v>
      </c>
      <c r="K34" s="28" t="str">
        <f>HYPERLINK("https://www.strava.com/activities/2184611116","Strava")</f>
        <v>Strava</v>
      </c>
    </row>
    <row r="35" spans="1:11" ht="15.75" customHeight="1">
      <c r="A35" s="3">
        <v>75</v>
      </c>
      <c r="B35" s="3">
        <v>300</v>
      </c>
      <c r="C35" s="3">
        <f t="shared" si="0"/>
        <v>4</v>
      </c>
      <c r="D35" s="3">
        <v>183</v>
      </c>
      <c r="E35" s="3" t="s">
        <v>19</v>
      </c>
      <c r="F35" s="3" t="s">
        <v>108</v>
      </c>
      <c r="G35" s="4">
        <v>2.4432870370370369E-2</v>
      </c>
      <c r="H35" s="4">
        <v>1.0358796296296297E-2</v>
      </c>
      <c r="I35" s="4">
        <v>5.7754629629629631E-3</v>
      </c>
      <c r="J35" s="4">
        <v>2.685185185185185E-3</v>
      </c>
      <c r="K35" s="28" t="str">
        <f>HYPERLINK("https://www.strava.com/activities/2182731469","Strava")</f>
        <v>Strava</v>
      </c>
    </row>
    <row r="36" spans="1:11" ht="15.75" customHeight="1">
      <c r="A36" s="3">
        <v>75</v>
      </c>
      <c r="B36" s="3">
        <v>300</v>
      </c>
      <c r="C36" s="3">
        <f t="shared" si="0"/>
        <v>4</v>
      </c>
      <c r="D36" s="3">
        <v>183</v>
      </c>
      <c r="E36" s="3" t="s">
        <v>19</v>
      </c>
      <c r="F36" s="3" t="s">
        <v>91</v>
      </c>
      <c r="G36" s="4">
        <v>2.4444444444444446E-2</v>
      </c>
      <c r="H36" s="4">
        <v>1.037037037037037E-2</v>
      </c>
      <c r="I36" s="4">
        <v>5.7754629629629631E-3</v>
      </c>
      <c r="J36" s="4">
        <v>2.685185185185185E-3</v>
      </c>
      <c r="K36" s="28" t="str">
        <f>HYPERLINK("https://www.strava.com/activities/2182285829","Strava")</f>
        <v>Strava</v>
      </c>
    </row>
    <row r="37" spans="1:11" ht="15">
      <c r="A37" s="3">
        <v>75</v>
      </c>
      <c r="B37" s="3">
        <v>300</v>
      </c>
      <c r="C37" s="3">
        <f t="shared" si="0"/>
        <v>4</v>
      </c>
      <c r="D37" s="3">
        <v>183</v>
      </c>
      <c r="E37" s="3" t="s">
        <v>19</v>
      </c>
      <c r="F37" s="3" t="s">
        <v>116</v>
      </c>
      <c r="G37" s="4">
        <v>2.4525462962962964E-2</v>
      </c>
      <c r="H37" s="4">
        <v>1.0416666666666666E-2</v>
      </c>
      <c r="I37" s="4">
        <v>5.7754629629629631E-3</v>
      </c>
      <c r="J37" s="4">
        <v>2.6967592592592594E-3</v>
      </c>
      <c r="K37" s="28" t="str">
        <f>HYPERLINK("https://www.strava.com/activities/2182661024","Strava")</f>
        <v>Strava</v>
      </c>
    </row>
    <row r="38" spans="1:11" ht="15">
      <c r="A38" s="3">
        <v>75</v>
      </c>
      <c r="B38" s="3">
        <v>300</v>
      </c>
      <c r="C38" s="3">
        <f t="shared" si="0"/>
        <v>4</v>
      </c>
      <c r="D38" s="3">
        <v>183</v>
      </c>
      <c r="E38" s="3" t="s">
        <v>19</v>
      </c>
      <c r="F38" s="3" t="s">
        <v>375</v>
      </c>
      <c r="G38" s="4">
        <v>2.4537037037037038E-2</v>
      </c>
      <c r="H38" s="4">
        <v>1.0405092592592593E-2</v>
      </c>
      <c r="I38" s="4">
        <v>5.7754629629629631E-3</v>
      </c>
      <c r="J38" s="4">
        <v>2.6967592592592594E-3</v>
      </c>
      <c r="K38" s="28" t="str">
        <f>HYPERLINK("https://www.strava.com/activities/2182543845","Strava")</f>
        <v>Strava</v>
      </c>
    </row>
    <row r="39" spans="1:11" ht="15">
      <c r="A39" s="3">
        <v>75</v>
      </c>
      <c r="B39" s="3">
        <v>300</v>
      </c>
      <c r="C39" s="3">
        <f t="shared" si="0"/>
        <v>4</v>
      </c>
      <c r="D39" s="3">
        <v>183</v>
      </c>
      <c r="E39" s="3" t="s">
        <v>19</v>
      </c>
      <c r="F39" s="3" t="s">
        <v>129</v>
      </c>
      <c r="G39" s="4">
        <v>2.4548611111111111E-2</v>
      </c>
      <c r="H39" s="4">
        <v>1.0416666666666666E-2</v>
      </c>
      <c r="I39" s="4">
        <v>5.7754629629629631E-3</v>
      </c>
      <c r="J39" s="4">
        <v>2.7083333333333334E-3</v>
      </c>
      <c r="K39" s="28" t="str">
        <f>HYPERLINK("https://www.strava.com/activities/2182604354","Strava")</f>
        <v>Strava</v>
      </c>
    </row>
    <row r="40" spans="1:11" ht="15">
      <c r="A40" s="3">
        <v>75</v>
      </c>
      <c r="B40" s="3">
        <v>300</v>
      </c>
      <c r="C40" s="3">
        <f t="shared" si="0"/>
        <v>4</v>
      </c>
      <c r="D40" s="3">
        <v>183</v>
      </c>
      <c r="E40" s="3" t="s">
        <v>19</v>
      </c>
      <c r="F40" s="3" t="s">
        <v>458</v>
      </c>
      <c r="G40" s="4">
        <v>2.4560185185185185E-2</v>
      </c>
      <c r="H40" s="4">
        <v>1.0428240740740741E-2</v>
      </c>
      <c r="I40" s="4">
        <v>5.7754629629629631E-3</v>
      </c>
      <c r="J40" s="4">
        <v>2.7083333333333334E-3</v>
      </c>
      <c r="K40" s="28" t="str">
        <f>HYPERLINK("https://www.strava.com/activities/2182782461","Strava")</f>
        <v>Strava</v>
      </c>
    </row>
    <row r="41" spans="1:11" ht="15">
      <c r="A41" s="3">
        <v>75</v>
      </c>
      <c r="B41" s="3">
        <v>300</v>
      </c>
      <c r="C41" s="3">
        <f t="shared" si="0"/>
        <v>4</v>
      </c>
      <c r="D41" s="3">
        <v>183</v>
      </c>
      <c r="E41" s="3" t="s">
        <v>19</v>
      </c>
      <c r="F41" s="3" t="s">
        <v>135</v>
      </c>
      <c r="G41" s="4">
        <v>2.4583333333333332E-2</v>
      </c>
      <c r="H41" s="4">
        <v>1.0439814814814815E-2</v>
      </c>
      <c r="I41" s="4">
        <v>5.7754629629629631E-3</v>
      </c>
      <c r="J41" s="4">
        <v>2.7083333333333334E-3</v>
      </c>
      <c r="K41" s="28" t="str">
        <f>HYPERLINK("https://www.strava.com/activities/2182529116","Strava")</f>
        <v>Strava</v>
      </c>
    </row>
    <row r="42" spans="1:11" ht="15">
      <c r="A42" s="3">
        <v>75</v>
      </c>
      <c r="B42" s="3">
        <v>300</v>
      </c>
      <c r="C42" s="3">
        <f t="shared" si="0"/>
        <v>4</v>
      </c>
      <c r="D42" s="3">
        <v>183</v>
      </c>
      <c r="E42" s="3" t="s">
        <v>19</v>
      </c>
      <c r="F42" s="3" t="s">
        <v>133</v>
      </c>
      <c r="G42" s="4">
        <v>2.4641203703703703E-2</v>
      </c>
      <c r="H42" s="4">
        <v>1.0462962962962962E-2</v>
      </c>
      <c r="I42" s="4">
        <v>5.7754629629629631E-3</v>
      </c>
      <c r="J42" s="4">
        <v>2.7199074074074074E-3</v>
      </c>
      <c r="K42" s="28" t="str">
        <f>HYPERLINK("https://www.strava.com/activities/2182380445","Strava")</f>
        <v>Strava</v>
      </c>
    </row>
    <row r="43" spans="1:11" ht="15">
      <c r="A43" s="3">
        <v>75</v>
      </c>
      <c r="B43" s="3">
        <v>300</v>
      </c>
      <c r="C43" s="3">
        <f t="shared" si="0"/>
        <v>4</v>
      </c>
      <c r="D43" s="3">
        <v>183</v>
      </c>
      <c r="E43" s="3" t="s">
        <v>9</v>
      </c>
      <c r="F43" s="3" t="s">
        <v>17</v>
      </c>
      <c r="G43" s="4">
        <v>2.4687500000000001E-2</v>
      </c>
      <c r="H43" s="4">
        <v>1.0486111111111111E-2</v>
      </c>
      <c r="I43" s="4">
        <v>5.7754629629629631E-3</v>
      </c>
      <c r="J43" s="4">
        <v>2.7199074074074074E-3</v>
      </c>
      <c r="K43" s="28" t="str">
        <f>HYPERLINK("https://www.strava.com/activities/2187117163","Strava")</f>
        <v>Strava</v>
      </c>
    </row>
    <row r="44" spans="1:11" ht="15">
      <c r="A44" s="3">
        <v>75</v>
      </c>
      <c r="B44" s="3">
        <v>300</v>
      </c>
      <c r="C44" s="3">
        <f t="shared" si="0"/>
        <v>4</v>
      </c>
      <c r="D44" s="3">
        <v>183</v>
      </c>
      <c r="E44" s="3" t="s">
        <v>253</v>
      </c>
      <c r="F44" s="3" t="s">
        <v>17</v>
      </c>
      <c r="G44" s="4">
        <v>2.476851851851852E-2</v>
      </c>
      <c r="H44" s="4">
        <v>1.0532407407407407E-2</v>
      </c>
      <c r="I44" s="4">
        <v>5.7754629629629631E-3</v>
      </c>
      <c r="J44" s="4">
        <v>2.7546296296296294E-3</v>
      </c>
      <c r="K44" s="28" t="str">
        <f>HYPERLINK("https://www.strava.com/activities/2187241765","Strava")</f>
        <v>Strava</v>
      </c>
    </row>
    <row r="45" spans="1:11" ht="15">
      <c r="A45" s="3">
        <v>75</v>
      </c>
      <c r="B45" s="3">
        <v>300</v>
      </c>
      <c r="C45" s="3">
        <f t="shared" si="0"/>
        <v>4</v>
      </c>
      <c r="D45" s="3">
        <v>183</v>
      </c>
      <c r="E45" s="3" t="s">
        <v>94</v>
      </c>
      <c r="F45" s="3" t="s">
        <v>17</v>
      </c>
      <c r="G45" s="4">
        <v>2.4780092592592593E-2</v>
      </c>
      <c r="H45" s="4">
        <v>1.0532407407407407E-2</v>
      </c>
      <c r="I45" s="4">
        <v>5.7754629629629631E-3</v>
      </c>
      <c r="J45" s="4">
        <v>2.7546296296296294E-3</v>
      </c>
      <c r="K45" s="28" t="str">
        <f>HYPERLINK("https://www.strava.com/activities/2186036473","Strava")</f>
        <v>Strava</v>
      </c>
    </row>
    <row r="46" spans="1:11" ht="15">
      <c r="A46" s="3">
        <v>75</v>
      </c>
      <c r="B46" s="3">
        <v>300</v>
      </c>
      <c r="C46" s="3">
        <f t="shared" si="0"/>
        <v>4</v>
      </c>
      <c r="D46" s="3">
        <v>183</v>
      </c>
      <c r="E46" s="3" t="s">
        <v>325</v>
      </c>
      <c r="F46" s="3" t="s">
        <v>17</v>
      </c>
      <c r="G46" s="4">
        <v>2.4791666666666667E-2</v>
      </c>
      <c r="H46" s="4">
        <v>1.0543981481481482E-2</v>
      </c>
      <c r="I46" s="4">
        <v>5.7754629629629631E-3</v>
      </c>
      <c r="J46" s="4">
        <v>2.7546296296296294E-3</v>
      </c>
      <c r="K46" s="28" t="str">
        <f>HYPERLINK("https://www.strava.com/activities/2184278587","Strava")</f>
        <v>Strava</v>
      </c>
    </row>
    <row r="47" spans="1:11" ht="15">
      <c r="A47" s="3">
        <v>75</v>
      </c>
      <c r="B47" s="3">
        <v>300</v>
      </c>
      <c r="C47" s="3">
        <f t="shared" si="0"/>
        <v>4</v>
      </c>
      <c r="D47" s="3">
        <v>183</v>
      </c>
      <c r="E47" s="52" t="s">
        <v>50</v>
      </c>
      <c r="F47" s="3" t="s">
        <v>17</v>
      </c>
      <c r="G47" s="4">
        <v>2.4166666666666666E-2</v>
      </c>
      <c r="H47" s="4">
        <v>1.0231481481481482E-2</v>
      </c>
      <c r="I47" s="4">
        <v>5.7870370370370367E-3</v>
      </c>
      <c r="J47" s="4">
        <v>2.6157407407407405E-3</v>
      </c>
      <c r="K47" s="28" t="str">
        <f>HYPERLINK("https://www.strava.com/activities/2183836206","Strava")</f>
        <v>Strava</v>
      </c>
    </row>
    <row r="48" spans="1:11" ht="15">
      <c r="A48" s="3">
        <v>75</v>
      </c>
      <c r="B48" s="3">
        <v>300</v>
      </c>
      <c r="C48" s="3">
        <f t="shared" si="0"/>
        <v>4</v>
      </c>
      <c r="D48" s="3">
        <v>183</v>
      </c>
      <c r="E48" s="3" t="s">
        <v>19</v>
      </c>
      <c r="F48" s="3" t="s">
        <v>546</v>
      </c>
      <c r="G48" s="4">
        <v>2.4571759259259258E-2</v>
      </c>
      <c r="H48" s="4">
        <v>1.0439814814814815E-2</v>
      </c>
      <c r="I48" s="4">
        <v>5.7870370370370367E-3</v>
      </c>
      <c r="J48" s="4">
        <v>2.6967592592592594E-3</v>
      </c>
      <c r="K48" s="28" t="str">
        <f>HYPERLINK("https://www.strava.com/activities/2182828380","Strava")</f>
        <v>Strava</v>
      </c>
    </row>
    <row r="49" spans="1:11" ht="15">
      <c r="A49" s="3">
        <v>75</v>
      </c>
      <c r="B49" s="3">
        <v>300</v>
      </c>
      <c r="C49" s="3">
        <f t="shared" si="0"/>
        <v>4</v>
      </c>
      <c r="D49" s="3">
        <v>183</v>
      </c>
      <c r="E49" s="3" t="s">
        <v>19</v>
      </c>
      <c r="F49" s="3" t="s">
        <v>137</v>
      </c>
      <c r="G49" s="4">
        <v>2.4594907407407409E-2</v>
      </c>
      <c r="H49" s="4">
        <v>1.0428240740740741E-2</v>
      </c>
      <c r="I49" s="4">
        <v>5.7870370370370367E-3</v>
      </c>
      <c r="J49" s="4">
        <v>2.6967592592592594E-3</v>
      </c>
      <c r="K49" s="28" t="str">
        <f>HYPERLINK("https://www.strava.com/activities/2357237374","Strava")</f>
        <v>Strava</v>
      </c>
    </row>
    <row r="50" spans="1:11" ht="15">
      <c r="A50" s="3">
        <v>75</v>
      </c>
      <c r="B50" s="3">
        <v>300</v>
      </c>
      <c r="C50" s="3">
        <f t="shared" si="0"/>
        <v>4</v>
      </c>
      <c r="D50" s="3">
        <v>183</v>
      </c>
      <c r="E50" s="3" t="s">
        <v>19</v>
      </c>
      <c r="F50" s="3" t="s">
        <v>141</v>
      </c>
      <c r="G50" s="4">
        <v>2.4606481481481483E-2</v>
      </c>
      <c r="H50" s="4">
        <v>1.0451388888888889E-2</v>
      </c>
      <c r="I50" s="4">
        <v>5.7870370370370367E-3</v>
      </c>
      <c r="J50" s="4">
        <v>2.7083333333333334E-3</v>
      </c>
      <c r="K50" s="28" t="str">
        <f>HYPERLINK("https://www.strava.com/activities/2182782639","Strava")</f>
        <v>Strava</v>
      </c>
    </row>
    <row r="51" spans="1:11" ht="15">
      <c r="A51" s="3">
        <v>75</v>
      </c>
      <c r="B51" s="3">
        <v>300</v>
      </c>
      <c r="C51" s="3">
        <f t="shared" si="0"/>
        <v>4</v>
      </c>
      <c r="D51" s="3">
        <v>183</v>
      </c>
      <c r="E51" s="3" t="s">
        <v>19</v>
      </c>
      <c r="F51" s="3" t="s">
        <v>547</v>
      </c>
      <c r="G51" s="4">
        <v>2.4606481481481483E-2</v>
      </c>
      <c r="H51" s="4">
        <v>1.0439814814814815E-2</v>
      </c>
      <c r="I51" s="4">
        <v>5.7870370370370367E-3</v>
      </c>
      <c r="J51" s="4">
        <v>2.7083333333333334E-3</v>
      </c>
      <c r="K51" s="28" t="str">
        <f>HYPERLINK("https://www.strava.com/activities/2182828054","Strava")</f>
        <v>Strava</v>
      </c>
    </row>
    <row r="52" spans="1:11" ht="15">
      <c r="A52" s="3">
        <v>75</v>
      </c>
      <c r="B52" s="3">
        <v>300</v>
      </c>
      <c r="C52" s="3">
        <f t="shared" si="0"/>
        <v>4</v>
      </c>
      <c r="D52" s="3">
        <v>183</v>
      </c>
      <c r="E52" s="3" t="s">
        <v>19</v>
      </c>
      <c r="F52" s="3" t="s">
        <v>548</v>
      </c>
      <c r="G52" s="4">
        <v>2.4618055555555556E-2</v>
      </c>
      <c r="H52" s="4">
        <v>1.0451388888888889E-2</v>
      </c>
      <c r="I52" s="4">
        <v>5.7870370370370367E-3</v>
      </c>
      <c r="J52" s="4">
        <v>2.7083333333333334E-3</v>
      </c>
      <c r="K52" s="28" t="str">
        <f>HYPERLINK("https://www.strava.com/activities/2182871786","Strava")</f>
        <v>Strava</v>
      </c>
    </row>
    <row r="53" spans="1:11" ht="15">
      <c r="A53" s="3">
        <v>75</v>
      </c>
      <c r="B53" s="3">
        <v>300</v>
      </c>
      <c r="C53" s="3">
        <f t="shared" si="0"/>
        <v>4</v>
      </c>
      <c r="D53" s="3">
        <v>183</v>
      </c>
      <c r="E53" s="3" t="s">
        <v>61</v>
      </c>
      <c r="F53" s="3" t="s">
        <v>17</v>
      </c>
      <c r="G53" s="4">
        <v>2.4687500000000001E-2</v>
      </c>
      <c r="H53" s="4">
        <v>1.0486111111111111E-2</v>
      </c>
      <c r="I53" s="4">
        <v>5.7870370370370367E-3</v>
      </c>
      <c r="J53" s="4">
        <v>2.7314814814814814E-3</v>
      </c>
      <c r="K53" s="28" t="str">
        <f>HYPERLINK("https://www.strava.com/activities/2412061636","Strava")</f>
        <v>Strava</v>
      </c>
    </row>
    <row r="54" spans="1:11" ht="15">
      <c r="A54" s="3">
        <v>75</v>
      </c>
      <c r="B54" s="3">
        <v>300</v>
      </c>
      <c r="C54" s="3">
        <f t="shared" si="0"/>
        <v>4</v>
      </c>
      <c r="D54" s="3">
        <v>183</v>
      </c>
      <c r="E54" s="3" t="s">
        <v>58</v>
      </c>
      <c r="F54" s="3" t="s">
        <v>17</v>
      </c>
      <c r="G54" s="4">
        <v>2.4699074074074075E-2</v>
      </c>
      <c r="H54" s="4">
        <v>1.0486111111111111E-2</v>
      </c>
      <c r="I54" s="4">
        <v>5.7870370370370367E-3</v>
      </c>
      <c r="J54" s="4">
        <v>2.7314814814814814E-3</v>
      </c>
      <c r="K54" s="28" t="str">
        <f>HYPERLINK("https://www.strava.com/activities/2184458252","Strava")</f>
        <v>Strava</v>
      </c>
    </row>
    <row r="55" spans="1:11" ht="15">
      <c r="A55" s="3">
        <v>75</v>
      </c>
      <c r="B55" s="3">
        <v>300</v>
      </c>
      <c r="C55" s="3">
        <f t="shared" si="0"/>
        <v>4</v>
      </c>
      <c r="D55" s="3">
        <v>183</v>
      </c>
      <c r="E55" s="3" t="s">
        <v>63</v>
      </c>
      <c r="F55" s="3" t="s">
        <v>17</v>
      </c>
      <c r="G55" s="4">
        <v>2.4699074074074075E-2</v>
      </c>
      <c r="H55" s="15">
        <v>1.0497685185185185E-2</v>
      </c>
      <c r="I55" s="4">
        <v>5.7870370370370367E-3</v>
      </c>
      <c r="J55" s="4">
        <v>2.7314814814814814E-3</v>
      </c>
      <c r="K55" s="28" t="str">
        <f>HYPERLINK("https://www.strava.com/activities/2187116784","Strava")</f>
        <v>Strava</v>
      </c>
    </row>
    <row r="56" spans="1:11" ht="15">
      <c r="A56" s="3">
        <v>75</v>
      </c>
      <c r="B56" s="3">
        <v>300</v>
      </c>
      <c r="C56" s="3">
        <f t="shared" si="0"/>
        <v>4</v>
      </c>
      <c r="D56" s="3">
        <v>183</v>
      </c>
      <c r="E56" s="3" t="s">
        <v>543</v>
      </c>
      <c r="F56" s="3" t="s">
        <v>17</v>
      </c>
      <c r="G56" s="4">
        <v>2.4722222222222222E-2</v>
      </c>
      <c r="H56" s="4">
        <v>1.0497685185185185E-2</v>
      </c>
      <c r="I56" s="4">
        <v>5.7870370370370367E-3</v>
      </c>
      <c r="J56" s="4">
        <v>2.7314814814814814E-3</v>
      </c>
      <c r="K56" s="28" t="str">
        <f>HYPERLINK("https://www.strava.com/activities/2184458755","Strava")</f>
        <v>Strava</v>
      </c>
    </row>
    <row r="57" spans="1:11" ht="15">
      <c r="A57" s="3">
        <v>75</v>
      </c>
      <c r="B57" s="3">
        <v>300</v>
      </c>
      <c r="C57" s="3">
        <f t="shared" si="0"/>
        <v>4</v>
      </c>
      <c r="D57" s="3">
        <v>183</v>
      </c>
      <c r="E57" s="3" t="s">
        <v>77</v>
      </c>
      <c r="F57" s="3" t="s">
        <v>17</v>
      </c>
      <c r="G57" s="4">
        <v>2.4722222222222222E-2</v>
      </c>
      <c r="H57" s="4">
        <v>1.050925925925926E-2</v>
      </c>
      <c r="I57" s="4">
        <v>5.7870370370370367E-3</v>
      </c>
      <c r="J57" s="4">
        <v>2.7430555555555554E-3</v>
      </c>
      <c r="K57" s="28" t="str">
        <f>HYPERLINK("https://www.strava.com/activities/2184668253","Strava")</f>
        <v>Strava</v>
      </c>
    </row>
    <row r="58" spans="1:11" ht="15">
      <c r="A58" s="3">
        <v>75</v>
      </c>
      <c r="B58" s="3">
        <v>300</v>
      </c>
      <c r="C58" s="3">
        <f t="shared" si="0"/>
        <v>4</v>
      </c>
      <c r="D58" s="3">
        <v>183</v>
      </c>
      <c r="E58" s="3" t="s">
        <v>179</v>
      </c>
      <c r="F58" s="3" t="s">
        <v>17</v>
      </c>
      <c r="G58" s="4">
        <v>2.4745370370370369E-2</v>
      </c>
      <c r="H58" s="4">
        <v>1.050925925925926E-2</v>
      </c>
      <c r="I58" s="4">
        <v>5.7870370370370367E-3</v>
      </c>
      <c r="J58" s="4">
        <v>2.7314814814814814E-3</v>
      </c>
      <c r="K58" s="28" t="str">
        <f>HYPERLINK("https://www.strava.com/activities/2184613962","Strava")</f>
        <v>Strava</v>
      </c>
    </row>
    <row r="59" spans="1:11" ht="15">
      <c r="A59" s="3">
        <v>75</v>
      </c>
      <c r="B59" s="3">
        <v>300</v>
      </c>
      <c r="C59" s="3">
        <f t="shared" si="0"/>
        <v>4</v>
      </c>
      <c r="D59" s="3">
        <v>183</v>
      </c>
      <c r="E59" s="3" t="s">
        <v>233</v>
      </c>
      <c r="F59" s="3" t="s">
        <v>17</v>
      </c>
      <c r="G59" s="4">
        <v>2.4791666666666667E-2</v>
      </c>
      <c r="H59" s="4">
        <v>1.0532407407407407E-2</v>
      </c>
      <c r="I59" s="4">
        <v>5.7870370370370367E-3</v>
      </c>
      <c r="J59" s="4">
        <v>2.7430555555555554E-3</v>
      </c>
      <c r="K59" s="28" t="str">
        <f>HYPERLINK("https://www.strava.com/activities/2184335185","Strava")</f>
        <v>Strava</v>
      </c>
    </row>
    <row r="60" spans="1:11" ht="15">
      <c r="A60" s="3">
        <v>75</v>
      </c>
      <c r="B60" s="3">
        <v>300</v>
      </c>
      <c r="C60" s="3">
        <f t="shared" si="0"/>
        <v>4</v>
      </c>
      <c r="D60" s="3">
        <v>183</v>
      </c>
      <c r="E60" s="3" t="s">
        <v>211</v>
      </c>
      <c r="F60" s="3" t="s">
        <v>17</v>
      </c>
      <c r="G60" s="4">
        <v>2.4791666666666667E-2</v>
      </c>
      <c r="H60" s="4">
        <v>1.0532407407407407E-2</v>
      </c>
      <c r="I60" s="4">
        <v>5.7870370370370367E-3</v>
      </c>
      <c r="J60" s="4">
        <v>2.7430555555555554E-3</v>
      </c>
      <c r="K60" s="28" t="str">
        <f>HYPERLINK("https://www.strava.com/activities/2184397000","Strava")</f>
        <v>Strava</v>
      </c>
    </row>
    <row r="61" spans="1:11" ht="15">
      <c r="A61" s="3">
        <v>75</v>
      </c>
      <c r="B61" s="3">
        <v>300</v>
      </c>
      <c r="C61" s="3">
        <f t="shared" si="0"/>
        <v>4</v>
      </c>
      <c r="D61" s="3">
        <v>183</v>
      </c>
      <c r="E61" s="3" t="s">
        <v>215</v>
      </c>
      <c r="F61" s="3" t="s">
        <v>17</v>
      </c>
      <c r="G61" s="4">
        <v>2.4791666666666667E-2</v>
      </c>
      <c r="H61" s="4">
        <v>1.0532407407407407E-2</v>
      </c>
      <c r="I61" s="4">
        <v>5.7870370370370367E-3</v>
      </c>
      <c r="J61" s="4">
        <v>2.7430555555555554E-3</v>
      </c>
      <c r="K61" s="28" t="str">
        <f>HYPERLINK("https://www.strava.com/activities/2501263218","Strava")</f>
        <v>Strava</v>
      </c>
    </row>
    <row r="62" spans="1:11" ht="15">
      <c r="A62" s="3">
        <v>75</v>
      </c>
      <c r="B62" s="3">
        <v>300</v>
      </c>
      <c r="C62" s="3">
        <f t="shared" si="0"/>
        <v>4</v>
      </c>
      <c r="D62" s="3">
        <v>183</v>
      </c>
      <c r="E62" s="3" t="s">
        <v>239</v>
      </c>
      <c r="F62" s="3" t="s">
        <v>17</v>
      </c>
      <c r="G62" s="4">
        <v>2.4791666666666667E-2</v>
      </c>
      <c r="H62" s="4">
        <v>1.0532407407407407E-2</v>
      </c>
      <c r="I62" s="4">
        <v>5.7870370370370367E-3</v>
      </c>
      <c r="J62" s="4">
        <v>2.7430555555555554E-3</v>
      </c>
      <c r="K62" s="28" t="str">
        <f>HYPERLINK("https://www.strava.com/activities/2184885229","Strava")</f>
        <v>Strava</v>
      </c>
    </row>
    <row r="63" spans="1:11" ht="15">
      <c r="A63" s="3">
        <v>75</v>
      </c>
      <c r="B63" s="3">
        <v>300</v>
      </c>
      <c r="C63" s="3">
        <f t="shared" si="0"/>
        <v>4</v>
      </c>
      <c r="D63" s="3">
        <v>183</v>
      </c>
      <c r="E63" s="3" t="s">
        <v>219</v>
      </c>
      <c r="F63" s="3" t="s">
        <v>17</v>
      </c>
      <c r="G63" s="4">
        <v>2.4791666666666667E-2</v>
      </c>
      <c r="H63" s="4">
        <v>1.0532407407407407E-2</v>
      </c>
      <c r="I63" s="4">
        <v>5.7870370370370367E-3</v>
      </c>
      <c r="J63" s="4">
        <v>2.7430555555555554E-3</v>
      </c>
      <c r="K63" s="28" t="str">
        <f>HYPERLINK("https://www.strava.com/activities/2184885427","Strava")</f>
        <v>Strava</v>
      </c>
    </row>
    <row r="64" spans="1:11" ht="15">
      <c r="A64" s="3">
        <v>75</v>
      </c>
      <c r="B64" s="3">
        <v>300</v>
      </c>
      <c r="C64" s="3">
        <f t="shared" si="0"/>
        <v>4</v>
      </c>
      <c r="D64" s="3">
        <v>183</v>
      </c>
      <c r="E64" s="3" t="s">
        <v>225</v>
      </c>
      <c r="F64" s="3" t="s">
        <v>17</v>
      </c>
      <c r="G64" s="4">
        <v>2.4791666666666667E-2</v>
      </c>
      <c r="H64" s="4">
        <v>1.0532407407407407E-2</v>
      </c>
      <c r="I64" s="4">
        <v>5.7870370370370367E-3</v>
      </c>
      <c r="J64" s="4">
        <v>2.7546296296296294E-3</v>
      </c>
      <c r="K64" s="28" t="str">
        <f>HYPERLINK("https://www.strava.com/activities/2199571779","Strava")</f>
        <v>Strava</v>
      </c>
    </row>
    <row r="65" spans="1:11" ht="15">
      <c r="A65" s="3">
        <v>75</v>
      </c>
      <c r="B65" s="3">
        <v>300</v>
      </c>
      <c r="C65" s="3">
        <f t="shared" si="0"/>
        <v>4</v>
      </c>
      <c r="D65" s="3">
        <v>183</v>
      </c>
      <c r="E65" s="3" t="s">
        <v>231</v>
      </c>
      <c r="F65" s="3" t="s">
        <v>17</v>
      </c>
      <c r="G65" s="4">
        <v>2.480324074074074E-2</v>
      </c>
      <c r="H65" s="4">
        <v>1.0543981481481482E-2</v>
      </c>
      <c r="I65" s="4">
        <v>5.7870370370370367E-3</v>
      </c>
      <c r="J65" s="4">
        <v>2.7430555555555554E-3</v>
      </c>
      <c r="K65" s="28" t="str">
        <f>HYPERLINK("https://www.strava.com/activities/2184209355","Strava")</f>
        <v>Strava</v>
      </c>
    </row>
    <row r="66" spans="1:11" ht="15">
      <c r="A66" s="3">
        <v>75</v>
      </c>
      <c r="B66" s="3">
        <v>300</v>
      </c>
      <c r="C66" s="3">
        <f t="shared" si="0"/>
        <v>4</v>
      </c>
      <c r="D66" s="3">
        <v>183</v>
      </c>
      <c r="E66" s="3" t="s">
        <v>221</v>
      </c>
      <c r="F66" s="3" t="s">
        <v>17</v>
      </c>
      <c r="G66" s="4">
        <v>2.480324074074074E-2</v>
      </c>
      <c r="H66" s="4">
        <v>1.0543981481481482E-2</v>
      </c>
      <c r="I66" s="4">
        <v>5.7870370370370367E-3</v>
      </c>
      <c r="J66" s="4">
        <v>2.7546296296296294E-3</v>
      </c>
      <c r="K66" s="28" t="str">
        <f>HYPERLINK("https://www.strava.com/activities/2199580606","Strava")</f>
        <v>Strava</v>
      </c>
    </row>
    <row r="67" spans="1:11" ht="15">
      <c r="A67" s="3">
        <v>75</v>
      </c>
      <c r="B67" s="3">
        <v>300</v>
      </c>
      <c r="C67" s="3">
        <f t="shared" si="0"/>
        <v>4</v>
      </c>
      <c r="D67" s="3">
        <v>183</v>
      </c>
      <c r="E67" s="3" t="s">
        <v>227</v>
      </c>
      <c r="F67" s="3" t="s">
        <v>17</v>
      </c>
      <c r="G67" s="4">
        <v>2.480324074074074E-2</v>
      </c>
      <c r="H67" s="4">
        <v>1.0543981481481482E-2</v>
      </c>
      <c r="I67" s="4">
        <v>5.7870370370370367E-3</v>
      </c>
      <c r="J67" s="4">
        <v>2.7546296296296294E-3</v>
      </c>
      <c r="K67" s="28" t="str">
        <f>HYPERLINK("https://www.strava.com/activities/2187117831","Strava")</f>
        <v>Strava</v>
      </c>
    </row>
    <row r="68" spans="1:11" ht="15">
      <c r="A68" s="3">
        <v>75</v>
      </c>
      <c r="B68" s="3">
        <v>300</v>
      </c>
      <c r="C68" s="3">
        <f t="shared" si="0"/>
        <v>4</v>
      </c>
      <c r="D68" s="3">
        <v>183</v>
      </c>
      <c r="E68" s="52" t="s">
        <v>34</v>
      </c>
      <c r="F68" s="3" t="s">
        <v>17</v>
      </c>
      <c r="G68" s="4">
        <v>2.4143518518518519E-2</v>
      </c>
      <c r="H68" s="4">
        <v>1.0231481481481482E-2</v>
      </c>
      <c r="I68" s="4">
        <v>5.7986111111111112E-3</v>
      </c>
      <c r="J68" s="4">
        <v>2.6157407407407405E-3</v>
      </c>
      <c r="K68" s="28" t="str">
        <f>HYPERLINK("https://www.strava.com/activities/2182983880","Strava")</f>
        <v>Strava</v>
      </c>
    </row>
    <row r="69" spans="1:11" ht="15">
      <c r="A69" s="3">
        <v>75</v>
      </c>
      <c r="B69" s="3">
        <v>300</v>
      </c>
      <c r="C69" s="3">
        <f t="shared" si="0"/>
        <v>4</v>
      </c>
      <c r="D69" s="3">
        <v>183</v>
      </c>
      <c r="E69" s="52" t="s">
        <v>56</v>
      </c>
      <c r="F69" s="3" t="s">
        <v>17</v>
      </c>
      <c r="G69" s="4">
        <v>2.4293981481481482E-2</v>
      </c>
      <c r="H69" s="4">
        <v>1.0289351851851852E-2</v>
      </c>
      <c r="I69" s="4">
        <v>5.7986111111111112E-3</v>
      </c>
      <c r="J69" s="4">
        <v>2.638888888888889E-3</v>
      </c>
      <c r="K69" s="28" t="str">
        <f>HYPERLINK("https://www.strava.com/activities/2187364682","Strava")</f>
        <v>Strava</v>
      </c>
    </row>
    <row r="70" spans="1:11" ht="15">
      <c r="A70" s="3">
        <v>75</v>
      </c>
      <c r="B70" s="3">
        <v>300</v>
      </c>
      <c r="C70" s="3">
        <f t="shared" si="0"/>
        <v>4</v>
      </c>
      <c r="D70" s="3">
        <v>183</v>
      </c>
      <c r="E70" s="3" t="s">
        <v>19</v>
      </c>
      <c r="F70" s="3" t="s">
        <v>172</v>
      </c>
      <c r="G70" s="4">
        <v>2.4664351851851851E-2</v>
      </c>
      <c r="H70" s="4">
        <v>1.0462962962962962E-2</v>
      </c>
      <c r="I70" s="4">
        <v>5.7986111111111112E-3</v>
      </c>
      <c r="J70" s="4">
        <v>2.7199074074074074E-3</v>
      </c>
      <c r="K70" s="28" t="str">
        <f>HYPERLINK("https://www.strava.com/activities/2182959592","Strava")</f>
        <v>Strava</v>
      </c>
    </row>
    <row r="71" spans="1:11" ht="15">
      <c r="A71" s="3">
        <v>75</v>
      </c>
      <c r="B71" s="3">
        <v>300</v>
      </c>
      <c r="C71" s="3">
        <f t="shared" si="0"/>
        <v>4</v>
      </c>
      <c r="D71" s="3">
        <v>183</v>
      </c>
      <c r="E71" s="3" t="s">
        <v>19</v>
      </c>
      <c r="F71" s="3" t="s">
        <v>170</v>
      </c>
      <c r="G71" s="4">
        <v>2.4675925925925928E-2</v>
      </c>
      <c r="H71" s="4">
        <v>1.0486111111111111E-2</v>
      </c>
      <c r="I71" s="4">
        <v>5.7986111111111112E-3</v>
      </c>
      <c r="J71" s="4">
        <v>2.7199074074074074E-3</v>
      </c>
      <c r="K71" s="28" t="str">
        <f>HYPERLINK("https://www.strava.com/activities/2357187622","Strava")</f>
        <v>Strava</v>
      </c>
    </row>
    <row r="72" spans="1:11" ht="15">
      <c r="A72" s="3">
        <v>75</v>
      </c>
      <c r="B72" s="3">
        <v>300</v>
      </c>
      <c r="C72" s="3">
        <f t="shared" si="0"/>
        <v>4</v>
      </c>
      <c r="D72" s="3">
        <v>183</v>
      </c>
      <c r="E72" s="3" t="s">
        <v>545</v>
      </c>
      <c r="F72" s="3" t="s">
        <v>17</v>
      </c>
      <c r="G72" s="4">
        <v>2.4710648148148148E-2</v>
      </c>
      <c r="H72" s="4">
        <v>1.0486111111111111E-2</v>
      </c>
      <c r="I72" s="4">
        <v>5.7986111111111112E-3</v>
      </c>
      <c r="J72" s="4">
        <v>2.7314814814814814E-3</v>
      </c>
      <c r="K72" s="28" t="str">
        <f>HYPERLINK("https://www.strava.com/activities/2184334362","Strava")</f>
        <v>Strava</v>
      </c>
    </row>
    <row r="73" spans="1:11" ht="15">
      <c r="A73" s="3">
        <v>75</v>
      </c>
      <c r="B73" s="3">
        <v>300</v>
      </c>
      <c r="C73" s="3">
        <f t="shared" si="0"/>
        <v>4</v>
      </c>
      <c r="D73" s="3">
        <v>183</v>
      </c>
      <c r="E73" s="3" t="s">
        <v>71</v>
      </c>
      <c r="F73" s="3" t="s">
        <v>17</v>
      </c>
      <c r="G73" s="4">
        <v>2.4710648148148148E-2</v>
      </c>
      <c r="H73" s="4">
        <v>1.0497685185185185E-2</v>
      </c>
      <c r="I73" s="4">
        <v>5.7986111111111112E-3</v>
      </c>
      <c r="J73" s="4">
        <v>2.7314814814814814E-3</v>
      </c>
      <c r="K73" s="28" t="str">
        <f>HYPERLINK("https://www.strava.com/activities/2183997226","Strava")</f>
        <v>Strava</v>
      </c>
    </row>
    <row r="74" spans="1:11" ht="15">
      <c r="A74" s="3">
        <v>75</v>
      </c>
      <c r="B74" s="3">
        <v>300</v>
      </c>
      <c r="C74" s="3">
        <f t="shared" si="0"/>
        <v>4</v>
      </c>
      <c r="D74" s="3">
        <v>183</v>
      </c>
      <c r="E74" s="3" t="s">
        <v>75</v>
      </c>
      <c r="F74" s="3" t="s">
        <v>17</v>
      </c>
      <c r="G74" s="4">
        <v>2.4722222222222222E-2</v>
      </c>
      <c r="H74" s="4">
        <v>1.0497685185185185E-2</v>
      </c>
      <c r="I74" s="4">
        <v>5.7986111111111112E-3</v>
      </c>
      <c r="J74" s="4">
        <v>2.7314814814814814E-3</v>
      </c>
      <c r="K74" s="28" t="str">
        <f>HYPERLINK("https://www.strava.com/activities/2183758053","Strava")</f>
        <v>Strava</v>
      </c>
    </row>
    <row r="75" spans="1:11" ht="15">
      <c r="A75" s="3">
        <v>75</v>
      </c>
      <c r="B75" s="3">
        <v>300</v>
      </c>
      <c r="C75" s="3">
        <f t="shared" si="0"/>
        <v>4</v>
      </c>
      <c r="D75" s="3">
        <v>183</v>
      </c>
      <c r="E75" s="3" t="s">
        <v>19</v>
      </c>
      <c r="F75" s="3" t="s">
        <v>188</v>
      </c>
      <c r="G75" s="4">
        <v>2.4722222222222222E-2</v>
      </c>
      <c r="H75" s="4">
        <v>1.0497685185185185E-2</v>
      </c>
      <c r="I75" s="4">
        <v>5.7986111111111112E-3</v>
      </c>
      <c r="J75" s="4">
        <v>2.7199074074074074E-3</v>
      </c>
      <c r="K75" s="28" t="str">
        <f>HYPERLINK("https://www.strava.com/activities/2182459235","Strava")</f>
        <v>Strava</v>
      </c>
    </row>
    <row r="76" spans="1:11" ht="15">
      <c r="A76" s="3">
        <v>75</v>
      </c>
      <c r="B76" s="3">
        <v>300</v>
      </c>
      <c r="C76" s="3">
        <f t="shared" si="0"/>
        <v>4</v>
      </c>
      <c r="D76" s="3">
        <v>183</v>
      </c>
      <c r="E76" s="3" t="s">
        <v>19</v>
      </c>
      <c r="F76" s="3" t="s">
        <v>461</v>
      </c>
      <c r="G76" s="4">
        <v>2.4745370370370369E-2</v>
      </c>
      <c r="H76" s="4">
        <v>1.050925925925926E-2</v>
      </c>
      <c r="I76" s="4">
        <v>5.7986111111111112E-3</v>
      </c>
      <c r="J76" s="4">
        <v>2.7314814814814814E-3</v>
      </c>
      <c r="K76" s="28" t="str">
        <f>HYPERLINK("https://www.strava.com/activities/2182604688","Strava")</f>
        <v>Strava</v>
      </c>
    </row>
    <row r="77" spans="1:11" ht="15">
      <c r="A77" s="3">
        <v>75</v>
      </c>
      <c r="B77" s="3">
        <v>300</v>
      </c>
      <c r="C77" s="3">
        <f t="shared" si="0"/>
        <v>4</v>
      </c>
      <c r="D77" s="3">
        <v>183</v>
      </c>
      <c r="E77" s="3" t="s">
        <v>190</v>
      </c>
      <c r="F77" s="3" t="s">
        <v>17</v>
      </c>
      <c r="G77" s="4">
        <v>2.4756944444444446E-2</v>
      </c>
      <c r="H77" s="4">
        <v>1.0520833333333333E-2</v>
      </c>
      <c r="I77" s="4">
        <v>5.7986111111111112E-3</v>
      </c>
      <c r="J77" s="4">
        <v>2.7430555555555554E-3</v>
      </c>
      <c r="K77" s="28" t="str">
        <f>HYPERLINK("https://www.strava.com/activities/2184667365","Strava")</f>
        <v>Strava</v>
      </c>
    </row>
    <row r="78" spans="1:11" ht="15">
      <c r="A78" s="3">
        <v>75</v>
      </c>
      <c r="B78" s="3">
        <v>300</v>
      </c>
      <c r="C78" s="3">
        <f t="shared" si="0"/>
        <v>4</v>
      </c>
      <c r="D78" s="3">
        <v>183</v>
      </c>
      <c r="E78" s="3" t="s">
        <v>235</v>
      </c>
      <c r="F78" s="3" t="s">
        <v>17</v>
      </c>
      <c r="G78" s="4">
        <v>2.4791666666666667E-2</v>
      </c>
      <c r="H78" s="4">
        <v>1.0532407407407407E-2</v>
      </c>
      <c r="I78" s="4">
        <v>5.7986111111111112E-3</v>
      </c>
      <c r="J78" s="4">
        <v>2.7430555555555554E-3</v>
      </c>
      <c r="K78" s="28" t="str">
        <f>HYPERLINK("https://www.strava.com/activities/2357187286","Strava")</f>
        <v>Strava</v>
      </c>
    </row>
    <row r="79" spans="1:11" ht="15">
      <c r="A79" s="3">
        <v>75</v>
      </c>
      <c r="B79" s="3">
        <v>300</v>
      </c>
      <c r="C79" s="3">
        <f t="shared" si="0"/>
        <v>4</v>
      </c>
      <c r="D79" s="3">
        <v>183</v>
      </c>
      <c r="E79" s="3" t="s">
        <v>549</v>
      </c>
      <c r="F79" s="3" t="s">
        <v>17</v>
      </c>
      <c r="G79" s="4">
        <v>2.4791666666666667E-2</v>
      </c>
      <c r="H79" s="4">
        <v>1.0532407407407407E-2</v>
      </c>
      <c r="I79" s="4">
        <v>5.7986111111111112E-3</v>
      </c>
      <c r="J79" s="4">
        <v>2.7430555555555554E-3</v>
      </c>
      <c r="K79" s="28" t="str">
        <f>HYPERLINK("https://www.strava.com/activities/2184543454","Strava")</f>
        <v>Strava</v>
      </c>
    </row>
    <row r="80" spans="1:11" ht="15">
      <c r="A80" s="3">
        <v>75</v>
      </c>
      <c r="B80" s="3">
        <v>300</v>
      </c>
      <c r="C80" s="3">
        <f t="shared" si="0"/>
        <v>4</v>
      </c>
      <c r="D80" s="3">
        <v>183</v>
      </c>
      <c r="E80" s="3" t="s">
        <v>360</v>
      </c>
      <c r="F80" s="3" t="s">
        <v>17</v>
      </c>
      <c r="G80" s="4">
        <v>2.4791666666666667E-2</v>
      </c>
      <c r="H80" s="4">
        <v>1.0532407407407407E-2</v>
      </c>
      <c r="I80" s="4">
        <v>5.7986111111111112E-3</v>
      </c>
      <c r="J80" s="4">
        <v>2.7430555555555554E-3</v>
      </c>
      <c r="K80" s="28" t="str">
        <f>HYPERLINK("https://www.strava.com/activities/2184518504","Strava")</f>
        <v>Strava</v>
      </c>
    </row>
    <row r="81" spans="1:11" ht="15">
      <c r="A81" s="3">
        <v>75</v>
      </c>
      <c r="B81" s="3">
        <v>300</v>
      </c>
      <c r="C81" s="3">
        <f t="shared" si="0"/>
        <v>4</v>
      </c>
      <c r="D81" s="3">
        <v>183</v>
      </c>
      <c r="E81" s="3" t="s">
        <v>205</v>
      </c>
      <c r="F81" s="3" t="s">
        <v>17</v>
      </c>
      <c r="G81" s="4">
        <v>2.4791666666666667E-2</v>
      </c>
      <c r="H81" s="4">
        <v>1.0532407407407407E-2</v>
      </c>
      <c r="I81" s="4">
        <v>5.7986111111111112E-3</v>
      </c>
      <c r="J81" s="4">
        <v>2.7430555555555554E-3</v>
      </c>
      <c r="K81" s="28" t="str">
        <f>HYPERLINK("https://www.strava.com/activities/2183837176","Strava")</f>
        <v>Strava</v>
      </c>
    </row>
    <row r="82" spans="1:11" ht="15">
      <c r="A82" s="3">
        <v>75</v>
      </c>
      <c r="B82" s="3">
        <v>300</v>
      </c>
      <c r="C82" s="3">
        <f t="shared" si="0"/>
        <v>4</v>
      </c>
      <c r="D82" s="3">
        <v>183</v>
      </c>
      <c r="E82" s="3" t="s">
        <v>251</v>
      </c>
      <c r="F82" s="3" t="s">
        <v>17</v>
      </c>
      <c r="G82" s="4">
        <v>2.480324074074074E-2</v>
      </c>
      <c r="H82" s="4">
        <v>1.0543981481481482E-2</v>
      </c>
      <c r="I82" s="4">
        <v>5.7986111111111112E-3</v>
      </c>
      <c r="J82" s="4">
        <v>2.7546296296296294E-3</v>
      </c>
      <c r="K82" s="28" t="str">
        <f>HYPERLINK("https://www.strava.com/activities/2184279017","Strava")</f>
        <v>Strava</v>
      </c>
    </row>
    <row r="83" spans="1:11" ht="15">
      <c r="A83" s="3">
        <v>75</v>
      </c>
      <c r="B83" s="3">
        <v>300</v>
      </c>
      <c r="C83" s="3">
        <f t="shared" si="0"/>
        <v>4</v>
      </c>
      <c r="D83" s="3">
        <v>183</v>
      </c>
      <c r="E83" s="3" t="s">
        <v>241</v>
      </c>
      <c r="F83" s="3" t="s">
        <v>17</v>
      </c>
      <c r="G83" s="4">
        <v>2.480324074074074E-2</v>
      </c>
      <c r="H83" s="4">
        <v>1.0543981481481482E-2</v>
      </c>
      <c r="I83" s="4">
        <v>5.7986111111111112E-3</v>
      </c>
      <c r="J83" s="4">
        <v>2.7546296296296294E-3</v>
      </c>
      <c r="K83" s="28" t="str">
        <f>HYPERLINK("https://www.strava.com/activities/2184885617","Strava")</f>
        <v>Strava</v>
      </c>
    </row>
    <row r="84" spans="1:11" ht="15">
      <c r="A84" s="3">
        <v>75</v>
      </c>
      <c r="B84" s="3">
        <v>300</v>
      </c>
      <c r="C84" s="3">
        <f t="shared" si="0"/>
        <v>4</v>
      </c>
      <c r="D84" s="3">
        <v>183</v>
      </c>
      <c r="E84" s="3" t="s">
        <v>243</v>
      </c>
      <c r="F84" s="3" t="s">
        <v>17</v>
      </c>
      <c r="G84" s="4">
        <v>2.480324074074074E-2</v>
      </c>
      <c r="H84" s="4">
        <v>1.0532407407407407E-2</v>
      </c>
      <c r="I84" s="4">
        <v>5.7986111111111112E-3</v>
      </c>
      <c r="J84" s="4">
        <v>2.7546296296296294E-3</v>
      </c>
      <c r="K84" s="28" t="str">
        <f>HYPERLINK("https://www.strava.com/activities/2184906027","Strava")</f>
        <v>Strava</v>
      </c>
    </row>
    <row r="85" spans="1:11" ht="15">
      <c r="A85" s="3">
        <v>75</v>
      </c>
      <c r="B85" s="3">
        <v>300</v>
      </c>
      <c r="C85" s="3">
        <f t="shared" si="0"/>
        <v>4</v>
      </c>
      <c r="D85" s="3">
        <v>183</v>
      </c>
      <c r="E85" s="3" t="s">
        <v>247</v>
      </c>
      <c r="F85" s="3" t="s">
        <v>17</v>
      </c>
      <c r="G85" s="4">
        <v>2.480324074074074E-2</v>
      </c>
      <c r="H85" s="4">
        <v>1.0532407407407407E-2</v>
      </c>
      <c r="I85" s="4">
        <v>5.7986111111111112E-3</v>
      </c>
      <c r="J85" s="4">
        <v>2.7546296296296294E-3</v>
      </c>
      <c r="K85" s="28" t="str">
        <f>HYPERLINK("https://www.strava.com/activities/2184906794","Strava")</f>
        <v>Strava</v>
      </c>
    </row>
    <row r="86" spans="1:11" ht="15">
      <c r="A86" s="3">
        <v>75</v>
      </c>
      <c r="B86" s="3">
        <v>300</v>
      </c>
      <c r="C86" s="3">
        <f t="shared" si="0"/>
        <v>4</v>
      </c>
      <c r="D86" s="3">
        <v>183</v>
      </c>
      <c r="E86" s="3" t="s">
        <v>19</v>
      </c>
      <c r="F86" s="3" t="s">
        <v>14</v>
      </c>
      <c r="G86" s="4"/>
      <c r="H86" s="4"/>
      <c r="I86" s="4">
        <v>5.7986111111111112E-3</v>
      </c>
      <c r="J86" s="4"/>
      <c r="K86" s="28" t="s">
        <v>544</v>
      </c>
    </row>
    <row r="87" spans="1:11" ht="15">
      <c r="A87" s="3">
        <v>75</v>
      </c>
      <c r="B87" s="3">
        <v>300</v>
      </c>
      <c r="C87" s="3">
        <f t="shared" si="0"/>
        <v>4</v>
      </c>
      <c r="D87" s="3">
        <v>183</v>
      </c>
      <c r="E87" s="3" t="s">
        <v>168</v>
      </c>
      <c r="F87" s="3" t="s">
        <v>17</v>
      </c>
      <c r="G87" s="4">
        <v>2.4745370370370369E-2</v>
      </c>
      <c r="H87" s="4">
        <v>1.050925925925926E-2</v>
      </c>
      <c r="I87" s="4">
        <v>5.8101851851851856E-3</v>
      </c>
      <c r="J87" s="4">
        <v>2.7314814814814814E-3</v>
      </c>
      <c r="K87" s="28" t="str">
        <f>HYPERLINK("https://www.strava.com/activities/2184457715","Strava")</f>
        <v>Strava</v>
      </c>
    </row>
    <row r="88" spans="1:11" ht="15">
      <c r="A88" s="3">
        <v>75</v>
      </c>
      <c r="B88" s="3">
        <v>300</v>
      </c>
      <c r="C88" s="3">
        <f t="shared" si="0"/>
        <v>4</v>
      </c>
      <c r="D88" s="3">
        <v>183</v>
      </c>
      <c r="E88" s="3" t="s">
        <v>19</v>
      </c>
      <c r="F88" s="3" t="s">
        <v>213</v>
      </c>
      <c r="G88" s="4">
        <v>2.4745370370370369E-2</v>
      </c>
      <c r="H88" s="4">
        <v>1.050925925925926E-2</v>
      </c>
      <c r="I88" s="4">
        <v>5.8101851851851856E-3</v>
      </c>
      <c r="J88" s="4">
        <v>2.7314814814814814E-3</v>
      </c>
      <c r="K88" s="28" t="str">
        <f>HYPERLINK("https://www.strava.com/activities/2182470782","Strava")</f>
        <v>Strava</v>
      </c>
    </row>
    <row r="89" spans="1:11" ht="15">
      <c r="A89" s="3">
        <v>75</v>
      </c>
      <c r="B89" s="3">
        <v>300</v>
      </c>
      <c r="C89" s="3">
        <f t="shared" si="0"/>
        <v>4</v>
      </c>
      <c r="D89" s="3">
        <v>183</v>
      </c>
      <c r="E89" s="3" t="s">
        <v>19</v>
      </c>
      <c r="F89" s="3" t="s">
        <v>550</v>
      </c>
      <c r="G89" s="4">
        <v>2.4756944444444446E-2</v>
      </c>
      <c r="H89" s="4">
        <v>1.0520833333333333E-2</v>
      </c>
      <c r="I89" s="4">
        <v>5.8101851851851856E-3</v>
      </c>
      <c r="J89" s="4">
        <v>2.7314814814814814E-3</v>
      </c>
      <c r="K89" s="28" t="str">
        <f>HYPERLINK("https://www.strava.com/activities/2184208826","Strava")</f>
        <v>Strava</v>
      </c>
    </row>
    <row r="90" spans="1:11" ht="15">
      <c r="A90" s="3">
        <v>75</v>
      </c>
      <c r="B90" s="3">
        <v>300</v>
      </c>
      <c r="C90" s="3">
        <f t="shared" si="0"/>
        <v>4</v>
      </c>
      <c r="D90" s="3">
        <v>183</v>
      </c>
      <c r="E90" s="3" t="s">
        <v>19</v>
      </c>
      <c r="F90" s="3" t="s">
        <v>17</v>
      </c>
      <c r="G90" s="4">
        <v>2.4756944444444446E-2</v>
      </c>
      <c r="H90" s="4">
        <v>1.0520833333333333E-2</v>
      </c>
      <c r="I90" s="4">
        <v>5.8101851851851856E-3</v>
      </c>
      <c r="J90" s="4">
        <v>2.7314814814814814E-3</v>
      </c>
      <c r="K90" s="28" t="str">
        <f>HYPERLINK("https://www.strava.com/activities/2182871514","Strava")</f>
        <v>Strava</v>
      </c>
    </row>
    <row r="91" spans="1:11" ht="15">
      <c r="A91" s="3">
        <v>75</v>
      </c>
      <c r="B91" s="3">
        <v>300</v>
      </c>
      <c r="C91" s="3">
        <f t="shared" si="0"/>
        <v>4</v>
      </c>
      <c r="D91" s="3">
        <v>183</v>
      </c>
      <c r="E91" s="3" t="s">
        <v>186</v>
      </c>
      <c r="F91" s="3" t="s">
        <v>17</v>
      </c>
      <c r="G91" s="4">
        <v>2.4780092592592593E-2</v>
      </c>
      <c r="H91" s="4">
        <v>1.0520833333333333E-2</v>
      </c>
      <c r="I91" s="4">
        <v>5.8101851851851856E-3</v>
      </c>
      <c r="J91" s="4">
        <v>2.7314814814814814E-3</v>
      </c>
      <c r="K91" s="28" t="str">
        <f>HYPERLINK("https://www.strava.com/activities/2501105767","Strava")</f>
        <v>Strava</v>
      </c>
    </row>
    <row r="92" spans="1:11" ht="15">
      <c r="A92" s="3">
        <v>75</v>
      </c>
      <c r="B92" s="3">
        <v>300</v>
      </c>
      <c r="C92" s="3">
        <f t="shared" si="0"/>
        <v>4</v>
      </c>
      <c r="D92" s="3">
        <v>183</v>
      </c>
      <c r="E92" s="3" t="s">
        <v>199</v>
      </c>
      <c r="F92" s="3" t="s">
        <v>17</v>
      </c>
      <c r="G92" s="4">
        <v>2.4780092592592593E-2</v>
      </c>
      <c r="H92" s="4">
        <v>1.0532407407407407E-2</v>
      </c>
      <c r="I92" s="4">
        <v>5.8101851851851856E-3</v>
      </c>
      <c r="J92" s="4">
        <v>2.7430555555555554E-3</v>
      </c>
      <c r="K92" s="28" t="str">
        <f>HYPERLINK("https://www.strava.com/activities/2184563076","Strava")</f>
        <v>Strava</v>
      </c>
    </row>
    <row r="93" spans="1:11" ht="15">
      <c r="A93" s="3">
        <v>75</v>
      </c>
      <c r="B93" s="3">
        <v>300</v>
      </c>
      <c r="C93" s="3">
        <f t="shared" si="0"/>
        <v>4</v>
      </c>
      <c r="D93" s="3">
        <v>183</v>
      </c>
      <c r="E93" s="3" t="s">
        <v>203</v>
      </c>
      <c r="F93" s="3" t="s">
        <v>17</v>
      </c>
      <c r="G93" s="4">
        <v>2.480324074074074E-2</v>
      </c>
      <c r="H93" s="4">
        <v>1.0532407407407407E-2</v>
      </c>
      <c r="I93" s="4">
        <v>5.8101851851851856E-3</v>
      </c>
      <c r="J93" s="4">
        <v>2.7430555555555554E-3</v>
      </c>
      <c r="K93" s="28" t="str">
        <f>HYPERLINK("https://www.strava.com/activities/2184933729","Strava")</f>
        <v>Strava</v>
      </c>
    </row>
    <row r="94" spans="1:11" ht="15">
      <c r="A94" s="3">
        <v>75</v>
      </c>
      <c r="B94" s="3">
        <v>300</v>
      </c>
      <c r="C94" s="3">
        <f t="shared" si="0"/>
        <v>4</v>
      </c>
      <c r="D94" s="3">
        <v>183</v>
      </c>
      <c r="E94" s="3" t="s">
        <v>245</v>
      </c>
      <c r="F94" s="3" t="s">
        <v>17</v>
      </c>
      <c r="G94" s="4">
        <v>2.480324074074074E-2</v>
      </c>
      <c r="H94" s="4">
        <v>1.0532407407407407E-2</v>
      </c>
      <c r="I94" s="4">
        <v>5.8101851851851856E-3</v>
      </c>
      <c r="J94" s="4">
        <v>2.7430555555555554E-3</v>
      </c>
      <c r="K94" s="28" t="str">
        <f>HYPERLINK("https://www.strava.com/activities/2184906500","Strava")</f>
        <v>Strava</v>
      </c>
    </row>
    <row r="95" spans="1:11" ht="15">
      <c r="A95" s="3">
        <v>75</v>
      </c>
      <c r="B95" s="3">
        <v>300</v>
      </c>
      <c r="C95" s="3">
        <f t="shared" si="0"/>
        <v>4</v>
      </c>
      <c r="D95" s="3">
        <v>183</v>
      </c>
      <c r="E95" s="3" t="s">
        <v>258</v>
      </c>
      <c r="F95" s="3" t="s">
        <v>17</v>
      </c>
      <c r="G95" s="4">
        <v>2.4814814814814814E-2</v>
      </c>
      <c r="H95" s="4">
        <v>1.0555555555555556E-2</v>
      </c>
      <c r="I95" s="4">
        <v>5.8101851851851856E-3</v>
      </c>
      <c r="J95" s="4">
        <v>2.7430555555555554E-3</v>
      </c>
      <c r="K95" s="28" t="str">
        <f>HYPERLINK("https://www.strava.com/activities/2183912780","Strava")</f>
        <v>Strava</v>
      </c>
    </row>
    <row r="96" spans="1:11" ht="15">
      <c r="A96" s="3">
        <v>75</v>
      </c>
      <c r="B96" s="3">
        <v>300</v>
      </c>
      <c r="C96" s="3">
        <f t="shared" si="0"/>
        <v>4</v>
      </c>
      <c r="D96" s="3">
        <v>183</v>
      </c>
      <c r="E96" s="3" t="s">
        <v>521</v>
      </c>
      <c r="F96" s="3" t="s">
        <v>17</v>
      </c>
      <c r="G96" s="4">
        <v>2.4826388888888887E-2</v>
      </c>
      <c r="H96" s="4">
        <v>1.0543981481481482E-2</v>
      </c>
      <c r="I96" s="4">
        <v>5.8101851851851856E-3</v>
      </c>
      <c r="J96" s="4">
        <v>2.7430555555555554E-3</v>
      </c>
      <c r="K96" s="28" t="str">
        <f>HYPERLINK("https://www.strava.com/activities/2184278418","Strava")</f>
        <v>Strava</v>
      </c>
    </row>
    <row r="97" spans="1:12" ht="15">
      <c r="A97" s="3">
        <v>75</v>
      </c>
      <c r="B97" s="3">
        <v>300</v>
      </c>
      <c r="C97" s="3">
        <f t="shared" si="0"/>
        <v>4</v>
      </c>
      <c r="D97" s="3">
        <v>183</v>
      </c>
      <c r="E97" s="3" t="s">
        <v>19</v>
      </c>
      <c r="F97" s="3" t="s">
        <v>551</v>
      </c>
      <c r="G97" s="4">
        <v>2.480324074074074E-2</v>
      </c>
      <c r="H97" s="4">
        <v>1.0532407407407407E-2</v>
      </c>
      <c r="I97" s="4">
        <v>5.8217592592592592E-3</v>
      </c>
      <c r="J97" s="4">
        <v>2.7314814814814814E-3</v>
      </c>
      <c r="K97" s="28" t="str">
        <f>HYPERLINK("https://www.strava.com/activities/2183022514","Strava")</f>
        <v>Strava</v>
      </c>
    </row>
    <row r="98" spans="1:12" ht="15">
      <c r="A98" s="3">
        <v>75</v>
      </c>
      <c r="B98" s="3">
        <v>300</v>
      </c>
      <c r="C98" s="3">
        <f t="shared" si="0"/>
        <v>4</v>
      </c>
      <c r="D98" s="3">
        <v>183</v>
      </c>
      <c r="E98" s="3" t="s">
        <v>19</v>
      </c>
      <c r="F98" s="3" t="s">
        <v>552</v>
      </c>
      <c r="G98" s="4">
        <v>2.4814814814814814E-2</v>
      </c>
      <c r="H98" s="4">
        <v>1.0543981481481482E-2</v>
      </c>
      <c r="I98" s="4">
        <v>5.8217592592592592E-3</v>
      </c>
      <c r="J98" s="4">
        <v>2.7314814814814814E-3</v>
      </c>
      <c r="K98" s="28" t="str">
        <f>HYPERLINK("https://www.strava.com/activities/2182988283","Strava")</f>
        <v>Strava</v>
      </c>
    </row>
    <row r="99" spans="1:12" ht="15">
      <c r="A99" s="3">
        <v>75</v>
      </c>
      <c r="B99" s="3">
        <v>300</v>
      </c>
      <c r="C99" s="3">
        <f t="shared" si="0"/>
        <v>4</v>
      </c>
      <c r="D99" s="3">
        <v>183</v>
      </c>
      <c r="E99" s="3" t="s">
        <v>264</v>
      </c>
      <c r="F99" s="3" t="s">
        <v>17</v>
      </c>
      <c r="G99" s="4">
        <v>2.4826388888888887E-2</v>
      </c>
      <c r="H99" s="4">
        <v>1.0543981481481482E-2</v>
      </c>
      <c r="I99" s="4">
        <v>5.8217592592592592E-3</v>
      </c>
      <c r="J99" s="4">
        <v>2.7430555555555554E-3</v>
      </c>
      <c r="K99" s="28" t="str">
        <f>HYPERLINK("https://www.strava.com/activities/2184933964","Strava")</f>
        <v>Strava</v>
      </c>
    </row>
    <row r="100" spans="1:12" ht="15">
      <c r="A100" s="3">
        <v>75</v>
      </c>
      <c r="B100" s="3">
        <v>300</v>
      </c>
      <c r="C100" s="3">
        <f t="shared" si="0"/>
        <v>4</v>
      </c>
      <c r="D100" s="3">
        <v>183</v>
      </c>
      <c r="E100" s="3" t="s">
        <v>16</v>
      </c>
      <c r="F100" s="3" t="s">
        <v>17</v>
      </c>
      <c r="G100" s="4">
        <v>2.4826388888888887E-2</v>
      </c>
      <c r="H100" s="4">
        <v>1.0543981481481482E-2</v>
      </c>
      <c r="I100" s="4">
        <v>5.8217592592592592E-3</v>
      </c>
      <c r="J100" s="4">
        <v>2.7430555555555554E-3</v>
      </c>
      <c r="K100" s="28" t="str">
        <f>HYPERLINK("https://www.strava.com/activities/2187241422","Strava")</f>
        <v>Strava</v>
      </c>
    </row>
    <row r="101" spans="1:12" ht="15">
      <c r="A101" s="3">
        <v>75</v>
      </c>
      <c r="B101" s="3">
        <v>300</v>
      </c>
      <c r="C101" s="3">
        <f t="shared" si="0"/>
        <v>4</v>
      </c>
      <c r="D101" s="3">
        <v>183</v>
      </c>
      <c r="E101" s="3" t="s">
        <v>19</v>
      </c>
      <c r="F101" s="3" t="s">
        <v>118</v>
      </c>
      <c r="G101" s="4">
        <v>2.4583333333333332E-2</v>
      </c>
      <c r="H101" s="4">
        <v>1.0405092592592593E-2</v>
      </c>
      <c r="I101" s="50">
        <v>5.8333333333333336E-3</v>
      </c>
      <c r="J101" s="4">
        <v>2.6967592592592594E-3</v>
      </c>
      <c r="K101" s="28" t="str">
        <f>HYPERLINK("https://www.strava.com/activities/2182390677","Strava")</f>
        <v>Strava</v>
      </c>
      <c r="L101" s="51" t="s">
        <v>553</v>
      </c>
    </row>
    <row r="102" spans="1:12" ht="15">
      <c r="A102" s="3">
        <v>75</v>
      </c>
      <c r="B102" s="3">
        <v>300</v>
      </c>
      <c r="C102" s="3">
        <f t="shared" si="0"/>
        <v>4</v>
      </c>
      <c r="D102" s="3">
        <v>183</v>
      </c>
      <c r="E102" s="3" t="s">
        <v>306</v>
      </c>
      <c r="F102" s="3" t="s">
        <v>17</v>
      </c>
      <c r="G102" s="4">
        <v>2.4884259259259259E-2</v>
      </c>
      <c r="H102" s="4">
        <v>1.0567129629629629E-2</v>
      </c>
      <c r="I102" s="4">
        <v>5.8449074074074072E-3</v>
      </c>
      <c r="J102" s="4">
        <v>2.7430555555555554E-3</v>
      </c>
      <c r="K102" s="28" t="str">
        <f>HYPERLINK("https://www.strava.com/activities/2187388484","Strava")</f>
        <v>Strava</v>
      </c>
    </row>
    <row r="103" spans="1:12" ht="15">
      <c r="A103" s="3">
        <v>75</v>
      </c>
      <c r="B103" s="3">
        <v>300</v>
      </c>
      <c r="C103" s="3">
        <f t="shared" si="0"/>
        <v>4</v>
      </c>
      <c r="D103" s="3">
        <v>183</v>
      </c>
      <c r="E103" s="3" t="s">
        <v>201</v>
      </c>
      <c r="F103" s="3" t="s">
        <v>17</v>
      </c>
      <c r="G103" s="4">
        <v>2.4965277777777777E-2</v>
      </c>
      <c r="H103" s="4">
        <v>1.0590277777777778E-2</v>
      </c>
      <c r="I103" s="4">
        <v>5.9143518518518521E-3</v>
      </c>
      <c r="J103" s="4">
        <v>2.7430555555555554E-3</v>
      </c>
      <c r="K103" s="28" t="str">
        <f>HYPERLINK("https://www.strava.com/activities/2187241285","Strava")</f>
        <v>Strava</v>
      </c>
    </row>
    <row r="104" spans="1:12" ht="15">
      <c r="A104" s="3">
        <v>75</v>
      </c>
      <c r="B104" s="3">
        <v>300</v>
      </c>
      <c r="C104" s="3">
        <f t="shared" si="0"/>
        <v>4</v>
      </c>
      <c r="D104" s="3">
        <v>183</v>
      </c>
      <c r="E104" s="3" t="s">
        <v>286</v>
      </c>
      <c r="F104" s="3" t="s">
        <v>286</v>
      </c>
      <c r="G104" s="4">
        <v>2.6782407407407408E-2</v>
      </c>
      <c r="H104" s="4">
        <v>1.1377314814814814E-2</v>
      </c>
      <c r="I104" s="4">
        <v>6.4236111111111108E-3</v>
      </c>
      <c r="J104" s="4">
        <v>2.8587962962962963E-3</v>
      </c>
      <c r="K104" s="28" t="str">
        <f>HYPERLINK("https://www.strava.com/activities/2792073558","Strava")</f>
        <v>Strava</v>
      </c>
    </row>
    <row r="105" spans="1:12" ht="15">
      <c r="E105" s="3"/>
    </row>
    <row r="106" spans="1:12" ht="15">
      <c r="E106" s="3"/>
    </row>
    <row r="107" spans="1:12" ht="15">
      <c r="E107" s="3"/>
    </row>
  </sheetData>
  <autoFilter ref="A1:K107" xr:uid="{00000000-0009-0000-0000-00000B000000}"/>
  <customSheetViews>
    <customSheetView guid="{5B966157-D76D-4ACD-A64E-35B71110F4A8}" filter="1" showAutoFilter="1">
      <pageMargins left="0.7" right="0.7" top="0.75" bottom="0.75" header="0.3" footer="0.3"/>
      <autoFilter ref="A1:K107" xr:uid="{5D441A75-5F5A-4CD3-A575-16C9FFCDE5EE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BMC SLR01"/>
            <filter val="BMC Timemachine01"/>
            <filter val="Cannondale Caad12"/>
            <filter val="Cannondale Evo"/>
            <filter val="Cannondale Synapse"/>
            <filter val="Cannondale System Six"/>
            <filter val="Canyon Speedmax"/>
            <filter val="Canyon Ultimate"/>
            <filter val="Cervelo P5"/>
            <filter val="Cervelo P5x"/>
            <filter val="Cervelo R5"/>
            <filter val="Cervelo S3D"/>
            <filter val="Chapter2 Rere"/>
            <filter val="Chapter2 Tere"/>
            <filter val="Cube Aerium"/>
            <filter val="Cube Litening"/>
            <filter val="Diamondback Andean"/>
            <filter val="Felt AR"/>
            <filter val="Felt IA"/>
            <filter val="Giant Propel Advanced SL 1"/>
            <filter val="Giant TCR Advanced Pro"/>
            <filter val="Liv Langma Advanced SL 0"/>
            <filter val="Pinarello Bolide"/>
            <filter val="Pinarello Bolide TT"/>
            <filter val="Pinarello Dogma 65.1"/>
            <filter val="Pinarello Dogma F10"/>
            <filter val="Pinarello F8"/>
            <filter val="Ridley Helium"/>
            <filter val="Scott Foil"/>
            <filter val="Scott Plasma"/>
            <filter val="Specialized Allez"/>
            <filter val="Specialized Allez Sprint"/>
            <filter val="Specialized Amira"/>
            <filter val="Specialized Amira S-Works"/>
            <filter val="Specialized Roubaix"/>
            <filter val="Specialized Roubaix S-Works"/>
            <filter val="Specialized Ruby"/>
            <filter val="Specialized Ruby S-Works"/>
            <filter val="Specialized Shiv"/>
            <filter val="Specialized Shiv Disc"/>
            <filter val="Specialized Shiv S-Works"/>
            <filter val="Specialized Tarmac"/>
            <filter val="Specialized Tarmac Pro"/>
            <filter val="Specialized Venge"/>
            <filter val="Specialized Venge S-Works"/>
            <filter val="Trek Emonda"/>
            <filter val="Trek Emonda SL"/>
            <filter val="Tron (Concept Z1)"/>
            <filter val="Ventum One"/>
            <filter val="Zwift Buffalo Fahrrad"/>
            <filter val="Zwift Carbon"/>
            <filter val="Zwift Mountain"/>
            <filter val="Zwift Safety"/>
            <filter val="Zwift Steel"/>
            <filter val="Zwift TT"/>
          </filters>
        </filterColumn>
        <filterColumn colId="5">
          <filters blank="1">
            <filter val="32mm Carbon"/>
            <filter val="50mm Carbon"/>
            <filter val="Bontrager Aeolus5"/>
            <filter val="Bora Ultra 35"/>
            <filter val="Bora Ultra 50"/>
            <filter val="Buffalo Fahrrad"/>
            <filter val="Comete Pro Carbon SL UST"/>
            <filter val="Cosmic CXR60c"/>
            <filter val="Cosmic Ultimate UST"/>
            <filter val="DT Swiss ARC 62"/>
            <filter val="ENVE SES 2.2"/>
            <filter val="ENVE SES 3.4"/>
            <filter val="ENVE SES 6.7"/>
            <filter val="ENVE SES 7.8"/>
            <filter val="ENVE SES 8.9"/>
            <filter val="Giant SLR 0"/>
            <filter val="Lightweight Meilenstein"/>
            <filter val="Roval CLX 64"/>
            <filter val="Safety"/>
            <filter val="Shimano C40"/>
            <filter val="Shimano C60"/>
            <filter val="Tron"/>
            <filter val="Zipp 454"/>
            <filter val="Zipp 808/Super9"/>
            <filter val="Zipp 858"/>
            <filter val="Zipp 858/Super9"/>
            <filter val="Zwift Mountain"/>
          </filters>
        </filterColumn>
      </autoFilter>
    </customSheetView>
  </customSheetViews>
  <hyperlinks>
    <hyperlink ref="K19" r:id="rId1" xr:uid="{00000000-0004-0000-0B00-000000000000}"/>
    <hyperlink ref="K86" r:id="rId2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U9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  <col min="6" max="6" width="16.7109375" customWidth="1"/>
    <col min="9" max="9" width="1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472</v>
      </c>
      <c r="H1" s="1" t="s">
        <v>554</v>
      </c>
      <c r="I1" s="1" t="s">
        <v>555</v>
      </c>
      <c r="J1" s="1" t="s">
        <v>8</v>
      </c>
    </row>
    <row r="2" spans="1:21" ht="15.75" customHeight="1">
      <c r="A2" s="3">
        <v>75</v>
      </c>
      <c r="B2" s="3">
        <v>300</v>
      </c>
      <c r="C2" s="3">
        <f t="shared" ref="C2:C14" si="0">B2/A2</f>
        <v>4</v>
      </c>
      <c r="D2" s="3">
        <v>183</v>
      </c>
      <c r="E2" s="3" t="s">
        <v>9</v>
      </c>
      <c r="F2" s="3" t="s">
        <v>113</v>
      </c>
      <c r="G2" s="4">
        <v>6.1574074074074074E-3</v>
      </c>
      <c r="H2" s="4">
        <v>6.5162037037037037E-3</v>
      </c>
      <c r="I2" s="4">
        <v>7.2685185185185188E-3</v>
      </c>
      <c r="J2" s="21" t="s">
        <v>556</v>
      </c>
    </row>
    <row r="3" spans="1:21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9</v>
      </c>
      <c r="F3" s="3" t="s">
        <v>79</v>
      </c>
      <c r="G3" s="4">
        <v>6.145833333333333E-3</v>
      </c>
      <c r="H3" s="4">
        <v>6.5162037037037037E-3</v>
      </c>
      <c r="I3" s="4">
        <v>7.2453703703703708E-3</v>
      </c>
      <c r="J3" s="21" t="s">
        <v>556</v>
      </c>
    </row>
    <row r="4" spans="1:21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 t="s">
        <v>9</v>
      </c>
      <c r="F4" s="3" t="s">
        <v>11</v>
      </c>
      <c r="G4" s="4">
        <v>6.1342592592592594E-3</v>
      </c>
      <c r="H4" s="4">
        <v>6.5393518518518517E-3</v>
      </c>
      <c r="I4" s="4">
        <v>7.2222222222222219E-3</v>
      </c>
      <c r="J4" s="21" t="s">
        <v>556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3" t="s">
        <v>9</v>
      </c>
      <c r="F5" s="3" t="s">
        <v>88</v>
      </c>
      <c r="G5" s="4">
        <v>6.145833333333333E-3</v>
      </c>
      <c r="H5" s="4">
        <v>6.5393518518518517E-3</v>
      </c>
      <c r="I5" s="4">
        <v>7.2453703703703708E-3</v>
      </c>
      <c r="J5" s="21" t="s">
        <v>557</v>
      </c>
      <c r="M5" s="10" t="s">
        <v>558</v>
      </c>
    </row>
    <row r="6" spans="1:21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9</v>
      </c>
      <c r="F6" s="3" t="s">
        <v>133</v>
      </c>
      <c r="G6" s="4">
        <v>6.2037037037037035E-3</v>
      </c>
      <c r="H6" s="4">
        <v>6.4930555555555557E-3</v>
      </c>
      <c r="I6" s="4">
        <v>7.3379629629629628E-3</v>
      </c>
      <c r="J6" s="21" t="s">
        <v>559</v>
      </c>
    </row>
    <row r="7" spans="1:21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73</v>
      </c>
      <c r="F7" s="3" t="s">
        <v>351</v>
      </c>
      <c r="G7" s="4">
        <v>6.1342592592592594E-3</v>
      </c>
      <c r="H7" s="4">
        <v>6.5162037037037037E-3</v>
      </c>
      <c r="I7" s="4">
        <v>7.2453703703703708E-3</v>
      </c>
      <c r="J7" s="21" t="s">
        <v>557</v>
      </c>
    </row>
    <row r="8" spans="1:21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 t="s">
        <v>94</v>
      </c>
      <c r="F8" s="3" t="s">
        <v>79</v>
      </c>
      <c r="G8" s="4">
        <v>6.1689814814814819E-3</v>
      </c>
      <c r="H8" s="4">
        <v>6.5393518518518517E-3</v>
      </c>
      <c r="I8" s="4">
        <v>7.2916666666666668E-3</v>
      </c>
      <c r="J8" s="21" t="s">
        <v>560</v>
      </c>
    </row>
    <row r="9" spans="1:21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49" t="s">
        <v>26</v>
      </c>
      <c r="F9" s="3" t="s">
        <v>79</v>
      </c>
      <c r="G9" s="4">
        <v>5.9490740740740745E-3</v>
      </c>
      <c r="H9" s="4">
        <v>6.6782407407407407E-3</v>
      </c>
      <c r="I9" s="4">
        <v>6.9791666666666665E-3</v>
      </c>
      <c r="J9" s="21" t="s">
        <v>560</v>
      </c>
    </row>
    <row r="10" spans="1:21" ht="15.75" customHeight="1">
      <c r="A10" s="3">
        <v>75</v>
      </c>
      <c r="B10" s="3">
        <v>300</v>
      </c>
      <c r="C10" s="3">
        <f t="shared" si="0"/>
        <v>4</v>
      </c>
      <c r="D10" s="3">
        <v>183</v>
      </c>
      <c r="E10" s="49" t="s">
        <v>42</v>
      </c>
      <c r="F10" s="3" t="s">
        <v>79</v>
      </c>
      <c r="G10" s="4">
        <v>5.9722222222222225E-3</v>
      </c>
      <c r="H10" s="4">
        <v>6.6550925925925927E-3</v>
      </c>
      <c r="I10" s="4">
        <v>7.013888888888889E-3</v>
      </c>
      <c r="J10" s="21" t="s">
        <v>560</v>
      </c>
    </row>
    <row r="11" spans="1:21" ht="15.75" customHeight="1">
      <c r="A11" s="3">
        <v>75</v>
      </c>
      <c r="B11" s="3">
        <v>300</v>
      </c>
      <c r="C11" s="3">
        <f t="shared" si="0"/>
        <v>4</v>
      </c>
      <c r="D11" s="3">
        <v>183</v>
      </c>
      <c r="E11" s="49" t="s">
        <v>561</v>
      </c>
      <c r="F11" s="3" t="s">
        <v>79</v>
      </c>
      <c r="G11" s="4">
        <v>5.9722222222222225E-3</v>
      </c>
      <c r="H11" s="4">
        <v>6.6550925925925927E-3</v>
      </c>
      <c r="I11" s="4">
        <v>7.0023148148148145E-3</v>
      </c>
      <c r="J11" s="21" t="s">
        <v>560</v>
      </c>
    </row>
    <row r="12" spans="1:21" ht="15.75" customHeight="1">
      <c r="A12" s="3">
        <v>75</v>
      </c>
      <c r="B12" s="3">
        <v>300</v>
      </c>
      <c r="C12" s="3">
        <f t="shared" si="0"/>
        <v>4</v>
      </c>
      <c r="D12" s="3">
        <v>183</v>
      </c>
      <c r="E12" s="3" t="s">
        <v>94</v>
      </c>
      <c r="F12" s="3" t="s">
        <v>79</v>
      </c>
      <c r="G12" s="4">
        <v>6.1689814814814819E-3</v>
      </c>
      <c r="H12" s="4">
        <v>6.5046296296296293E-3</v>
      </c>
      <c r="I12" s="4">
        <v>7.2916666666666668E-3</v>
      </c>
      <c r="J12" s="21" t="s">
        <v>562</v>
      </c>
      <c r="M12" s="10" t="s">
        <v>563</v>
      </c>
    </row>
    <row r="13" spans="1:21" ht="15.75" customHeight="1">
      <c r="A13" s="3">
        <v>75</v>
      </c>
      <c r="B13" s="3">
        <v>300</v>
      </c>
      <c r="C13" s="3">
        <f t="shared" si="0"/>
        <v>4</v>
      </c>
      <c r="D13" s="3">
        <v>183</v>
      </c>
      <c r="E13" s="49" t="s">
        <v>23</v>
      </c>
      <c r="F13" s="3" t="s">
        <v>79</v>
      </c>
      <c r="G13" s="4">
        <v>5.9490740740740745E-3</v>
      </c>
      <c r="H13" s="4">
        <v>6.6666666666666671E-3</v>
      </c>
      <c r="I13" s="4">
        <v>6.9675925925925929E-3</v>
      </c>
      <c r="J13" s="21" t="s">
        <v>564</v>
      </c>
      <c r="M13" s="10" t="s">
        <v>563</v>
      </c>
    </row>
    <row r="14" spans="1:21" ht="15.75" customHeight="1">
      <c r="A14" s="3">
        <v>75</v>
      </c>
      <c r="B14" s="3">
        <v>300</v>
      </c>
      <c r="C14" s="3">
        <f t="shared" si="0"/>
        <v>4</v>
      </c>
      <c r="D14" s="3">
        <v>183</v>
      </c>
      <c r="E14" s="49" t="s">
        <v>23</v>
      </c>
      <c r="F14" s="3" t="s">
        <v>11</v>
      </c>
      <c r="G14" s="4">
        <v>5.9259259259259256E-3</v>
      </c>
      <c r="H14" s="4">
        <v>6.7013888888888887E-3</v>
      </c>
      <c r="I14" s="4">
        <v>6.9444444444444441E-3</v>
      </c>
      <c r="J14" s="21" t="s">
        <v>565</v>
      </c>
      <c r="M14" s="10" t="s">
        <v>563</v>
      </c>
    </row>
    <row r="15" spans="1:21" ht="15.75" customHeight="1">
      <c r="A15" s="3"/>
      <c r="B15" s="3"/>
      <c r="C15" s="3"/>
      <c r="D15" s="3"/>
      <c r="E15" s="3"/>
      <c r="F15" s="3"/>
      <c r="G15" s="4"/>
      <c r="H15" s="4"/>
      <c r="I15" s="48"/>
    </row>
    <row r="16" spans="1:21" ht="15.75" customHeight="1">
      <c r="A16" s="3"/>
      <c r="B16" s="3"/>
      <c r="C16" s="3"/>
      <c r="D16" s="3"/>
      <c r="E16" s="3"/>
      <c r="F16" s="3"/>
      <c r="G16" s="4"/>
      <c r="H16" s="4"/>
      <c r="I16" s="48"/>
    </row>
    <row r="17" spans="1:10" ht="15.75" customHeight="1">
      <c r="A17" s="3"/>
      <c r="B17" s="3"/>
      <c r="C17" s="3"/>
      <c r="D17" s="3"/>
      <c r="E17" s="3"/>
      <c r="F17" s="3"/>
      <c r="G17" s="4"/>
      <c r="H17" s="4"/>
      <c r="I17" s="48"/>
    </row>
    <row r="18" spans="1:10" ht="15.75" customHeight="1">
      <c r="A18" s="3"/>
      <c r="B18" s="3"/>
      <c r="C18" s="3"/>
      <c r="D18" s="3"/>
      <c r="E18" s="3"/>
      <c r="F18" s="3"/>
      <c r="G18" s="4"/>
      <c r="H18" s="4"/>
      <c r="I18" s="48"/>
    </row>
    <row r="19" spans="1:10" ht="15.75" customHeight="1">
      <c r="A19" s="3"/>
      <c r="B19" s="3"/>
      <c r="C19" s="3"/>
      <c r="D19" s="3"/>
      <c r="E19" s="3"/>
      <c r="F19" s="3"/>
      <c r="G19" s="4"/>
      <c r="H19" s="4"/>
      <c r="I19" s="48"/>
    </row>
    <row r="20" spans="1:10" ht="15.75" customHeight="1">
      <c r="A20" s="3"/>
      <c r="B20" s="3"/>
      <c r="C20" s="3"/>
      <c r="D20" s="3"/>
      <c r="E20" s="3"/>
      <c r="F20" s="3"/>
      <c r="G20" s="53"/>
      <c r="H20" s="53"/>
      <c r="I20" s="48"/>
    </row>
    <row r="21" spans="1:10" ht="15.75" customHeight="1">
      <c r="A21" s="3"/>
      <c r="B21" s="3"/>
      <c r="C21" s="3"/>
      <c r="D21" s="3"/>
      <c r="E21" s="3"/>
      <c r="F21" s="3"/>
      <c r="G21" s="53"/>
      <c r="H21" s="53"/>
      <c r="I21" s="48"/>
    </row>
    <row r="22" spans="1:10" ht="15.75" customHeight="1">
      <c r="A22" s="3"/>
      <c r="B22" s="3"/>
      <c r="C22" s="3"/>
      <c r="D22" s="3"/>
      <c r="E22" s="3"/>
      <c r="F22" s="3"/>
      <c r="G22" s="53"/>
      <c r="H22" s="53"/>
      <c r="I22" s="48"/>
    </row>
    <row r="23" spans="1:10" ht="15.75" customHeight="1">
      <c r="A23" s="3"/>
      <c r="B23" s="3"/>
      <c r="C23" s="3"/>
      <c r="D23" s="3"/>
      <c r="E23" s="3"/>
      <c r="F23" s="3"/>
      <c r="G23" s="53"/>
      <c r="H23" s="53"/>
      <c r="I23" s="48"/>
    </row>
    <row r="24" spans="1:10" ht="15.75" customHeight="1">
      <c r="A24" s="3"/>
      <c r="B24" s="3"/>
      <c r="C24" s="3"/>
      <c r="D24" s="3"/>
      <c r="E24" s="3"/>
      <c r="F24" s="3"/>
      <c r="G24" s="53"/>
      <c r="H24" s="53"/>
      <c r="I24" s="48"/>
    </row>
    <row r="25" spans="1:10" ht="15.75" customHeight="1">
      <c r="A25" s="3"/>
      <c r="B25" s="3"/>
      <c r="C25" s="3"/>
      <c r="D25" s="3"/>
      <c r="E25" s="3"/>
      <c r="F25" s="3"/>
      <c r="G25" s="53"/>
      <c r="H25" s="53"/>
      <c r="I25" s="48"/>
    </row>
    <row r="26" spans="1:10" ht="15.75" customHeight="1">
      <c r="A26" s="3"/>
      <c r="B26" s="3"/>
      <c r="C26" s="3"/>
      <c r="D26" s="3"/>
      <c r="E26" s="3"/>
      <c r="F26" s="3"/>
      <c r="G26" s="53"/>
      <c r="H26" s="53"/>
      <c r="I26" s="48"/>
    </row>
    <row r="27" spans="1:10" ht="15.75" customHeight="1">
      <c r="A27" s="3"/>
      <c r="B27" s="3"/>
      <c r="C27" s="3"/>
      <c r="D27" s="3"/>
      <c r="E27" s="3"/>
      <c r="F27" s="3"/>
      <c r="G27" s="53"/>
      <c r="H27" s="53"/>
      <c r="I27" s="48"/>
    </row>
    <row r="28" spans="1:10" ht="15.75" customHeight="1">
      <c r="A28" s="3"/>
      <c r="B28" s="3"/>
      <c r="C28" s="3"/>
      <c r="D28" s="3"/>
      <c r="E28" s="3"/>
      <c r="F28" s="3"/>
      <c r="G28" s="4"/>
      <c r="H28" s="4"/>
      <c r="I28" s="48"/>
    </row>
    <row r="29" spans="1:10" ht="15.75" customHeight="1">
      <c r="A29" s="3"/>
      <c r="B29" s="3"/>
      <c r="C29" s="3"/>
      <c r="D29" s="3"/>
      <c r="E29" s="3"/>
      <c r="F29" s="3"/>
      <c r="G29" s="4"/>
      <c r="H29" s="4"/>
      <c r="I29" s="48"/>
    </row>
    <row r="30" spans="1:10" ht="15.75" customHeight="1">
      <c r="A30" s="3"/>
      <c r="B30" s="3"/>
      <c r="C30" s="3"/>
      <c r="D30" s="3"/>
      <c r="E30" s="3"/>
      <c r="F30" s="3"/>
      <c r="G30" s="53"/>
      <c r="H30" s="53"/>
      <c r="I30" s="48"/>
    </row>
    <row r="31" spans="1:10" ht="15.75" customHeight="1">
      <c r="A31" s="3"/>
      <c r="B31" s="3"/>
      <c r="C31" s="3"/>
      <c r="D31" s="3"/>
      <c r="E31" s="3"/>
      <c r="F31" s="3"/>
      <c r="G31" s="4"/>
      <c r="H31" s="4"/>
      <c r="I31" s="48"/>
    </row>
    <row r="32" spans="1:10" ht="15.75" customHeight="1">
      <c r="A32" s="3"/>
      <c r="B32" s="3"/>
      <c r="C32" s="3"/>
      <c r="D32" s="3"/>
      <c r="E32" s="3"/>
      <c r="F32" s="3"/>
      <c r="G32" s="53"/>
      <c r="H32" s="53"/>
      <c r="I32" s="48"/>
      <c r="J32" s="51"/>
    </row>
    <row r="33" spans="1:9" ht="15.75" customHeight="1">
      <c r="A33" s="3"/>
      <c r="B33" s="3"/>
      <c r="C33" s="3"/>
      <c r="D33" s="3"/>
      <c r="E33" s="3"/>
      <c r="F33" s="3"/>
      <c r="G33" s="4"/>
      <c r="H33" s="4"/>
      <c r="I33" s="48"/>
    </row>
    <row r="34" spans="1:9" ht="15.75" customHeight="1">
      <c r="A34" s="3"/>
      <c r="B34" s="3"/>
      <c r="C34" s="3"/>
      <c r="D34" s="3"/>
      <c r="E34" s="3"/>
      <c r="F34" s="3"/>
      <c r="G34" s="4"/>
      <c r="H34" s="4"/>
      <c r="I34" s="48"/>
    </row>
    <row r="35" spans="1:9" ht="15.75" customHeight="1">
      <c r="A35" s="3"/>
      <c r="B35" s="3"/>
      <c r="C35" s="3"/>
      <c r="D35" s="3"/>
      <c r="E35" s="3"/>
      <c r="F35" s="3"/>
      <c r="G35" s="4"/>
      <c r="H35" s="4"/>
      <c r="I35" s="48"/>
    </row>
    <row r="36" spans="1:9" ht="15.75" customHeight="1">
      <c r="A36" s="3"/>
      <c r="B36" s="3"/>
      <c r="C36" s="3"/>
      <c r="D36" s="3"/>
      <c r="E36" s="3"/>
      <c r="F36" s="3"/>
      <c r="G36" s="4"/>
      <c r="H36" s="4"/>
      <c r="I36" s="48"/>
    </row>
    <row r="37" spans="1:9" ht="15">
      <c r="A37" s="3"/>
      <c r="B37" s="3"/>
      <c r="C37" s="3"/>
      <c r="D37" s="3"/>
      <c r="E37" s="3"/>
      <c r="F37" s="3"/>
      <c r="G37" s="4"/>
      <c r="H37" s="4"/>
      <c r="I37" s="48"/>
    </row>
    <row r="38" spans="1:9" ht="15">
      <c r="A38" s="3"/>
      <c r="B38" s="3"/>
      <c r="C38" s="3"/>
      <c r="D38" s="3"/>
      <c r="E38" s="3"/>
      <c r="F38" s="3"/>
      <c r="G38" s="4"/>
      <c r="H38" s="4"/>
      <c r="I38" s="48"/>
    </row>
    <row r="39" spans="1:9" ht="15">
      <c r="A39" s="3"/>
      <c r="B39" s="3"/>
      <c r="C39" s="3"/>
      <c r="D39" s="3"/>
      <c r="E39" s="3"/>
      <c r="F39" s="3"/>
      <c r="G39" s="4"/>
      <c r="H39" s="4"/>
      <c r="I39" s="48"/>
    </row>
    <row r="40" spans="1:9">
      <c r="A40" s="3"/>
      <c r="B40" s="3"/>
      <c r="C40" s="3"/>
      <c r="D40" s="3"/>
      <c r="E40" s="3"/>
      <c r="F40" s="3"/>
      <c r="G40" s="53"/>
      <c r="H40" s="53"/>
      <c r="I40" s="48"/>
    </row>
    <row r="41" spans="1:9">
      <c r="A41" s="3"/>
      <c r="B41" s="3"/>
      <c r="C41" s="3"/>
      <c r="D41" s="3"/>
      <c r="E41" s="3"/>
      <c r="F41" s="3"/>
      <c r="G41" s="53"/>
      <c r="H41" s="53"/>
      <c r="I41" s="48"/>
    </row>
    <row r="42" spans="1:9">
      <c r="A42" s="3"/>
      <c r="B42" s="3"/>
      <c r="C42" s="3"/>
      <c r="D42" s="3"/>
      <c r="E42" s="3"/>
      <c r="F42" s="3"/>
      <c r="G42" s="53"/>
      <c r="H42" s="53"/>
      <c r="I42" s="48"/>
    </row>
    <row r="43" spans="1:9">
      <c r="A43" s="3"/>
      <c r="B43" s="3"/>
      <c r="C43" s="3"/>
      <c r="D43" s="3"/>
      <c r="E43" s="3"/>
      <c r="F43" s="3"/>
      <c r="G43" s="53"/>
      <c r="H43" s="53"/>
      <c r="I43" s="48"/>
    </row>
    <row r="44" spans="1:9">
      <c r="A44" s="3"/>
      <c r="B44" s="3"/>
      <c r="C44" s="3"/>
      <c r="D44" s="3"/>
      <c r="E44" s="3"/>
      <c r="F44" s="3"/>
      <c r="G44" s="53"/>
      <c r="H44" s="53"/>
      <c r="I44" s="48"/>
    </row>
    <row r="45" spans="1:9" ht="15">
      <c r="A45" s="3"/>
      <c r="B45" s="3"/>
      <c r="C45" s="3"/>
      <c r="D45" s="3"/>
      <c r="E45" s="3"/>
      <c r="F45" s="3"/>
      <c r="G45" s="4"/>
      <c r="H45" s="4"/>
      <c r="I45" s="48"/>
    </row>
    <row r="46" spans="1:9">
      <c r="A46" s="3"/>
      <c r="B46" s="3"/>
      <c r="C46" s="3"/>
      <c r="D46" s="3"/>
      <c r="E46" s="3"/>
      <c r="F46" s="3"/>
      <c r="G46" s="53"/>
      <c r="H46" s="53"/>
      <c r="I46" s="48"/>
    </row>
    <row r="47" spans="1:9" ht="15">
      <c r="A47" s="3"/>
      <c r="B47" s="3"/>
      <c r="C47" s="3"/>
      <c r="D47" s="3"/>
      <c r="E47" s="3"/>
      <c r="F47" s="3"/>
      <c r="G47" s="4"/>
      <c r="H47" s="4"/>
      <c r="I47" s="48"/>
    </row>
    <row r="48" spans="1:9">
      <c r="A48" s="3"/>
      <c r="B48" s="3"/>
      <c r="C48" s="3"/>
      <c r="D48" s="3"/>
      <c r="E48" s="3"/>
      <c r="F48" s="3"/>
      <c r="G48" s="53"/>
      <c r="H48" s="53"/>
      <c r="I48" s="48"/>
    </row>
    <row r="49" spans="1:9" ht="15">
      <c r="A49" s="3"/>
      <c r="B49" s="3"/>
      <c r="C49" s="3"/>
      <c r="D49" s="3"/>
      <c r="E49" s="3"/>
      <c r="F49" s="3"/>
      <c r="G49" s="4"/>
      <c r="H49" s="4"/>
      <c r="I49" s="48"/>
    </row>
    <row r="50" spans="1:9" ht="15">
      <c r="A50" s="3"/>
      <c r="B50" s="3"/>
      <c r="C50" s="3"/>
      <c r="D50" s="3"/>
      <c r="E50" s="3"/>
      <c r="F50" s="3"/>
      <c r="G50" s="4"/>
      <c r="H50" s="4"/>
      <c r="I50" s="48"/>
    </row>
    <row r="51" spans="1:9">
      <c r="A51" s="3"/>
      <c r="B51" s="3"/>
      <c r="C51" s="3"/>
      <c r="D51" s="3"/>
      <c r="E51" s="3"/>
      <c r="F51" s="3"/>
      <c r="G51" s="53"/>
      <c r="H51" s="53"/>
      <c r="I51" s="48"/>
    </row>
    <row r="52" spans="1:9">
      <c r="A52" s="3"/>
      <c r="B52" s="3"/>
      <c r="C52" s="3"/>
      <c r="D52" s="3"/>
      <c r="E52" s="3"/>
      <c r="F52" s="3"/>
      <c r="G52" s="53"/>
      <c r="H52" s="53"/>
      <c r="I52" s="48"/>
    </row>
    <row r="53" spans="1:9" ht="15">
      <c r="A53" s="3"/>
      <c r="B53" s="3"/>
      <c r="C53" s="3"/>
      <c r="D53" s="3"/>
      <c r="E53" s="3"/>
      <c r="F53" s="3"/>
      <c r="G53" s="4"/>
      <c r="H53" s="4"/>
      <c r="I53" s="48"/>
    </row>
    <row r="54" spans="1:9">
      <c r="A54" s="3"/>
      <c r="B54" s="3"/>
      <c r="C54" s="3"/>
      <c r="D54" s="3"/>
      <c r="E54" s="3"/>
      <c r="F54" s="3"/>
      <c r="G54" s="53"/>
      <c r="H54" s="53"/>
      <c r="I54" s="48"/>
    </row>
    <row r="55" spans="1:9" ht="15">
      <c r="A55" s="3"/>
      <c r="B55" s="3"/>
      <c r="C55" s="3"/>
      <c r="D55" s="3"/>
      <c r="E55" s="3"/>
      <c r="F55" s="3"/>
      <c r="G55" s="4"/>
      <c r="H55" s="4"/>
      <c r="I55" s="48"/>
    </row>
    <row r="56" spans="1:9" ht="15">
      <c r="A56" s="3"/>
      <c r="B56" s="3"/>
      <c r="C56" s="3"/>
      <c r="D56" s="3"/>
      <c r="E56" s="3"/>
      <c r="F56" s="3"/>
      <c r="G56" s="4"/>
      <c r="H56" s="4"/>
      <c r="I56" s="48"/>
    </row>
    <row r="57" spans="1:9" ht="15">
      <c r="A57" s="3"/>
      <c r="B57" s="3"/>
      <c r="C57" s="3"/>
      <c r="D57" s="3"/>
      <c r="E57" s="3"/>
      <c r="F57" s="3"/>
      <c r="G57" s="4"/>
      <c r="H57" s="4"/>
      <c r="I57" s="48"/>
    </row>
    <row r="58" spans="1:9" ht="15">
      <c r="A58" s="3"/>
      <c r="B58" s="3"/>
      <c r="C58" s="3"/>
      <c r="D58" s="3"/>
      <c r="E58" s="3"/>
      <c r="F58" s="3"/>
      <c r="G58" s="4"/>
      <c r="H58" s="4"/>
      <c r="I58" s="48"/>
    </row>
    <row r="59" spans="1:9" ht="15">
      <c r="A59" s="3"/>
      <c r="B59" s="3"/>
      <c r="C59" s="3"/>
      <c r="D59" s="3"/>
      <c r="E59" s="3"/>
      <c r="F59" s="3"/>
      <c r="G59" s="4"/>
      <c r="H59" s="4"/>
      <c r="I59" s="48"/>
    </row>
    <row r="60" spans="1:9" ht="15">
      <c r="A60" s="3"/>
      <c r="B60" s="3"/>
      <c r="C60" s="3"/>
      <c r="D60" s="3"/>
      <c r="E60" s="3"/>
      <c r="F60" s="3"/>
      <c r="G60" s="4"/>
      <c r="H60" s="4"/>
      <c r="I60" s="48"/>
    </row>
    <row r="61" spans="1:9" ht="15">
      <c r="A61" s="3"/>
      <c r="B61" s="3"/>
      <c r="C61" s="3"/>
      <c r="D61" s="3"/>
      <c r="E61" s="3"/>
      <c r="F61" s="3"/>
      <c r="G61" s="4"/>
      <c r="H61" s="4"/>
      <c r="I61" s="48"/>
    </row>
    <row r="62" spans="1:9" ht="15">
      <c r="A62" s="3"/>
      <c r="B62" s="3"/>
      <c r="C62" s="3"/>
      <c r="D62" s="3"/>
      <c r="E62" s="3"/>
      <c r="F62" s="3"/>
      <c r="G62" s="4"/>
      <c r="H62" s="4"/>
      <c r="I62" s="48"/>
    </row>
    <row r="63" spans="1:9" ht="15">
      <c r="A63" s="3"/>
      <c r="B63" s="3"/>
      <c r="C63" s="3"/>
      <c r="D63" s="3"/>
      <c r="E63" s="3"/>
      <c r="F63" s="3"/>
      <c r="G63" s="4"/>
      <c r="H63" s="4"/>
      <c r="I63" s="48"/>
    </row>
    <row r="64" spans="1:9" ht="15">
      <c r="A64" s="3"/>
      <c r="B64" s="3"/>
      <c r="C64" s="3"/>
      <c r="D64" s="3"/>
      <c r="E64" s="3"/>
      <c r="F64" s="3"/>
      <c r="G64" s="4"/>
      <c r="H64" s="4"/>
      <c r="I64" s="48"/>
    </row>
    <row r="65" spans="1:9" ht="15">
      <c r="A65" s="3"/>
      <c r="B65" s="3"/>
      <c r="C65" s="3"/>
      <c r="D65" s="3"/>
      <c r="E65" s="3"/>
      <c r="F65" s="3"/>
      <c r="G65" s="4"/>
      <c r="H65" s="4"/>
      <c r="I65" s="48"/>
    </row>
    <row r="66" spans="1:9" ht="15">
      <c r="A66" s="3"/>
      <c r="B66" s="3"/>
      <c r="C66" s="3"/>
      <c r="D66" s="3"/>
      <c r="E66" s="3"/>
      <c r="F66" s="3"/>
      <c r="G66" s="4"/>
      <c r="H66" s="4"/>
      <c r="I66" s="48"/>
    </row>
    <row r="67" spans="1:9" ht="15">
      <c r="A67" s="3"/>
      <c r="B67" s="3"/>
      <c r="C67" s="3"/>
      <c r="D67" s="3"/>
      <c r="E67" s="3"/>
      <c r="F67" s="3"/>
      <c r="G67" s="4"/>
      <c r="H67" s="4"/>
      <c r="I67" s="48"/>
    </row>
    <row r="68" spans="1:9" ht="15">
      <c r="A68" s="3"/>
      <c r="B68" s="3"/>
      <c r="C68" s="3"/>
      <c r="D68" s="3"/>
      <c r="E68" s="3"/>
      <c r="F68" s="3"/>
      <c r="G68" s="4"/>
      <c r="H68" s="4"/>
      <c r="I68" s="48"/>
    </row>
    <row r="69" spans="1:9" ht="15">
      <c r="A69" s="3"/>
      <c r="B69" s="3"/>
      <c r="C69" s="3"/>
      <c r="D69" s="3"/>
      <c r="E69" s="3"/>
      <c r="F69" s="3"/>
      <c r="G69" s="4"/>
      <c r="H69" s="4"/>
      <c r="I69" s="48"/>
    </row>
    <row r="70" spans="1:9" ht="15">
      <c r="A70" s="3"/>
      <c r="B70" s="3"/>
      <c r="C70" s="3"/>
      <c r="D70" s="3"/>
      <c r="E70" s="3"/>
      <c r="F70" s="3"/>
      <c r="G70" s="4"/>
      <c r="H70" s="4"/>
      <c r="I70" s="48"/>
    </row>
    <row r="71" spans="1:9" ht="15">
      <c r="A71" s="3"/>
      <c r="B71" s="3"/>
      <c r="C71" s="3"/>
      <c r="D71" s="3"/>
      <c r="E71" s="3"/>
      <c r="F71" s="3"/>
      <c r="G71" s="4"/>
      <c r="H71" s="4"/>
      <c r="I71" s="48"/>
    </row>
    <row r="72" spans="1:9" ht="15">
      <c r="A72" s="3"/>
      <c r="B72" s="3"/>
      <c r="C72" s="3"/>
      <c r="D72" s="3"/>
      <c r="E72" s="3"/>
      <c r="F72" s="3"/>
      <c r="G72" s="4"/>
      <c r="H72" s="4"/>
      <c r="I72" s="48"/>
    </row>
    <row r="73" spans="1:9" ht="15">
      <c r="A73" s="3"/>
      <c r="B73" s="3"/>
      <c r="C73" s="3"/>
      <c r="D73" s="3"/>
      <c r="E73" s="3"/>
      <c r="F73" s="3"/>
      <c r="G73" s="4"/>
      <c r="H73" s="4"/>
      <c r="I73" s="48"/>
    </row>
    <row r="74" spans="1:9" ht="15">
      <c r="A74" s="3"/>
      <c r="B74" s="3"/>
      <c r="C74" s="3"/>
      <c r="D74" s="3"/>
      <c r="E74" s="3"/>
      <c r="F74" s="3"/>
      <c r="G74" s="4"/>
      <c r="H74" s="4"/>
      <c r="I74" s="48"/>
    </row>
    <row r="75" spans="1:9" ht="15">
      <c r="A75" s="3"/>
      <c r="B75" s="3"/>
      <c r="C75" s="3"/>
      <c r="D75" s="3"/>
      <c r="E75" s="3"/>
      <c r="F75" s="3"/>
      <c r="G75" s="4"/>
      <c r="H75" s="4"/>
      <c r="I75" s="48"/>
    </row>
    <row r="76" spans="1:9" ht="15">
      <c r="A76" s="3"/>
      <c r="B76" s="3"/>
      <c r="C76" s="3"/>
      <c r="D76" s="3"/>
      <c r="E76" s="3"/>
      <c r="F76" s="3"/>
      <c r="G76" s="4"/>
      <c r="H76" s="4"/>
      <c r="I76" s="48"/>
    </row>
    <row r="77" spans="1:9" ht="15">
      <c r="A77" s="3"/>
      <c r="B77" s="3"/>
      <c r="C77" s="3"/>
      <c r="D77" s="3"/>
      <c r="E77" s="3"/>
      <c r="F77" s="3"/>
      <c r="G77" s="4"/>
      <c r="H77" s="4"/>
      <c r="I77" s="48"/>
    </row>
    <row r="78" spans="1:9" ht="15">
      <c r="A78" s="3"/>
      <c r="B78" s="3"/>
      <c r="C78" s="3"/>
      <c r="D78" s="3"/>
      <c r="E78" s="3"/>
      <c r="F78" s="3"/>
      <c r="G78" s="4"/>
      <c r="H78" s="4"/>
      <c r="I78" s="48"/>
    </row>
    <row r="79" spans="1:9" ht="15">
      <c r="A79" s="3"/>
      <c r="B79" s="3"/>
      <c r="C79" s="3"/>
      <c r="D79" s="3"/>
      <c r="E79" s="3"/>
      <c r="F79" s="3"/>
      <c r="G79" s="4"/>
      <c r="H79" s="4"/>
      <c r="I79" s="48"/>
    </row>
    <row r="80" spans="1:9" ht="15">
      <c r="A80" s="3"/>
      <c r="B80" s="3"/>
      <c r="C80" s="3"/>
      <c r="D80" s="3"/>
      <c r="E80" s="3"/>
      <c r="F80" s="3"/>
      <c r="G80" s="4"/>
      <c r="H80" s="4"/>
      <c r="I80" s="48"/>
    </row>
    <row r="81" spans="1:9" ht="15">
      <c r="A81" s="3"/>
      <c r="B81" s="3"/>
      <c r="C81" s="3"/>
      <c r="D81" s="3"/>
      <c r="E81" s="3"/>
      <c r="F81" s="3"/>
      <c r="G81" s="4"/>
      <c r="H81" s="4"/>
      <c r="I81" s="48"/>
    </row>
    <row r="82" spans="1:9" ht="15">
      <c r="A82" s="3"/>
      <c r="B82" s="3"/>
      <c r="C82" s="3"/>
      <c r="D82" s="3"/>
      <c r="E82" s="3"/>
      <c r="F82" s="3"/>
      <c r="G82" s="4"/>
      <c r="H82" s="4"/>
      <c r="I82" s="48"/>
    </row>
    <row r="83" spans="1:9" ht="15">
      <c r="A83" s="3"/>
      <c r="B83" s="3"/>
      <c r="C83" s="3"/>
      <c r="D83" s="3"/>
      <c r="E83" s="3"/>
      <c r="F83" s="3"/>
      <c r="G83" s="4"/>
      <c r="H83" s="4"/>
      <c r="I83" s="48"/>
    </row>
    <row r="84" spans="1:9" ht="15">
      <c r="A84" s="3"/>
      <c r="B84" s="3"/>
      <c r="C84" s="3"/>
      <c r="D84" s="3"/>
      <c r="E84" s="3"/>
      <c r="F84" s="3"/>
      <c r="G84" s="4"/>
      <c r="H84" s="4"/>
      <c r="I84" s="48"/>
    </row>
    <row r="85" spans="1:9" ht="15">
      <c r="A85" s="3"/>
      <c r="B85" s="3"/>
      <c r="C85" s="3"/>
      <c r="D85" s="3"/>
      <c r="E85" s="3"/>
      <c r="F85" s="3"/>
      <c r="G85" s="4"/>
      <c r="H85" s="4"/>
      <c r="I85" s="48"/>
    </row>
    <row r="86" spans="1:9" ht="15">
      <c r="E86" s="3"/>
    </row>
    <row r="87" spans="1:9" ht="15">
      <c r="E87" s="3"/>
    </row>
    <row r="88" spans="1:9" ht="15">
      <c r="E88" s="3"/>
    </row>
    <row r="90" spans="1:9" ht="15">
      <c r="E90" s="3"/>
    </row>
    <row r="91" spans="1:9" ht="15">
      <c r="E91" s="3"/>
    </row>
    <row r="92" spans="1:9" ht="15">
      <c r="E92" s="3"/>
    </row>
  </sheetData>
  <autoFilter ref="A1:I92" xr:uid="{00000000-0009-0000-0000-00000C000000}"/>
  <customSheetViews>
    <customSheetView guid="{5B966157-D76D-4ACD-A64E-35B71110F4A8}" filter="1" showAutoFilter="1">
      <pageMargins left="0.7" right="0.7" top="0.75" bottom="0.75" header="0.3" footer="0.3"/>
      <autoFilter ref="A1:I92" xr:uid="{DF2C9100-1E62-4817-A27F-46DFF6DDA100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Canyon Speedmax CF SLX Disc"/>
            <filter val="Cervelo P5x"/>
            <filter val="Specialized P5"/>
            <filter val="Specialized Shiv S-Works"/>
            <filter val="Specialized Tarmac Pro"/>
            <filter val="Specialized Venge S-Works"/>
            <filter val="Tron (Concept Z1)"/>
          </filters>
        </filterColumn>
        <filterColumn colId="5">
          <filters blank="1">
            <filter val="ENVE 7.8"/>
            <filter val="Lightweight Meilenstein"/>
            <filter val="Tron"/>
            <filter val="Zipp 454"/>
            <filter val="Zipp 858"/>
            <filter val="Zipp 858/Super9"/>
          </filters>
        </filterColumn>
      </autoFilter>
    </customSheetView>
  </customSheetViews>
  <hyperlinks>
    <hyperlink ref="J2" r:id="rId1" xr:uid="{00000000-0004-0000-0C00-000000000000}"/>
    <hyperlink ref="J3" r:id="rId2" xr:uid="{00000000-0004-0000-0C00-000001000000}"/>
    <hyperlink ref="J4" r:id="rId3" xr:uid="{00000000-0004-0000-0C00-000002000000}"/>
    <hyperlink ref="J5" r:id="rId4" xr:uid="{00000000-0004-0000-0C00-000003000000}"/>
    <hyperlink ref="J6" r:id="rId5" xr:uid="{00000000-0004-0000-0C00-000004000000}"/>
    <hyperlink ref="J7" r:id="rId6" xr:uid="{00000000-0004-0000-0C00-000005000000}"/>
    <hyperlink ref="J8" r:id="rId7" xr:uid="{00000000-0004-0000-0C00-000006000000}"/>
    <hyperlink ref="J9" r:id="rId8" xr:uid="{00000000-0004-0000-0C00-000007000000}"/>
    <hyperlink ref="J10" r:id="rId9" xr:uid="{00000000-0004-0000-0C00-000008000000}"/>
    <hyperlink ref="J11" r:id="rId10" xr:uid="{00000000-0004-0000-0C00-000009000000}"/>
    <hyperlink ref="J12" r:id="rId11" xr:uid="{00000000-0004-0000-0C00-00000A000000}"/>
    <hyperlink ref="J13" r:id="rId12" xr:uid="{00000000-0004-0000-0C00-00000B000000}"/>
    <hyperlink ref="J14" r:id="rId13" xr:uid="{00000000-0004-0000-0C00-00000C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7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566</v>
      </c>
      <c r="I1" s="1" t="s">
        <v>567</v>
      </c>
      <c r="J1" s="1" t="s">
        <v>568</v>
      </c>
      <c r="K1" s="1" t="s">
        <v>569</v>
      </c>
      <c r="L1" s="1"/>
    </row>
    <row r="2" spans="1:12" ht="15.75" customHeight="1">
      <c r="A2" s="3">
        <v>75</v>
      </c>
      <c r="B2" s="3">
        <v>300</v>
      </c>
      <c r="C2" s="3">
        <f t="shared" ref="C2:C9" si="0">B2/A2</f>
        <v>4</v>
      </c>
      <c r="D2" s="3">
        <v>183</v>
      </c>
      <c r="E2" s="3" t="s">
        <v>13</v>
      </c>
      <c r="F2" s="3" t="s">
        <v>11</v>
      </c>
      <c r="G2" s="4">
        <v>7.2141203703703707E-2</v>
      </c>
      <c r="H2" s="4">
        <v>3.425925925925926E-3</v>
      </c>
      <c r="I2" s="4">
        <v>1.8171296296296297E-3</v>
      </c>
      <c r="J2" s="4">
        <v>5.7407407407407407E-3</v>
      </c>
      <c r="K2" s="4">
        <v>1.5162037037037036E-3</v>
      </c>
      <c r="L2" s="54" t="s">
        <v>570</v>
      </c>
    </row>
    <row r="3" spans="1:12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19</v>
      </c>
      <c r="F3" s="3" t="s">
        <v>14</v>
      </c>
      <c r="G3" s="4">
        <v>7.2708333333333333E-2</v>
      </c>
      <c r="H3" s="4">
        <v>3.449074074074074E-3</v>
      </c>
      <c r="I3" s="4">
        <v>1.8287037037037037E-3</v>
      </c>
      <c r="J3" s="4">
        <v>5.7870370370370367E-3</v>
      </c>
      <c r="K3" s="4">
        <v>1.5393518518518519E-3</v>
      </c>
      <c r="L3" s="54" t="s">
        <v>571</v>
      </c>
    </row>
    <row r="4" spans="1:12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 t="s">
        <v>77</v>
      </c>
      <c r="F4" s="3" t="s">
        <v>14</v>
      </c>
      <c r="G4" s="4">
        <v>7.2465277777777781E-2</v>
      </c>
      <c r="H4" s="4">
        <v>3.449074074074074E-3</v>
      </c>
      <c r="I4" s="4">
        <v>1.8402777777777777E-3</v>
      </c>
      <c r="J4" s="4">
        <v>5.7638888888888887E-3</v>
      </c>
      <c r="K4" s="4">
        <v>1.5393518518518519E-3</v>
      </c>
      <c r="L4" s="54" t="s">
        <v>572</v>
      </c>
    </row>
    <row r="5" spans="1:12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3" t="s">
        <v>13</v>
      </c>
      <c r="F5" s="3" t="s">
        <v>14</v>
      </c>
      <c r="G5" s="4">
        <v>7.2511574074074076E-2</v>
      </c>
      <c r="H5" s="4">
        <v>3.4375E-3</v>
      </c>
      <c r="I5" s="4">
        <v>1.8171296296296297E-3</v>
      </c>
      <c r="J5" s="4">
        <v>5.7407407407407407E-3</v>
      </c>
      <c r="K5" s="4">
        <v>1.5277777777777779E-3</v>
      </c>
      <c r="L5" s="54" t="s">
        <v>573</v>
      </c>
    </row>
    <row r="6" spans="1:12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351</v>
      </c>
      <c r="F6" s="3" t="s">
        <v>351</v>
      </c>
      <c r="G6" s="4">
        <v>7.2152777777777774E-2</v>
      </c>
      <c r="H6" s="4">
        <v>3.425925925925926E-3</v>
      </c>
      <c r="I6" s="4">
        <v>1.8287037037037037E-3</v>
      </c>
      <c r="J6" s="4">
        <v>5.7407407407407407E-3</v>
      </c>
      <c r="K6" s="4">
        <v>1.5277777777777779E-3</v>
      </c>
      <c r="L6" s="54" t="s">
        <v>574</v>
      </c>
    </row>
    <row r="7" spans="1:12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9</v>
      </c>
      <c r="F7" s="3" t="s">
        <v>11</v>
      </c>
      <c r="G7" s="4">
        <v>7.2129629629629627E-2</v>
      </c>
      <c r="H7" s="4">
        <v>3.425925925925926E-3</v>
      </c>
      <c r="I7" s="4">
        <v>1.8287037037037037E-3</v>
      </c>
      <c r="J7" s="4">
        <v>5.7523148148148151E-3</v>
      </c>
      <c r="K7" s="4">
        <v>1.5277777777777779E-3</v>
      </c>
      <c r="L7" s="54" t="s">
        <v>575</v>
      </c>
    </row>
    <row r="8" spans="1:12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 t="s">
        <v>13</v>
      </c>
      <c r="F8" s="3" t="s">
        <v>444</v>
      </c>
      <c r="G8" s="4">
        <v>7.2951388888888885E-2</v>
      </c>
      <c r="H8" s="4">
        <v>3.449074074074074E-3</v>
      </c>
      <c r="I8" s="4">
        <v>1.8171296296296297E-3</v>
      </c>
      <c r="J8" s="4">
        <v>5.7523148148148151E-3</v>
      </c>
      <c r="K8" s="4">
        <v>1.5277777777777779E-3</v>
      </c>
      <c r="L8" s="54" t="s">
        <v>576</v>
      </c>
    </row>
    <row r="9" spans="1:12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3" t="s">
        <v>13</v>
      </c>
      <c r="F9" s="3" t="s">
        <v>79</v>
      </c>
      <c r="G9" s="4">
        <v>7.228009259259259E-2</v>
      </c>
      <c r="H9" s="4">
        <v>3.4375E-3</v>
      </c>
      <c r="I9" s="4">
        <v>1.8171296296296297E-3</v>
      </c>
      <c r="J9" s="4">
        <v>5.7291666666666663E-3</v>
      </c>
      <c r="K9" s="4">
        <v>1.5277777777777779E-3</v>
      </c>
      <c r="L9" s="54" t="s">
        <v>577</v>
      </c>
    </row>
    <row r="10" spans="1:12" ht="15.75" customHeight="1">
      <c r="A10" s="3"/>
      <c r="B10" s="3"/>
      <c r="C10" s="3"/>
      <c r="D10" s="3"/>
      <c r="E10" s="3"/>
      <c r="F10" s="3"/>
      <c r="G10" s="4"/>
      <c r="H10" s="55"/>
      <c r="I10" s="55"/>
      <c r="J10" s="3"/>
      <c r="K10" s="55"/>
      <c r="L10" s="48"/>
    </row>
    <row r="11" spans="1:12" ht="15.75" customHeight="1">
      <c r="A11" s="3"/>
      <c r="B11" s="3"/>
      <c r="C11" s="3"/>
      <c r="D11" s="3"/>
      <c r="E11" s="3"/>
      <c r="F11" s="3"/>
      <c r="G11" s="4"/>
      <c r="H11" s="55"/>
      <c r="I11" s="55"/>
      <c r="J11" s="3"/>
      <c r="K11" s="55"/>
      <c r="L11" s="48"/>
    </row>
    <row r="12" spans="1:12" ht="15.75" customHeight="1">
      <c r="A12" s="3"/>
      <c r="B12" s="3"/>
      <c r="C12" s="3"/>
      <c r="D12" s="3"/>
      <c r="E12" s="3"/>
      <c r="F12" s="3"/>
      <c r="G12" s="4"/>
      <c r="H12" s="55"/>
      <c r="I12" s="55"/>
      <c r="J12" s="3"/>
      <c r="K12" s="55"/>
      <c r="L12" s="48"/>
    </row>
    <row r="13" spans="1:12" ht="15.75" customHeight="1">
      <c r="A13" s="3"/>
      <c r="B13" s="3"/>
      <c r="C13" s="3"/>
      <c r="D13" s="3"/>
      <c r="E13" s="3"/>
      <c r="F13" s="3"/>
      <c r="G13" s="4"/>
      <c r="H13" s="55"/>
      <c r="I13" s="55"/>
      <c r="J13" s="3"/>
      <c r="K13" s="55"/>
      <c r="L13" s="48"/>
    </row>
    <row r="14" spans="1:12" ht="15.75" customHeight="1">
      <c r="A14" s="3"/>
      <c r="B14" s="3"/>
      <c r="C14" s="3"/>
      <c r="D14" s="3"/>
      <c r="E14" s="3"/>
      <c r="F14" s="3"/>
      <c r="G14" s="4"/>
      <c r="H14" s="55"/>
      <c r="I14" s="55"/>
      <c r="J14" s="3"/>
      <c r="K14" s="55"/>
      <c r="L14" s="48"/>
    </row>
    <row r="15" spans="1:12" ht="15.75" customHeight="1">
      <c r="A15" s="3"/>
      <c r="B15" s="3"/>
      <c r="C15" s="3"/>
      <c r="D15" s="3"/>
      <c r="E15" s="3"/>
      <c r="F15" s="3"/>
      <c r="G15" s="4"/>
      <c r="H15" s="55"/>
      <c r="I15" s="55"/>
      <c r="J15" s="55"/>
      <c r="K15" s="55"/>
      <c r="L15" s="48"/>
    </row>
    <row r="16" spans="1:12" ht="15.75" customHeight="1">
      <c r="A16" s="3"/>
      <c r="B16" s="3"/>
      <c r="C16" s="3"/>
      <c r="D16" s="3"/>
      <c r="E16" s="3"/>
      <c r="F16" s="3"/>
      <c r="G16" s="4"/>
      <c r="H16" s="55"/>
      <c r="I16" s="55"/>
      <c r="J16" s="55"/>
      <c r="K16" s="55"/>
      <c r="L16" s="48"/>
    </row>
    <row r="17" spans="1:12" ht="15.75" customHeight="1">
      <c r="A17" s="3"/>
      <c r="B17" s="3"/>
      <c r="C17" s="3"/>
      <c r="D17" s="3"/>
      <c r="E17" s="3"/>
      <c r="F17" s="3"/>
      <c r="G17" s="4"/>
      <c r="H17" s="55"/>
      <c r="I17" s="55"/>
      <c r="J17" s="55"/>
      <c r="K17" s="55"/>
      <c r="L17" s="48"/>
    </row>
    <row r="18" spans="1:12" ht="15.75" customHeight="1">
      <c r="A18" s="3"/>
      <c r="B18" s="3"/>
      <c r="C18" s="3"/>
      <c r="D18" s="3"/>
      <c r="E18" s="3"/>
      <c r="F18" s="3"/>
      <c r="G18" s="4"/>
      <c r="H18" s="55"/>
      <c r="I18" s="55"/>
      <c r="J18" s="55"/>
      <c r="K18" s="55"/>
      <c r="L18" s="48"/>
    </row>
    <row r="19" spans="1:12" ht="15.75" customHeight="1">
      <c r="A19" s="3"/>
      <c r="B19" s="3"/>
      <c r="C19" s="3"/>
      <c r="D19" s="3"/>
      <c r="E19" s="3"/>
      <c r="F19" s="3"/>
      <c r="G19" s="4"/>
      <c r="H19" s="55"/>
      <c r="I19" s="55"/>
      <c r="J19" s="55"/>
      <c r="K19" s="55"/>
      <c r="L19" s="48"/>
    </row>
    <row r="20" spans="1:12" ht="15.75" customHeight="1">
      <c r="A20" s="3"/>
      <c r="B20" s="3"/>
      <c r="C20" s="3"/>
      <c r="D20" s="3"/>
      <c r="E20" s="3"/>
      <c r="F20" s="3"/>
      <c r="G20" s="4"/>
      <c r="H20" s="55"/>
      <c r="I20" s="55"/>
      <c r="J20" s="55"/>
      <c r="K20" s="55"/>
      <c r="L20" s="48"/>
    </row>
    <row r="21" spans="1:12" ht="15.75" customHeight="1">
      <c r="A21" s="3"/>
      <c r="B21" s="3"/>
      <c r="C21" s="3"/>
      <c r="D21" s="3"/>
      <c r="E21" s="3"/>
      <c r="F21" s="3"/>
      <c r="G21" s="4"/>
      <c r="H21" s="55"/>
      <c r="I21" s="55"/>
      <c r="J21" s="55"/>
      <c r="K21" s="55"/>
      <c r="L21" s="48"/>
    </row>
    <row r="22" spans="1:12" ht="15.75" customHeight="1">
      <c r="A22" s="3"/>
      <c r="B22" s="3"/>
      <c r="C22" s="3"/>
      <c r="D22" s="3"/>
      <c r="E22" s="3"/>
      <c r="F22" s="3"/>
      <c r="G22" s="4"/>
      <c r="H22" s="55"/>
      <c r="I22" s="55"/>
      <c r="J22" s="55"/>
      <c r="K22" s="55"/>
      <c r="L22" s="48"/>
    </row>
    <row r="23" spans="1:12" ht="15.75" customHeight="1">
      <c r="A23" s="3"/>
      <c r="B23" s="3"/>
      <c r="C23" s="3"/>
      <c r="D23" s="3"/>
      <c r="E23" s="3"/>
      <c r="F23" s="3"/>
      <c r="G23" s="4"/>
      <c r="H23" s="55"/>
      <c r="I23" s="55"/>
      <c r="J23" s="55"/>
      <c r="K23" s="55"/>
      <c r="L23" s="48"/>
    </row>
    <row r="24" spans="1:12" ht="15.75" customHeight="1">
      <c r="A24" s="3"/>
      <c r="B24" s="3"/>
      <c r="C24" s="3"/>
      <c r="D24" s="3"/>
      <c r="E24" s="3"/>
      <c r="F24" s="3"/>
      <c r="G24" s="4"/>
      <c r="H24" s="55"/>
      <c r="I24" s="55"/>
      <c r="J24" s="55"/>
      <c r="K24" s="55"/>
      <c r="L24" s="48"/>
    </row>
    <row r="25" spans="1:12" ht="15.75" customHeight="1">
      <c r="A25" s="3"/>
      <c r="B25" s="3"/>
      <c r="C25" s="3"/>
      <c r="D25" s="3"/>
      <c r="E25" s="3"/>
      <c r="F25" s="3"/>
      <c r="G25" s="4"/>
      <c r="H25" s="55"/>
      <c r="I25" s="55"/>
      <c r="J25" s="55"/>
      <c r="K25" s="55"/>
      <c r="L25" s="48"/>
    </row>
    <row r="26" spans="1:12" ht="15.75" customHeight="1">
      <c r="A26" s="3"/>
      <c r="B26" s="3"/>
      <c r="C26" s="3"/>
      <c r="D26" s="3"/>
      <c r="E26" s="3"/>
      <c r="F26" s="3"/>
      <c r="G26" s="4"/>
      <c r="H26" s="55"/>
      <c r="I26" s="55"/>
      <c r="J26" s="55"/>
      <c r="K26" s="55"/>
      <c r="L26" s="48"/>
    </row>
    <row r="27" spans="1:12" ht="15.75" customHeight="1">
      <c r="A27" s="3"/>
      <c r="B27" s="3"/>
      <c r="C27" s="3"/>
      <c r="D27" s="3"/>
      <c r="E27" s="3"/>
      <c r="F27" s="3"/>
      <c r="G27" s="4"/>
      <c r="H27" s="55"/>
      <c r="I27" s="55"/>
      <c r="J27" s="55"/>
      <c r="K27" s="55"/>
      <c r="L27" s="48"/>
    </row>
    <row r="28" spans="1:12" ht="15.75" customHeight="1">
      <c r="A28" s="3"/>
      <c r="B28" s="3"/>
      <c r="C28" s="3"/>
      <c r="D28" s="3"/>
      <c r="E28" s="3"/>
      <c r="F28" s="3"/>
      <c r="G28" s="4"/>
      <c r="H28" s="55"/>
      <c r="I28" s="55"/>
      <c r="J28" s="55"/>
      <c r="K28" s="55"/>
      <c r="L28" s="48"/>
    </row>
    <row r="29" spans="1:12" ht="15.75" customHeight="1">
      <c r="A29" s="3"/>
      <c r="B29" s="3"/>
      <c r="C29" s="3"/>
      <c r="D29" s="3"/>
      <c r="E29" s="3"/>
      <c r="F29" s="3"/>
      <c r="G29" s="4"/>
      <c r="H29" s="55"/>
      <c r="I29" s="55"/>
      <c r="J29" s="55"/>
      <c r="K29" s="55"/>
      <c r="L29" s="48"/>
    </row>
    <row r="30" spans="1:12" ht="15.75" customHeight="1">
      <c r="A30" s="3"/>
      <c r="B30" s="3"/>
      <c r="C30" s="3"/>
      <c r="D30" s="3"/>
      <c r="E30" s="3"/>
      <c r="F30" s="3"/>
      <c r="G30" s="4"/>
      <c r="H30" s="55"/>
      <c r="I30" s="55"/>
      <c r="J30" s="55"/>
      <c r="K30" s="55"/>
      <c r="L30" s="48"/>
    </row>
    <row r="31" spans="1:12" ht="15.75" customHeight="1">
      <c r="A31" s="3"/>
      <c r="B31" s="3"/>
      <c r="C31" s="3"/>
      <c r="D31" s="3"/>
      <c r="E31" s="3"/>
      <c r="F31" s="3"/>
      <c r="G31" s="4"/>
      <c r="H31" s="55"/>
      <c r="I31" s="55"/>
      <c r="J31" s="55"/>
      <c r="K31" s="55"/>
      <c r="L31" s="48"/>
    </row>
    <row r="32" spans="1:12" ht="15.75" customHeight="1">
      <c r="A32" s="3"/>
      <c r="B32" s="3"/>
      <c r="C32" s="3"/>
      <c r="D32" s="3"/>
      <c r="E32" s="3"/>
      <c r="F32" s="3"/>
      <c r="G32" s="4"/>
      <c r="H32" s="55"/>
      <c r="I32" s="55"/>
      <c r="J32" s="55"/>
      <c r="K32" s="55"/>
      <c r="L32" s="48"/>
    </row>
    <row r="33" spans="1:12" ht="15.75" customHeight="1">
      <c r="A33" s="3"/>
      <c r="B33" s="3"/>
      <c r="C33" s="3"/>
      <c r="D33" s="3"/>
      <c r="E33" s="3"/>
      <c r="F33" s="3"/>
      <c r="G33" s="4"/>
      <c r="H33" s="55"/>
      <c r="I33" s="55"/>
      <c r="J33" s="55"/>
      <c r="K33" s="55"/>
      <c r="L33" s="48"/>
    </row>
    <row r="34" spans="1:12" ht="15.75" customHeight="1">
      <c r="A34" s="3"/>
      <c r="B34" s="3"/>
      <c r="C34" s="3"/>
      <c r="D34" s="3"/>
      <c r="E34" s="3"/>
      <c r="F34" s="3"/>
      <c r="G34" s="4"/>
      <c r="H34" s="55"/>
      <c r="I34" s="55"/>
      <c r="J34" s="55"/>
      <c r="K34" s="55"/>
      <c r="L34" s="48"/>
    </row>
    <row r="35" spans="1:12" ht="15.75" customHeight="1">
      <c r="A35" s="3"/>
      <c r="B35" s="3"/>
      <c r="C35" s="3"/>
      <c r="D35" s="3"/>
      <c r="E35" s="3"/>
      <c r="F35" s="3"/>
      <c r="G35" s="4"/>
      <c r="H35" s="55"/>
      <c r="I35" s="55"/>
      <c r="J35" s="55"/>
      <c r="K35" s="55"/>
      <c r="L35" s="48"/>
    </row>
    <row r="36" spans="1:12" ht="15.75" customHeight="1">
      <c r="A36" s="3"/>
      <c r="B36" s="3"/>
      <c r="C36" s="3"/>
      <c r="D36" s="3"/>
      <c r="E36" s="3"/>
      <c r="F36" s="3"/>
      <c r="G36" s="4"/>
      <c r="H36" s="55"/>
      <c r="I36" s="55"/>
      <c r="J36" s="55"/>
      <c r="K36" s="55"/>
      <c r="L36" s="48"/>
    </row>
    <row r="37" spans="1:12" ht="15">
      <c r="A37" s="3"/>
      <c r="B37" s="3"/>
      <c r="C37" s="3"/>
      <c r="D37" s="3"/>
      <c r="E37" s="3"/>
      <c r="F37" s="3"/>
      <c r="G37" s="4"/>
      <c r="H37" s="55"/>
      <c r="I37" s="55"/>
      <c r="J37" s="55"/>
      <c r="K37" s="55"/>
      <c r="L37" s="48"/>
    </row>
    <row r="38" spans="1:12" ht="15">
      <c r="A38" s="3"/>
      <c r="B38" s="3"/>
      <c r="C38" s="3"/>
      <c r="D38" s="3"/>
      <c r="E38" s="3"/>
      <c r="F38" s="3"/>
      <c r="G38" s="4"/>
      <c r="H38" s="55"/>
      <c r="I38" s="55"/>
      <c r="J38" s="55"/>
      <c r="K38" s="55"/>
      <c r="L38" s="48"/>
    </row>
    <row r="39" spans="1:12" ht="15">
      <c r="A39" s="3"/>
      <c r="B39" s="3"/>
      <c r="C39" s="3"/>
      <c r="D39" s="3"/>
      <c r="E39" s="3"/>
      <c r="F39" s="3"/>
      <c r="G39" s="4"/>
      <c r="H39" s="55"/>
      <c r="I39" s="55"/>
      <c r="J39" s="55"/>
      <c r="K39" s="55"/>
      <c r="L39" s="48"/>
    </row>
    <row r="40" spans="1:12" ht="15">
      <c r="A40" s="3"/>
      <c r="B40" s="3"/>
      <c r="C40" s="3"/>
      <c r="D40" s="3"/>
      <c r="E40" s="3"/>
      <c r="F40" s="3"/>
      <c r="G40" s="4"/>
      <c r="H40" s="55"/>
      <c r="I40" s="55"/>
      <c r="J40" s="55"/>
      <c r="K40" s="55"/>
      <c r="L40" s="48"/>
    </row>
    <row r="41" spans="1:12" ht="15">
      <c r="A41" s="3"/>
      <c r="B41" s="3"/>
      <c r="C41" s="3"/>
      <c r="D41" s="3"/>
      <c r="E41" s="3"/>
      <c r="F41" s="3"/>
      <c r="G41" s="4"/>
      <c r="H41" s="55"/>
      <c r="I41" s="55"/>
      <c r="J41" s="55"/>
      <c r="K41" s="55"/>
      <c r="L41" s="48"/>
    </row>
    <row r="42" spans="1:12" ht="15">
      <c r="A42" s="3"/>
      <c r="B42" s="3"/>
      <c r="C42" s="3"/>
      <c r="D42" s="3"/>
      <c r="E42" s="3"/>
      <c r="F42" s="3"/>
      <c r="G42" s="4"/>
      <c r="H42" s="55"/>
      <c r="I42" s="55"/>
      <c r="J42" s="55"/>
      <c r="K42" s="55"/>
      <c r="L42" s="48"/>
    </row>
    <row r="43" spans="1:12" ht="15">
      <c r="A43" s="3"/>
      <c r="B43" s="3"/>
      <c r="C43" s="3"/>
      <c r="D43" s="3"/>
      <c r="E43" s="3"/>
      <c r="F43" s="3"/>
      <c r="G43" s="4"/>
      <c r="H43" s="55"/>
      <c r="I43" s="55"/>
      <c r="J43" s="55"/>
      <c r="K43" s="55"/>
      <c r="L43" s="48"/>
    </row>
    <row r="44" spans="1:12" ht="15">
      <c r="A44" s="3"/>
      <c r="B44" s="3"/>
      <c r="C44" s="3"/>
      <c r="D44" s="3"/>
      <c r="E44" s="3"/>
      <c r="F44" s="3"/>
      <c r="G44" s="4"/>
      <c r="H44" s="55"/>
      <c r="I44" s="55"/>
      <c r="J44" s="55"/>
      <c r="K44" s="55"/>
      <c r="L44" s="48"/>
    </row>
    <row r="45" spans="1:12" ht="15">
      <c r="A45" s="3"/>
      <c r="B45" s="3"/>
      <c r="C45" s="3"/>
      <c r="D45" s="3"/>
      <c r="E45" s="3"/>
      <c r="F45" s="3"/>
      <c r="G45" s="4"/>
      <c r="H45" s="55"/>
      <c r="I45" s="55"/>
      <c r="J45" s="55"/>
      <c r="K45" s="55"/>
    </row>
    <row r="46" spans="1:12" ht="15">
      <c r="A46" s="3"/>
      <c r="B46" s="3"/>
      <c r="C46" s="3"/>
      <c r="D46" s="3"/>
      <c r="E46" s="3"/>
      <c r="F46" s="3"/>
      <c r="G46" s="4"/>
      <c r="H46" s="55"/>
      <c r="I46" s="55"/>
      <c r="J46" s="55"/>
      <c r="K46" s="55"/>
      <c r="L46" s="48"/>
    </row>
    <row r="47" spans="1:12" ht="15">
      <c r="A47" s="3"/>
      <c r="B47" s="3"/>
      <c r="C47" s="3"/>
      <c r="D47" s="3"/>
      <c r="E47" s="3"/>
      <c r="F47" s="3"/>
      <c r="G47" s="4"/>
      <c r="H47" s="55"/>
      <c r="I47" s="55"/>
      <c r="J47" s="55"/>
      <c r="K47" s="55"/>
      <c r="L47" s="48"/>
    </row>
    <row r="48" spans="1:12" ht="15">
      <c r="A48" s="3"/>
      <c r="B48" s="3"/>
      <c r="C48" s="3"/>
      <c r="D48" s="3"/>
      <c r="E48" s="3"/>
      <c r="F48" s="3"/>
      <c r="G48" s="4"/>
      <c r="H48" s="55"/>
      <c r="I48" s="55"/>
      <c r="J48" s="55"/>
      <c r="K48" s="55"/>
      <c r="L48" s="48"/>
    </row>
    <row r="49" spans="1:12" ht="15">
      <c r="A49" s="3"/>
      <c r="B49" s="3"/>
      <c r="C49" s="3"/>
      <c r="D49" s="3"/>
      <c r="E49" s="3"/>
      <c r="F49" s="3"/>
      <c r="G49" s="4"/>
      <c r="H49" s="55"/>
      <c r="I49" s="55"/>
      <c r="J49" s="55"/>
      <c r="K49" s="55"/>
      <c r="L49" s="48"/>
    </row>
    <row r="50" spans="1:12" ht="15">
      <c r="A50" s="3"/>
      <c r="B50" s="3"/>
      <c r="C50" s="3"/>
      <c r="D50" s="3"/>
      <c r="E50" s="3"/>
      <c r="F50" s="3"/>
      <c r="G50" s="4"/>
      <c r="H50" s="55"/>
      <c r="I50" s="55"/>
      <c r="J50" s="55"/>
      <c r="K50" s="55"/>
      <c r="L50" s="48"/>
    </row>
    <row r="51" spans="1:12" ht="15">
      <c r="A51" s="3"/>
      <c r="B51" s="3"/>
      <c r="C51" s="3"/>
      <c r="D51" s="3"/>
      <c r="E51" s="3"/>
      <c r="F51" s="3"/>
      <c r="G51" s="4"/>
      <c r="H51" s="55"/>
      <c r="I51" s="55"/>
      <c r="J51" s="55"/>
      <c r="K51" s="55"/>
      <c r="L51" s="48"/>
    </row>
    <row r="52" spans="1:12" ht="15">
      <c r="A52" s="3"/>
      <c r="B52" s="3"/>
      <c r="C52" s="3"/>
      <c r="D52" s="3"/>
      <c r="E52" s="3"/>
      <c r="F52" s="3"/>
      <c r="G52" s="4"/>
      <c r="H52" s="55"/>
      <c r="I52" s="55"/>
      <c r="J52" s="55"/>
      <c r="K52" s="55"/>
      <c r="L52" s="48"/>
    </row>
    <row r="53" spans="1:12" ht="15">
      <c r="A53" s="3"/>
      <c r="B53" s="3"/>
      <c r="C53" s="3"/>
      <c r="D53" s="3"/>
      <c r="E53" s="3"/>
      <c r="F53" s="3"/>
      <c r="G53" s="4"/>
      <c r="H53" s="55"/>
      <c r="I53" s="55"/>
      <c r="J53" s="55"/>
      <c r="K53" s="55"/>
      <c r="L53" s="48"/>
    </row>
    <row r="54" spans="1:12" ht="15">
      <c r="A54" s="3"/>
      <c r="B54" s="3"/>
      <c r="C54" s="3"/>
      <c r="D54" s="3"/>
      <c r="E54" s="3"/>
      <c r="F54" s="3"/>
      <c r="G54" s="4"/>
      <c r="H54" s="55"/>
      <c r="I54" s="55"/>
      <c r="J54" s="55"/>
      <c r="K54" s="55"/>
      <c r="L54" s="48"/>
    </row>
    <row r="55" spans="1:12" ht="15">
      <c r="A55" s="3"/>
      <c r="B55" s="3"/>
      <c r="C55" s="3"/>
      <c r="D55" s="3"/>
      <c r="E55" s="3"/>
      <c r="F55" s="3"/>
      <c r="G55" s="4"/>
      <c r="H55" s="55"/>
      <c r="I55" s="55"/>
      <c r="J55" s="55"/>
      <c r="K55" s="55"/>
      <c r="L55" s="48"/>
    </row>
    <row r="56" spans="1:12" ht="15">
      <c r="A56" s="3"/>
      <c r="B56" s="3"/>
      <c r="C56" s="3"/>
      <c r="D56" s="3"/>
      <c r="E56" s="3"/>
      <c r="F56" s="3"/>
      <c r="G56" s="4"/>
      <c r="H56" s="55"/>
      <c r="I56" s="55"/>
      <c r="J56" s="55"/>
      <c r="K56" s="55"/>
      <c r="L56" s="48"/>
    </row>
    <row r="57" spans="1:12" ht="15">
      <c r="A57" s="3"/>
      <c r="B57" s="3"/>
      <c r="C57" s="3"/>
      <c r="D57" s="3"/>
      <c r="E57" s="3"/>
      <c r="F57" s="3"/>
      <c r="G57" s="4"/>
      <c r="H57" s="55"/>
      <c r="I57" s="55"/>
      <c r="J57" s="55"/>
      <c r="K57" s="55"/>
      <c r="L57" s="48"/>
    </row>
    <row r="58" spans="1:12" ht="15">
      <c r="A58" s="3"/>
      <c r="B58" s="3"/>
      <c r="C58" s="3"/>
      <c r="D58" s="3"/>
      <c r="E58" s="3"/>
      <c r="F58" s="3"/>
      <c r="G58" s="4"/>
      <c r="H58" s="55"/>
      <c r="I58" s="55"/>
      <c r="J58" s="55"/>
      <c r="K58" s="55"/>
      <c r="L58" s="48"/>
    </row>
    <row r="59" spans="1:12" ht="15">
      <c r="A59" s="3"/>
      <c r="B59" s="3"/>
      <c r="C59" s="3"/>
      <c r="D59" s="3"/>
      <c r="E59" s="3"/>
      <c r="F59" s="3"/>
      <c r="G59" s="4"/>
      <c r="H59" s="55"/>
      <c r="I59" s="55"/>
      <c r="J59" s="55"/>
      <c r="K59" s="55"/>
      <c r="L59" s="48"/>
    </row>
    <row r="60" spans="1:12" ht="15">
      <c r="A60" s="3"/>
      <c r="B60" s="3"/>
      <c r="C60" s="3"/>
      <c r="D60" s="3"/>
      <c r="E60" s="3"/>
      <c r="F60" s="3"/>
      <c r="G60" s="4"/>
      <c r="H60" s="55"/>
      <c r="I60" s="55"/>
      <c r="J60" s="55"/>
      <c r="K60" s="55"/>
      <c r="L60" s="48"/>
    </row>
    <row r="61" spans="1:12" ht="15">
      <c r="A61" s="3"/>
      <c r="B61" s="3"/>
      <c r="C61" s="3"/>
      <c r="D61" s="3"/>
      <c r="E61" s="3"/>
      <c r="F61" s="3"/>
      <c r="G61" s="4"/>
      <c r="H61" s="55"/>
      <c r="I61" s="55"/>
      <c r="J61" s="55"/>
      <c r="K61" s="55"/>
      <c r="L61" s="48"/>
    </row>
    <row r="62" spans="1:12" ht="15">
      <c r="A62" s="3"/>
      <c r="B62" s="3"/>
      <c r="C62" s="3"/>
      <c r="D62" s="3"/>
      <c r="E62" s="3"/>
      <c r="F62" s="3"/>
      <c r="G62" s="4"/>
      <c r="H62" s="55"/>
      <c r="I62" s="55"/>
      <c r="J62" s="55"/>
      <c r="K62" s="55"/>
      <c r="L62" s="48"/>
    </row>
    <row r="63" spans="1:12" ht="15">
      <c r="A63" s="3"/>
      <c r="B63" s="3"/>
      <c r="C63" s="3"/>
      <c r="D63" s="3"/>
      <c r="E63" s="3"/>
      <c r="F63" s="3"/>
      <c r="G63" s="4"/>
      <c r="H63" s="55"/>
      <c r="I63" s="55"/>
      <c r="J63" s="55"/>
      <c r="K63" s="55"/>
      <c r="L63" s="48"/>
    </row>
    <row r="64" spans="1:12" ht="15">
      <c r="A64" s="3"/>
      <c r="B64" s="3"/>
      <c r="C64" s="3"/>
      <c r="D64" s="3"/>
      <c r="E64" s="3"/>
      <c r="F64" s="3"/>
      <c r="G64" s="4"/>
      <c r="H64" s="55"/>
      <c r="I64" s="55"/>
      <c r="J64" s="55"/>
      <c r="K64" s="55"/>
      <c r="L64" s="48"/>
    </row>
    <row r="65" spans="1:12" ht="15">
      <c r="A65" s="3"/>
      <c r="B65" s="3"/>
      <c r="C65" s="3"/>
      <c r="D65" s="3"/>
      <c r="E65" s="3"/>
      <c r="F65" s="3"/>
      <c r="G65" s="4"/>
      <c r="H65" s="55"/>
      <c r="I65" s="55"/>
      <c r="J65" s="55"/>
      <c r="K65" s="55"/>
      <c r="L65" s="48"/>
    </row>
    <row r="66" spans="1:12" ht="15">
      <c r="A66" s="3"/>
      <c r="B66" s="3"/>
      <c r="C66" s="3"/>
      <c r="D66" s="3"/>
      <c r="E66" s="3"/>
      <c r="F66" s="3"/>
      <c r="G66" s="4"/>
      <c r="H66" s="55"/>
      <c r="I66" s="55"/>
      <c r="J66" s="55"/>
      <c r="K66" s="55"/>
      <c r="L66" s="48"/>
    </row>
    <row r="67" spans="1:12" ht="15">
      <c r="A67" s="3"/>
      <c r="B67" s="3"/>
      <c r="C67" s="3"/>
      <c r="D67" s="3"/>
      <c r="E67" s="3"/>
      <c r="F67" s="3"/>
      <c r="G67" s="4"/>
      <c r="H67" s="55"/>
      <c r="I67" s="55"/>
      <c r="J67" s="55"/>
      <c r="K67" s="55"/>
      <c r="L67" s="48"/>
    </row>
    <row r="68" spans="1:12" ht="15">
      <c r="A68" s="3"/>
      <c r="B68" s="3"/>
      <c r="C68" s="3"/>
      <c r="D68" s="3"/>
      <c r="E68" s="3"/>
      <c r="F68" s="3"/>
      <c r="G68" s="4"/>
      <c r="H68" s="55"/>
      <c r="I68" s="55"/>
      <c r="J68" s="55"/>
      <c r="K68" s="55"/>
      <c r="L68" s="48"/>
    </row>
    <row r="69" spans="1:12" ht="15">
      <c r="A69" s="3"/>
      <c r="B69" s="3"/>
      <c r="C69" s="3"/>
      <c r="D69" s="3"/>
      <c r="E69" s="3"/>
      <c r="F69" s="3"/>
      <c r="G69" s="4"/>
      <c r="H69" s="55"/>
      <c r="I69" s="55"/>
      <c r="J69" s="55"/>
      <c r="K69" s="55"/>
      <c r="L69" s="48"/>
    </row>
    <row r="70" spans="1:12" ht="15">
      <c r="A70" s="3"/>
      <c r="B70" s="3"/>
      <c r="C70" s="3"/>
      <c r="D70" s="3"/>
      <c r="E70" s="3"/>
      <c r="F70" s="3"/>
      <c r="G70" s="4"/>
      <c r="H70" s="55"/>
      <c r="I70" s="55"/>
      <c r="J70" s="55"/>
      <c r="K70" s="55"/>
      <c r="L70" s="48"/>
    </row>
    <row r="71" spans="1:12" ht="15">
      <c r="A71" s="3"/>
      <c r="B71" s="3"/>
      <c r="C71" s="3"/>
      <c r="D71" s="3"/>
      <c r="E71" s="3"/>
      <c r="F71" s="3"/>
      <c r="G71" s="4"/>
      <c r="H71" s="55"/>
      <c r="I71" s="55"/>
      <c r="J71" s="55"/>
      <c r="K71" s="55"/>
      <c r="L71" s="48"/>
    </row>
    <row r="72" spans="1:12" ht="15">
      <c r="A72" s="3"/>
      <c r="B72" s="3"/>
      <c r="C72" s="3"/>
      <c r="D72" s="3"/>
      <c r="E72" s="3"/>
      <c r="F72" s="3"/>
      <c r="G72" s="4"/>
      <c r="H72" s="55"/>
      <c r="I72" s="55"/>
      <c r="J72" s="55"/>
      <c r="K72" s="55"/>
      <c r="L72" s="48"/>
    </row>
    <row r="73" spans="1:12" ht="15">
      <c r="A73" s="3"/>
      <c r="B73" s="3"/>
      <c r="C73" s="3"/>
      <c r="D73" s="3"/>
      <c r="E73" s="3"/>
      <c r="F73" s="3"/>
      <c r="G73" s="4"/>
      <c r="H73" s="55"/>
      <c r="I73" s="55"/>
      <c r="J73" s="55"/>
      <c r="K73" s="55"/>
      <c r="L73" s="48"/>
    </row>
  </sheetData>
  <autoFilter ref="A1:L73" xr:uid="{00000000-0009-0000-0000-00000D000000}"/>
  <customSheetViews>
    <customSheetView guid="{5B966157-D76D-4ACD-A64E-35B71110F4A8}" filter="1" showAutoFilter="1">
      <pageMargins left="0.7" right="0.7" top="0.75" bottom="0.75" header="0.3" footer="0.3"/>
      <autoFilter ref="A1:L73" xr:uid="{9AE42E93-6F17-40AE-A931-C345BACFF0B4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Canyon Aeroad 2021"/>
            <filter val="Specialized Allez Sprint"/>
            <filter val="Specialized Venge S-Works"/>
            <filter val="Tron"/>
          </filters>
        </filterColumn>
        <filterColumn colId="5">
          <filters blank="1">
            <filter val="DT Swiss ARC 62"/>
            <filter val="Lightweight Meilensteins"/>
            <filter val="Tron"/>
            <filter val="Zipp 858"/>
            <filter val="Zipp 858/Super9"/>
          </filters>
        </filterColumn>
      </autoFilter>
    </customSheetView>
  </customSheetViews>
  <hyperlinks>
    <hyperlink ref="L2" r:id="rId1" xr:uid="{00000000-0004-0000-0D00-000000000000}"/>
    <hyperlink ref="L3" r:id="rId2" xr:uid="{00000000-0004-0000-0D00-000001000000}"/>
    <hyperlink ref="L4" r:id="rId3" xr:uid="{00000000-0004-0000-0D00-000002000000}"/>
    <hyperlink ref="L5" r:id="rId4" xr:uid="{00000000-0004-0000-0D00-000003000000}"/>
    <hyperlink ref="L6" r:id="rId5" xr:uid="{00000000-0004-0000-0D00-000004000000}"/>
    <hyperlink ref="L7" r:id="rId6" xr:uid="{00000000-0004-0000-0D00-000005000000}"/>
    <hyperlink ref="L8" r:id="rId7" xr:uid="{00000000-0004-0000-0D00-000006000000}"/>
    <hyperlink ref="L9" r:id="rId8" xr:uid="{00000000-0004-0000-0D00-000007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6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578</v>
      </c>
      <c r="I1" s="1" t="s">
        <v>579</v>
      </c>
      <c r="J1" s="1"/>
    </row>
    <row r="2" spans="1:10" ht="15.75" customHeight="1">
      <c r="A2" s="3">
        <v>75</v>
      </c>
      <c r="B2" s="3">
        <v>300</v>
      </c>
      <c r="C2" s="3">
        <f t="shared" ref="C2:C4" si="0">B2/A2</f>
        <v>4</v>
      </c>
      <c r="D2" s="3">
        <v>183</v>
      </c>
      <c r="E2" s="3" t="s">
        <v>351</v>
      </c>
      <c r="F2" s="3" t="s">
        <v>11</v>
      </c>
      <c r="G2" s="4">
        <v>2.267361111111111E-2</v>
      </c>
      <c r="H2" s="4">
        <v>2.488425925925926E-3</v>
      </c>
      <c r="I2" s="4">
        <v>1.5277777777777779E-3</v>
      </c>
      <c r="J2" s="54" t="s">
        <v>580</v>
      </c>
    </row>
    <row r="3" spans="1:10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9</v>
      </c>
      <c r="F3" s="3" t="s">
        <v>11</v>
      </c>
      <c r="G3" s="4">
        <v>2.267361111111111E-2</v>
      </c>
      <c r="H3" s="4">
        <v>2.5000000000000001E-3</v>
      </c>
      <c r="I3" s="4">
        <v>1.5393518518518519E-3</v>
      </c>
      <c r="J3" s="54" t="s">
        <v>581</v>
      </c>
    </row>
    <row r="4" spans="1:10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 t="s">
        <v>9</v>
      </c>
      <c r="F4" s="3" t="s">
        <v>14</v>
      </c>
      <c r="G4" s="4">
        <v>2.2777777777777779E-2</v>
      </c>
      <c r="H4" s="4">
        <v>2.488425925925926E-3</v>
      </c>
      <c r="I4" s="4">
        <v>1.5277777777777779E-3</v>
      </c>
      <c r="J4" s="54" t="s">
        <v>582</v>
      </c>
    </row>
    <row r="5" spans="1:10" ht="15.75" customHeight="1">
      <c r="A5" s="3"/>
      <c r="B5" s="3"/>
      <c r="C5" s="3"/>
      <c r="D5" s="3"/>
      <c r="E5" s="3"/>
      <c r="F5" s="3"/>
      <c r="G5" s="4"/>
      <c r="H5" s="55"/>
      <c r="I5" s="55"/>
      <c r="J5" s="48"/>
    </row>
    <row r="6" spans="1:10" ht="15.75" customHeight="1">
      <c r="A6" s="3"/>
      <c r="B6" s="3"/>
      <c r="C6" s="3"/>
      <c r="D6" s="3"/>
      <c r="E6" s="3"/>
      <c r="F6" s="3"/>
      <c r="G6" s="4"/>
      <c r="H6" s="55"/>
      <c r="I6" s="55"/>
      <c r="J6" s="48"/>
    </row>
    <row r="7" spans="1:10" ht="15.75" customHeight="1">
      <c r="A7" s="3"/>
      <c r="B7" s="3"/>
      <c r="C7" s="3"/>
      <c r="D7" s="3"/>
      <c r="E7" s="3"/>
      <c r="F7" s="3"/>
      <c r="G7" s="4"/>
      <c r="H7" s="55"/>
      <c r="I7" s="55"/>
      <c r="J7" s="48"/>
    </row>
    <row r="8" spans="1:10" ht="15.75" customHeight="1">
      <c r="A8" s="3"/>
      <c r="B8" s="3"/>
      <c r="C8" s="3"/>
      <c r="D8" s="3"/>
      <c r="E8" s="3"/>
      <c r="F8" s="3"/>
      <c r="G8" s="4"/>
      <c r="H8" s="55"/>
      <c r="I8" s="55"/>
      <c r="J8" s="48"/>
    </row>
    <row r="9" spans="1:10" ht="15.75" customHeight="1">
      <c r="A9" s="3"/>
      <c r="B9" s="3"/>
      <c r="C9" s="3"/>
      <c r="D9" s="3"/>
      <c r="E9" s="3"/>
      <c r="F9" s="3"/>
      <c r="G9" s="4"/>
      <c r="H9" s="55"/>
      <c r="I9" s="55"/>
      <c r="J9" s="48"/>
    </row>
    <row r="10" spans="1:10" ht="15.75" customHeight="1">
      <c r="A10" s="3"/>
      <c r="B10" s="3"/>
      <c r="C10" s="3"/>
      <c r="D10" s="3"/>
      <c r="E10" s="3"/>
      <c r="F10" s="3"/>
      <c r="G10" s="4"/>
      <c r="H10" s="55"/>
      <c r="I10" s="55"/>
      <c r="J10" s="48"/>
    </row>
    <row r="11" spans="1:10" ht="15.75" customHeight="1">
      <c r="A11" s="3"/>
      <c r="B11" s="3"/>
      <c r="C11" s="3"/>
      <c r="D11" s="3"/>
      <c r="E11" s="3"/>
      <c r="F11" s="3"/>
      <c r="G11" s="4"/>
      <c r="H11" s="55"/>
      <c r="I11" s="55"/>
      <c r="J11" s="48"/>
    </row>
    <row r="12" spans="1:10" ht="15.75" customHeight="1">
      <c r="A12" s="3"/>
      <c r="B12" s="3"/>
      <c r="C12" s="3"/>
      <c r="D12" s="3"/>
      <c r="E12" s="3"/>
      <c r="F12" s="3"/>
      <c r="G12" s="4"/>
      <c r="H12" s="55"/>
      <c r="I12" s="55"/>
      <c r="J12" s="48"/>
    </row>
    <row r="13" spans="1:10" ht="15.75" customHeight="1">
      <c r="A13" s="3"/>
      <c r="B13" s="3"/>
      <c r="C13" s="3"/>
      <c r="D13" s="3"/>
      <c r="E13" s="3"/>
      <c r="F13" s="3"/>
      <c r="G13" s="4"/>
      <c r="H13" s="55"/>
      <c r="I13" s="55"/>
      <c r="J13" s="48"/>
    </row>
    <row r="14" spans="1:10" ht="15.75" customHeight="1">
      <c r="A14" s="3"/>
      <c r="B14" s="3"/>
      <c r="C14" s="3"/>
      <c r="D14" s="3"/>
      <c r="E14" s="3"/>
      <c r="F14" s="3"/>
      <c r="G14" s="4"/>
      <c r="H14" s="55"/>
      <c r="I14" s="55"/>
      <c r="J14" s="48"/>
    </row>
    <row r="15" spans="1:10" ht="15.75" customHeight="1">
      <c r="A15" s="3"/>
      <c r="B15" s="3"/>
      <c r="C15" s="3"/>
      <c r="D15" s="3"/>
      <c r="E15" s="3"/>
      <c r="F15" s="3"/>
      <c r="G15" s="4"/>
      <c r="H15" s="55"/>
      <c r="I15" s="55"/>
      <c r="J15" s="48"/>
    </row>
    <row r="16" spans="1:10" ht="15.75" customHeight="1">
      <c r="A16" s="3"/>
      <c r="B16" s="3"/>
      <c r="C16" s="3"/>
      <c r="D16" s="3"/>
      <c r="E16" s="3"/>
      <c r="F16" s="3"/>
      <c r="G16" s="4"/>
      <c r="H16" s="55"/>
      <c r="I16" s="55"/>
      <c r="J16" s="48"/>
    </row>
    <row r="17" spans="1:10" ht="15.75" customHeight="1">
      <c r="A17" s="3"/>
      <c r="B17" s="3"/>
      <c r="C17" s="3"/>
      <c r="D17" s="3"/>
      <c r="E17" s="3"/>
      <c r="F17" s="3"/>
      <c r="G17" s="4"/>
      <c r="H17" s="55"/>
      <c r="I17" s="55"/>
      <c r="J17" s="48"/>
    </row>
    <row r="18" spans="1:10" ht="15.75" customHeight="1">
      <c r="A18" s="3"/>
      <c r="B18" s="3"/>
      <c r="C18" s="3"/>
      <c r="D18" s="3"/>
      <c r="E18" s="3"/>
      <c r="F18" s="3"/>
      <c r="G18" s="4"/>
      <c r="H18" s="55"/>
      <c r="I18" s="55"/>
      <c r="J18" s="48"/>
    </row>
    <row r="19" spans="1:10" ht="15.75" customHeight="1">
      <c r="A19" s="3"/>
      <c r="B19" s="3"/>
      <c r="C19" s="3"/>
      <c r="D19" s="3"/>
      <c r="E19" s="3"/>
      <c r="F19" s="3"/>
      <c r="G19" s="4"/>
      <c r="H19" s="55"/>
      <c r="I19" s="55"/>
      <c r="J19" s="48"/>
    </row>
    <row r="20" spans="1:10" ht="15.75" customHeight="1">
      <c r="A20" s="3"/>
      <c r="B20" s="3"/>
      <c r="C20" s="3"/>
      <c r="D20" s="3"/>
      <c r="E20" s="3"/>
      <c r="F20" s="3"/>
      <c r="G20" s="4"/>
      <c r="H20" s="55"/>
      <c r="I20" s="55"/>
      <c r="J20" s="48"/>
    </row>
    <row r="21" spans="1:10" ht="15.75" customHeight="1">
      <c r="A21" s="3"/>
      <c r="B21" s="3"/>
      <c r="C21" s="3"/>
      <c r="D21" s="3"/>
      <c r="E21" s="3"/>
      <c r="F21" s="3"/>
      <c r="G21" s="4"/>
      <c r="H21" s="55"/>
      <c r="I21" s="55"/>
      <c r="J21" s="48"/>
    </row>
    <row r="22" spans="1:10" ht="15.75" customHeight="1">
      <c r="A22" s="3"/>
      <c r="B22" s="3"/>
      <c r="C22" s="3"/>
      <c r="D22" s="3"/>
      <c r="E22" s="3"/>
      <c r="F22" s="3"/>
      <c r="G22" s="4"/>
      <c r="H22" s="55"/>
      <c r="I22" s="55"/>
      <c r="J22" s="48"/>
    </row>
    <row r="23" spans="1:10" ht="15.75" customHeight="1">
      <c r="A23" s="3"/>
      <c r="B23" s="3"/>
      <c r="C23" s="3"/>
      <c r="D23" s="3"/>
      <c r="E23" s="3"/>
      <c r="F23" s="3"/>
      <c r="G23" s="4"/>
      <c r="H23" s="55"/>
      <c r="I23" s="55"/>
      <c r="J23" s="48"/>
    </row>
    <row r="24" spans="1:10" ht="15.75" customHeight="1">
      <c r="A24" s="3"/>
      <c r="B24" s="3"/>
      <c r="C24" s="3"/>
      <c r="D24" s="3"/>
      <c r="E24" s="3"/>
      <c r="F24" s="3"/>
      <c r="G24" s="4"/>
      <c r="H24" s="55"/>
      <c r="I24" s="55"/>
      <c r="J24" s="48"/>
    </row>
    <row r="25" spans="1:10" ht="15.75" customHeight="1">
      <c r="A25" s="3"/>
      <c r="B25" s="3"/>
      <c r="C25" s="3"/>
      <c r="D25" s="3"/>
      <c r="E25" s="3"/>
      <c r="F25" s="3"/>
      <c r="G25" s="4"/>
      <c r="H25" s="55"/>
      <c r="I25" s="55"/>
      <c r="J25" s="48"/>
    </row>
    <row r="26" spans="1:10" ht="15.75" customHeight="1">
      <c r="A26" s="3"/>
      <c r="B26" s="3"/>
      <c r="C26" s="3"/>
      <c r="D26" s="3"/>
      <c r="E26" s="3"/>
      <c r="F26" s="3"/>
      <c r="G26" s="4"/>
      <c r="H26" s="55"/>
      <c r="I26" s="55"/>
      <c r="J26" s="48"/>
    </row>
    <row r="27" spans="1:10" ht="15.75" customHeight="1">
      <c r="A27" s="3"/>
      <c r="B27" s="3"/>
      <c r="C27" s="3"/>
      <c r="D27" s="3"/>
      <c r="E27" s="3"/>
      <c r="F27" s="3"/>
      <c r="G27" s="4"/>
      <c r="H27" s="55"/>
      <c r="I27" s="55"/>
      <c r="J27" s="48"/>
    </row>
    <row r="28" spans="1:10" ht="15.75" customHeight="1">
      <c r="A28" s="3"/>
      <c r="B28" s="3"/>
      <c r="C28" s="3"/>
      <c r="D28" s="3"/>
      <c r="E28" s="3"/>
      <c r="F28" s="3"/>
      <c r="G28" s="4"/>
      <c r="H28" s="55"/>
      <c r="I28" s="55"/>
      <c r="J28" s="48"/>
    </row>
    <row r="29" spans="1:10" ht="15.75" customHeight="1">
      <c r="A29" s="3"/>
      <c r="B29" s="3"/>
      <c r="C29" s="3"/>
      <c r="D29" s="3"/>
      <c r="E29" s="3"/>
      <c r="F29" s="3"/>
      <c r="G29" s="4"/>
      <c r="H29" s="55"/>
      <c r="I29" s="55"/>
      <c r="J29" s="48"/>
    </row>
    <row r="30" spans="1:10" ht="15.75" customHeight="1">
      <c r="A30" s="3"/>
      <c r="B30" s="3"/>
      <c r="C30" s="3"/>
      <c r="D30" s="3"/>
      <c r="E30" s="3"/>
      <c r="F30" s="3"/>
      <c r="G30" s="4"/>
      <c r="H30" s="55"/>
      <c r="I30" s="55"/>
      <c r="J30" s="48"/>
    </row>
    <row r="31" spans="1:10" ht="15.75" customHeight="1">
      <c r="A31" s="3"/>
      <c r="B31" s="3"/>
      <c r="C31" s="3"/>
      <c r="D31" s="3"/>
      <c r="E31" s="3"/>
      <c r="F31" s="3"/>
      <c r="G31" s="4"/>
      <c r="H31" s="55"/>
      <c r="I31" s="55"/>
      <c r="J31" s="48"/>
    </row>
    <row r="32" spans="1:10" ht="15.75" customHeight="1">
      <c r="A32" s="3"/>
      <c r="B32" s="3"/>
      <c r="C32" s="3"/>
      <c r="D32" s="3"/>
      <c r="E32" s="3"/>
      <c r="F32" s="3"/>
      <c r="G32" s="4"/>
      <c r="H32" s="55"/>
      <c r="I32" s="55"/>
      <c r="J32" s="48"/>
    </row>
    <row r="33" spans="1:10" ht="15.75" customHeight="1">
      <c r="A33" s="3"/>
      <c r="B33" s="3"/>
      <c r="C33" s="3"/>
      <c r="D33" s="3"/>
      <c r="E33" s="3"/>
      <c r="F33" s="3"/>
      <c r="G33" s="4"/>
      <c r="H33" s="55"/>
      <c r="I33" s="55"/>
      <c r="J33" s="48"/>
    </row>
    <row r="34" spans="1:10" ht="15.75" customHeight="1">
      <c r="A34" s="3"/>
      <c r="B34" s="3"/>
      <c r="C34" s="3"/>
      <c r="D34" s="3"/>
      <c r="E34" s="3"/>
      <c r="F34" s="3"/>
      <c r="G34" s="4"/>
      <c r="H34" s="55"/>
      <c r="I34" s="55"/>
      <c r="J34" s="48"/>
    </row>
    <row r="35" spans="1:10" ht="15.75" customHeight="1">
      <c r="A35" s="3"/>
      <c r="B35" s="3"/>
      <c r="C35" s="3"/>
      <c r="D35" s="3"/>
      <c r="E35" s="3"/>
      <c r="F35" s="3"/>
      <c r="G35" s="4"/>
      <c r="H35" s="55"/>
      <c r="I35" s="55"/>
      <c r="J35" s="48"/>
    </row>
    <row r="36" spans="1:10" ht="15.75" customHeight="1">
      <c r="A36" s="3"/>
      <c r="B36" s="3"/>
      <c r="C36" s="3"/>
      <c r="D36" s="3"/>
      <c r="E36" s="3"/>
      <c r="F36" s="3"/>
      <c r="G36" s="4"/>
      <c r="H36" s="55"/>
      <c r="I36" s="55"/>
      <c r="J36" s="48"/>
    </row>
    <row r="37" spans="1:10" ht="15">
      <c r="A37" s="3"/>
      <c r="B37" s="3"/>
      <c r="C37" s="3"/>
      <c r="D37" s="3"/>
      <c r="E37" s="3"/>
      <c r="F37" s="3"/>
      <c r="G37" s="4"/>
      <c r="H37" s="55"/>
      <c r="I37" s="55"/>
      <c r="J37" s="48"/>
    </row>
    <row r="38" spans="1:10" ht="15">
      <c r="A38" s="3"/>
      <c r="B38" s="3"/>
      <c r="C38" s="3"/>
      <c r="D38" s="3"/>
      <c r="E38" s="3"/>
      <c r="F38" s="3"/>
      <c r="G38" s="4"/>
      <c r="H38" s="55"/>
      <c r="I38" s="55"/>
      <c r="J38" s="48"/>
    </row>
    <row r="39" spans="1:10" ht="15">
      <c r="A39" s="3"/>
      <c r="B39" s="3"/>
      <c r="C39" s="3"/>
      <c r="D39" s="3"/>
      <c r="E39" s="3"/>
      <c r="F39" s="3"/>
      <c r="G39" s="4"/>
      <c r="H39" s="55"/>
      <c r="I39" s="55"/>
      <c r="J39" s="48"/>
    </row>
    <row r="40" spans="1:10" ht="15">
      <c r="A40" s="3"/>
      <c r="B40" s="3"/>
      <c r="C40" s="3"/>
      <c r="D40" s="3"/>
      <c r="E40" s="3"/>
      <c r="F40" s="3"/>
      <c r="G40" s="4"/>
      <c r="H40" s="55"/>
      <c r="I40" s="55"/>
    </row>
    <row r="41" spans="1:10" ht="15">
      <c r="A41" s="3"/>
      <c r="B41" s="3"/>
      <c r="C41" s="3"/>
      <c r="D41" s="3"/>
      <c r="E41" s="3"/>
      <c r="F41" s="3"/>
      <c r="G41" s="4"/>
      <c r="H41" s="55"/>
      <c r="I41" s="55"/>
      <c r="J41" s="48"/>
    </row>
    <row r="42" spans="1:10" ht="15">
      <c r="A42" s="3"/>
      <c r="B42" s="3"/>
      <c r="C42" s="3"/>
      <c r="D42" s="3"/>
      <c r="E42" s="3"/>
      <c r="F42" s="3"/>
      <c r="G42" s="4"/>
      <c r="H42" s="55"/>
      <c r="I42" s="55"/>
      <c r="J42" s="48"/>
    </row>
    <row r="43" spans="1:10" ht="15">
      <c r="A43" s="3"/>
      <c r="B43" s="3"/>
      <c r="C43" s="3"/>
      <c r="D43" s="3"/>
      <c r="E43" s="3"/>
      <c r="F43" s="3"/>
      <c r="G43" s="4"/>
      <c r="H43" s="55"/>
      <c r="I43" s="55"/>
      <c r="J43" s="48"/>
    </row>
    <row r="44" spans="1:10" ht="15">
      <c r="A44" s="3"/>
      <c r="B44" s="3"/>
      <c r="C44" s="3"/>
      <c r="D44" s="3"/>
      <c r="E44" s="3"/>
      <c r="F44" s="3"/>
      <c r="G44" s="4"/>
      <c r="H44" s="55"/>
      <c r="I44" s="55"/>
      <c r="J44" s="48"/>
    </row>
    <row r="45" spans="1:10" ht="15">
      <c r="A45" s="3"/>
      <c r="B45" s="3"/>
      <c r="C45" s="3"/>
      <c r="D45" s="3"/>
      <c r="E45" s="3"/>
      <c r="F45" s="3"/>
      <c r="G45" s="4"/>
      <c r="H45" s="55"/>
      <c r="I45" s="55"/>
      <c r="J45" s="48"/>
    </row>
    <row r="46" spans="1:10" ht="15">
      <c r="A46" s="3"/>
      <c r="B46" s="3"/>
      <c r="C46" s="3"/>
      <c r="D46" s="3"/>
      <c r="E46" s="3"/>
      <c r="F46" s="3"/>
      <c r="G46" s="4"/>
      <c r="H46" s="55"/>
      <c r="I46" s="55"/>
      <c r="J46" s="48"/>
    </row>
    <row r="47" spans="1:10" ht="15">
      <c r="A47" s="3"/>
      <c r="B47" s="3"/>
      <c r="C47" s="3"/>
      <c r="D47" s="3"/>
      <c r="E47" s="3"/>
      <c r="F47" s="3"/>
      <c r="G47" s="4"/>
      <c r="H47" s="55"/>
      <c r="I47" s="55"/>
      <c r="J47" s="48"/>
    </row>
    <row r="48" spans="1:10" ht="15">
      <c r="A48" s="3"/>
      <c r="B48" s="3"/>
      <c r="C48" s="3"/>
      <c r="D48" s="3"/>
      <c r="E48" s="3"/>
      <c r="F48" s="3"/>
      <c r="G48" s="4"/>
      <c r="H48" s="55"/>
      <c r="I48" s="55"/>
      <c r="J48" s="48"/>
    </row>
    <row r="49" spans="1:10" ht="15">
      <c r="A49" s="3"/>
      <c r="B49" s="3"/>
      <c r="C49" s="3"/>
      <c r="D49" s="3"/>
      <c r="E49" s="3"/>
      <c r="F49" s="3"/>
      <c r="G49" s="4"/>
      <c r="H49" s="55"/>
      <c r="I49" s="55"/>
      <c r="J49" s="48"/>
    </row>
    <row r="50" spans="1:10" ht="15">
      <c r="A50" s="3"/>
      <c r="B50" s="3"/>
      <c r="C50" s="3"/>
      <c r="D50" s="3"/>
      <c r="E50" s="3"/>
      <c r="F50" s="3"/>
      <c r="G50" s="4"/>
      <c r="H50" s="55"/>
      <c r="I50" s="55"/>
      <c r="J50" s="48"/>
    </row>
    <row r="51" spans="1:10" ht="15">
      <c r="A51" s="3"/>
      <c r="B51" s="3"/>
      <c r="C51" s="3"/>
      <c r="D51" s="3"/>
      <c r="E51" s="3"/>
      <c r="F51" s="3"/>
      <c r="G51" s="4"/>
      <c r="H51" s="55"/>
      <c r="I51" s="55"/>
      <c r="J51" s="48"/>
    </row>
    <row r="52" spans="1:10" ht="15">
      <c r="A52" s="3"/>
      <c r="B52" s="3"/>
      <c r="C52" s="3"/>
      <c r="D52" s="3"/>
      <c r="E52" s="3"/>
      <c r="F52" s="3"/>
      <c r="G52" s="4"/>
      <c r="H52" s="55"/>
      <c r="I52" s="55"/>
      <c r="J52" s="48"/>
    </row>
    <row r="53" spans="1:10" ht="15">
      <c r="A53" s="3"/>
      <c r="B53" s="3"/>
      <c r="C53" s="3"/>
      <c r="D53" s="3"/>
      <c r="E53" s="3"/>
      <c r="F53" s="3"/>
      <c r="G53" s="4"/>
      <c r="H53" s="55"/>
      <c r="I53" s="55"/>
      <c r="J53" s="48"/>
    </row>
    <row r="54" spans="1:10" ht="15">
      <c r="A54" s="3"/>
      <c r="B54" s="3"/>
      <c r="C54" s="3"/>
      <c r="D54" s="3"/>
      <c r="E54" s="3"/>
      <c r="F54" s="3"/>
      <c r="G54" s="4"/>
      <c r="H54" s="55"/>
      <c r="I54" s="55"/>
      <c r="J54" s="48"/>
    </row>
    <row r="55" spans="1:10" ht="15">
      <c r="A55" s="3"/>
      <c r="B55" s="3"/>
      <c r="C55" s="3"/>
      <c r="D55" s="3"/>
      <c r="E55" s="3"/>
      <c r="F55" s="3"/>
      <c r="G55" s="4"/>
      <c r="H55" s="55"/>
      <c r="I55" s="55"/>
      <c r="J55" s="48"/>
    </row>
    <row r="56" spans="1:10" ht="15">
      <c r="A56" s="3"/>
      <c r="B56" s="3"/>
      <c r="C56" s="3"/>
      <c r="D56" s="3"/>
      <c r="E56" s="3"/>
      <c r="F56" s="3"/>
      <c r="G56" s="4"/>
      <c r="H56" s="55"/>
      <c r="I56" s="55"/>
      <c r="J56" s="48"/>
    </row>
    <row r="57" spans="1:10" ht="15">
      <c r="A57" s="3"/>
      <c r="B57" s="3"/>
      <c r="C57" s="3"/>
      <c r="D57" s="3"/>
      <c r="E57" s="3"/>
      <c r="F57" s="3"/>
      <c r="G57" s="4"/>
      <c r="H57" s="55"/>
      <c r="I57" s="55"/>
      <c r="J57" s="48"/>
    </row>
    <row r="58" spans="1:10" ht="15">
      <c r="A58" s="3"/>
      <c r="B58" s="3"/>
      <c r="C58" s="3"/>
      <c r="D58" s="3"/>
      <c r="E58" s="3"/>
      <c r="F58" s="3"/>
      <c r="G58" s="4"/>
      <c r="H58" s="55"/>
      <c r="I58" s="55"/>
      <c r="J58" s="48"/>
    </row>
    <row r="59" spans="1:10" ht="15">
      <c r="A59" s="3"/>
      <c r="B59" s="3"/>
      <c r="C59" s="3"/>
      <c r="D59" s="3"/>
      <c r="E59" s="3"/>
      <c r="F59" s="3"/>
      <c r="G59" s="4"/>
      <c r="H59" s="55"/>
      <c r="I59" s="55"/>
      <c r="J59" s="48"/>
    </row>
    <row r="60" spans="1:10" ht="15">
      <c r="A60" s="3"/>
      <c r="B60" s="3"/>
      <c r="C60" s="3"/>
      <c r="D60" s="3"/>
      <c r="E60" s="3"/>
      <c r="F60" s="3"/>
      <c r="G60" s="4"/>
      <c r="H60" s="55"/>
      <c r="I60" s="55"/>
      <c r="J60" s="48"/>
    </row>
    <row r="61" spans="1:10" ht="15">
      <c r="A61" s="3"/>
      <c r="B61" s="3"/>
      <c r="C61" s="3"/>
      <c r="D61" s="3"/>
      <c r="E61" s="3"/>
      <c r="F61" s="3"/>
      <c r="G61" s="4"/>
      <c r="H61" s="55"/>
      <c r="I61" s="55"/>
      <c r="J61" s="48"/>
    </row>
    <row r="62" spans="1:10" ht="15">
      <c r="A62" s="3"/>
      <c r="B62" s="3"/>
      <c r="C62" s="3"/>
      <c r="D62" s="3"/>
      <c r="E62" s="3"/>
      <c r="F62" s="3"/>
      <c r="G62" s="4"/>
      <c r="H62" s="55"/>
      <c r="I62" s="55"/>
      <c r="J62" s="48"/>
    </row>
    <row r="63" spans="1:10" ht="15">
      <c r="A63" s="3"/>
      <c r="B63" s="3"/>
      <c r="C63" s="3"/>
      <c r="D63" s="3"/>
      <c r="E63" s="3"/>
      <c r="F63" s="3"/>
      <c r="G63" s="4"/>
      <c r="H63" s="55"/>
      <c r="I63" s="55"/>
      <c r="J63" s="48"/>
    </row>
    <row r="64" spans="1:10" ht="15">
      <c r="A64" s="3"/>
      <c r="B64" s="3"/>
      <c r="C64" s="3"/>
      <c r="D64" s="3"/>
      <c r="E64" s="3"/>
      <c r="F64" s="3"/>
      <c r="G64" s="4"/>
      <c r="H64" s="55"/>
      <c r="I64" s="55"/>
      <c r="J64" s="48"/>
    </row>
    <row r="65" spans="1:10" ht="15">
      <c r="A65" s="3"/>
      <c r="B65" s="3"/>
      <c r="C65" s="3"/>
      <c r="D65" s="3"/>
      <c r="E65" s="3"/>
      <c r="F65" s="3"/>
      <c r="G65" s="4"/>
      <c r="H65" s="55"/>
      <c r="I65" s="55"/>
      <c r="J65" s="48"/>
    </row>
    <row r="66" spans="1:10" ht="15">
      <c r="A66" s="3"/>
      <c r="B66" s="3"/>
      <c r="C66" s="3"/>
      <c r="D66" s="3"/>
      <c r="E66" s="3"/>
      <c r="F66" s="3"/>
      <c r="G66" s="4"/>
      <c r="H66" s="55"/>
      <c r="I66" s="55"/>
      <c r="J66" s="48"/>
    </row>
    <row r="67" spans="1:10" ht="15">
      <c r="A67" s="3"/>
      <c r="B67" s="3"/>
      <c r="C67" s="3"/>
      <c r="D67" s="3"/>
      <c r="E67" s="3"/>
      <c r="F67" s="3"/>
      <c r="G67" s="4"/>
      <c r="H67" s="55"/>
      <c r="I67" s="55"/>
      <c r="J67" s="48"/>
    </row>
    <row r="68" spans="1:10" ht="15">
      <c r="A68" s="3"/>
      <c r="B68" s="3"/>
      <c r="C68" s="3"/>
      <c r="D68" s="3"/>
      <c r="E68" s="3"/>
      <c r="F68" s="3"/>
      <c r="G68" s="4"/>
      <c r="H68" s="55"/>
      <c r="I68" s="55"/>
      <c r="J68" s="48"/>
    </row>
  </sheetData>
  <autoFilter ref="A1:J68" xr:uid="{00000000-0009-0000-0000-00000E000000}"/>
  <customSheetViews>
    <customSheetView guid="{5B966157-D76D-4ACD-A64E-35B71110F4A8}" filter="1" showAutoFilter="1">
      <pageMargins left="0.7" right="0.7" top="0.75" bottom="0.75" header="0.3" footer="0.3"/>
      <autoFilter ref="A1:J68" xr:uid="{C4BE63D7-55F9-4EA8-9A48-01699F53D1C4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Specialized Venge S-Works"/>
            <filter val="Tron"/>
          </filters>
        </filterColumn>
        <filterColumn colId="5">
          <filters blank="1">
            <filter val="DT Swiss ARC 62"/>
            <filter val="Zipp 858/Super9"/>
          </filters>
        </filterColumn>
      </autoFilter>
    </customSheetView>
  </customSheetViews>
  <hyperlinks>
    <hyperlink ref="J2" r:id="rId1" xr:uid="{00000000-0004-0000-0E00-000000000000}"/>
    <hyperlink ref="J3" r:id="rId2" xr:uid="{00000000-0004-0000-0E00-000001000000}"/>
    <hyperlink ref="J4" r:id="rId3" xr:uid="{00000000-0004-0000-0E00-000002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7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4" max="4" width="22.7109375" customWidth="1"/>
    <col min="5" max="5" width="20.1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539</v>
      </c>
      <c r="G1" s="1" t="s">
        <v>583</v>
      </c>
      <c r="H1" s="1" t="s">
        <v>584</v>
      </c>
      <c r="I1" s="1"/>
    </row>
    <row r="2" spans="1:9" ht="15.75" customHeight="1">
      <c r="A2" s="3">
        <v>100</v>
      </c>
      <c r="B2" s="3">
        <v>500</v>
      </c>
      <c r="C2" s="3">
        <v>5</v>
      </c>
      <c r="D2" s="3" t="s">
        <v>16</v>
      </c>
      <c r="E2" s="3" t="s">
        <v>585</v>
      </c>
      <c r="F2" s="4">
        <v>0.87152777777777779</v>
      </c>
      <c r="G2" s="55">
        <v>5.2083333333333336E-2</v>
      </c>
      <c r="H2" s="3" t="s">
        <v>586</v>
      </c>
      <c r="I2" s="54" t="s">
        <v>353</v>
      </c>
    </row>
    <row r="3" spans="1:9" ht="15.75" customHeight="1">
      <c r="A3" s="3">
        <v>75</v>
      </c>
      <c r="B3" s="3">
        <v>500</v>
      </c>
      <c r="C3" s="3">
        <v>6.67</v>
      </c>
      <c r="D3" s="3" t="s">
        <v>16</v>
      </c>
      <c r="E3" s="3" t="s">
        <v>585</v>
      </c>
      <c r="F3" s="4">
        <v>0.87222222222222223</v>
      </c>
      <c r="G3" s="55">
        <v>5.2083333333333336E-2</v>
      </c>
      <c r="H3" s="3" t="s">
        <v>586</v>
      </c>
      <c r="I3" s="54" t="s">
        <v>353</v>
      </c>
    </row>
    <row r="4" spans="1:9" ht="15.75" customHeight="1">
      <c r="A4" s="3">
        <v>50</v>
      </c>
      <c r="B4" s="3">
        <v>500</v>
      </c>
      <c r="C4" s="3">
        <v>10</v>
      </c>
      <c r="D4" s="3" t="s">
        <v>16</v>
      </c>
      <c r="E4" s="3" t="s">
        <v>585</v>
      </c>
      <c r="F4" s="4">
        <v>0.87222222222222223</v>
      </c>
      <c r="G4" s="55">
        <v>5.2083333333333336E-2</v>
      </c>
      <c r="H4" s="3" t="s">
        <v>587</v>
      </c>
      <c r="I4" s="54" t="s">
        <v>353</v>
      </c>
    </row>
    <row r="5" spans="1:9" ht="15.75" customHeight="1">
      <c r="A5" s="3">
        <v>75</v>
      </c>
      <c r="B5" s="3">
        <v>400</v>
      </c>
      <c r="C5" s="3">
        <v>5.33</v>
      </c>
      <c r="D5" s="3" t="s">
        <v>16</v>
      </c>
      <c r="E5" s="3" t="s">
        <v>585</v>
      </c>
      <c r="F5" s="4">
        <v>0.9555555555555556</v>
      </c>
      <c r="G5" s="55">
        <v>6.1805555555555558E-2</v>
      </c>
      <c r="H5" s="3" t="s">
        <v>588</v>
      </c>
      <c r="I5" s="54" t="s">
        <v>353</v>
      </c>
    </row>
    <row r="6" spans="1:9" ht="15.75" customHeight="1">
      <c r="A6" s="3">
        <v>100</v>
      </c>
      <c r="B6" s="3">
        <v>400</v>
      </c>
      <c r="C6" s="3">
        <v>4</v>
      </c>
      <c r="D6" s="3" t="s">
        <v>16</v>
      </c>
      <c r="E6" s="3" t="s">
        <v>585</v>
      </c>
      <c r="F6" s="4">
        <v>0.9555555555555556</v>
      </c>
      <c r="G6" s="55">
        <v>6.1805555555555558E-2</v>
      </c>
      <c r="H6" s="3" t="s">
        <v>589</v>
      </c>
      <c r="I6" s="54" t="s">
        <v>353</v>
      </c>
    </row>
    <row r="7" spans="1:9" ht="15.75" customHeight="1">
      <c r="A7" s="3">
        <v>50</v>
      </c>
      <c r="B7" s="3">
        <v>400</v>
      </c>
      <c r="C7" s="3">
        <v>8</v>
      </c>
      <c r="D7" s="3" t="s">
        <v>16</v>
      </c>
      <c r="E7" s="3" t="s">
        <v>585</v>
      </c>
      <c r="F7" s="4">
        <v>0.9555555555555556</v>
      </c>
      <c r="G7" s="55">
        <v>6.1805555555555558E-2</v>
      </c>
      <c r="H7" s="3" t="s">
        <v>588</v>
      </c>
      <c r="I7" s="54" t="s">
        <v>353</v>
      </c>
    </row>
    <row r="8" spans="1:9" ht="15.75" customHeight="1">
      <c r="A8" s="3">
        <v>75</v>
      </c>
      <c r="B8" s="3">
        <v>375</v>
      </c>
      <c r="C8" s="3">
        <v>5</v>
      </c>
      <c r="D8" s="3" t="s">
        <v>16</v>
      </c>
      <c r="E8" s="3" t="s">
        <v>585</v>
      </c>
      <c r="F8" s="4">
        <v>0.98263888888888884</v>
      </c>
      <c r="G8" s="55">
        <v>6.5277777777777782E-2</v>
      </c>
      <c r="H8" s="3" t="s">
        <v>590</v>
      </c>
      <c r="I8" s="54" t="s">
        <v>353</v>
      </c>
    </row>
    <row r="9" spans="1:9" ht="15.75" customHeight="1">
      <c r="A9" s="3">
        <v>100</v>
      </c>
      <c r="B9" s="3">
        <v>400</v>
      </c>
      <c r="C9" s="3">
        <v>4</v>
      </c>
      <c r="D9" s="3" t="s">
        <v>19</v>
      </c>
      <c r="E9" s="3" t="s">
        <v>91</v>
      </c>
      <c r="F9" s="4">
        <v>1.0131944444444445</v>
      </c>
      <c r="G9" s="55">
        <v>7.5694444444444439E-2</v>
      </c>
      <c r="H9" s="3" t="s">
        <v>591</v>
      </c>
      <c r="I9" s="54" t="s">
        <v>353</v>
      </c>
    </row>
    <row r="10" spans="1:9" ht="15.75" customHeight="1">
      <c r="A10" s="3">
        <v>50</v>
      </c>
      <c r="B10" s="3">
        <v>250</v>
      </c>
      <c r="C10" s="3">
        <v>5</v>
      </c>
      <c r="D10" s="3" t="s">
        <v>16</v>
      </c>
      <c r="E10" s="3" t="s">
        <v>585</v>
      </c>
      <c r="F10" s="4">
        <v>1.0583333333333333</v>
      </c>
      <c r="G10" s="55">
        <v>7.013888888888889E-2</v>
      </c>
      <c r="H10" s="3" t="s">
        <v>592</v>
      </c>
      <c r="I10" s="54" t="s">
        <v>353</v>
      </c>
    </row>
    <row r="11" spans="1:9" ht="15.75" customHeight="1">
      <c r="A11" s="3">
        <v>75</v>
      </c>
      <c r="B11" s="3">
        <v>300</v>
      </c>
      <c r="C11" s="3">
        <v>4</v>
      </c>
      <c r="D11" s="3" t="s">
        <v>19</v>
      </c>
      <c r="E11" s="3" t="s">
        <v>91</v>
      </c>
      <c r="F11" s="4">
        <v>1.0645833333333334</v>
      </c>
      <c r="G11" s="55">
        <v>7.9166666666666663E-2</v>
      </c>
      <c r="H11" s="3" t="s">
        <v>593</v>
      </c>
      <c r="I11" s="54" t="s">
        <v>353</v>
      </c>
    </row>
    <row r="12" spans="1:9" ht="15.75" customHeight="1">
      <c r="A12" s="3">
        <v>75</v>
      </c>
      <c r="B12" s="3">
        <v>310</v>
      </c>
      <c r="C12" s="3">
        <v>4.13</v>
      </c>
      <c r="D12" s="3" t="s">
        <v>16</v>
      </c>
      <c r="E12" s="3" t="s">
        <v>585</v>
      </c>
      <c r="F12" s="4">
        <v>1.0666666666666667</v>
      </c>
      <c r="G12" s="55">
        <v>7.7083333333333337E-2</v>
      </c>
      <c r="H12" s="3" t="s">
        <v>594</v>
      </c>
      <c r="I12" s="54" t="s">
        <v>353</v>
      </c>
    </row>
    <row r="13" spans="1:9" ht="15.75" customHeight="1">
      <c r="A13" s="3">
        <v>75</v>
      </c>
      <c r="B13" s="3">
        <v>300</v>
      </c>
      <c r="C13" s="3">
        <v>4</v>
      </c>
      <c r="D13" s="3" t="s">
        <v>16</v>
      </c>
      <c r="E13" s="3" t="s">
        <v>585</v>
      </c>
      <c r="F13" s="4">
        <v>1.0826388888888889</v>
      </c>
      <c r="G13" s="55">
        <v>7.9166666666666663E-2</v>
      </c>
      <c r="H13" s="3" t="s">
        <v>595</v>
      </c>
      <c r="I13" s="54" t="s">
        <v>353</v>
      </c>
    </row>
    <row r="14" spans="1:9" ht="15.75" customHeight="1">
      <c r="A14" s="3">
        <v>62.5</v>
      </c>
      <c r="B14" s="3">
        <v>250</v>
      </c>
      <c r="C14" s="3">
        <v>4</v>
      </c>
      <c r="D14" s="3" t="s">
        <v>16</v>
      </c>
      <c r="E14" s="3" t="s">
        <v>585</v>
      </c>
      <c r="F14" s="4">
        <v>1.1194444444444445</v>
      </c>
      <c r="G14" s="55">
        <v>8.1250000000000003E-2</v>
      </c>
      <c r="H14" s="3" t="s">
        <v>596</v>
      </c>
      <c r="I14" s="54" t="s">
        <v>353</v>
      </c>
    </row>
    <row r="15" spans="1:9" ht="15.75" customHeight="1">
      <c r="A15" s="3">
        <v>100</v>
      </c>
      <c r="B15" s="3">
        <v>300</v>
      </c>
      <c r="C15" s="3">
        <v>3</v>
      </c>
      <c r="D15" s="3" t="s">
        <v>16</v>
      </c>
      <c r="E15" s="3" t="s">
        <v>585</v>
      </c>
      <c r="F15" s="4">
        <v>1.1354166666666667</v>
      </c>
      <c r="G15" s="55">
        <v>9.7916666666666666E-2</v>
      </c>
      <c r="H15" s="55">
        <v>4.3749999999999997E-2</v>
      </c>
      <c r="I15" s="54" t="s">
        <v>353</v>
      </c>
    </row>
    <row r="16" spans="1:9" ht="15.75" customHeight="1">
      <c r="A16" s="3">
        <v>100</v>
      </c>
      <c r="B16" s="3">
        <v>300</v>
      </c>
      <c r="C16" s="3">
        <v>3</v>
      </c>
      <c r="D16" s="3" t="s">
        <v>16</v>
      </c>
      <c r="E16" s="3" t="s">
        <v>585</v>
      </c>
      <c r="F16" s="4">
        <v>1.15625</v>
      </c>
      <c r="G16" s="55">
        <v>9.8611111111111108E-2</v>
      </c>
      <c r="H16" s="55">
        <v>4.5138888888888888E-2</v>
      </c>
      <c r="I16" s="54" t="s">
        <v>353</v>
      </c>
    </row>
    <row r="17" spans="1:9" ht="15.75" customHeight="1">
      <c r="A17" s="3">
        <v>100</v>
      </c>
      <c r="B17" s="3">
        <v>300</v>
      </c>
      <c r="C17" s="3">
        <v>3</v>
      </c>
      <c r="D17" s="3" t="s">
        <v>19</v>
      </c>
      <c r="E17" s="3" t="s">
        <v>91</v>
      </c>
      <c r="F17" s="4">
        <v>1.1583333333333334</v>
      </c>
      <c r="G17" s="55">
        <v>9.8611111111111108E-2</v>
      </c>
      <c r="H17" s="55">
        <v>4.583333333333333E-2</v>
      </c>
      <c r="I17" s="54" t="s">
        <v>353</v>
      </c>
    </row>
    <row r="18" spans="1:9" ht="15.75" customHeight="1">
      <c r="A18" s="3">
        <v>50</v>
      </c>
      <c r="B18" s="3">
        <v>200</v>
      </c>
      <c r="C18" s="3">
        <v>4</v>
      </c>
      <c r="D18" s="3" t="s">
        <v>16</v>
      </c>
      <c r="E18" s="3" t="s">
        <v>585</v>
      </c>
      <c r="F18" s="4">
        <v>1.1666666666666667</v>
      </c>
      <c r="G18" s="55">
        <v>8.4722222222222227E-2</v>
      </c>
      <c r="H18" s="55">
        <v>4.3749999999999997E-2</v>
      </c>
      <c r="I18" s="54" t="s">
        <v>353</v>
      </c>
    </row>
    <row r="19" spans="1:9" ht="15.75" customHeight="1">
      <c r="A19" s="3">
        <v>100</v>
      </c>
      <c r="B19" s="3">
        <v>300</v>
      </c>
      <c r="C19" s="3">
        <v>3</v>
      </c>
      <c r="D19" s="3" t="s">
        <v>16</v>
      </c>
      <c r="E19" s="3" t="s">
        <v>585</v>
      </c>
      <c r="F19" s="4">
        <v>1.175</v>
      </c>
      <c r="G19" s="55">
        <v>9.930555555555555E-2</v>
      </c>
      <c r="H19" s="55">
        <v>4.7222222222222221E-2</v>
      </c>
      <c r="I19" s="54" t="s">
        <v>353</v>
      </c>
    </row>
    <row r="20" spans="1:9" ht="15.75" customHeight="1">
      <c r="A20" s="3">
        <v>75</v>
      </c>
      <c r="B20" s="3">
        <v>250</v>
      </c>
      <c r="C20" s="3">
        <v>3.33</v>
      </c>
      <c r="D20" s="3" t="s">
        <v>16</v>
      </c>
      <c r="E20" s="3" t="s">
        <v>585</v>
      </c>
      <c r="F20" s="4">
        <v>1.1763888888888889</v>
      </c>
      <c r="G20" s="55">
        <v>9.3055555555555558E-2</v>
      </c>
      <c r="H20" s="55">
        <v>4.6527777777777779E-2</v>
      </c>
      <c r="I20" s="54" t="s">
        <v>353</v>
      </c>
    </row>
    <row r="21" spans="1:9" ht="15.75" customHeight="1">
      <c r="A21" s="3">
        <v>75</v>
      </c>
      <c r="B21" s="3">
        <v>300</v>
      </c>
      <c r="C21" s="3">
        <f>B21/A21</f>
        <v>4</v>
      </c>
      <c r="D21" s="3" t="s">
        <v>19</v>
      </c>
      <c r="E21" s="3" t="s">
        <v>91</v>
      </c>
      <c r="F21" s="4">
        <v>1.0694444444444444</v>
      </c>
      <c r="G21" s="4">
        <v>1.3657407407407407E-3</v>
      </c>
      <c r="H21" s="4">
        <v>6.4814814814814813E-4</v>
      </c>
      <c r="I21" s="54" t="s">
        <v>597</v>
      </c>
    </row>
    <row r="22" spans="1:9" ht="15.75" customHeight="1">
      <c r="A22" s="3">
        <v>75</v>
      </c>
      <c r="B22" s="3">
        <v>300</v>
      </c>
      <c r="C22" s="3">
        <v>4</v>
      </c>
      <c r="D22" s="3" t="s">
        <v>9</v>
      </c>
      <c r="E22" s="3" t="s">
        <v>11</v>
      </c>
      <c r="F22" s="4">
        <v>1.0625</v>
      </c>
      <c r="G22" s="4">
        <v>1.3657407407407407E-3</v>
      </c>
      <c r="H22" s="4">
        <v>6.3657407407407413E-4</v>
      </c>
      <c r="I22" s="54" t="s">
        <v>598</v>
      </c>
    </row>
    <row r="23" spans="1:9" ht="15.75" customHeight="1">
      <c r="A23" s="3">
        <v>75</v>
      </c>
      <c r="B23" s="3">
        <v>300</v>
      </c>
      <c r="C23" s="3">
        <v>4</v>
      </c>
      <c r="D23" s="3" t="s">
        <v>9</v>
      </c>
      <c r="E23" s="3" t="s">
        <v>88</v>
      </c>
      <c r="F23" s="4">
        <v>1.0645833333333334</v>
      </c>
      <c r="G23" s="4">
        <v>1.3657407407407407E-3</v>
      </c>
      <c r="H23" s="4">
        <v>6.3657407407407413E-4</v>
      </c>
      <c r="I23" s="54" t="s">
        <v>598</v>
      </c>
    </row>
    <row r="24" spans="1:9" ht="15.75" customHeight="1">
      <c r="A24" s="3">
        <v>75</v>
      </c>
      <c r="B24" s="3">
        <v>300</v>
      </c>
      <c r="C24" s="3">
        <v>4</v>
      </c>
      <c r="D24" s="3" t="s">
        <v>13</v>
      </c>
      <c r="E24" s="3" t="s">
        <v>14</v>
      </c>
      <c r="F24" s="4">
        <v>1.0680555555555555</v>
      </c>
      <c r="G24" s="4">
        <v>1.3541666666666667E-3</v>
      </c>
      <c r="H24" s="4">
        <v>6.3657407407407413E-4</v>
      </c>
      <c r="I24" s="54" t="s">
        <v>599</v>
      </c>
    </row>
    <row r="25" spans="1:9" ht="15.75" customHeight="1">
      <c r="A25" s="3">
        <v>75</v>
      </c>
      <c r="B25" s="3">
        <v>300</v>
      </c>
      <c r="C25" s="3">
        <v>4</v>
      </c>
      <c r="D25" s="3" t="s">
        <v>600</v>
      </c>
      <c r="E25" s="3" t="s">
        <v>600</v>
      </c>
      <c r="F25" s="4">
        <v>1.0625</v>
      </c>
      <c r="G25" s="4">
        <v>1.3541666666666667E-3</v>
      </c>
      <c r="H25" s="4">
        <v>6.2500000000000001E-4</v>
      </c>
      <c r="I25" s="54" t="s">
        <v>599</v>
      </c>
    </row>
    <row r="26" spans="1:9" ht="15.75" customHeight="1">
      <c r="A26" s="3">
        <v>83.3</v>
      </c>
      <c r="B26" s="3">
        <v>250</v>
      </c>
      <c r="C26" s="3">
        <v>3</v>
      </c>
      <c r="D26" s="3" t="s">
        <v>16</v>
      </c>
      <c r="E26" s="3" t="s">
        <v>585</v>
      </c>
      <c r="F26" s="4">
        <v>1.2138888888888888</v>
      </c>
      <c r="G26" s="55">
        <v>0.10208333333333333</v>
      </c>
      <c r="H26" s="55">
        <v>0.05</v>
      </c>
      <c r="I26" s="54" t="s">
        <v>353</v>
      </c>
    </row>
    <row r="27" spans="1:9" ht="15.75" customHeight="1">
      <c r="A27" s="3">
        <v>75</v>
      </c>
      <c r="B27" s="3">
        <v>300</v>
      </c>
      <c r="C27" s="3">
        <v>4</v>
      </c>
      <c r="D27" s="3" t="s">
        <v>13</v>
      </c>
      <c r="E27" s="3" t="s">
        <v>88</v>
      </c>
      <c r="F27" s="4">
        <v>1.0652777777777778</v>
      </c>
      <c r="G27" s="4">
        <v>1.3541666666666667E-3</v>
      </c>
      <c r="H27" s="4">
        <v>6.3657407407407413E-4</v>
      </c>
      <c r="I27" s="54" t="s">
        <v>601</v>
      </c>
    </row>
    <row r="28" spans="1:9" ht="15.75" customHeight="1">
      <c r="A28" s="3">
        <v>75</v>
      </c>
      <c r="B28" s="3">
        <v>300</v>
      </c>
      <c r="C28" s="3">
        <v>4</v>
      </c>
      <c r="D28" s="3" t="s">
        <v>90</v>
      </c>
      <c r="E28" s="3" t="s">
        <v>88</v>
      </c>
      <c r="F28" s="4">
        <v>1.0687500000000001</v>
      </c>
      <c r="G28" s="4">
        <v>1.3541666666666667E-3</v>
      </c>
      <c r="H28" s="4">
        <v>6.3657407407407413E-4</v>
      </c>
      <c r="I28" s="54" t="s">
        <v>602</v>
      </c>
    </row>
    <row r="29" spans="1:9" ht="15.75" customHeight="1">
      <c r="A29" s="3"/>
      <c r="B29" s="3"/>
      <c r="C29" s="3"/>
      <c r="D29" s="3"/>
      <c r="E29" s="3"/>
      <c r="F29" s="4"/>
      <c r="G29" s="55"/>
      <c r="H29" s="55"/>
      <c r="I29" s="48"/>
    </row>
    <row r="30" spans="1:9" ht="15.75" customHeight="1">
      <c r="A30" s="3"/>
      <c r="B30" s="3"/>
      <c r="C30" s="3"/>
      <c r="D30" s="3"/>
      <c r="E30" s="3"/>
      <c r="F30" s="4"/>
      <c r="G30" s="55"/>
      <c r="H30" s="55"/>
      <c r="I30" s="48"/>
    </row>
    <row r="31" spans="1:9" ht="15.75" customHeight="1">
      <c r="A31" s="3"/>
      <c r="B31" s="3"/>
      <c r="C31" s="3"/>
      <c r="D31" s="3"/>
      <c r="E31" s="3"/>
      <c r="F31" s="4"/>
      <c r="G31" s="55"/>
      <c r="H31" s="55"/>
      <c r="I31" s="48"/>
    </row>
    <row r="32" spans="1:9" ht="15.75" customHeight="1">
      <c r="A32" s="3"/>
      <c r="B32" s="3"/>
      <c r="C32" s="3"/>
      <c r="D32" s="3"/>
      <c r="E32" s="3"/>
      <c r="F32" s="4"/>
      <c r="G32" s="55"/>
      <c r="H32" s="55"/>
      <c r="I32" s="48"/>
    </row>
    <row r="33" spans="1:9" ht="15.75" customHeight="1">
      <c r="A33" s="3"/>
      <c r="B33" s="3"/>
      <c r="C33" s="3"/>
      <c r="D33" s="3"/>
      <c r="E33" s="3"/>
      <c r="F33" s="4"/>
      <c r="G33" s="55"/>
      <c r="H33" s="55"/>
      <c r="I33" s="48"/>
    </row>
    <row r="34" spans="1:9" ht="15.75" customHeight="1">
      <c r="A34" s="3"/>
      <c r="B34" s="3"/>
      <c r="C34" s="3"/>
      <c r="D34" s="3"/>
      <c r="E34" s="3"/>
      <c r="F34" s="4"/>
      <c r="G34" s="55"/>
      <c r="H34" s="55"/>
      <c r="I34" s="48"/>
    </row>
    <row r="35" spans="1:9" ht="15.75" customHeight="1">
      <c r="A35" s="3"/>
      <c r="B35" s="3"/>
      <c r="C35" s="3"/>
      <c r="D35" s="3"/>
      <c r="E35" s="3"/>
      <c r="F35" s="4"/>
      <c r="G35" s="55"/>
      <c r="H35" s="55"/>
      <c r="I35" s="48"/>
    </row>
    <row r="36" spans="1:9" ht="15.75" customHeight="1">
      <c r="A36" s="3"/>
      <c r="B36" s="3"/>
      <c r="C36" s="3"/>
      <c r="D36" s="3"/>
      <c r="E36" s="3"/>
      <c r="F36" s="4"/>
      <c r="G36" s="55"/>
      <c r="H36" s="55"/>
      <c r="I36" s="48"/>
    </row>
    <row r="37" spans="1:9" ht="15">
      <c r="A37" s="3"/>
      <c r="B37" s="3"/>
      <c r="C37" s="3"/>
      <c r="D37" s="3"/>
      <c r="E37" s="3"/>
      <c r="F37" s="4"/>
      <c r="G37" s="55"/>
      <c r="H37" s="55"/>
      <c r="I37" s="48"/>
    </row>
    <row r="38" spans="1:9" ht="15">
      <c r="A38" s="3"/>
      <c r="B38" s="3"/>
      <c r="C38" s="3"/>
      <c r="D38" s="3"/>
      <c r="E38" s="3"/>
      <c r="F38" s="4"/>
      <c r="G38" s="55"/>
      <c r="H38" s="55"/>
      <c r="I38" s="48"/>
    </row>
    <row r="39" spans="1:9" ht="15">
      <c r="A39" s="3"/>
      <c r="B39" s="3"/>
      <c r="C39" s="3"/>
      <c r="D39" s="3"/>
      <c r="E39" s="3"/>
      <c r="F39" s="4"/>
      <c r="G39" s="55"/>
      <c r="H39" s="55"/>
      <c r="I39" s="48"/>
    </row>
    <row r="40" spans="1:9" ht="15">
      <c r="A40" s="3"/>
      <c r="B40" s="3"/>
      <c r="C40" s="3"/>
      <c r="D40" s="3"/>
      <c r="E40" s="3"/>
      <c r="F40" s="4"/>
      <c r="G40" s="55"/>
      <c r="H40" s="55"/>
      <c r="I40" s="48"/>
    </row>
    <row r="41" spans="1:9" ht="15">
      <c r="A41" s="3"/>
      <c r="B41" s="3"/>
      <c r="C41" s="3"/>
      <c r="D41" s="3"/>
      <c r="E41" s="3"/>
      <c r="F41" s="4"/>
      <c r="G41" s="55"/>
      <c r="H41" s="55"/>
      <c r="I41" s="48"/>
    </row>
    <row r="42" spans="1:9" ht="15">
      <c r="A42" s="3"/>
      <c r="B42" s="3"/>
      <c r="C42" s="3"/>
      <c r="D42" s="3"/>
      <c r="E42" s="3"/>
      <c r="F42" s="4"/>
      <c r="G42" s="55"/>
      <c r="H42" s="55"/>
      <c r="I42" s="48"/>
    </row>
    <row r="43" spans="1:9" ht="15">
      <c r="A43" s="3"/>
      <c r="B43" s="3"/>
      <c r="C43" s="3"/>
      <c r="D43" s="3"/>
      <c r="E43" s="3"/>
      <c r="F43" s="4"/>
      <c r="G43" s="55"/>
      <c r="H43" s="55"/>
      <c r="I43" s="48"/>
    </row>
    <row r="44" spans="1:9" ht="15">
      <c r="A44" s="3"/>
      <c r="B44" s="3"/>
      <c r="C44" s="3"/>
      <c r="D44" s="3"/>
      <c r="E44" s="3"/>
      <c r="F44" s="4"/>
      <c r="G44" s="55"/>
      <c r="H44" s="55"/>
      <c r="I44" s="48"/>
    </row>
    <row r="45" spans="1:9" ht="15">
      <c r="A45" s="3"/>
      <c r="B45" s="3"/>
      <c r="C45" s="3"/>
      <c r="D45" s="3"/>
      <c r="E45" s="3"/>
      <c r="F45" s="4"/>
      <c r="G45" s="55"/>
      <c r="H45" s="55"/>
      <c r="I45" s="48"/>
    </row>
    <row r="46" spans="1:9" ht="15">
      <c r="A46" s="3"/>
      <c r="B46" s="3"/>
      <c r="C46" s="3"/>
      <c r="D46" s="3"/>
      <c r="E46" s="3"/>
      <c r="F46" s="4"/>
      <c r="G46" s="55"/>
      <c r="H46" s="55"/>
      <c r="I46" s="48"/>
    </row>
    <row r="47" spans="1:9" ht="15">
      <c r="A47" s="3"/>
      <c r="B47" s="3"/>
      <c r="C47" s="3"/>
      <c r="D47" s="3"/>
      <c r="E47" s="3"/>
      <c r="F47" s="4"/>
      <c r="G47" s="55"/>
      <c r="H47" s="55"/>
      <c r="I47" s="48"/>
    </row>
    <row r="48" spans="1:9" ht="15">
      <c r="A48" s="3"/>
      <c r="B48" s="3"/>
      <c r="C48" s="3"/>
      <c r="D48" s="3"/>
      <c r="E48" s="3"/>
      <c r="F48" s="4"/>
      <c r="G48" s="55"/>
      <c r="H48" s="55"/>
      <c r="I48" s="48"/>
    </row>
    <row r="49" spans="1:9" ht="15">
      <c r="A49" s="3"/>
      <c r="B49" s="3"/>
      <c r="C49" s="3"/>
      <c r="D49" s="3"/>
      <c r="E49" s="3"/>
      <c r="F49" s="4"/>
      <c r="G49" s="55"/>
      <c r="H49" s="55"/>
      <c r="I49" s="48"/>
    </row>
    <row r="50" spans="1:9" ht="15">
      <c r="A50" s="3"/>
      <c r="B50" s="3"/>
      <c r="C50" s="3"/>
      <c r="D50" s="3"/>
      <c r="E50" s="3"/>
      <c r="F50" s="4"/>
      <c r="G50" s="55"/>
      <c r="H50" s="55"/>
      <c r="I50" s="48"/>
    </row>
    <row r="51" spans="1:9" ht="15">
      <c r="A51" s="3"/>
      <c r="B51" s="3"/>
      <c r="C51" s="3"/>
      <c r="D51" s="3"/>
      <c r="E51" s="3"/>
      <c r="F51" s="4"/>
      <c r="G51" s="55"/>
      <c r="H51" s="55"/>
      <c r="I51" s="48"/>
    </row>
    <row r="52" spans="1:9" ht="15">
      <c r="A52" s="3"/>
      <c r="B52" s="3"/>
      <c r="C52" s="3"/>
      <c r="D52" s="3"/>
      <c r="E52" s="3"/>
      <c r="F52" s="4"/>
      <c r="G52" s="55"/>
      <c r="H52" s="55"/>
      <c r="I52" s="48"/>
    </row>
    <row r="53" spans="1:9" ht="15">
      <c r="A53" s="3"/>
      <c r="B53" s="3"/>
      <c r="C53" s="3"/>
      <c r="D53" s="3"/>
      <c r="E53" s="3"/>
      <c r="F53" s="4"/>
      <c r="G53" s="55"/>
      <c r="H53" s="55"/>
      <c r="I53" s="48"/>
    </row>
    <row r="54" spans="1:9" ht="15">
      <c r="A54" s="3"/>
      <c r="B54" s="3"/>
      <c r="C54" s="3"/>
      <c r="D54" s="3"/>
      <c r="E54" s="3"/>
      <c r="F54" s="4"/>
      <c r="G54" s="55"/>
      <c r="H54" s="55"/>
      <c r="I54" s="48"/>
    </row>
    <row r="55" spans="1:9" ht="15">
      <c r="A55" s="3"/>
      <c r="B55" s="3"/>
      <c r="C55" s="3"/>
      <c r="D55" s="3"/>
      <c r="E55" s="3"/>
      <c r="F55" s="4"/>
      <c r="G55" s="55"/>
      <c r="H55" s="55"/>
      <c r="I55" s="48"/>
    </row>
    <row r="56" spans="1:9" ht="15">
      <c r="A56" s="3"/>
      <c r="B56" s="3"/>
      <c r="C56" s="3"/>
      <c r="D56" s="3"/>
      <c r="E56" s="3"/>
      <c r="F56" s="4"/>
      <c r="G56" s="55"/>
      <c r="H56" s="55"/>
      <c r="I56" s="48"/>
    </row>
    <row r="57" spans="1:9" ht="15">
      <c r="A57" s="3"/>
      <c r="B57" s="3"/>
      <c r="C57" s="3"/>
      <c r="D57" s="3"/>
      <c r="E57" s="3"/>
      <c r="F57" s="4"/>
      <c r="G57" s="55"/>
      <c r="H57" s="55"/>
      <c r="I57" s="48"/>
    </row>
    <row r="58" spans="1:9" ht="15">
      <c r="A58" s="3"/>
      <c r="B58" s="3"/>
      <c r="C58" s="3"/>
      <c r="D58" s="3"/>
      <c r="E58" s="3"/>
      <c r="F58" s="4"/>
      <c r="G58" s="55"/>
      <c r="H58" s="55"/>
      <c r="I58" s="48"/>
    </row>
    <row r="59" spans="1:9" ht="15">
      <c r="A59" s="3"/>
      <c r="B59" s="3"/>
      <c r="C59" s="3"/>
      <c r="D59" s="3"/>
      <c r="E59" s="3"/>
      <c r="F59" s="4"/>
      <c r="G59" s="55"/>
      <c r="H59" s="55"/>
      <c r="I59" s="48"/>
    </row>
    <row r="60" spans="1:9" ht="15">
      <c r="A60" s="3"/>
      <c r="B60" s="3"/>
      <c r="C60" s="3"/>
      <c r="D60" s="3"/>
      <c r="E60" s="3"/>
      <c r="F60" s="4"/>
      <c r="G60" s="55"/>
      <c r="H60" s="55"/>
      <c r="I60" s="48"/>
    </row>
    <row r="61" spans="1:9" ht="15">
      <c r="A61" s="3">
        <v>100</v>
      </c>
      <c r="B61" s="3">
        <v>250</v>
      </c>
      <c r="C61" s="3">
        <v>2.5</v>
      </c>
      <c r="D61" s="3" t="s">
        <v>16</v>
      </c>
      <c r="E61" s="3" t="s">
        <v>585</v>
      </c>
      <c r="F61" s="4">
        <v>1.28125</v>
      </c>
      <c r="G61" s="55">
        <v>0.11805555555555555</v>
      </c>
      <c r="H61" s="55">
        <v>5.6250000000000001E-2</v>
      </c>
      <c r="I61" s="54" t="s">
        <v>353</v>
      </c>
    </row>
    <row r="62" spans="1:9" ht="15">
      <c r="A62" s="3">
        <v>50</v>
      </c>
      <c r="B62" s="3">
        <v>150</v>
      </c>
      <c r="C62" s="3">
        <v>3</v>
      </c>
      <c r="D62" s="3" t="s">
        <v>16</v>
      </c>
      <c r="E62" s="3" t="s">
        <v>585</v>
      </c>
      <c r="F62" s="4">
        <v>1.2875000000000001</v>
      </c>
      <c r="G62" s="55">
        <v>0.10902777777777778</v>
      </c>
      <c r="H62" s="55">
        <v>5.5555555555555552E-2</v>
      </c>
      <c r="I62" s="54" t="s">
        <v>353</v>
      </c>
    </row>
    <row r="63" spans="1:9" ht="15">
      <c r="A63" s="3">
        <v>37.5</v>
      </c>
      <c r="B63" s="3">
        <v>150</v>
      </c>
      <c r="C63" s="3">
        <v>4</v>
      </c>
      <c r="D63" s="3" t="s">
        <v>16</v>
      </c>
      <c r="E63" s="3" t="s">
        <v>585</v>
      </c>
      <c r="F63" s="4">
        <v>1.2930555555555556</v>
      </c>
      <c r="G63" s="55">
        <v>0.10138888888888889</v>
      </c>
      <c r="H63" s="55">
        <v>5.4166666666666669E-2</v>
      </c>
      <c r="I63" s="54" t="s">
        <v>353</v>
      </c>
    </row>
    <row r="64" spans="1:9" ht="15">
      <c r="A64" s="3">
        <v>75</v>
      </c>
      <c r="B64" s="3">
        <v>200</v>
      </c>
      <c r="C64" s="3">
        <v>2.67</v>
      </c>
      <c r="D64" s="3" t="s">
        <v>16</v>
      </c>
      <c r="E64" s="3" t="s">
        <v>585</v>
      </c>
      <c r="F64" s="4">
        <v>1.3090277777777777</v>
      </c>
      <c r="G64" s="55">
        <v>0.11527777777777778</v>
      </c>
      <c r="H64" s="55">
        <v>5.7638888888888892E-2</v>
      </c>
      <c r="I64" s="54" t="s">
        <v>353</v>
      </c>
    </row>
    <row r="65" spans="1:9" ht="15">
      <c r="A65" s="3">
        <v>50</v>
      </c>
      <c r="B65" s="3">
        <v>150</v>
      </c>
      <c r="C65" s="3">
        <v>3</v>
      </c>
      <c r="D65" s="3" t="s">
        <v>16</v>
      </c>
      <c r="E65" s="3" t="s">
        <v>585</v>
      </c>
      <c r="F65" s="4">
        <v>1.3104166666666666</v>
      </c>
      <c r="G65" s="55">
        <v>0.10902777777777778</v>
      </c>
      <c r="H65" s="55">
        <v>5.6250000000000001E-2</v>
      </c>
      <c r="I65" s="54" t="s">
        <v>353</v>
      </c>
    </row>
    <row r="66" spans="1:9" ht="15">
      <c r="A66" s="3">
        <v>50</v>
      </c>
      <c r="B66" s="3">
        <v>150</v>
      </c>
      <c r="C66" s="3">
        <v>3</v>
      </c>
      <c r="D66" s="3" t="s">
        <v>16</v>
      </c>
      <c r="E66" s="3" t="s">
        <v>585</v>
      </c>
      <c r="F66" s="4">
        <v>1.33125</v>
      </c>
      <c r="G66" s="55">
        <v>0.10972222222222222</v>
      </c>
      <c r="H66" s="55">
        <v>5.7638888888888892E-2</v>
      </c>
      <c r="I66" s="54" t="s">
        <v>353</v>
      </c>
    </row>
    <row r="67" spans="1:9" ht="15">
      <c r="A67" s="3">
        <v>125</v>
      </c>
      <c r="B67" s="3">
        <v>250</v>
      </c>
      <c r="C67" s="3">
        <v>2</v>
      </c>
      <c r="D67" s="3" t="s">
        <v>16</v>
      </c>
      <c r="E67" s="3" t="s">
        <v>585</v>
      </c>
      <c r="F67" s="4">
        <v>1.3868055555555556</v>
      </c>
      <c r="G67" s="55">
        <v>0.14374999999999999</v>
      </c>
      <c r="H67" s="55">
        <v>6.5972222222222224E-2</v>
      </c>
      <c r="I67" s="54" t="s">
        <v>353</v>
      </c>
    </row>
    <row r="68" spans="1:9" ht="15">
      <c r="A68" s="3">
        <v>100</v>
      </c>
      <c r="B68" s="3">
        <v>200</v>
      </c>
      <c r="C68" s="3">
        <v>2</v>
      </c>
      <c r="D68" s="3" t="s">
        <v>19</v>
      </c>
      <c r="E68" s="3" t="s">
        <v>91</v>
      </c>
      <c r="F68" s="4">
        <v>1.4208333333333334</v>
      </c>
      <c r="G68" s="55">
        <v>0.14722222222222223</v>
      </c>
      <c r="H68" s="55">
        <v>6.8750000000000006E-2</v>
      </c>
      <c r="I68" s="54" t="s">
        <v>353</v>
      </c>
    </row>
    <row r="69" spans="1:9" ht="15">
      <c r="A69" s="3">
        <v>100</v>
      </c>
      <c r="B69" s="3">
        <v>200</v>
      </c>
      <c r="C69" s="3">
        <v>2</v>
      </c>
      <c r="D69" s="3" t="s">
        <v>16</v>
      </c>
      <c r="E69" s="3" t="s">
        <v>585</v>
      </c>
      <c r="F69" s="4">
        <v>1.4409722222222223</v>
      </c>
      <c r="G69" s="55">
        <v>0.14791666666666667</v>
      </c>
      <c r="H69" s="55">
        <v>7.0833333333333331E-2</v>
      </c>
      <c r="I69" s="54" t="s">
        <v>353</v>
      </c>
    </row>
    <row r="70" spans="1:9" ht="15">
      <c r="A70" s="3">
        <v>75</v>
      </c>
      <c r="B70" s="3">
        <v>150</v>
      </c>
      <c r="C70" s="3">
        <v>2</v>
      </c>
      <c r="D70" s="3" t="s">
        <v>19</v>
      </c>
      <c r="E70" s="3" t="s">
        <v>91</v>
      </c>
      <c r="F70" s="4">
        <v>1.4916666666666667</v>
      </c>
      <c r="G70" s="55">
        <v>0.15208333333333332</v>
      </c>
      <c r="H70" s="55">
        <v>7.4999999999999997E-2</v>
      </c>
      <c r="I70" s="54" t="s">
        <v>353</v>
      </c>
    </row>
    <row r="71" spans="1:9" ht="15">
      <c r="A71" s="3">
        <v>75</v>
      </c>
      <c r="B71" s="3">
        <v>150</v>
      </c>
      <c r="C71" s="3">
        <v>2</v>
      </c>
      <c r="D71" s="3" t="s">
        <v>16</v>
      </c>
      <c r="E71" s="3" t="s">
        <v>585</v>
      </c>
      <c r="F71" s="4">
        <v>1.5145833333333334</v>
      </c>
      <c r="G71" s="55">
        <v>0.15347222222222223</v>
      </c>
      <c r="H71" s="55">
        <v>7.7083333333333337E-2</v>
      </c>
      <c r="I71" s="54" t="s">
        <v>353</v>
      </c>
    </row>
    <row r="72" spans="1:9" ht="15">
      <c r="A72" s="3">
        <v>100</v>
      </c>
      <c r="B72" s="3">
        <v>150</v>
      </c>
      <c r="C72" s="3">
        <v>1.5</v>
      </c>
      <c r="D72" s="3" t="s">
        <v>16</v>
      </c>
      <c r="E72" s="3" t="s">
        <v>585</v>
      </c>
      <c r="F72" s="4">
        <v>1.6868055555555554</v>
      </c>
      <c r="G72" s="55">
        <v>0.19722222222222222</v>
      </c>
      <c r="H72" s="55">
        <v>9.5138888888888884E-2</v>
      </c>
      <c r="I72" s="54" t="s">
        <v>353</v>
      </c>
    </row>
  </sheetData>
  <autoFilter ref="A1:I72" xr:uid="{00000000-0009-0000-0000-00000F000000}"/>
  <customSheetViews>
    <customSheetView guid="{5B966157-D76D-4ACD-A64E-35B71110F4A8}" filter="1" showAutoFilter="1">
      <pageMargins left="0.7" right="0.7" top="0.75" bottom="0.75" header="0.3" footer="0.3"/>
      <autoFilter ref="A1:I72" xr:uid="{9EB41C04-FFA6-4872-A3FE-73D7996E0F45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Canyon Aeroad 2021"/>
            <filter val="Specialized Tarmac SL7"/>
            <filter val="Specialized Venge S-Works"/>
            <filter val="Zwift Carbon"/>
            <filter val="Zwift Concept ZI (Tron)"/>
          </filters>
        </filterColumn>
        <filterColumn colId="4">
          <filters blank="1">
            <filter val="32mm carbon"/>
            <filter val="DT Swiss ARC 62"/>
            <filter val="ENVE 7.8"/>
            <filter val="Zipp 858/Super9"/>
            <filter val="Zwift Concept ZI (Tron)"/>
          </filters>
        </filterColumn>
      </autoFilter>
    </customSheetView>
  </customSheetViews>
  <hyperlinks>
    <hyperlink ref="I2" r:id="rId1" xr:uid="{00000000-0004-0000-0F00-000000000000}"/>
    <hyperlink ref="I3" r:id="rId2" xr:uid="{00000000-0004-0000-0F00-000001000000}"/>
    <hyperlink ref="I4" r:id="rId3" xr:uid="{00000000-0004-0000-0F00-000002000000}"/>
    <hyperlink ref="I5" r:id="rId4" xr:uid="{00000000-0004-0000-0F00-000003000000}"/>
    <hyperlink ref="I6" r:id="rId5" xr:uid="{00000000-0004-0000-0F00-000004000000}"/>
    <hyperlink ref="I7" r:id="rId6" xr:uid="{00000000-0004-0000-0F00-000005000000}"/>
    <hyperlink ref="I8" r:id="rId7" xr:uid="{00000000-0004-0000-0F00-000006000000}"/>
    <hyperlink ref="I9" r:id="rId8" xr:uid="{00000000-0004-0000-0F00-000007000000}"/>
    <hyperlink ref="I10" r:id="rId9" xr:uid="{00000000-0004-0000-0F00-000008000000}"/>
    <hyperlink ref="I11" r:id="rId10" xr:uid="{00000000-0004-0000-0F00-000009000000}"/>
    <hyperlink ref="I12" r:id="rId11" xr:uid="{00000000-0004-0000-0F00-00000A000000}"/>
    <hyperlink ref="I13" r:id="rId12" xr:uid="{00000000-0004-0000-0F00-00000B000000}"/>
    <hyperlink ref="I14" r:id="rId13" xr:uid="{00000000-0004-0000-0F00-00000C000000}"/>
    <hyperlink ref="I15" r:id="rId14" xr:uid="{00000000-0004-0000-0F00-00000D000000}"/>
    <hyperlink ref="I16" r:id="rId15" xr:uid="{00000000-0004-0000-0F00-00000E000000}"/>
    <hyperlink ref="I17" r:id="rId16" xr:uid="{00000000-0004-0000-0F00-00000F000000}"/>
    <hyperlink ref="I18" r:id="rId17" xr:uid="{00000000-0004-0000-0F00-000010000000}"/>
    <hyperlink ref="I19" r:id="rId18" xr:uid="{00000000-0004-0000-0F00-000011000000}"/>
    <hyperlink ref="I20" r:id="rId19" xr:uid="{00000000-0004-0000-0F00-000012000000}"/>
    <hyperlink ref="I21" r:id="rId20" xr:uid="{00000000-0004-0000-0F00-000013000000}"/>
    <hyperlink ref="I22" r:id="rId21" xr:uid="{00000000-0004-0000-0F00-000014000000}"/>
    <hyperlink ref="I23" r:id="rId22" xr:uid="{00000000-0004-0000-0F00-000015000000}"/>
    <hyperlink ref="I24" r:id="rId23" xr:uid="{00000000-0004-0000-0F00-000016000000}"/>
    <hyperlink ref="I25" r:id="rId24" xr:uid="{00000000-0004-0000-0F00-000017000000}"/>
    <hyperlink ref="I26" r:id="rId25" xr:uid="{00000000-0004-0000-0F00-000018000000}"/>
    <hyperlink ref="I27" r:id="rId26" xr:uid="{00000000-0004-0000-0F00-000019000000}"/>
    <hyperlink ref="I28" r:id="rId27" xr:uid="{00000000-0004-0000-0F00-00001A000000}"/>
    <hyperlink ref="I61" r:id="rId28" xr:uid="{00000000-0004-0000-0F00-00001B000000}"/>
    <hyperlink ref="I62" r:id="rId29" xr:uid="{00000000-0004-0000-0F00-00001C000000}"/>
    <hyperlink ref="I63" r:id="rId30" xr:uid="{00000000-0004-0000-0F00-00001D000000}"/>
    <hyperlink ref="I64" r:id="rId31" xr:uid="{00000000-0004-0000-0F00-00001E000000}"/>
    <hyperlink ref="I65" r:id="rId32" xr:uid="{00000000-0004-0000-0F00-00001F000000}"/>
    <hyperlink ref="I66" r:id="rId33" xr:uid="{00000000-0004-0000-0F00-000020000000}"/>
    <hyperlink ref="I67" r:id="rId34" xr:uid="{00000000-0004-0000-0F00-000021000000}"/>
    <hyperlink ref="I68" r:id="rId35" xr:uid="{00000000-0004-0000-0F00-000022000000}"/>
    <hyperlink ref="I69" r:id="rId36" xr:uid="{00000000-0004-0000-0F00-000023000000}"/>
    <hyperlink ref="I70" r:id="rId37" xr:uid="{00000000-0004-0000-0F00-000024000000}"/>
    <hyperlink ref="I71" r:id="rId38" xr:uid="{00000000-0004-0000-0F00-000025000000}"/>
    <hyperlink ref="I72" r:id="rId39" xr:uid="{00000000-0004-0000-0F00-000026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3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4" max="4" width="22.7109375" customWidth="1"/>
    <col min="5" max="5" width="20.1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539</v>
      </c>
      <c r="G1" s="1" t="s">
        <v>603</v>
      </c>
      <c r="H1" s="1" t="s">
        <v>604</v>
      </c>
      <c r="I1" s="1"/>
    </row>
    <row r="2" spans="1:9" ht="15.75" customHeight="1">
      <c r="A2" s="3">
        <v>75</v>
      </c>
      <c r="B2" s="3">
        <v>300</v>
      </c>
      <c r="C2" s="3">
        <v>4</v>
      </c>
      <c r="D2" s="3" t="s">
        <v>94</v>
      </c>
      <c r="E2" s="3" t="s">
        <v>133</v>
      </c>
      <c r="F2" s="56">
        <v>3.9363425925925927E-2</v>
      </c>
      <c r="G2" s="3">
        <v>2.484837962962963E-3</v>
      </c>
      <c r="H2" s="3">
        <v>3.1712962962962962E-3</v>
      </c>
      <c r="I2" s="54" t="s">
        <v>605</v>
      </c>
    </row>
    <row r="3" spans="1:9" ht="15.75" customHeight="1">
      <c r="A3" s="3">
        <v>75</v>
      </c>
      <c r="B3" s="3">
        <v>300</v>
      </c>
      <c r="C3" s="3">
        <v>4</v>
      </c>
      <c r="D3" s="3" t="s">
        <v>600</v>
      </c>
      <c r="E3" s="3" t="s">
        <v>600</v>
      </c>
      <c r="F3" s="56">
        <v>3.8819444444444441E-2</v>
      </c>
      <c r="G3" s="3">
        <v>0.50248726851851855</v>
      </c>
      <c r="H3" s="3">
        <v>0.50317245370370367</v>
      </c>
      <c r="I3" s="54" t="s">
        <v>606</v>
      </c>
    </row>
    <row r="4" spans="1:9" ht="15.75" customHeight="1">
      <c r="A4" s="3">
        <v>75</v>
      </c>
      <c r="B4" s="3">
        <v>300</v>
      </c>
      <c r="C4" s="3">
        <v>4</v>
      </c>
      <c r="D4" s="3" t="s">
        <v>13</v>
      </c>
      <c r="E4" s="3" t="s">
        <v>14</v>
      </c>
      <c r="F4" s="56">
        <v>3.9004629629629632E-2</v>
      </c>
      <c r="G4" s="3">
        <v>0.50248738425925932</v>
      </c>
      <c r="H4" s="3">
        <v>0.50317395833333334</v>
      </c>
      <c r="I4" s="54" t="s">
        <v>607</v>
      </c>
    </row>
    <row r="5" spans="1:9" ht="15.75" customHeight="1">
      <c r="A5" s="3">
        <v>75</v>
      </c>
      <c r="B5" s="3">
        <v>300</v>
      </c>
      <c r="C5" s="3">
        <v>4</v>
      </c>
      <c r="D5" s="3" t="s">
        <v>13</v>
      </c>
      <c r="E5" s="3" t="s">
        <v>88</v>
      </c>
      <c r="F5" s="56">
        <v>3.8900462962962963E-2</v>
      </c>
      <c r="G5" s="3">
        <v>0.5024894675925925</v>
      </c>
      <c r="H5" s="3">
        <v>0.5031747685185185</v>
      </c>
      <c r="I5" s="54" t="s">
        <v>608</v>
      </c>
    </row>
    <row r="6" spans="1:9" ht="15.75" customHeight="1">
      <c r="A6" s="3">
        <v>75</v>
      </c>
      <c r="B6" s="3">
        <v>300</v>
      </c>
      <c r="C6" s="3">
        <v>4</v>
      </c>
      <c r="D6" s="3" t="s">
        <v>9</v>
      </c>
      <c r="E6" s="3" t="s">
        <v>11</v>
      </c>
      <c r="F6" s="56">
        <v>3.8831018518518522E-2</v>
      </c>
      <c r="G6" s="3">
        <v>0.50249999999999995</v>
      </c>
      <c r="H6" s="3">
        <v>0.50318796296296298</v>
      </c>
      <c r="I6" s="54" t="s">
        <v>609</v>
      </c>
    </row>
    <row r="7" spans="1:9" ht="15.75" customHeight="1">
      <c r="A7" s="3"/>
      <c r="B7" s="3"/>
      <c r="C7" s="3"/>
      <c r="D7" s="3"/>
      <c r="E7" s="3"/>
      <c r="F7" s="4"/>
      <c r="G7" s="55"/>
      <c r="H7" s="55"/>
      <c r="I7" s="48"/>
    </row>
    <row r="8" spans="1:9" ht="15.75" customHeight="1">
      <c r="A8" s="3"/>
      <c r="B8" s="3"/>
      <c r="C8" s="3"/>
      <c r="D8" s="3"/>
      <c r="E8" s="3"/>
      <c r="F8" s="4"/>
      <c r="G8" s="55"/>
      <c r="H8" s="55"/>
      <c r="I8" s="48"/>
    </row>
    <row r="9" spans="1:9" ht="15.75" customHeight="1">
      <c r="A9" s="3"/>
      <c r="B9" s="3"/>
      <c r="C9" s="3"/>
      <c r="D9" s="3"/>
      <c r="E9" s="3"/>
      <c r="F9" s="4"/>
      <c r="G9" s="55"/>
      <c r="H9" s="55"/>
      <c r="I9" s="48"/>
    </row>
    <row r="10" spans="1:9" ht="15.75" customHeight="1">
      <c r="A10" s="3"/>
      <c r="B10" s="3"/>
      <c r="C10" s="3"/>
      <c r="D10" s="3"/>
      <c r="E10" s="3"/>
      <c r="F10" s="4"/>
      <c r="G10" s="55"/>
      <c r="H10" s="55"/>
      <c r="I10" s="48"/>
    </row>
    <row r="11" spans="1:9" ht="15.75" customHeight="1">
      <c r="A11" s="3"/>
      <c r="B11" s="3"/>
      <c r="C11" s="3"/>
      <c r="D11" s="3"/>
      <c r="E11" s="3"/>
      <c r="F11" s="4"/>
      <c r="G11" s="55"/>
      <c r="H11" s="55"/>
      <c r="I11" s="48"/>
    </row>
    <row r="12" spans="1:9" ht="15.75" customHeight="1">
      <c r="A12" s="3"/>
      <c r="B12" s="3"/>
      <c r="C12" s="3"/>
      <c r="D12" s="3"/>
      <c r="E12" s="3"/>
      <c r="F12" s="4"/>
      <c r="G12" s="55"/>
      <c r="H12" s="55"/>
      <c r="I12" s="48"/>
    </row>
    <row r="13" spans="1:9" ht="15.75" customHeight="1">
      <c r="A13" s="3"/>
      <c r="B13" s="3"/>
      <c r="C13" s="3"/>
      <c r="D13" s="3"/>
      <c r="E13" s="3"/>
      <c r="F13" s="4"/>
      <c r="G13" s="55"/>
      <c r="H13" s="55"/>
      <c r="I13" s="48"/>
    </row>
    <row r="14" spans="1:9" ht="15.75" customHeight="1">
      <c r="A14" s="3"/>
      <c r="B14" s="3"/>
      <c r="C14" s="3"/>
      <c r="D14" s="3"/>
      <c r="E14" s="3"/>
      <c r="F14" s="4"/>
      <c r="G14" s="55"/>
      <c r="H14" s="55"/>
      <c r="I14" s="48"/>
    </row>
    <row r="15" spans="1:9" ht="15.75" customHeight="1">
      <c r="A15" s="3"/>
      <c r="B15" s="3"/>
      <c r="C15" s="3"/>
      <c r="D15" s="3"/>
      <c r="E15" s="3"/>
      <c r="F15" s="4"/>
      <c r="G15" s="55"/>
      <c r="H15" s="55"/>
      <c r="I15" s="48"/>
    </row>
    <row r="16" spans="1:9" ht="15.75" customHeight="1">
      <c r="A16" s="3"/>
      <c r="B16" s="3"/>
      <c r="C16" s="3"/>
      <c r="D16" s="3"/>
      <c r="E16" s="3"/>
      <c r="F16" s="4"/>
      <c r="G16" s="55"/>
      <c r="H16" s="55"/>
      <c r="I16" s="48"/>
    </row>
    <row r="17" spans="1:9" ht="15.75" customHeight="1">
      <c r="A17" s="3"/>
      <c r="B17" s="3"/>
      <c r="C17" s="3"/>
      <c r="D17" s="3"/>
      <c r="E17" s="3"/>
      <c r="F17" s="4"/>
      <c r="G17" s="55"/>
      <c r="H17" s="55"/>
      <c r="I17" s="48"/>
    </row>
    <row r="18" spans="1:9" ht="15.75" customHeight="1">
      <c r="A18" s="3"/>
      <c r="B18" s="3"/>
      <c r="C18" s="3"/>
      <c r="D18" s="3"/>
      <c r="E18" s="3"/>
      <c r="F18" s="4"/>
      <c r="G18" s="55"/>
      <c r="H18" s="55"/>
      <c r="I18" s="48"/>
    </row>
    <row r="19" spans="1:9" ht="15.75" customHeight="1">
      <c r="A19" s="3"/>
      <c r="B19" s="3"/>
      <c r="C19" s="3"/>
      <c r="D19" s="3"/>
      <c r="E19" s="3"/>
      <c r="F19" s="4"/>
      <c r="G19" s="55"/>
      <c r="H19" s="55"/>
      <c r="I19" s="48"/>
    </row>
    <row r="20" spans="1:9" ht="15.75" customHeight="1">
      <c r="A20" s="3"/>
      <c r="B20" s="3"/>
      <c r="C20" s="3"/>
      <c r="D20" s="3"/>
      <c r="E20" s="3"/>
      <c r="F20" s="4"/>
      <c r="G20" s="55"/>
      <c r="H20" s="55"/>
      <c r="I20" s="48"/>
    </row>
    <row r="21" spans="1:9" ht="15.75" customHeight="1">
      <c r="A21" s="3"/>
      <c r="B21" s="3"/>
      <c r="C21" s="3"/>
      <c r="D21" s="3"/>
      <c r="E21" s="3"/>
      <c r="F21" s="4"/>
      <c r="G21" s="55"/>
      <c r="H21" s="55"/>
      <c r="I21" s="48"/>
    </row>
    <row r="22" spans="1:9" ht="15.75" customHeight="1">
      <c r="A22" s="3"/>
      <c r="B22" s="3"/>
      <c r="C22" s="3"/>
      <c r="D22" s="3"/>
      <c r="E22" s="3"/>
      <c r="F22" s="4"/>
      <c r="G22" s="55"/>
      <c r="H22" s="55"/>
      <c r="I22" s="48"/>
    </row>
    <row r="23" spans="1:9" ht="15.75" customHeight="1">
      <c r="A23" s="3"/>
      <c r="B23" s="3"/>
      <c r="C23" s="3"/>
      <c r="D23" s="3"/>
      <c r="E23" s="3"/>
      <c r="F23" s="4"/>
      <c r="G23" s="55"/>
      <c r="H23" s="55"/>
      <c r="I23" s="48"/>
    </row>
    <row r="24" spans="1:9" ht="15.75" customHeight="1">
      <c r="A24" s="3"/>
      <c r="B24" s="3"/>
      <c r="C24" s="3"/>
      <c r="D24" s="3"/>
      <c r="E24" s="3"/>
      <c r="F24" s="4"/>
      <c r="G24" s="55"/>
      <c r="H24" s="55"/>
      <c r="I24" s="48"/>
    </row>
    <row r="25" spans="1:9" ht="15.75" customHeight="1">
      <c r="A25" s="3"/>
      <c r="B25" s="3"/>
      <c r="C25" s="3"/>
      <c r="D25" s="3"/>
      <c r="E25" s="3"/>
      <c r="F25" s="4"/>
      <c r="G25" s="55"/>
      <c r="H25" s="55"/>
      <c r="I25" s="48"/>
    </row>
    <row r="26" spans="1:9" ht="15.75" customHeight="1">
      <c r="A26" s="3"/>
      <c r="B26" s="3"/>
      <c r="C26" s="3"/>
      <c r="D26" s="3"/>
      <c r="E26" s="3"/>
      <c r="F26" s="4"/>
      <c r="G26" s="55"/>
      <c r="H26" s="55"/>
      <c r="I26" s="48"/>
    </row>
    <row r="27" spans="1:9" ht="15.75" customHeight="1">
      <c r="A27" s="3"/>
      <c r="B27" s="3"/>
      <c r="C27" s="3"/>
      <c r="D27" s="3"/>
      <c r="E27" s="3"/>
      <c r="F27" s="4"/>
      <c r="G27" s="55"/>
      <c r="H27" s="55"/>
      <c r="I27" s="48"/>
    </row>
    <row r="28" spans="1:9" ht="15.75" customHeight="1">
      <c r="A28" s="3"/>
      <c r="B28" s="3"/>
      <c r="C28" s="3"/>
      <c r="D28" s="3"/>
      <c r="E28" s="3"/>
      <c r="F28" s="4"/>
      <c r="G28" s="55"/>
      <c r="H28" s="55"/>
      <c r="I28" s="48"/>
    </row>
    <row r="29" spans="1:9" ht="15.75" customHeight="1">
      <c r="A29" s="3"/>
      <c r="B29" s="3"/>
      <c r="C29" s="3"/>
      <c r="D29" s="3"/>
      <c r="E29" s="3"/>
      <c r="F29" s="4"/>
      <c r="G29" s="55"/>
      <c r="H29" s="55"/>
      <c r="I29" s="48"/>
    </row>
    <row r="30" spans="1:9" ht="15.75" customHeight="1">
      <c r="A30" s="3"/>
      <c r="B30" s="3"/>
      <c r="C30" s="3"/>
      <c r="D30" s="3"/>
      <c r="E30" s="3"/>
      <c r="F30" s="4"/>
      <c r="G30" s="55"/>
      <c r="H30" s="55"/>
      <c r="I30" s="48"/>
    </row>
    <row r="31" spans="1:9" ht="15.75" customHeight="1">
      <c r="A31" s="3"/>
      <c r="B31" s="3"/>
      <c r="C31" s="3"/>
      <c r="D31" s="3"/>
      <c r="E31" s="3"/>
      <c r="F31" s="4"/>
      <c r="G31" s="55"/>
      <c r="H31" s="55"/>
      <c r="I31" s="48"/>
    </row>
    <row r="32" spans="1:9" ht="15.75" customHeight="1">
      <c r="A32" s="3"/>
      <c r="B32" s="3"/>
      <c r="C32" s="3"/>
      <c r="D32" s="3"/>
      <c r="E32" s="3"/>
      <c r="F32" s="4"/>
      <c r="G32" s="55"/>
      <c r="H32" s="55"/>
      <c r="I32" s="48"/>
    </row>
    <row r="33" spans="1:9" ht="15.75" customHeight="1">
      <c r="A33" s="3"/>
      <c r="B33" s="3"/>
      <c r="C33" s="3"/>
      <c r="D33" s="3"/>
      <c r="E33" s="3"/>
      <c r="F33" s="4"/>
      <c r="G33" s="55"/>
      <c r="H33" s="55"/>
      <c r="I33" s="48"/>
    </row>
    <row r="34" spans="1:9" ht="15.75" customHeight="1">
      <c r="A34" s="3"/>
      <c r="B34" s="3"/>
      <c r="C34" s="3"/>
      <c r="D34" s="3"/>
      <c r="E34" s="3"/>
      <c r="F34" s="4"/>
      <c r="G34" s="55"/>
      <c r="H34" s="55"/>
      <c r="I34" s="48"/>
    </row>
    <row r="35" spans="1:9" ht="15.75" customHeight="1">
      <c r="A35" s="3"/>
      <c r="B35" s="3"/>
      <c r="C35" s="3"/>
      <c r="D35" s="3"/>
      <c r="E35" s="3"/>
      <c r="F35" s="4"/>
      <c r="G35" s="55"/>
      <c r="H35" s="55"/>
      <c r="I35" s="48"/>
    </row>
    <row r="36" spans="1:9" ht="15.75" customHeight="1">
      <c r="A36" s="3"/>
      <c r="B36" s="3"/>
      <c r="C36" s="3"/>
      <c r="D36" s="3"/>
      <c r="E36" s="3"/>
      <c r="F36" s="4"/>
      <c r="G36" s="55"/>
      <c r="H36" s="55"/>
      <c r="I36" s="48"/>
    </row>
    <row r="37" spans="1:9" ht="15">
      <c r="A37" s="3"/>
      <c r="B37" s="3"/>
      <c r="C37" s="3"/>
      <c r="D37" s="3"/>
      <c r="E37" s="3"/>
      <c r="F37" s="4"/>
      <c r="G37" s="55"/>
      <c r="H37" s="55"/>
      <c r="I37" s="48"/>
    </row>
    <row r="38" spans="1:9" ht="15">
      <c r="A38" s="3"/>
      <c r="B38" s="3"/>
      <c r="C38" s="3"/>
      <c r="D38" s="3"/>
      <c r="E38" s="3"/>
      <c r="F38" s="4"/>
      <c r="G38" s="55"/>
      <c r="H38" s="55"/>
      <c r="I38" s="48"/>
    </row>
  </sheetData>
  <autoFilter ref="A1:I38" xr:uid="{00000000-0009-0000-0000-000010000000}"/>
  <customSheetViews>
    <customSheetView guid="{5B966157-D76D-4ACD-A64E-35B71110F4A8}" filter="1" showAutoFilter="1">
      <pageMargins left="0.7" right="0.7" top="0.75" bottom="0.75" header="0.3" footer="0.3"/>
      <autoFilter ref="A1:I38" xr:uid="{F857CCBB-16D0-4868-B8DC-4C26A1ED3300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Canyon Aeroad 2021"/>
            <filter val="Specialized Tarmac Pro"/>
            <filter val="Specialized Venge S-Works"/>
            <filter val="Zwift Concept ZI (Tron)"/>
          </filters>
        </filterColumn>
        <filterColumn colId="4">
          <filters blank="1">
            <filter val="DT Swiss ARC 62"/>
            <filter val="ENVE 7.8"/>
            <filter val="Lightweight Meilenstein"/>
            <filter val="Zipp 858/Super9"/>
            <filter val="Zwift Concept ZI (Tron)"/>
          </filters>
        </filterColumn>
      </autoFilter>
    </customSheetView>
  </customSheetViews>
  <hyperlinks>
    <hyperlink ref="I2" r:id="rId1" xr:uid="{00000000-0004-0000-1000-000000000000}"/>
    <hyperlink ref="I3" r:id="rId2" xr:uid="{00000000-0004-0000-1000-000001000000}"/>
    <hyperlink ref="I4" r:id="rId3" xr:uid="{00000000-0004-0000-1000-000002000000}"/>
    <hyperlink ref="I5" r:id="rId4" xr:uid="{00000000-0004-0000-1000-000003000000}"/>
    <hyperlink ref="I6" r:id="rId5" xr:uid="{00000000-0004-0000-1000-000004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3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4" max="4" width="22.7109375" customWidth="1"/>
    <col min="5" max="5" width="20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539</v>
      </c>
      <c r="G1" s="1" t="s">
        <v>610</v>
      </c>
      <c r="H1" s="1"/>
    </row>
    <row r="2" spans="1:8" ht="15.75" customHeight="1">
      <c r="A2" s="3">
        <v>75</v>
      </c>
      <c r="B2" s="3">
        <v>300</v>
      </c>
      <c r="C2" s="3">
        <v>4</v>
      </c>
      <c r="D2" s="3" t="s">
        <v>600</v>
      </c>
      <c r="E2" s="3" t="s">
        <v>600</v>
      </c>
      <c r="F2" s="56">
        <v>2.4421296296296295E-2</v>
      </c>
      <c r="G2" s="3">
        <v>0.50442129629629628</v>
      </c>
      <c r="H2" s="54" t="s">
        <v>611</v>
      </c>
    </row>
    <row r="3" spans="1:8" ht="15.75" customHeight="1">
      <c r="A3" s="3">
        <v>75</v>
      </c>
      <c r="B3" s="3">
        <v>300</v>
      </c>
      <c r="C3" s="3">
        <v>4</v>
      </c>
      <c r="D3" s="3" t="s">
        <v>13</v>
      </c>
      <c r="E3" s="3" t="s">
        <v>14</v>
      </c>
      <c r="F3" s="56">
        <v>2.4548611111111111E-2</v>
      </c>
      <c r="G3" s="3">
        <v>0.50443287037037032</v>
      </c>
      <c r="H3" s="54" t="s">
        <v>612</v>
      </c>
    </row>
    <row r="4" spans="1:8" ht="15.75" customHeight="1">
      <c r="A4" s="3">
        <v>75</v>
      </c>
      <c r="B4" s="3">
        <v>300</v>
      </c>
      <c r="C4" s="3">
        <v>4</v>
      </c>
      <c r="D4" s="3" t="s">
        <v>9</v>
      </c>
      <c r="E4" s="3" t="s">
        <v>11</v>
      </c>
      <c r="F4" s="56">
        <v>2.4421296296296295E-2</v>
      </c>
      <c r="G4" s="3">
        <v>0.50443287037037032</v>
      </c>
      <c r="H4" s="54" t="s">
        <v>613</v>
      </c>
    </row>
    <row r="5" spans="1:8" ht="15.75" customHeight="1">
      <c r="A5" s="3"/>
      <c r="B5" s="3"/>
      <c r="C5" s="3"/>
      <c r="D5" s="3"/>
      <c r="E5" s="3"/>
      <c r="F5" s="4"/>
      <c r="G5" s="55"/>
      <c r="H5" s="48"/>
    </row>
    <row r="6" spans="1:8" ht="15.75" customHeight="1">
      <c r="A6" s="3"/>
      <c r="B6" s="3"/>
      <c r="C6" s="3"/>
      <c r="D6" s="3"/>
      <c r="E6" s="3"/>
      <c r="F6" s="4"/>
      <c r="G6" s="55"/>
      <c r="H6" s="48"/>
    </row>
    <row r="7" spans="1:8" ht="15.75" customHeight="1">
      <c r="A7" s="3"/>
      <c r="B7" s="3"/>
      <c r="C7" s="3"/>
      <c r="D7" s="3"/>
      <c r="E7" s="3"/>
      <c r="F7" s="4"/>
      <c r="G7" s="55"/>
      <c r="H7" s="48"/>
    </row>
    <row r="8" spans="1:8" ht="15.75" customHeight="1">
      <c r="A8" s="3"/>
      <c r="B8" s="3"/>
      <c r="C8" s="3"/>
      <c r="D8" s="3"/>
      <c r="E8" s="3"/>
      <c r="F8" s="4"/>
      <c r="G8" s="55"/>
      <c r="H8" s="48"/>
    </row>
    <row r="9" spans="1:8" ht="15.75" customHeight="1">
      <c r="A9" s="3"/>
      <c r="B9" s="3"/>
      <c r="C9" s="3"/>
      <c r="D9" s="3"/>
      <c r="E9" s="3"/>
      <c r="F9" s="4"/>
      <c r="G9" s="55"/>
      <c r="H9" s="48"/>
    </row>
    <row r="10" spans="1:8" ht="15.75" customHeight="1">
      <c r="A10" s="3"/>
      <c r="B10" s="3"/>
      <c r="C10" s="3"/>
      <c r="D10" s="3"/>
      <c r="E10" s="3"/>
      <c r="F10" s="4"/>
      <c r="G10" s="55"/>
      <c r="H10" s="48"/>
    </row>
    <row r="11" spans="1:8" ht="15.75" customHeight="1">
      <c r="A11" s="3"/>
      <c r="B11" s="3"/>
      <c r="C11" s="3"/>
      <c r="D11" s="3"/>
      <c r="E11" s="3"/>
      <c r="F11" s="4"/>
      <c r="G11" s="55"/>
      <c r="H11" s="48"/>
    </row>
    <row r="12" spans="1:8" ht="15.75" customHeight="1">
      <c r="A12" s="3"/>
      <c r="B12" s="3"/>
      <c r="C12" s="3"/>
      <c r="D12" s="3"/>
      <c r="E12" s="3"/>
      <c r="F12" s="4"/>
      <c r="G12" s="55"/>
      <c r="H12" s="48"/>
    </row>
    <row r="13" spans="1:8" ht="15.75" customHeight="1">
      <c r="A13" s="3"/>
      <c r="B13" s="3"/>
      <c r="C13" s="3"/>
      <c r="D13" s="3"/>
      <c r="E13" s="3"/>
      <c r="F13" s="4"/>
      <c r="G13" s="55"/>
      <c r="H13" s="48"/>
    </row>
    <row r="14" spans="1:8" ht="15.75" customHeight="1">
      <c r="A14" s="3"/>
      <c r="B14" s="3"/>
      <c r="C14" s="3"/>
      <c r="D14" s="3"/>
      <c r="E14" s="3"/>
      <c r="F14" s="4"/>
      <c r="G14" s="55"/>
      <c r="H14" s="48"/>
    </row>
    <row r="15" spans="1:8" ht="15.75" customHeight="1">
      <c r="A15" s="3"/>
      <c r="B15" s="3"/>
      <c r="C15" s="3"/>
      <c r="D15" s="3"/>
      <c r="E15" s="3"/>
      <c r="F15" s="4"/>
      <c r="G15" s="55"/>
      <c r="H15" s="48"/>
    </row>
    <row r="16" spans="1:8" ht="15.75" customHeight="1">
      <c r="A16" s="3"/>
      <c r="B16" s="3"/>
      <c r="C16" s="3"/>
      <c r="D16" s="3"/>
      <c r="E16" s="3"/>
      <c r="F16" s="4"/>
      <c r="G16" s="55"/>
      <c r="H16" s="48"/>
    </row>
    <row r="17" spans="1:8" ht="15.75" customHeight="1">
      <c r="A17" s="3"/>
      <c r="B17" s="3"/>
      <c r="C17" s="3"/>
      <c r="D17" s="3"/>
      <c r="E17" s="3"/>
      <c r="F17" s="4"/>
      <c r="G17" s="55"/>
      <c r="H17" s="48"/>
    </row>
    <row r="18" spans="1:8" ht="15.75" customHeight="1">
      <c r="A18" s="3"/>
      <c r="B18" s="3"/>
      <c r="C18" s="3"/>
      <c r="D18" s="3"/>
      <c r="E18" s="3"/>
      <c r="F18" s="4"/>
      <c r="G18" s="55"/>
      <c r="H18" s="48"/>
    </row>
    <row r="19" spans="1:8" ht="15.75" customHeight="1">
      <c r="A19" s="3"/>
      <c r="B19" s="3"/>
      <c r="C19" s="3"/>
      <c r="D19" s="3"/>
      <c r="E19" s="3"/>
      <c r="F19" s="4"/>
      <c r="G19" s="55"/>
      <c r="H19" s="48"/>
    </row>
    <row r="20" spans="1:8" ht="15.75" customHeight="1">
      <c r="A20" s="3"/>
      <c r="B20" s="3"/>
      <c r="C20" s="3"/>
      <c r="D20" s="3"/>
      <c r="E20" s="3"/>
      <c r="F20" s="4"/>
      <c r="G20" s="55"/>
      <c r="H20" s="48"/>
    </row>
    <row r="21" spans="1:8" ht="15.75" customHeight="1">
      <c r="A21" s="3"/>
      <c r="B21" s="3"/>
      <c r="C21" s="3"/>
      <c r="D21" s="3"/>
      <c r="E21" s="3"/>
      <c r="F21" s="4"/>
      <c r="G21" s="55"/>
      <c r="H21" s="48"/>
    </row>
    <row r="22" spans="1:8" ht="15.75" customHeight="1">
      <c r="A22" s="3"/>
      <c r="B22" s="3"/>
      <c r="C22" s="3"/>
      <c r="D22" s="3"/>
      <c r="E22" s="3"/>
      <c r="F22" s="4"/>
      <c r="G22" s="55"/>
      <c r="H22" s="48"/>
    </row>
    <row r="23" spans="1:8" ht="15.75" customHeight="1">
      <c r="A23" s="3"/>
      <c r="B23" s="3"/>
      <c r="C23" s="3"/>
      <c r="D23" s="3"/>
      <c r="E23" s="3"/>
      <c r="F23" s="4"/>
      <c r="G23" s="55"/>
      <c r="H23" s="48"/>
    </row>
    <row r="24" spans="1:8" ht="15.75" customHeight="1">
      <c r="A24" s="3"/>
      <c r="B24" s="3"/>
      <c r="C24" s="3"/>
      <c r="D24" s="3"/>
      <c r="E24" s="3"/>
      <c r="F24" s="4"/>
      <c r="G24" s="55"/>
      <c r="H24" s="48"/>
    </row>
    <row r="25" spans="1:8" ht="15.75" customHeight="1">
      <c r="A25" s="3"/>
      <c r="B25" s="3"/>
      <c r="C25" s="3"/>
      <c r="D25" s="3"/>
      <c r="E25" s="3"/>
      <c r="F25" s="4"/>
      <c r="G25" s="55"/>
      <c r="H25" s="48"/>
    </row>
    <row r="26" spans="1:8" ht="15.75" customHeight="1">
      <c r="A26" s="3"/>
      <c r="B26" s="3"/>
      <c r="C26" s="3"/>
      <c r="D26" s="3"/>
      <c r="E26" s="3"/>
      <c r="F26" s="4"/>
      <c r="G26" s="55"/>
      <c r="H26" s="48"/>
    </row>
    <row r="27" spans="1:8" ht="15.75" customHeight="1">
      <c r="A27" s="3"/>
      <c r="B27" s="3"/>
      <c r="C27" s="3"/>
      <c r="D27" s="3"/>
      <c r="E27" s="3"/>
      <c r="F27" s="4"/>
      <c r="G27" s="55"/>
      <c r="H27" s="48"/>
    </row>
    <row r="28" spans="1:8" ht="15.75" customHeight="1">
      <c r="A28" s="3"/>
      <c r="B28" s="3"/>
      <c r="C28" s="3"/>
      <c r="D28" s="3"/>
      <c r="E28" s="3"/>
      <c r="F28" s="4"/>
      <c r="G28" s="55"/>
      <c r="H28" s="48"/>
    </row>
    <row r="29" spans="1:8" ht="15.75" customHeight="1">
      <c r="A29" s="3"/>
      <c r="B29" s="3"/>
      <c r="C29" s="3"/>
      <c r="D29" s="3"/>
      <c r="E29" s="3"/>
      <c r="F29" s="4"/>
      <c r="G29" s="55"/>
      <c r="H29" s="48"/>
    </row>
    <row r="30" spans="1:8" ht="15.75" customHeight="1">
      <c r="A30" s="3"/>
      <c r="B30" s="3"/>
      <c r="C30" s="3"/>
      <c r="D30" s="3"/>
      <c r="E30" s="3"/>
      <c r="F30" s="4"/>
      <c r="G30" s="55"/>
      <c r="H30" s="48"/>
    </row>
    <row r="31" spans="1:8" ht="15.75" customHeight="1">
      <c r="A31" s="3"/>
      <c r="B31" s="3"/>
      <c r="C31" s="3"/>
      <c r="D31" s="3"/>
      <c r="E31" s="3"/>
      <c r="F31" s="4"/>
      <c r="G31" s="55"/>
      <c r="H31" s="48"/>
    </row>
    <row r="32" spans="1:8" ht="15.75" customHeight="1">
      <c r="A32" s="3"/>
      <c r="B32" s="3"/>
      <c r="C32" s="3"/>
      <c r="D32" s="3"/>
      <c r="E32" s="3"/>
      <c r="F32" s="4"/>
      <c r="G32" s="55"/>
      <c r="H32" s="48"/>
    </row>
    <row r="33" spans="1:8" ht="15.75" customHeight="1">
      <c r="A33" s="3"/>
      <c r="B33" s="3"/>
      <c r="C33" s="3"/>
      <c r="D33" s="3"/>
      <c r="E33" s="3"/>
      <c r="F33" s="4"/>
      <c r="G33" s="55"/>
      <c r="H33" s="48"/>
    </row>
    <row r="34" spans="1:8" ht="15.75" customHeight="1">
      <c r="A34" s="3"/>
      <c r="B34" s="3"/>
      <c r="C34" s="3"/>
      <c r="D34" s="3"/>
      <c r="E34" s="3"/>
      <c r="F34" s="4"/>
      <c r="G34" s="55"/>
      <c r="H34" s="48"/>
    </row>
    <row r="35" spans="1:8" ht="15.75" customHeight="1">
      <c r="A35" s="3"/>
      <c r="B35" s="3"/>
      <c r="C35" s="3"/>
      <c r="D35" s="3"/>
      <c r="E35" s="3"/>
      <c r="F35" s="4"/>
      <c r="G35" s="55"/>
      <c r="H35" s="48"/>
    </row>
    <row r="36" spans="1:8" ht="15.75" customHeight="1">
      <c r="A36" s="3"/>
      <c r="B36" s="3"/>
      <c r="C36" s="3"/>
      <c r="D36" s="3"/>
      <c r="E36" s="3"/>
      <c r="F36" s="4"/>
      <c r="G36" s="55"/>
      <c r="H36" s="48"/>
    </row>
  </sheetData>
  <autoFilter ref="A1:H36" xr:uid="{00000000-0009-0000-0000-000011000000}"/>
  <customSheetViews>
    <customSheetView guid="{5B966157-D76D-4ACD-A64E-35B71110F4A8}" filter="1" showAutoFilter="1">
      <pageMargins left="0.7" right="0.7" top="0.75" bottom="0.75" header="0.3" footer="0.3"/>
      <autoFilter ref="A1:H36" xr:uid="{C76331A6-1DC5-41FF-B248-205B8764043E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Canyon Aeroad 2021"/>
            <filter val="Specialized Venge S-Works"/>
            <filter val="Zwift Concept ZI (Tron)"/>
          </filters>
        </filterColumn>
        <filterColumn colId="4">
          <filters blank="1">
            <filter val="DT Swiss ARC 62"/>
            <filter val="Zipp 858/Super9"/>
            <filter val="Zwift Concept ZI (Tron)"/>
          </filters>
        </filterColumn>
      </autoFilter>
    </customSheetView>
  </customSheetViews>
  <hyperlinks>
    <hyperlink ref="H2" r:id="rId1" xr:uid="{00000000-0004-0000-1100-000000000000}"/>
    <hyperlink ref="H3" r:id="rId2" xr:uid="{00000000-0004-0000-1100-000001000000}"/>
    <hyperlink ref="H4" r:id="rId3" xr:uid="{00000000-0004-0000-11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M7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472</v>
      </c>
      <c r="I1" s="1" t="s">
        <v>583</v>
      </c>
      <c r="J1" s="1" t="s">
        <v>584</v>
      </c>
      <c r="K1" s="1" t="s">
        <v>614</v>
      </c>
      <c r="L1" s="1" t="s">
        <v>615</v>
      </c>
      <c r="M1" s="1"/>
    </row>
    <row r="2" spans="1:13" ht="15.75" customHeight="1">
      <c r="A2" s="3">
        <v>100</v>
      </c>
      <c r="B2" s="3">
        <v>500</v>
      </c>
      <c r="C2" s="3">
        <v>5</v>
      </c>
      <c r="D2" s="3">
        <v>183</v>
      </c>
      <c r="E2" s="3" t="s">
        <v>16</v>
      </c>
      <c r="F2" s="3" t="s">
        <v>585</v>
      </c>
      <c r="G2" s="4">
        <v>0.87152777777777779</v>
      </c>
      <c r="H2" s="55">
        <v>0.39444444444444443</v>
      </c>
      <c r="I2" s="55">
        <v>5.2083333333333336E-2</v>
      </c>
      <c r="J2" s="3" t="s">
        <v>586</v>
      </c>
      <c r="K2" s="55">
        <v>5.6250000000000001E-2</v>
      </c>
      <c r="L2" s="3" t="s">
        <v>616</v>
      </c>
      <c r="M2" s="54" t="s">
        <v>353</v>
      </c>
    </row>
    <row r="3" spans="1:13" ht="15.75" customHeight="1">
      <c r="A3" s="3">
        <v>75</v>
      </c>
      <c r="B3" s="3">
        <v>500</v>
      </c>
      <c r="C3" s="3">
        <v>6.67</v>
      </c>
      <c r="D3" s="3">
        <v>183</v>
      </c>
      <c r="E3" s="3" t="s">
        <v>16</v>
      </c>
      <c r="F3" s="3" t="s">
        <v>585</v>
      </c>
      <c r="G3" s="4">
        <v>0.87222222222222223</v>
      </c>
      <c r="H3" s="55">
        <v>0.39374999999999999</v>
      </c>
      <c r="I3" s="55">
        <v>5.2083333333333336E-2</v>
      </c>
      <c r="J3" s="3" t="s">
        <v>586</v>
      </c>
      <c r="K3" s="55">
        <v>5.6250000000000001E-2</v>
      </c>
      <c r="L3" s="3" t="s">
        <v>616</v>
      </c>
      <c r="M3" s="54" t="s">
        <v>353</v>
      </c>
    </row>
    <row r="4" spans="1:13" ht="15.75" customHeight="1">
      <c r="A4" s="3">
        <v>50</v>
      </c>
      <c r="B4" s="3">
        <v>500</v>
      </c>
      <c r="C4" s="3">
        <v>10</v>
      </c>
      <c r="D4" s="3">
        <v>183</v>
      </c>
      <c r="E4" s="3" t="s">
        <v>16</v>
      </c>
      <c r="F4" s="3" t="s">
        <v>585</v>
      </c>
      <c r="G4" s="4">
        <v>0.87222222222222223</v>
      </c>
      <c r="H4" s="55">
        <v>0.39374999999999999</v>
      </c>
      <c r="I4" s="55">
        <v>5.2083333333333336E-2</v>
      </c>
      <c r="J4" s="3" t="s">
        <v>587</v>
      </c>
      <c r="K4" s="55">
        <v>5.6944444444444443E-2</v>
      </c>
      <c r="L4" s="3" t="s">
        <v>616</v>
      </c>
      <c r="M4" s="54" t="s">
        <v>353</v>
      </c>
    </row>
    <row r="5" spans="1:13" ht="15.75" customHeight="1">
      <c r="A5" s="3">
        <v>75</v>
      </c>
      <c r="B5" s="3">
        <v>400</v>
      </c>
      <c r="C5" s="3">
        <v>5.33</v>
      </c>
      <c r="D5" s="3">
        <v>183</v>
      </c>
      <c r="E5" s="3" t="s">
        <v>16</v>
      </c>
      <c r="F5" s="3" t="s">
        <v>585</v>
      </c>
      <c r="G5" s="4">
        <v>0.9555555555555556</v>
      </c>
      <c r="H5" s="55">
        <v>0.42708333333333331</v>
      </c>
      <c r="I5" s="55">
        <v>6.1805555555555558E-2</v>
      </c>
      <c r="J5" s="3" t="s">
        <v>588</v>
      </c>
      <c r="K5" s="55">
        <v>5.9722222222222225E-2</v>
      </c>
      <c r="L5" s="3" t="s">
        <v>617</v>
      </c>
      <c r="M5" s="54" t="s">
        <v>353</v>
      </c>
    </row>
    <row r="6" spans="1:13" ht="15.75" customHeight="1">
      <c r="A6" s="3">
        <v>100</v>
      </c>
      <c r="B6" s="3">
        <v>400</v>
      </c>
      <c r="C6" s="3">
        <v>4</v>
      </c>
      <c r="D6" s="3">
        <v>183</v>
      </c>
      <c r="E6" s="3" t="s">
        <v>16</v>
      </c>
      <c r="F6" s="3" t="s">
        <v>585</v>
      </c>
      <c r="G6" s="4">
        <v>0.9555555555555556</v>
      </c>
      <c r="H6" s="55">
        <v>0.42708333333333331</v>
      </c>
      <c r="I6" s="55">
        <v>6.1805555555555558E-2</v>
      </c>
      <c r="J6" s="3" t="s">
        <v>589</v>
      </c>
      <c r="K6" s="55">
        <v>5.9722222222222225E-2</v>
      </c>
      <c r="L6" s="3" t="s">
        <v>617</v>
      </c>
      <c r="M6" s="54" t="s">
        <v>353</v>
      </c>
    </row>
    <row r="7" spans="1:13" ht="15.75" customHeight="1">
      <c r="A7" s="3">
        <v>50</v>
      </c>
      <c r="B7" s="3">
        <v>400</v>
      </c>
      <c r="C7" s="3">
        <v>8</v>
      </c>
      <c r="D7" s="3">
        <v>183</v>
      </c>
      <c r="E7" s="3" t="s">
        <v>16</v>
      </c>
      <c r="F7" s="3" t="s">
        <v>585</v>
      </c>
      <c r="G7" s="4">
        <v>0.9555555555555556</v>
      </c>
      <c r="H7" s="55">
        <v>0.42708333333333331</v>
      </c>
      <c r="I7" s="55">
        <v>6.1805555555555558E-2</v>
      </c>
      <c r="J7" s="3" t="s">
        <v>588</v>
      </c>
      <c r="K7" s="55">
        <v>5.9722222222222225E-2</v>
      </c>
      <c r="L7" s="3" t="s">
        <v>617</v>
      </c>
      <c r="M7" s="54" t="s">
        <v>353</v>
      </c>
    </row>
    <row r="8" spans="1:13" ht="15.75" customHeight="1">
      <c r="A8" s="3">
        <v>75</v>
      </c>
      <c r="B8" s="3">
        <v>375</v>
      </c>
      <c r="C8" s="3">
        <v>5</v>
      </c>
      <c r="D8" s="3">
        <v>183</v>
      </c>
      <c r="E8" s="3" t="s">
        <v>16</v>
      </c>
      <c r="F8" s="3" t="s">
        <v>585</v>
      </c>
      <c r="G8" s="4">
        <v>0.98263888888888884</v>
      </c>
      <c r="H8" s="55">
        <v>0.4375</v>
      </c>
      <c r="I8" s="55">
        <v>6.5277777777777782E-2</v>
      </c>
      <c r="J8" s="3" t="s">
        <v>590</v>
      </c>
      <c r="K8" s="55">
        <v>6.0416666666666667E-2</v>
      </c>
      <c r="L8" s="3" t="s">
        <v>618</v>
      </c>
      <c r="M8" s="54" t="s">
        <v>353</v>
      </c>
    </row>
    <row r="9" spans="1:13" ht="15.75" customHeight="1">
      <c r="A9" s="3">
        <v>100</v>
      </c>
      <c r="B9" s="3">
        <v>400</v>
      </c>
      <c r="C9" s="3">
        <v>4</v>
      </c>
      <c r="D9" s="3">
        <v>183</v>
      </c>
      <c r="E9" s="3" t="s">
        <v>19</v>
      </c>
      <c r="F9" s="3" t="s">
        <v>91</v>
      </c>
      <c r="G9" s="4">
        <v>1.0131944444444445</v>
      </c>
      <c r="H9" s="55">
        <v>0.44305555555555554</v>
      </c>
      <c r="I9" s="55">
        <v>7.5694444444444439E-2</v>
      </c>
      <c r="J9" s="3" t="s">
        <v>591</v>
      </c>
      <c r="K9" s="55">
        <v>5.9027777777777776E-2</v>
      </c>
      <c r="L9" s="3" t="s">
        <v>617</v>
      </c>
      <c r="M9" s="54" t="s">
        <v>353</v>
      </c>
    </row>
    <row r="10" spans="1:13" ht="15.75" customHeight="1">
      <c r="A10" s="3">
        <v>50</v>
      </c>
      <c r="B10" s="3">
        <v>250</v>
      </c>
      <c r="C10" s="3">
        <v>5</v>
      </c>
      <c r="D10" s="3">
        <v>183</v>
      </c>
      <c r="E10" s="3" t="s">
        <v>16</v>
      </c>
      <c r="F10" s="3" t="s">
        <v>585</v>
      </c>
      <c r="G10" s="4">
        <v>1.0583333333333333</v>
      </c>
      <c r="H10" s="55">
        <v>0.47152777777777777</v>
      </c>
      <c r="I10" s="55">
        <v>7.013888888888889E-2</v>
      </c>
      <c r="J10" s="3" t="s">
        <v>592</v>
      </c>
      <c r="K10" s="55">
        <v>6.5277777777777782E-2</v>
      </c>
      <c r="L10" s="3" t="s">
        <v>619</v>
      </c>
      <c r="M10" s="54" t="s">
        <v>353</v>
      </c>
    </row>
    <row r="11" spans="1:13" ht="15.75" customHeight="1">
      <c r="A11" s="3">
        <v>75</v>
      </c>
      <c r="B11" s="3">
        <v>300</v>
      </c>
      <c r="C11" s="3">
        <v>4</v>
      </c>
      <c r="D11" s="3">
        <v>183</v>
      </c>
      <c r="E11" s="3" t="s">
        <v>19</v>
      </c>
      <c r="F11" s="3" t="s">
        <v>91</v>
      </c>
      <c r="G11" s="4">
        <v>1.0645833333333334</v>
      </c>
      <c r="H11" s="55">
        <v>0.46527777777777779</v>
      </c>
      <c r="I11" s="55">
        <v>7.9166666666666663E-2</v>
      </c>
      <c r="J11" s="3" t="s">
        <v>593</v>
      </c>
      <c r="K11" s="55">
        <v>6.1805555555555558E-2</v>
      </c>
      <c r="L11" s="3" t="s">
        <v>618</v>
      </c>
      <c r="M11" s="54" t="s">
        <v>353</v>
      </c>
    </row>
    <row r="12" spans="1:13" ht="15.75" customHeight="1">
      <c r="A12" s="3">
        <v>75</v>
      </c>
      <c r="B12" s="3">
        <v>310</v>
      </c>
      <c r="C12" s="3">
        <v>4.13</v>
      </c>
      <c r="D12" s="3">
        <v>183</v>
      </c>
      <c r="E12" s="3" t="s">
        <v>16</v>
      </c>
      <c r="F12" s="3" t="s">
        <v>585</v>
      </c>
      <c r="G12" s="4">
        <v>1.0666666666666667</v>
      </c>
      <c r="H12" s="55">
        <v>0.46875</v>
      </c>
      <c r="I12" s="55">
        <v>7.7083333333333337E-2</v>
      </c>
      <c r="J12" s="3" t="s">
        <v>594</v>
      </c>
      <c r="K12" s="55">
        <v>6.3194444444444442E-2</v>
      </c>
      <c r="L12" s="3" t="s">
        <v>618</v>
      </c>
      <c r="M12" s="54" t="s">
        <v>353</v>
      </c>
    </row>
    <row r="13" spans="1:13" ht="15.75" customHeight="1">
      <c r="A13" s="3">
        <v>75</v>
      </c>
      <c r="B13" s="3">
        <v>300</v>
      </c>
      <c r="C13" s="3">
        <v>4</v>
      </c>
      <c r="D13" s="3">
        <v>183</v>
      </c>
      <c r="E13" s="3" t="s">
        <v>16</v>
      </c>
      <c r="F13" s="3" t="s">
        <v>585</v>
      </c>
      <c r="G13" s="4">
        <v>1.0826388888888889</v>
      </c>
      <c r="H13" s="55">
        <v>0.47499999999999998</v>
      </c>
      <c r="I13" s="55">
        <v>7.9166666666666663E-2</v>
      </c>
      <c r="J13" s="3" t="s">
        <v>595</v>
      </c>
      <c r="K13" s="55">
        <v>6.3888888888888884E-2</v>
      </c>
      <c r="L13" s="3" t="s">
        <v>619</v>
      </c>
      <c r="M13" s="54" t="s">
        <v>353</v>
      </c>
    </row>
    <row r="14" spans="1:13" ht="15.75" customHeight="1">
      <c r="A14" s="3">
        <v>62.5</v>
      </c>
      <c r="B14" s="3">
        <v>250</v>
      </c>
      <c r="C14" s="3">
        <v>4</v>
      </c>
      <c r="D14" s="3">
        <v>183</v>
      </c>
      <c r="E14" s="3" t="s">
        <v>16</v>
      </c>
      <c r="F14" s="3" t="s">
        <v>585</v>
      </c>
      <c r="G14" s="4">
        <v>1.1194444444444445</v>
      </c>
      <c r="H14" s="55">
        <v>0.49027777777777776</v>
      </c>
      <c r="I14" s="55">
        <v>8.1250000000000003E-2</v>
      </c>
      <c r="J14" s="3" t="s">
        <v>596</v>
      </c>
      <c r="K14" s="55">
        <v>6.5972222222222224E-2</v>
      </c>
      <c r="L14" s="3" t="s">
        <v>620</v>
      </c>
      <c r="M14" s="54" t="s">
        <v>353</v>
      </c>
    </row>
    <row r="15" spans="1:13" ht="15.75" customHeight="1">
      <c r="A15" s="3">
        <v>100</v>
      </c>
      <c r="B15" s="3">
        <v>300</v>
      </c>
      <c r="C15" s="3">
        <v>3</v>
      </c>
      <c r="D15" s="3">
        <v>153</v>
      </c>
      <c r="E15" s="3" t="s">
        <v>16</v>
      </c>
      <c r="F15" s="3" t="s">
        <v>585</v>
      </c>
      <c r="G15" s="4">
        <v>1.1354166666666667</v>
      </c>
      <c r="H15" s="55">
        <v>0.48402777777777778</v>
      </c>
      <c r="I15" s="55">
        <v>9.7916666666666666E-2</v>
      </c>
      <c r="J15" s="55">
        <v>4.3749999999999997E-2</v>
      </c>
      <c r="K15" s="55">
        <v>6.1111111111111109E-2</v>
      </c>
      <c r="L15" s="3" t="s">
        <v>618</v>
      </c>
      <c r="M15" s="54" t="s">
        <v>353</v>
      </c>
    </row>
    <row r="16" spans="1:13" ht="15.75" customHeight="1">
      <c r="A16" s="3">
        <v>100</v>
      </c>
      <c r="B16" s="3">
        <v>300</v>
      </c>
      <c r="C16" s="3">
        <v>3</v>
      </c>
      <c r="D16" s="3">
        <v>168</v>
      </c>
      <c r="E16" s="3" t="s">
        <v>16</v>
      </c>
      <c r="F16" s="3" t="s">
        <v>585</v>
      </c>
      <c r="G16" s="4">
        <v>1.15625</v>
      </c>
      <c r="H16" s="55">
        <v>0.49305555555555558</v>
      </c>
      <c r="I16" s="55">
        <v>9.8611111111111108E-2</v>
      </c>
      <c r="J16" s="55">
        <v>4.5138888888888888E-2</v>
      </c>
      <c r="K16" s="55">
        <v>6.25E-2</v>
      </c>
      <c r="L16" s="3" t="s">
        <v>618</v>
      </c>
      <c r="M16" s="54" t="s">
        <v>353</v>
      </c>
    </row>
    <row r="17" spans="1:13" ht="15.75" customHeight="1">
      <c r="A17" s="3">
        <v>100</v>
      </c>
      <c r="B17" s="3">
        <v>300</v>
      </c>
      <c r="C17" s="3">
        <v>3</v>
      </c>
      <c r="D17" s="3">
        <v>183</v>
      </c>
      <c r="E17" s="3" t="s">
        <v>19</v>
      </c>
      <c r="F17" s="3" t="s">
        <v>91</v>
      </c>
      <c r="G17" s="4">
        <v>1.1583333333333334</v>
      </c>
      <c r="H17" s="55">
        <v>0.49375000000000002</v>
      </c>
      <c r="I17" s="55">
        <v>9.8611111111111108E-2</v>
      </c>
      <c r="J17" s="55">
        <v>4.583333333333333E-2</v>
      </c>
      <c r="K17" s="55">
        <v>6.3194444444444442E-2</v>
      </c>
      <c r="L17" s="3" t="s">
        <v>619</v>
      </c>
      <c r="M17" s="54" t="s">
        <v>353</v>
      </c>
    </row>
    <row r="18" spans="1:13" ht="15.75" customHeight="1">
      <c r="A18" s="3">
        <v>50</v>
      </c>
      <c r="B18" s="3">
        <v>200</v>
      </c>
      <c r="C18" s="3">
        <v>4</v>
      </c>
      <c r="D18" s="3">
        <v>183</v>
      </c>
      <c r="E18" s="3" t="s">
        <v>16</v>
      </c>
      <c r="F18" s="3" t="s">
        <v>585</v>
      </c>
      <c r="G18" s="4">
        <v>1.1666666666666667</v>
      </c>
      <c r="H18" s="55">
        <v>0.51111111111111107</v>
      </c>
      <c r="I18" s="55">
        <v>8.4722222222222227E-2</v>
      </c>
      <c r="J18" s="55">
        <v>4.3749999999999997E-2</v>
      </c>
      <c r="K18" s="55">
        <v>6.805555555555555E-2</v>
      </c>
      <c r="L18" s="3" t="s">
        <v>620</v>
      </c>
      <c r="M18" s="54" t="s">
        <v>353</v>
      </c>
    </row>
    <row r="19" spans="1:13" ht="15.75" customHeight="1">
      <c r="A19" s="3">
        <v>100</v>
      </c>
      <c r="B19" s="3">
        <v>300</v>
      </c>
      <c r="C19" s="3">
        <v>3</v>
      </c>
      <c r="D19" s="3">
        <v>183</v>
      </c>
      <c r="E19" s="3" t="s">
        <v>16</v>
      </c>
      <c r="F19" s="3" t="s">
        <v>585</v>
      </c>
      <c r="G19" s="4">
        <v>1.175</v>
      </c>
      <c r="H19" s="55">
        <v>0.50138888888888888</v>
      </c>
      <c r="I19" s="55">
        <v>9.930555555555555E-2</v>
      </c>
      <c r="J19" s="55">
        <v>4.7222222222222221E-2</v>
      </c>
      <c r="K19" s="55">
        <v>6.3888888888888884E-2</v>
      </c>
      <c r="L19" s="3" t="s">
        <v>619</v>
      </c>
      <c r="M19" s="54" t="s">
        <v>353</v>
      </c>
    </row>
    <row r="20" spans="1:13" ht="15.75" customHeight="1">
      <c r="A20" s="3">
        <v>75</v>
      </c>
      <c r="B20" s="3">
        <v>250</v>
      </c>
      <c r="C20" s="3">
        <v>3.33</v>
      </c>
      <c r="D20" s="3">
        <v>183</v>
      </c>
      <c r="E20" s="3" t="s">
        <v>16</v>
      </c>
      <c r="F20" s="3" t="s">
        <v>585</v>
      </c>
      <c r="G20" s="4">
        <v>1.1763888888888889</v>
      </c>
      <c r="H20" s="55">
        <v>0.50763888888888886</v>
      </c>
      <c r="I20" s="55">
        <v>9.3055555555555558E-2</v>
      </c>
      <c r="J20" s="55">
        <v>4.6527777777777779E-2</v>
      </c>
      <c r="K20" s="55">
        <v>6.5972222222222224E-2</v>
      </c>
      <c r="L20" s="3" t="s">
        <v>620</v>
      </c>
      <c r="M20" s="54" t="s">
        <v>353</v>
      </c>
    </row>
    <row r="21" spans="1:13" ht="15.75" customHeight="1">
      <c r="A21" s="3">
        <v>75</v>
      </c>
      <c r="B21" s="3">
        <v>225</v>
      </c>
      <c r="C21" s="3">
        <v>3</v>
      </c>
      <c r="D21" s="3">
        <v>183</v>
      </c>
      <c r="E21" s="3" t="s">
        <v>56</v>
      </c>
      <c r="F21" s="3" t="s">
        <v>91</v>
      </c>
      <c r="G21" s="4">
        <v>1.1875</v>
      </c>
      <c r="H21" s="55">
        <v>0.50486111111111109</v>
      </c>
      <c r="I21" s="55">
        <v>0.10277777777777777</v>
      </c>
      <c r="J21" s="55">
        <v>4.791666666666667E-2</v>
      </c>
      <c r="K21" s="55">
        <v>6.458333333333334E-2</v>
      </c>
      <c r="L21" s="3" t="s">
        <v>619</v>
      </c>
      <c r="M21" s="54" t="s">
        <v>353</v>
      </c>
    </row>
    <row r="22" spans="1:13" ht="15.75" customHeight="1">
      <c r="A22" s="3">
        <v>75</v>
      </c>
      <c r="B22" s="3">
        <v>225</v>
      </c>
      <c r="C22" s="3">
        <v>3</v>
      </c>
      <c r="D22" s="3">
        <v>183</v>
      </c>
      <c r="E22" s="3" t="s">
        <v>621</v>
      </c>
      <c r="F22" s="3" t="s">
        <v>622</v>
      </c>
      <c r="G22" s="4">
        <v>1.1902777777777778</v>
      </c>
      <c r="H22" s="55">
        <v>0.50694444444444442</v>
      </c>
      <c r="I22" s="55">
        <v>0.10277777777777777</v>
      </c>
      <c r="J22" s="55">
        <v>4.8611111111111112E-2</v>
      </c>
      <c r="K22" s="55">
        <v>6.458333333333334E-2</v>
      </c>
      <c r="L22" s="55" t="s">
        <v>619</v>
      </c>
    </row>
    <row r="23" spans="1:13" ht="15.75" customHeight="1">
      <c r="A23" s="3">
        <v>75</v>
      </c>
      <c r="B23" s="3">
        <v>225</v>
      </c>
      <c r="C23" s="3">
        <v>3</v>
      </c>
      <c r="D23" s="3">
        <v>153</v>
      </c>
      <c r="E23" s="3" t="s">
        <v>16</v>
      </c>
      <c r="F23" s="3" t="s">
        <v>585</v>
      </c>
      <c r="G23" s="4">
        <v>1.195138888888889</v>
      </c>
      <c r="H23" s="55">
        <v>0.50972222222222219</v>
      </c>
      <c r="I23" s="55">
        <v>0.10208333333333333</v>
      </c>
      <c r="J23" s="55">
        <v>4.791666666666667E-2</v>
      </c>
      <c r="K23" s="55">
        <v>6.5277777777777782E-2</v>
      </c>
      <c r="L23" s="3" t="s">
        <v>619</v>
      </c>
      <c r="M23" s="54" t="s">
        <v>353</v>
      </c>
    </row>
    <row r="24" spans="1:13" ht="15.75" customHeight="1">
      <c r="A24" s="3">
        <v>75</v>
      </c>
      <c r="B24" s="3">
        <v>225</v>
      </c>
      <c r="C24" s="3">
        <v>3</v>
      </c>
      <c r="D24" s="3">
        <v>183</v>
      </c>
      <c r="E24" s="3" t="s">
        <v>56</v>
      </c>
      <c r="F24" s="3" t="s">
        <v>585</v>
      </c>
      <c r="G24" s="4">
        <v>1.2041666666666666</v>
      </c>
      <c r="H24" s="55">
        <v>0.51180555555555551</v>
      </c>
      <c r="I24" s="55">
        <v>0.10277777777777777</v>
      </c>
      <c r="J24" s="55">
        <v>4.9305555555555554E-2</v>
      </c>
      <c r="K24" s="55">
        <v>6.5277777777777782E-2</v>
      </c>
      <c r="L24" s="3" t="s">
        <v>620</v>
      </c>
      <c r="M24" s="54" t="s">
        <v>353</v>
      </c>
    </row>
    <row r="25" spans="1:13" ht="15.75" customHeight="1">
      <c r="A25" s="3">
        <v>75</v>
      </c>
      <c r="B25" s="3">
        <v>225</v>
      </c>
      <c r="C25" s="3">
        <v>3</v>
      </c>
      <c r="D25" s="3">
        <v>183</v>
      </c>
      <c r="E25" s="3" t="s">
        <v>623</v>
      </c>
      <c r="F25" s="3" t="s">
        <v>91</v>
      </c>
      <c r="G25" s="4">
        <v>1.2118055555555556</v>
      </c>
      <c r="H25" s="55">
        <v>0.5180555555555556</v>
      </c>
      <c r="I25" s="55">
        <v>0.10069444444444445</v>
      </c>
      <c r="J25" s="55">
        <v>4.9305555555555554E-2</v>
      </c>
      <c r="K25" s="55">
        <v>6.6666666666666666E-2</v>
      </c>
      <c r="L25" s="3" t="s">
        <v>619</v>
      </c>
      <c r="M25" s="54" t="s">
        <v>353</v>
      </c>
    </row>
    <row r="26" spans="1:13" ht="15.75" customHeight="1">
      <c r="A26" s="3">
        <v>75</v>
      </c>
      <c r="B26" s="3">
        <v>225</v>
      </c>
      <c r="C26" s="3">
        <v>3</v>
      </c>
      <c r="D26" s="3">
        <v>183</v>
      </c>
      <c r="E26" s="3" t="s">
        <v>58</v>
      </c>
      <c r="F26" s="3" t="s">
        <v>91</v>
      </c>
      <c r="G26" s="4">
        <v>1.2124999999999999</v>
      </c>
      <c r="H26" s="55">
        <v>0.5180555555555556</v>
      </c>
      <c r="I26" s="55">
        <v>0.10138888888888889</v>
      </c>
      <c r="J26" s="55">
        <v>0.05</v>
      </c>
      <c r="K26" s="55">
        <v>6.6666666666666666E-2</v>
      </c>
      <c r="L26" s="3" t="s">
        <v>620</v>
      </c>
      <c r="M26" s="54" t="s">
        <v>353</v>
      </c>
    </row>
    <row r="27" spans="1:13" ht="15.75" customHeight="1">
      <c r="A27" s="3">
        <v>83.3</v>
      </c>
      <c r="B27" s="3">
        <v>250</v>
      </c>
      <c r="C27" s="3">
        <v>3</v>
      </c>
      <c r="D27" s="3">
        <v>183</v>
      </c>
      <c r="E27" s="3" t="s">
        <v>16</v>
      </c>
      <c r="F27" s="3" t="s">
        <v>585</v>
      </c>
      <c r="G27" s="4">
        <v>1.2138888888888888</v>
      </c>
      <c r="H27" s="55">
        <v>0.5180555555555556</v>
      </c>
      <c r="I27" s="55">
        <v>0.10208333333333333</v>
      </c>
      <c r="J27" s="55">
        <v>0.05</v>
      </c>
      <c r="K27" s="55">
        <v>6.5972222222222224E-2</v>
      </c>
      <c r="L27" s="3" t="s">
        <v>620</v>
      </c>
      <c r="M27" s="54" t="s">
        <v>353</v>
      </c>
    </row>
    <row r="28" spans="1:13" ht="15.75" customHeight="1">
      <c r="A28" s="3">
        <v>75</v>
      </c>
      <c r="B28" s="3">
        <v>225</v>
      </c>
      <c r="C28" s="3">
        <v>3</v>
      </c>
      <c r="D28" s="3">
        <v>183</v>
      </c>
      <c r="E28" s="3" t="s">
        <v>63</v>
      </c>
      <c r="F28" s="3" t="s">
        <v>91</v>
      </c>
      <c r="G28" s="4">
        <v>1.2145833333333333</v>
      </c>
      <c r="H28" s="55">
        <v>0.51875000000000004</v>
      </c>
      <c r="I28" s="55">
        <v>0.10208333333333333</v>
      </c>
      <c r="J28" s="55">
        <v>4.9305555555555554E-2</v>
      </c>
      <c r="K28" s="55">
        <v>6.6666666666666666E-2</v>
      </c>
      <c r="L28" s="3" t="s">
        <v>619</v>
      </c>
      <c r="M28" s="54" t="s">
        <v>353</v>
      </c>
    </row>
    <row r="29" spans="1:13" ht="15.75" customHeight="1">
      <c r="A29" s="3">
        <v>75</v>
      </c>
      <c r="B29" s="3">
        <v>225</v>
      </c>
      <c r="C29" s="3">
        <v>3</v>
      </c>
      <c r="D29" s="3">
        <v>183</v>
      </c>
      <c r="E29" s="3" t="s">
        <v>75</v>
      </c>
      <c r="F29" s="3" t="s">
        <v>91</v>
      </c>
      <c r="G29" s="4">
        <v>1.2152777777777777</v>
      </c>
      <c r="H29" s="55">
        <v>0.51875000000000004</v>
      </c>
      <c r="I29" s="55">
        <v>0.10208333333333333</v>
      </c>
      <c r="J29" s="55">
        <v>0.05</v>
      </c>
      <c r="K29" s="55">
        <v>6.5972222222222224E-2</v>
      </c>
      <c r="L29" s="3" t="s">
        <v>620</v>
      </c>
      <c r="M29" s="54" t="s">
        <v>353</v>
      </c>
    </row>
    <row r="30" spans="1:13" ht="15.75" customHeight="1">
      <c r="A30" s="3">
        <v>75</v>
      </c>
      <c r="B30" s="3">
        <v>225</v>
      </c>
      <c r="C30" s="3">
        <v>3</v>
      </c>
      <c r="D30" s="3">
        <v>183</v>
      </c>
      <c r="E30" s="3" t="s">
        <v>58</v>
      </c>
      <c r="F30" s="3" t="s">
        <v>624</v>
      </c>
      <c r="G30" s="4">
        <v>1.2159722222222222</v>
      </c>
      <c r="H30" s="55">
        <v>0.51944444444444449</v>
      </c>
      <c r="I30" s="55">
        <v>0.10138888888888889</v>
      </c>
      <c r="J30" s="55">
        <v>0.05</v>
      </c>
      <c r="K30" s="55">
        <v>6.6666666666666666E-2</v>
      </c>
      <c r="L30" s="3" t="s">
        <v>620</v>
      </c>
      <c r="M30" s="54" t="s">
        <v>353</v>
      </c>
    </row>
    <row r="31" spans="1:13" ht="15.75" customHeight="1">
      <c r="A31" s="3">
        <v>75</v>
      </c>
      <c r="B31" s="3">
        <v>225</v>
      </c>
      <c r="C31" s="3">
        <v>3</v>
      </c>
      <c r="D31" s="3">
        <v>168</v>
      </c>
      <c r="E31" s="3" t="s">
        <v>16</v>
      </c>
      <c r="F31" s="3" t="s">
        <v>585</v>
      </c>
      <c r="G31" s="4">
        <v>1.2166666666666666</v>
      </c>
      <c r="H31" s="55">
        <v>0.51944444444444449</v>
      </c>
      <c r="I31" s="55">
        <v>0.10277777777777777</v>
      </c>
      <c r="J31" s="55">
        <v>0.05</v>
      </c>
      <c r="K31" s="55">
        <v>6.5972222222222224E-2</v>
      </c>
      <c r="L31" s="3" t="s">
        <v>620</v>
      </c>
      <c r="M31" s="54" t="s">
        <v>353</v>
      </c>
    </row>
    <row r="32" spans="1:13" ht="15.75" customHeight="1">
      <c r="A32" s="3">
        <v>75</v>
      </c>
      <c r="B32" s="3">
        <v>225</v>
      </c>
      <c r="C32" s="3">
        <v>3</v>
      </c>
      <c r="D32" s="3">
        <v>183</v>
      </c>
      <c r="E32" s="3" t="s">
        <v>19</v>
      </c>
      <c r="F32" s="3" t="s">
        <v>91</v>
      </c>
      <c r="G32" s="4">
        <v>1.2166666666666666</v>
      </c>
      <c r="H32" s="55">
        <v>0.51944444444444449</v>
      </c>
      <c r="I32" s="55">
        <v>0.10277777777777777</v>
      </c>
      <c r="J32" s="55">
        <v>0.05</v>
      </c>
      <c r="K32" s="55">
        <v>6.6666666666666666E-2</v>
      </c>
      <c r="L32" s="3" t="s">
        <v>620</v>
      </c>
      <c r="M32" s="54" t="s">
        <v>353</v>
      </c>
    </row>
    <row r="33" spans="1:13" ht="15.75" customHeight="1">
      <c r="A33" s="3">
        <v>75</v>
      </c>
      <c r="B33" s="3">
        <v>225</v>
      </c>
      <c r="C33" s="3">
        <v>3</v>
      </c>
      <c r="D33" s="3">
        <v>183</v>
      </c>
      <c r="E33" s="3" t="s">
        <v>225</v>
      </c>
      <c r="F33" s="3" t="s">
        <v>91</v>
      </c>
      <c r="G33" s="4">
        <v>1.21875</v>
      </c>
      <c r="H33" s="55">
        <v>0.52083333333333337</v>
      </c>
      <c r="I33" s="55">
        <v>0.10208333333333333</v>
      </c>
      <c r="J33" s="55">
        <v>0.05</v>
      </c>
      <c r="K33" s="55">
        <v>6.6666666666666666E-2</v>
      </c>
      <c r="L33" s="3" t="s">
        <v>620</v>
      </c>
      <c r="M33" s="54" t="s">
        <v>353</v>
      </c>
    </row>
    <row r="34" spans="1:13" ht="15.75" customHeight="1">
      <c r="A34" s="3">
        <v>75</v>
      </c>
      <c r="B34" s="3">
        <v>225</v>
      </c>
      <c r="C34" s="3">
        <v>3</v>
      </c>
      <c r="D34" s="3">
        <v>183</v>
      </c>
      <c r="E34" s="3" t="s">
        <v>205</v>
      </c>
      <c r="F34" s="3" t="s">
        <v>91</v>
      </c>
      <c r="G34" s="4">
        <v>1.2194444444444446</v>
      </c>
      <c r="H34" s="55">
        <v>0.52083333333333337</v>
      </c>
      <c r="I34" s="55">
        <v>0.10208333333333333</v>
      </c>
      <c r="J34" s="55">
        <v>0.05</v>
      </c>
      <c r="K34" s="55">
        <v>6.7361111111111108E-2</v>
      </c>
      <c r="L34" s="3" t="s">
        <v>619</v>
      </c>
      <c r="M34" s="54" t="s">
        <v>353</v>
      </c>
    </row>
    <row r="35" spans="1:13" ht="15.75" customHeight="1">
      <c r="A35" s="3">
        <v>75</v>
      </c>
      <c r="B35" s="3">
        <v>225</v>
      </c>
      <c r="C35" s="3">
        <v>3</v>
      </c>
      <c r="D35" s="3">
        <v>183</v>
      </c>
      <c r="E35" s="3" t="s">
        <v>75</v>
      </c>
      <c r="F35" s="3" t="s">
        <v>139</v>
      </c>
      <c r="G35" s="4">
        <v>1.2222222222222223</v>
      </c>
      <c r="H35" s="55">
        <v>0.52222222222222225</v>
      </c>
      <c r="I35" s="55">
        <v>0.10277777777777777</v>
      </c>
      <c r="J35" s="55">
        <v>0.05</v>
      </c>
      <c r="K35" s="55">
        <v>6.6666666666666666E-2</v>
      </c>
      <c r="L35" s="3" t="s">
        <v>620</v>
      </c>
      <c r="M35" s="54" t="s">
        <v>353</v>
      </c>
    </row>
    <row r="36" spans="1:13" ht="15.75" customHeight="1">
      <c r="A36" s="3">
        <v>75</v>
      </c>
      <c r="B36" s="3">
        <v>225</v>
      </c>
      <c r="C36" s="3">
        <v>3</v>
      </c>
      <c r="D36" s="3">
        <v>183</v>
      </c>
      <c r="E36" s="3" t="s">
        <v>625</v>
      </c>
      <c r="F36" s="3" t="s">
        <v>91</v>
      </c>
      <c r="G36" s="4">
        <v>1.2222222222222223</v>
      </c>
      <c r="H36" s="55">
        <v>0.52152777777777781</v>
      </c>
      <c r="I36" s="55">
        <v>0.10277777777777777</v>
      </c>
      <c r="J36" s="55">
        <v>0.05</v>
      </c>
      <c r="K36" s="55">
        <v>6.6666666666666666E-2</v>
      </c>
      <c r="L36" s="3" t="s">
        <v>620</v>
      </c>
      <c r="M36" s="54" t="s">
        <v>353</v>
      </c>
    </row>
    <row r="37" spans="1:13" ht="15">
      <c r="A37" s="3">
        <v>75</v>
      </c>
      <c r="B37" s="3">
        <v>225</v>
      </c>
      <c r="C37" s="3">
        <v>3</v>
      </c>
      <c r="D37" s="3">
        <v>183</v>
      </c>
      <c r="E37" s="3" t="s">
        <v>16</v>
      </c>
      <c r="F37" s="3" t="s">
        <v>91</v>
      </c>
      <c r="G37" s="4">
        <v>1.2222222222222223</v>
      </c>
      <c r="H37" s="55">
        <v>0.52152777777777781</v>
      </c>
      <c r="I37" s="55">
        <v>0.10277777777777777</v>
      </c>
      <c r="J37" s="55">
        <v>0.05</v>
      </c>
      <c r="K37" s="55">
        <v>6.6666666666666666E-2</v>
      </c>
      <c r="L37" s="3" t="s">
        <v>620</v>
      </c>
      <c r="M37" s="54" t="s">
        <v>353</v>
      </c>
    </row>
    <row r="38" spans="1:13" ht="15">
      <c r="A38" s="3">
        <v>75</v>
      </c>
      <c r="B38" s="3">
        <v>225</v>
      </c>
      <c r="C38" s="3">
        <v>3</v>
      </c>
      <c r="D38" s="3">
        <v>183</v>
      </c>
      <c r="E38" s="3" t="s">
        <v>16</v>
      </c>
      <c r="F38" s="3" t="s">
        <v>624</v>
      </c>
      <c r="G38" s="4">
        <v>1.2250000000000001</v>
      </c>
      <c r="H38" s="55">
        <v>0.5229166666666667</v>
      </c>
      <c r="I38" s="55">
        <v>0.10277777777777777</v>
      </c>
      <c r="J38" s="55">
        <v>0.05</v>
      </c>
      <c r="K38" s="55">
        <v>6.6666666666666666E-2</v>
      </c>
      <c r="L38" s="3" t="s">
        <v>619</v>
      </c>
      <c r="M38" s="54" t="s">
        <v>353</v>
      </c>
    </row>
    <row r="39" spans="1:13" ht="15">
      <c r="A39" s="3">
        <v>75</v>
      </c>
      <c r="B39" s="3">
        <v>225</v>
      </c>
      <c r="C39" s="3">
        <v>3</v>
      </c>
      <c r="D39" s="3">
        <v>183</v>
      </c>
      <c r="E39" s="3" t="s">
        <v>16</v>
      </c>
      <c r="F39" s="3" t="s">
        <v>118</v>
      </c>
      <c r="G39" s="4">
        <v>1.2250000000000001</v>
      </c>
      <c r="H39" s="55">
        <v>0.5229166666666667</v>
      </c>
      <c r="I39" s="55">
        <v>0.10347222222222222</v>
      </c>
      <c r="J39" s="55">
        <v>0.05</v>
      </c>
      <c r="K39" s="55">
        <v>6.6666666666666666E-2</v>
      </c>
      <c r="L39" s="3" t="s">
        <v>620</v>
      </c>
      <c r="M39" s="54" t="s">
        <v>353</v>
      </c>
    </row>
    <row r="40" spans="1:13" ht="15">
      <c r="A40" s="3">
        <v>75</v>
      </c>
      <c r="B40" s="3">
        <v>225</v>
      </c>
      <c r="C40" s="3">
        <v>3</v>
      </c>
      <c r="D40" s="3">
        <v>183</v>
      </c>
      <c r="E40" s="3" t="s">
        <v>623</v>
      </c>
      <c r="F40" s="3" t="s">
        <v>585</v>
      </c>
      <c r="G40" s="4">
        <v>1.2256944444444444</v>
      </c>
      <c r="H40" s="55">
        <v>0.52500000000000002</v>
      </c>
      <c r="I40" s="55">
        <v>0.10138888888888889</v>
      </c>
      <c r="J40" s="55">
        <v>5.0694444444444445E-2</v>
      </c>
      <c r="K40" s="55">
        <v>6.7361111111111108E-2</v>
      </c>
      <c r="L40" s="3" t="s">
        <v>620</v>
      </c>
      <c r="M40" s="54" t="s">
        <v>353</v>
      </c>
    </row>
    <row r="41" spans="1:13" ht="15">
      <c r="A41" s="3">
        <v>75</v>
      </c>
      <c r="B41" s="3">
        <v>225</v>
      </c>
      <c r="C41" s="3">
        <v>3</v>
      </c>
      <c r="D41" s="3">
        <v>183</v>
      </c>
      <c r="E41" s="3" t="s">
        <v>58</v>
      </c>
      <c r="F41" s="3" t="s">
        <v>585</v>
      </c>
      <c r="G41" s="4">
        <v>1.2277777777777779</v>
      </c>
      <c r="H41" s="55">
        <v>0.52500000000000002</v>
      </c>
      <c r="I41" s="55">
        <v>0.10208333333333333</v>
      </c>
      <c r="J41" s="55">
        <v>5.0694444444444445E-2</v>
      </c>
      <c r="K41" s="55">
        <v>6.7361111111111108E-2</v>
      </c>
      <c r="L41" s="3" t="s">
        <v>620</v>
      </c>
      <c r="M41" s="54" t="s">
        <v>353</v>
      </c>
    </row>
    <row r="42" spans="1:13" ht="15">
      <c r="A42" s="3">
        <v>75</v>
      </c>
      <c r="B42" s="3">
        <v>225</v>
      </c>
      <c r="C42" s="3">
        <v>3</v>
      </c>
      <c r="D42" s="3">
        <v>183</v>
      </c>
      <c r="E42" s="3" t="s">
        <v>626</v>
      </c>
      <c r="F42" s="3" t="s">
        <v>351</v>
      </c>
      <c r="G42" s="4">
        <v>1.2291666666666667</v>
      </c>
      <c r="H42" s="55">
        <v>0.52569444444444446</v>
      </c>
      <c r="I42" s="55">
        <v>0.10277777777777777</v>
      </c>
      <c r="J42" s="55">
        <v>5.0694444444444445E-2</v>
      </c>
      <c r="K42" s="55">
        <v>6.7361111111111108E-2</v>
      </c>
      <c r="L42" s="3" t="s">
        <v>619</v>
      </c>
      <c r="M42" s="54" t="s">
        <v>353</v>
      </c>
    </row>
    <row r="43" spans="1:13" ht="15">
      <c r="A43" s="3">
        <v>75</v>
      </c>
      <c r="B43" s="3">
        <v>225</v>
      </c>
      <c r="C43" s="3">
        <v>3</v>
      </c>
      <c r="D43" s="3">
        <v>183</v>
      </c>
      <c r="E43" s="3" t="s">
        <v>16</v>
      </c>
      <c r="F43" s="3" t="s">
        <v>627</v>
      </c>
      <c r="G43" s="4">
        <v>1.2291666666666667</v>
      </c>
      <c r="H43" s="55">
        <v>0.52500000000000002</v>
      </c>
      <c r="I43" s="55">
        <v>0.10277777777777777</v>
      </c>
      <c r="J43" s="55">
        <v>5.0694444444444445E-2</v>
      </c>
      <c r="K43" s="55">
        <v>6.7361111111111108E-2</v>
      </c>
      <c r="L43" s="3" t="s">
        <v>620</v>
      </c>
      <c r="M43" s="54" t="s">
        <v>353</v>
      </c>
    </row>
    <row r="44" spans="1:13" ht="15">
      <c r="A44" s="3">
        <v>75</v>
      </c>
      <c r="B44" s="3">
        <v>225</v>
      </c>
      <c r="C44" s="3">
        <v>3</v>
      </c>
      <c r="D44" s="3">
        <v>183</v>
      </c>
      <c r="E44" s="3" t="s">
        <v>16</v>
      </c>
      <c r="F44" s="3" t="s">
        <v>139</v>
      </c>
      <c r="G44" s="4">
        <v>1.2291666666666667</v>
      </c>
      <c r="H44" s="55">
        <v>0.52430555555555558</v>
      </c>
      <c r="I44" s="55">
        <v>0.10277777777777777</v>
      </c>
      <c r="J44" s="55">
        <v>5.0694444444444445E-2</v>
      </c>
      <c r="K44" s="55">
        <v>6.7361111111111108E-2</v>
      </c>
      <c r="L44" s="3" t="s">
        <v>620</v>
      </c>
      <c r="M44" s="54" t="s">
        <v>353</v>
      </c>
    </row>
    <row r="45" spans="1:13" ht="15">
      <c r="A45" s="3">
        <v>75</v>
      </c>
      <c r="B45" s="3">
        <v>225</v>
      </c>
      <c r="C45" s="3">
        <v>3</v>
      </c>
      <c r="D45" s="3">
        <v>183</v>
      </c>
      <c r="E45" s="3" t="s">
        <v>63</v>
      </c>
      <c r="F45" s="3" t="s">
        <v>585</v>
      </c>
      <c r="G45" s="4">
        <v>1.2298611111111111</v>
      </c>
      <c r="H45" s="55">
        <v>0.52638888888888891</v>
      </c>
      <c r="I45" s="55">
        <v>0.10208333333333333</v>
      </c>
      <c r="J45" s="55">
        <v>5.0694444444444445E-2</v>
      </c>
      <c r="K45" s="55">
        <v>6.7361111111111108E-2</v>
      </c>
      <c r="L45" s="3" t="s">
        <v>620</v>
      </c>
      <c r="M45" s="54" t="s">
        <v>353</v>
      </c>
    </row>
    <row r="46" spans="1:13" ht="15">
      <c r="A46" s="3">
        <v>75</v>
      </c>
      <c r="B46" s="3">
        <v>225</v>
      </c>
      <c r="C46" s="3">
        <v>3</v>
      </c>
      <c r="D46" s="3">
        <v>183</v>
      </c>
      <c r="E46" s="3" t="s">
        <v>75</v>
      </c>
      <c r="F46" s="3" t="s">
        <v>585</v>
      </c>
      <c r="G46" s="4">
        <v>1.2305555555555556</v>
      </c>
      <c r="H46" s="55">
        <v>0.52569444444444446</v>
      </c>
      <c r="I46" s="55">
        <v>0.10277777777777777</v>
      </c>
      <c r="J46" s="55">
        <v>5.0694444444444445E-2</v>
      </c>
      <c r="K46" s="55">
        <v>6.7361111111111108E-2</v>
      </c>
      <c r="L46" s="3" t="s">
        <v>620</v>
      </c>
      <c r="M46" s="54" t="s">
        <v>353</v>
      </c>
    </row>
    <row r="47" spans="1:13" ht="15">
      <c r="A47" s="3">
        <v>75</v>
      </c>
      <c r="B47" s="3">
        <v>225</v>
      </c>
      <c r="C47" s="3">
        <v>3</v>
      </c>
      <c r="D47" s="3">
        <v>183</v>
      </c>
      <c r="E47" s="3" t="s">
        <v>225</v>
      </c>
      <c r="F47" s="3" t="s">
        <v>188</v>
      </c>
      <c r="G47" s="4">
        <v>1.23125</v>
      </c>
      <c r="H47" s="55">
        <v>0.52708333333333335</v>
      </c>
      <c r="I47" s="55">
        <v>0.10138888888888889</v>
      </c>
      <c r="J47" s="55">
        <v>5.0694444444444445E-2</v>
      </c>
      <c r="K47" s="55">
        <v>6.805555555555555E-2</v>
      </c>
      <c r="L47" s="3" t="s">
        <v>620</v>
      </c>
      <c r="M47" s="54" t="s">
        <v>353</v>
      </c>
    </row>
    <row r="48" spans="1:13" ht="15">
      <c r="A48" s="3">
        <v>75</v>
      </c>
      <c r="B48" s="3">
        <v>225</v>
      </c>
      <c r="C48" s="3">
        <v>3</v>
      </c>
      <c r="D48" s="3">
        <v>183</v>
      </c>
      <c r="E48" s="3" t="s">
        <v>16</v>
      </c>
      <c r="F48" s="3" t="s">
        <v>628</v>
      </c>
      <c r="G48" s="4">
        <v>1.2319444444444445</v>
      </c>
      <c r="H48" s="55">
        <v>0.52638888888888891</v>
      </c>
      <c r="I48" s="55">
        <v>0.10277777777777777</v>
      </c>
      <c r="J48" s="55">
        <v>5.1388888888888887E-2</v>
      </c>
      <c r="K48" s="55">
        <v>6.805555555555555E-2</v>
      </c>
      <c r="L48" s="3" t="s">
        <v>619</v>
      </c>
      <c r="M48" s="54" t="s">
        <v>353</v>
      </c>
    </row>
    <row r="49" spans="1:13" ht="15">
      <c r="A49" s="3">
        <v>75</v>
      </c>
      <c r="B49" s="3">
        <v>225</v>
      </c>
      <c r="C49" s="3">
        <v>3</v>
      </c>
      <c r="D49" s="3">
        <v>183</v>
      </c>
      <c r="E49" s="3" t="s">
        <v>19</v>
      </c>
      <c r="F49" s="3" t="s">
        <v>585</v>
      </c>
      <c r="G49" s="4">
        <v>1.2319444444444445</v>
      </c>
      <c r="H49" s="55">
        <v>0.52638888888888891</v>
      </c>
      <c r="I49" s="55">
        <v>0.10277777777777777</v>
      </c>
      <c r="J49" s="55">
        <v>5.1388888888888887E-2</v>
      </c>
      <c r="K49" s="55">
        <v>6.7361111111111108E-2</v>
      </c>
      <c r="L49" s="3" t="s">
        <v>620</v>
      </c>
      <c r="M49" s="54" t="s">
        <v>353</v>
      </c>
    </row>
    <row r="50" spans="1:13" ht="15">
      <c r="A50" s="3">
        <v>75</v>
      </c>
      <c r="B50" s="3">
        <v>225</v>
      </c>
      <c r="C50" s="3">
        <v>3</v>
      </c>
      <c r="D50" s="3">
        <v>183</v>
      </c>
      <c r="E50" s="3" t="s">
        <v>225</v>
      </c>
      <c r="F50" s="3" t="s">
        <v>585</v>
      </c>
      <c r="G50" s="4">
        <v>1.2333333333333334</v>
      </c>
      <c r="H50" s="55">
        <v>0.52777777777777779</v>
      </c>
      <c r="I50" s="55">
        <v>0.10208333333333333</v>
      </c>
      <c r="J50" s="55">
        <v>5.1388888888888887E-2</v>
      </c>
      <c r="K50" s="55">
        <v>6.805555555555555E-2</v>
      </c>
      <c r="L50" s="3" t="s">
        <v>620</v>
      </c>
      <c r="M50" s="54" t="s">
        <v>353</v>
      </c>
    </row>
    <row r="51" spans="1:13" ht="15">
      <c r="A51" s="3">
        <v>75</v>
      </c>
      <c r="B51" s="3">
        <v>225</v>
      </c>
      <c r="C51" s="3">
        <v>3</v>
      </c>
      <c r="D51" s="3">
        <v>183</v>
      </c>
      <c r="E51" s="3" t="s">
        <v>221</v>
      </c>
      <c r="F51" s="3" t="s">
        <v>585</v>
      </c>
      <c r="G51" s="4">
        <v>1.2340277777777777</v>
      </c>
      <c r="H51" s="55">
        <v>0.52847222222222223</v>
      </c>
      <c r="I51" s="55">
        <v>0.10277777777777777</v>
      </c>
      <c r="J51" s="55">
        <v>5.1388888888888887E-2</v>
      </c>
      <c r="K51" s="55">
        <v>6.805555555555555E-2</v>
      </c>
      <c r="L51" s="3" t="s">
        <v>620</v>
      </c>
      <c r="M51" s="54" t="s">
        <v>353</v>
      </c>
    </row>
    <row r="52" spans="1:13" ht="15">
      <c r="A52" s="3">
        <v>75</v>
      </c>
      <c r="B52" s="3">
        <v>225</v>
      </c>
      <c r="C52" s="3">
        <v>3</v>
      </c>
      <c r="D52" s="3">
        <v>183</v>
      </c>
      <c r="E52" s="3" t="s">
        <v>16</v>
      </c>
      <c r="F52" s="3" t="s">
        <v>188</v>
      </c>
      <c r="G52" s="4">
        <v>1.2340277777777777</v>
      </c>
      <c r="H52" s="55">
        <v>0.52777777777777779</v>
      </c>
      <c r="I52" s="55">
        <v>0.10277777777777777</v>
      </c>
      <c r="J52" s="55">
        <v>5.1388888888888887E-2</v>
      </c>
      <c r="K52" s="55">
        <v>6.7361111111111108E-2</v>
      </c>
      <c r="L52" s="3" t="s">
        <v>620</v>
      </c>
      <c r="M52" s="54" t="s">
        <v>353</v>
      </c>
    </row>
    <row r="53" spans="1:13" ht="15">
      <c r="A53" s="3">
        <v>75</v>
      </c>
      <c r="B53" s="3">
        <v>225</v>
      </c>
      <c r="C53" s="3">
        <v>3</v>
      </c>
      <c r="D53" s="3">
        <v>183</v>
      </c>
      <c r="E53" s="3" t="s">
        <v>205</v>
      </c>
      <c r="F53" s="3" t="s">
        <v>585</v>
      </c>
      <c r="G53" s="4">
        <v>1.2347222222222223</v>
      </c>
      <c r="H53" s="55">
        <v>0.52777777777777779</v>
      </c>
      <c r="I53" s="55">
        <v>0.10208333333333333</v>
      </c>
      <c r="J53" s="55">
        <v>5.1388888888888887E-2</v>
      </c>
      <c r="K53" s="55">
        <v>6.7361111111111108E-2</v>
      </c>
      <c r="L53" s="3" t="s">
        <v>620</v>
      </c>
      <c r="M53" s="54" t="s">
        <v>353</v>
      </c>
    </row>
    <row r="54" spans="1:13" ht="15">
      <c r="A54" s="3">
        <v>75</v>
      </c>
      <c r="B54" s="3">
        <v>225</v>
      </c>
      <c r="C54" s="3">
        <v>3</v>
      </c>
      <c r="D54" s="3">
        <v>183</v>
      </c>
      <c r="E54" s="3" t="s">
        <v>629</v>
      </c>
      <c r="F54" s="3" t="s">
        <v>253</v>
      </c>
      <c r="G54" s="4">
        <v>1.2347222222222223</v>
      </c>
      <c r="H54" s="55">
        <v>0.52777777777777779</v>
      </c>
      <c r="I54" s="55">
        <v>0.10208333333333333</v>
      </c>
      <c r="J54" s="55">
        <v>5.0694444444444445E-2</v>
      </c>
      <c r="K54" s="55">
        <v>6.805555555555555E-2</v>
      </c>
      <c r="L54" s="3" t="s">
        <v>620</v>
      </c>
      <c r="M54" s="54" t="s">
        <v>353</v>
      </c>
    </row>
    <row r="55" spans="1:13" ht="15">
      <c r="A55" s="3">
        <v>75</v>
      </c>
      <c r="B55" s="3">
        <v>225</v>
      </c>
      <c r="C55" s="3">
        <v>3</v>
      </c>
      <c r="D55" s="3">
        <v>183</v>
      </c>
      <c r="E55" s="3" t="s">
        <v>199</v>
      </c>
      <c r="F55" s="3" t="s">
        <v>585</v>
      </c>
      <c r="G55" s="4">
        <v>1.2354166666666666</v>
      </c>
      <c r="H55" s="55">
        <v>0.52847222222222223</v>
      </c>
      <c r="I55" s="55">
        <v>0.10277777777777777</v>
      </c>
      <c r="J55" s="55">
        <v>5.1388888888888887E-2</v>
      </c>
      <c r="K55" s="55">
        <v>6.805555555555555E-2</v>
      </c>
      <c r="L55" s="3" t="s">
        <v>620</v>
      </c>
      <c r="M55" s="54" t="s">
        <v>353</v>
      </c>
    </row>
    <row r="56" spans="1:13" ht="15">
      <c r="A56" s="3">
        <v>75</v>
      </c>
      <c r="B56" s="3">
        <v>225</v>
      </c>
      <c r="C56" s="3">
        <v>3</v>
      </c>
      <c r="D56" s="3">
        <v>183</v>
      </c>
      <c r="E56" s="3" t="s">
        <v>16</v>
      </c>
      <c r="F56" s="3" t="s">
        <v>585</v>
      </c>
      <c r="G56" s="4">
        <v>1.2354166666666666</v>
      </c>
      <c r="H56" s="55">
        <v>0.52847222222222223</v>
      </c>
      <c r="I56" s="55">
        <v>0.10347222222222222</v>
      </c>
      <c r="J56" s="55">
        <v>5.1388888888888887E-2</v>
      </c>
      <c r="K56" s="55">
        <v>6.805555555555555E-2</v>
      </c>
      <c r="L56" s="3" t="s">
        <v>620</v>
      </c>
      <c r="M56" s="54" t="s">
        <v>353</v>
      </c>
    </row>
    <row r="57" spans="1:13" ht="15">
      <c r="A57" s="3">
        <v>75</v>
      </c>
      <c r="B57" s="3">
        <v>225</v>
      </c>
      <c r="C57" s="3">
        <v>3</v>
      </c>
      <c r="D57" s="3">
        <v>183</v>
      </c>
      <c r="E57" s="3" t="s">
        <v>264</v>
      </c>
      <c r="F57" s="3" t="s">
        <v>585</v>
      </c>
      <c r="G57" s="4">
        <v>1.2354166666666666</v>
      </c>
      <c r="H57" s="55">
        <v>0.52847222222222223</v>
      </c>
      <c r="I57" s="55">
        <v>0.10277777777777777</v>
      </c>
      <c r="J57" s="55">
        <v>5.1388888888888887E-2</v>
      </c>
      <c r="K57" s="55">
        <v>6.805555555555555E-2</v>
      </c>
      <c r="L57" s="3" t="s">
        <v>620</v>
      </c>
      <c r="M57" s="54" t="s">
        <v>353</v>
      </c>
    </row>
    <row r="58" spans="1:13" ht="15">
      <c r="A58" s="3">
        <v>75</v>
      </c>
      <c r="B58" s="3">
        <v>225</v>
      </c>
      <c r="C58" s="3">
        <v>3</v>
      </c>
      <c r="D58" s="3">
        <v>183</v>
      </c>
      <c r="E58" s="3" t="s">
        <v>625</v>
      </c>
      <c r="F58" s="3" t="s">
        <v>585</v>
      </c>
      <c r="G58" s="4">
        <v>1.2368055555555555</v>
      </c>
      <c r="H58" s="55">
        <v>0.52847222222222223</v>
      </c>
      <c r="I58" s="55">
        <v>0.10347222222222222</v>
      </c>
      <c r="J58" s="55">
        <v>5.1388888888888887E-2</v>
      </c>
      <c r="K58" s="55">
        <v>6.805555555555555E-2</v>
      </c>
      <c r="L58" s="3" t="s">
        <v>620</v>
      </c>
      <c r="M58" s="54" t="s">
        <v>353</v>
      </c>
    </row>
    <row r="59" spans="1:13" ht="15">
      <c r="A59" s="3">
        <v>75</v>
      </c>
      <c r="B59" s="3">
        <v>225</v>
      </c>
      <c r="C59" s="3">
        <v>3</v>
      </c>
      <c r="D59" s="3">
        <v>183</v>
      </c>
      <c r="E59" s="3" t="s">
        <v>552</v>
      </c>
      <c r="F59" s="3" t="s">
        <v>585</v>
      </c>
      <c r="G59" s="4">
        <v>1.2375</v>
      </c>
      <c r="H59" s="55">
        <v>0.52847222222222223</v>
      </c>
      <c r="I59" s="55">
        <v>0.10416666666666667</v>
      </c>
      <c r="J59" s="55">
        <v>5.1388888888888887E-2</v>
      </c>
      <c r="K59" s="55">
        <v>6.805555555555555E-2</v>
      </c>
      <c r="L59" s="3" t="s">
        <v>620</v>
      </c>
      <c r="M59" s="54" t="s">
        <v>353</v>
      </c>
    </row>
    <row r="60" spans="1:13" ht="15">
      <c r="A60" s="3">
        <v>75</v>
      </c>
      <c r="B60" s="3">
        <v>225</v>
      </c>
      <c r="C60" s="3">
        <v>3</v>
      </c>
      <c r="D60" s="3">
        <v>183</v>
      </c>
      <c r="E60" s="3" t="s">
        <v>16</v>
      </c>
      <c r="F60" s="3" t="s">
        <v>551</v>
      </c>
      <c r="G60" s="4">
        <v>1.2388888888888889</v>
      </c>
      <c r="H60" s="55">
        <v>0.52986111111111112</v>
      </c>
      <c r="I60" s="55">
        <v>0.10347222222222222</v>
      </c>
      <c r="J60" s="55">
        <v>5.2083333333333336E-2</v>
      </c>
      <c r="K60" s="55">
        <v>6.805555555555555E-2</v>
      </c>
      <c r="L60" s="3" t="s">
        <v>620</v>
      </c>
      <c r="M60" s="54" t="s">
        <v>353</v>
      </c>
    </row>
    <row r="61" spans="1:13" ht="15">
      <c r="A61" s="3">
        <v>75</v>
      </c>
      <c r="B61" s="3">
        <v>225</v>
      </c>
      <c r="C61" s="3">
        <v>3</v>
      </c>
      <c r="D61" s="3">
        <v>183</v>
      </c>
      <c r="E61" s="3" t="s">
        <v>306</v>
      </c>
      <c r="F61" s="3" t="s">
        <v>585</v>
      </c>
      <c r="G61" s="4">
        <v>1.2395833333333333</v>
      </c>
      <c r="H61" s="55">
        <v>0.52847222222222223</v>
      </c>
      <c r="I61" s="55">
        <v>0.10416666666666667</v>
      </c>
      <c r="J61" s="55">
        <v>5.1388888888888887E-2</v>
      </c>
      <c r="K61" s="55">
        <v>6.805555555555555E-2</v>
      </c>
      <c r="L61" s="3" t="s">
        <v>620</v>
      </c>
      <c r="M61" s="54" t="s">
        <v>353</v>
      </c>
    </row>
    <row r="62" spans="1:13" ht="15">
      <c r="A62" s="3">
        <v>100</v>
      </c>
      <c r="B62" s="3">
        <v>250</v>
      </c>
      <c r="C62" s="3">
        <v>2.5</v>
      </c>
      <c r="D62" s="3">
        <v>183</v>
      </c>
      <c r="E62" s="3" t="s">
        <v>16</v>
      </c>
      <c r="F62" s="3" t="s">
        <v>585</v>
      </c>
      <c r="G62" s="4">
        <v>1.28125</v>
      </c>
      <c r="H62" s="55">
        <v>0.53402777777777777</v>
      </c>
      <c r="I62" s="55">
        <v>0.11805555555555555</v>
      </c>
      <c r="J62" s="55">
        <v>5.6250000000000001E-2</v>
      </c>
      <c r="K62" s="55">
        <v>6.6666666666666666E-2</v>
      </c>
      <c r="L62" s="3" t="s">
        <v>619</v>
      </c>
      <c r="M62" s="54" t="s">
        <v>353</v>
      </c>
    </row>
    <row r="63" spans="1:13" ht="15">
      <c r="A63" s="3">
        <v>50</v>
      </c>
      <c r="B63" s="3">
        <v>150</v>
      </c>
      <c r="C63" s="3">
        <v>3</v>
      </c>
      <c r="D63" s="3">
        <v>153</v>
      </c>
      <c r="E63" s="3" t="s">
        <v>16</v>
      </c>
      <c r="F63" s="3" t="s">
        <v>585</v>
      </c>
      <c r="G63" s="4">
        <v>1.2875000000000001</v>
      </c>
      <c r="H63" s="55">
        <v>0.54861111111111116</v>
      </c>
      <c r="I63" s="55">
        <v>0.10902777777777778</v>
      </c>
      <c r="J63" s="55">
        <v>5.5555555555555552E-2</v>
      </c>
      <c r="K63" s="55">
        <v>7.013888888888889E-2</v>
      </c>
      <c r="L63" s="3" t="s">
        <v>620</v>
      </c>
      <c r="M63" s="54" t="s">
        <v>353</v>
      </c>
    </row>
    <row r="64" spans="1:13" ht="15">
      <c r="A64" s="3">
        <v>37.5</v>
      </c>
      <c r="B64" s="3">
        <v>150</v>
      </c>
      <c r="C64" s="3">
        <v>4</v>
      </c>
      <c r="D64" s="3">
        <v>183</v>
      </c>
      <c r="E64" s="3" t="s">
        <v>16</v>
      </c>
      <c r="F64" s="3" t="s">
        <v>585</v>
      </c>
      <c r="G64" s="4">
        <v>1.2930555555555556</v>
      </c>
      <c r="H64" s="55">
        <v>0.55833333333333335</v>
      </c>
      <c r="I64" s="55">
        <v>0.10138888888888889</v>
      </c>
      <c r="J64" s="55">
        <v>5.4166666666666669E-2</v>
      </c>
      <c r="K64" s="55">
        <v>7.2222222222222215E-2</v>
      </c>
      <c r="L64" s="3" t="s">
        <v>630</v>
      </c>
      <c r="M64" s="54" t="s">
        <v>353</v>
      </c>
    </row>
    <row r="65" spans="1:13" ht="15">
      <c r="A65" s="3">
        <v>75</v>
      </c>
      <c r="B65" s="3">
        <v>200</v>
      </c>
      <c r="C65" s="3">
        <v>2.67</v>
      </c>
      <c r="D65" s="3">
        <v>183</v>
      </c>
      <c r="E65" s="3" t="s">
        <v>16</v>
      </c>
      <c r="F65" s="3" t="s">
        <v>585</v>
      </c>
      <c r="G65" s="4">
        <v>1.3090277777777777</v>
      </c>
      <c r="H65" s="55">
        <v>0.55277777777777781</v>
      </c>
      <c r="I65" s="55">
        <v>0.11527777777777778</v>
      </c>
      <c r="J65" s="55">
        <v>5.7638888888888892E-2</v>
      </c>
      <c r="K65" s="55">
        <v>6.9444444444444448E-2</v>
      </c>
      <c r="L65" s="3" t="s">
        <v>620</v>
      </c>
      <c r="M65" s="54" t="s">
        <v>353</v>
      </c>
    </row>
    <row r="66" spans="1:13" ht="15">
      <c r="A66" s="3">
        <v>50</v>
      </c>
      <c r="B66" s="3">
        <v>150</v>
      </c>
      <c r="C66" s="3">
        <v>3</v>
      </c>
      <c r="D66" s="3">
        <v>168</v>
      </c>
      <c r="E66" s="3" t="s">
        <v>16</v>
      </c>
      <c r="F66" s="3" t="s">
        <v>585</v>
      </c>
      <c r="G66" s="4">
        <v>1.3104166666666666</v>
      </c>
      <c r="H66" s="55">
        <v>0.55902777777777779</v>
      </c>
      <c r="I66" s="55">
        <v>0.10902777777777778</v>
      </c>
      <c r="J66" s="55">
        <v>5.6250000000000001E-2</v>
      </c>
      <c r="K66" s="55">
        <v>7.1527777777777773E-2</v>
      </c>
      <c r="L66" s="3" t="s">
        <v>630</v>
      </c>
      <c r="M66" s="54" t="s">
        <v>353</v>
      </c>
    </row>
    <row r="67" spans="1:13" ht="15">
      <c r="A67" s="3">
        <v>50</v>
      </c>
      <c r="B67" s="3">
        <v>150</v>
      </c>
      <c r="C67" s="3">
        <v>3</v>
      </c>
      <c r="D67" s="3">
        <v>183</v>
      </c>
      <c r="E67" s="3" t="s">
        <v>16</v>
      </c>
      <c r="F67" s="3" t="s">
        <v>585</v>
      </c>
      <c r="G67" s="4">
        <v>1.33125</v>
      </c>
      <c r="H67" s="55">
        <v>0.56874999999999998</v>
      </c>
      <c r="I67" s="55">
        <v>0.10972222222222222</v>
      </c>
      <c r="J67" s="55">
        <v>5.7638888888888892E-2</v>
      </c>
      <c r="K67" s="55">
        <v>7.2916666666666671E-2</v>
      </c>
      <c r="L67" s="3" t="s">
        <v>631</v>
      </c>
      <c r="M67" s="54" t="s">
        <v>353</v>
      </c>
    </row>
    <row r="68" spans="1:13" ht="15">
      <c r="A68" s="3">
        <v>125</v>
      </c>
      <c r="B68" s="3">
        <v>250</v>
      </c>
      <c r="C68" s="3">
        <v>2</v>
      </c>
      <c r="D68" s="3">
        <v>183</v>
      </c>
      <c r="E68" s="3" t="s">
        <v>16</v>
      </c>
      <c r="F68" s="3" t="s">
        <v>585</v>
      </c>
      <c r="G68" s="4">
        <v>1.3868055555555556</v>
      </c>
      <c r="H68" s="55">
        <v>0.56388888888888888</v>
      </c>
      <c r="I68" s="55">
        <v>0.14374999999999999</v>
      </c>
      <c r="J68" s="55">
        <v>6.5972222222222224E-2</v>
      </c>
      <c r="K68" s="55">
        <v>6.7361111111111108E-2</v>
      </c>
      <c r="L68" s="3" t="s">
        <v>620</v>
      </c>
      <c r="M68" s="54" t="s">
        <v>353</v>
      </c>
    </row>
    <row r="69" spans="1:13" ht="15">
      <c r="A69" s="3">
        <v>100</v>
      </c>
      <c r="B69" s="3">
        <v>200</v>
      </c>
      <c r="C69" s="3">
        <v>2</v>
      </c>
      <c r="D69" s="3">
        <v>183</v>
      </c>
      <c r="E69" s="3" t="s">
        <v>19</v>
      </c>
      <c r="F69" s="3" t="s">
        <v>91</v>
      </c>
      <c r="G69" s="4">
        <v>1.4208333333333334</v>
      </c>
      <c r="H69" s="55">
        <v>0.57847222222222228</v>
      </c>
      <c r="I69" s="55">
        <v>0.14722222222222223</v>
      </c>
      <c r="J69" s="55">
        <v>6.8750000000000006E-2</v>
      </c>
      <c r="K69" s="55">
        <v>6.8750000000000006E-2</v>
      </c>
      <c r="L69" s="3" t="s">
        <v>630</v>
      </c>
      <c r="M69" s="54" t="s">
        <v>353</v>
      </c>
    </row>
    <row r="70" spans="1:13" ht="15">
      <c r="A70" s="3">
        <v>100</v>
      </c>
      <c r="B70" s="3">
        <v>200</v>
      </c>
      <c r="C70" s="3">
        <v>2</v>
      </c>
      <c r="D70" s="3">
        <v>183</v>
      </c>
      <c r="E70" s="3" t="s">
        <v>16</v>
      </c>
      <c r="F70" s="3" t="s">
        <v>585</v>
      </c>
      <c r="G70" s="4">
        <v>1.4409722222222223</v>
      </c>
      <c r="H70" s="55">
        <v>0.58680555555555558</v>
      </c>
      <c r="I70" s="55">
        <v>0.14791666666666667</v>
      </c>
      <c r="J70" s="55">
        <v>7.0833333333333331E-2</v>
      </c>
      <c r="K70" s="55">
        <v>7.013888888888889E-2</v>
      </c>
      <c r="L70" s="3" t="s">
        <v>630</v>
      </c>
      <c r="M70" s="54" t="s">
        <v>353</v>
      </c>
    </row>
    <row r="71" spans="1:13" ht="15">
      <c r="A71" s="3">
        <v>75</v>
      </c>
      <c r="B71" s="3">
        <v>150</v>
      </c>
      <c r="C71" s="3">
        <v>2</v>
      </c>
      <c r="D71" s="3">
        <v>183</v>
      </c>
      <c r="E71" s="3" t="s">
        <v>19</v>
      </c>
      <c r="F71" s="3" t="s">
        <v>91</v>
      </c>
      <c r="G71" s="4">
        <v>1.4916666666666667</v>
      </c>
      <c r="H71" s="55">
        <v>0.60763888888888884</v>
      </c>
      <c r="I71" s="55">
        <v>0.15208333333333332</v>
      </c>
      <c r="J71" s="55">
        <v>7.4999999999999997E-2</v>
      </c>
      <c r="K71" s="55">
        <v>7.2222222222222215E-2</v>
      </c>
      <c r="L71" s="3" t="s">
        <v>630</v>
      </c>
      <c r="M71" s="54" t="s">
        <v>353</v>
      </c>
    </row>
    <row r="72" spans="1:13" ht="15">
      <c r="A72" s="3">
        <v>75</v>
      </c>
      <c r="B72" s="3">
        <v>150</v>
      </c>
      <c r="C72" s="3">
        <v>2</v>
      </c>
      <c r="D72" s="3">
        <v>183</v>
      </c>
      <c r="E72" s="3" t="s">
        <v>16</v>
      </c>
      <c r="F72" s="3" t="s">
        <v>585</v>
      </c>
      <c r="G72" s="4">
        <v>1.5145833333333334</v>
      </c>
      <c r="H72" s="55">
        <v>0.61805555555555558</v>
      </c>
      <c r="I72" s="55">
        <v>0.15347222222222223</v>
      </c>
      <c r="J72" s="55">
        <v>7.7083333333333337E-2</v>
      </c>
      <c r="K72" s="55">
        <v>7.3611111111111113E-2</v>
      </c>
      <c r="L72" s="3" t="s">
        <v>631</v>
      </c>
      <c r="M72" s="54" t="s">
        <v>353</v>
      </c>
    </row>
    <row r="73" spans="1:13" ht="15">
      <c r="A73" s="3">
        <v>100</v>
      </c>
      <c r="B73" s="3">
        <v>150</v>
      </c>
      <c r="C73" s="3">
        <v>1.5</v>
      </c>
      <c r="D73" s="3">
        <v>183</v>
      </c>
      <c r="E73" s="3" t="s">
        <v>16</v>
      </c>
      <c r="F73" s="3" t="s">
        <v>585</v>
      </c>
      <c r="G73" s="4">
        <v>1.6868055555555554</v>
      </c>
      <c r="H73" s="55">
        <v>0.65972222222222221</v>
      </c>
      <c r="I73" s="55">
        <v>0.19722222222222222</v>
      </c>
      <c r="J73" s="55">
        <v>9.5138888888888884E-2</v>
      </c>
      <c r="K73" s="55">
        <v>7.3611111111111113E-2</v>
      </c>
      <c r="L73" s="3" t="s">
        <v>631</v>
      </c>
      <c r="M73" s="54" t="s">
        <v>353</v>
      </c>
    </row>
    <row r="74" spans="1:13" ht="15">
      <c r="A74" s="3"/>
      <c r="B74" s="3"/>
      <c r="C74" s="3"/>
      <c r="D74" s="3"/>
      <c r="E74" s="3"/>
      <c r="F74" s="3"/>
      <c r="G74" s="4"/>
      <c r="H74" s="55"/>
      <c r="I74" s="55"/>
      <c r="J74" s="55"/>
      <c r="K74" s="55"/>
      <c r="L74" s="3"/>
      <c r="M74" s="48"/>
    </row>
  </sheetData>
  <autoFilter ref="A1:M74" xr:uid="{00000000-0009-0000-0000-000012000000}"/>
  <customSheetViews>
    <customSheetView guid="{5B966157-D76D-4ACD-A64E-35B71110F4A8}" filter="1" showAutoFilter="1">
      <pageMargins left="0.7" right="0.7" top="0.75" bottom="0.75" header="0.3" footer="0.3"/>
      <autoFilter ref="A1:M73" xr:uid="{74031B4C-D390-4A4E-95F4-0DB98C0B70A4}">
        <filterColumn colId="0">
          <filters>
            <filter val="75"/>
          </filters>
        </filterColumn>
        <filterColumn colId="1">
          <filters>
            <filter val="225"/>
          </filters>
        </filterColumn>
        <filterColumn colId="3">
          <filters>
            <filter val="183"/>
          </filters>
        </filterColumn>
        <filterColumn colId="4">
          <filters>
            <filter val="Buffalo Fahrrad"/>
            <filter val="Pinarello F8"/>
            <filter val="Specialized Allez"/>
            <filter val="Specialized Shiv 2019"/>
            <filter val="Specialized Tarmac"/>
            <filter val="Trek Emonda"/>
            <filter val="Zwift Carbon"/>
            <filter val="Zwift Steel"/>
            <filter val="Zwift TT"/>
          </filters>
        </filterColumn>
        <filterColumn colId="5">
          <filters>
            <filter val="32mm carbon"/>
            <filter val="Shiv"/>
            <filter val="Tron"/>
            <filter val="Zwift Safety"/>
          </filters>
        </filterColumn>
      </autoFilter>
    </customSheetView>
  </customSheetViews>
  <hyperlinks>
    <hyperlink ref="M2" r:id="rId1" xr:uid="{00000000-0004-0000-1200-000000000000}"/>
    <hyperlink ref="M3" r:id="rId2" xr:uid="{00000000-0004-0000-1200-000001000000}"/>
    <hyperlink ref="M4" r:id="rId3" xr:uid="{00000000-0004-0000-1200-000002000000}"/>
    <hyperlink ref="M5" r:id="rId4" xr:uid="{00000000-0004-0000-1200-000003000000}"/>
    <hyperlink ref="M6" r:id="rId5" xr:uid="{00000000-0004-0000-1200-000004000000}"/>
    <hyperlink ref="M7" r:id="rId6" xr:uid="{00000000-0004-0000-1200-000005000000}"/>
    <hyperlink ref="M8" r:id="rId7" xr:uid="{00000000-0004-0000-1200-000006000000}"/>
    <hyperlink ref="M9" r:id="rId8" xr:uid="{00000000-0004-0000-1200-000007000000}"/>
    <hyperlink ref="M10" r:id="rId9" xr:uid="{00000000-0004-0000-1200-000008000000}"/>
    <hyperlink ref="M11" r:id="rId10" xr:uid="{00000000-0004-0000-1200-000009000000}"/>
    <hyperlink ref="M12" r:id="rId11" xr:uid="{00000000-0004-0000-1200-00000A000000}"/>
    <hyperlink ref="M13" r:id="rId12" xr:uid="{00000000-0004-0000-1200-00000B000000}"/>
    <hyperlink ref="M14" r:id="rId13" xr:uid="{00000000-0004-0000-1200-00000C000000}"/>
    <hyperlink ref="M15" r:id="rId14" xr:uid="{00000000-0004-0000-1200-00000D000000}"/>
    <hyperlink ref="M16" r:id="rId15" xr:uid="{00000000-0004-0000-1200-00000E000000}"/>
    <hyperlink ref="M17" r:id="rId16" xr:uid="{00000000-0004-0000-1200-00000F000000}"/>
    <hyperlink ref="M18" r:id="rId17" xr:uid="{00000000-0004-0000-1200-000010000000}"/>
    <hyperlink ref="M19" r:id="rId18" xr:uid="{00000000-0004-0000-1200-000011000000}"/>
    <hyperlink ref="M20" r:id="rId19" xr:uid="{00000000-0004-0000-1200-000012000000}"/>
    <hyperlink ref="M21" r:id="rId20" xr:uid="{00000000-0004-0000-1200-000013000000}"/>
    <hyperlink ref="M23" r:id="rId21" xr:uid="{00000000-0004-0000-1200-000014000000}"/>
    <hyperlink ref="M24" r:id="rId22" xr:uid="{00000000-0004-0000-1200-000015000000}"/>
    <hyperlink ref="M25" r:id="rId23" xr:uid="{00000000-0004-0000-1200-000016000000}"/>
    <hyperlink ref="M26" r:id="rId24" xr:uid="{00000000-0004-0000-1200-000017000000}"/>
    <hyperlink ref="M27" r:id="rId25" xr:uid="{00000000-0004-0000-1200-000018000000}"/>
    <hyperlink ref="M28" r:id="rId26" xr:uid="{00000000-0004-0000-1200-000019000000}"/>
    <hyperlink ref="M29" r:id="rId27" xr:uid="{00000000-0004-0000-1200-00001A000000}"/>
    <hyperlink ref="M30" r:id="rId28" xr:uid="{00000000-0004-0000-1200-00001B000000}"/>
    <hyperlink ref="M31" r:id="rId29" xr:uid="{00000000-0004-0000-1200-00001C000000}"/>
    <hyperlink ref="M32" r:id="rId30" xr:uid="{00000000-0004-0000-1200-00001D000000}"/>
    <hyperlink ref="M33" r:id="rId31" xr:uid="{00000000-0004-0000-1200-00001E000000}"/>
    <hyperlink ref="M34" r:id="rId32" xr:uid="{00000000-0004-0000-1200-00001F000000}"/>
    <hyperlink ref="M35" r:id="rId33" xr:uid="{00000000-0004-0000-1200-000020000000}"/>
    <hyperlink ref="M36" r:id="rId34" xr:uid="{00000000-0004-0000-1200-000021000000}"/>
    <hyperlink ref="M37" r:id="rId35" xr:uid="{00000000-0004-0000-1200-000022000000}"/>
    <hyperlink ref="M38" r:id="rId36" xr:uid="{00000000-0004-0000-1200-000023000000}"/>
    <hyperlink ref="M39" r:id="rId37" xr:uid="{00000000-0004-0000-1200-000024000000}"/>
    <hyperlink ref="M40" r:id="rId38" xr:uid="{00000000-0004-0000-1200-000025000000}"/>
    <hyperlink ref="M41" r:id="rId39" xr:uid="{00000000-0004-0000-1200-000026000000}"/>
    <hyperlink ref="M42" r:id="rId40" xr:uid="{00000000-0004-0000-1200-000027000000}"/>
    <hyperlink ref="M43" r:id="rId41" xr:uid="{00000000-0004-0000-1200-000028000000}"/>
    <hyperlink ref="M44" r:id="rId42" xr:uid="{00000000-0004-0000-1200-000029000000}"/>
    <hyperlink ref="M45" r:id="rId43" xr:uid="{00000000-0004-0000-1200-00002A000000}"/>
    <hyperlink ref="M46" r:id="rId44" xr:uid="{00000000-0004-0000-1200-00002B000000}"/>
    <hyperlink ref="M47" r:id="rId45" xr:uid="{00000000-0004-0000-1200-00002C000000}"/>
    <hyperlink ref="M48" r:id="rId46" xr:uid="{00000000-0004-0000-1200-00002D000000}"/>
    <hyperlink ref="M49" r:id="rId47" xr:uid="{00000000-0004-0000-1200-00002E000000}"/>
    <hyperlink ref="M50" r:id="rId48" xr:uid="{00000000-0004-0000-1200-00002F000000}"/>
    <hyperlink ref="M51" r:id="rId49" xr:uid="{00000000-0004-0000-1200-000030000000}"/>
    <hyperlink ref="M52" r:id="rId50" xr:uid="{00000000-0004-0000-1200-000031000000}"/>
    <hyperlink ref="M53" r:id="rId51" xr:uid="{00000000-0004-0000-1200-000032000000}"/>
    <hyperlink ref="M54" r:id="rId52" xr:uid="{00000000-0004-0000-1200-000033000000}"/>
    <hyperlink ref="M55" r:id="rId53" xr:uid="{00000000-0004-0000-1200-000034000000}"/>
    <hyperlink ref="M56" r:id="rId54" xr:uid="{00000000-0004-0000-1200-000035000000}"/>
    <hyperlink ref="M57" r:id="rId55" xr:uid="{00000000-0004-0000-1200-000036000000}"/>
    <hyperlink ref="M58" r:id="rId56" xr:uid="{00000000-0004-0000-1200-000037000000}"/>
    <hyperlink ref="M59" r:id="rId57" xr:uid="{00000000-0004-0000-1200-000038000000}"/>
    <hyperlink ref="M60" r:id="rId58" xr:uid="{00000000-0004-0000-1200-000039000000}"/>
    <hyperlink ref="M61" r:id="rId59" xr:uid="{00000000-0004-0000-1200-00003A000000}"/>
    <hyperlink ref="M62" r:id="rId60" xr:uid="{00000000-0004-0000-1200-00003B000000}"/>
    <hyperlink ref="M63" r:id="rId61" xr:uid="{00000000-0004-0000-1200-00003C000000}"/>
    <hyperlink ref="M64" r:id="rId62" xr:uid="{00000000-0004-0000-1200-00003D000000}"/>
    <hyperlink ref="M65" r:id="rId63" xr:uid="{00000000-0004-0000-1200-00003E000000}"/>
    <hyperlink ref="M66" r:id="rId64" xr:uid="{00000000-0004-0000-1200-00003F000000}"/>
    <hyperlink ref="M67" r:id="rId65" xr:uid="{00000000-0004-0000-1200-000040000000}"/>
    <hyperlink ref="M68" r:id="rId66" xr:uid="{00000000-0004-0000-1200-000041000000}"/>
    <hyperlink ref="M69" r:id="rId67" xr:uid="{00000000-0004-0000-1200-000042000000}"/>
    <hyperlink ref="M70" r:id="rId68" xr:uid="{00000000-0004-0000-1200-000043000000}"/>
    <hyperlink ref="M71" r:id="rId69" xr:uid="{00000000-0004-0000-1200-000044000000}"/>
    <hyperlink ref="M72" r:id="rId70" xr:uid="{00000000-0004-0000-1200-000045000000}"/>
    <hyperlink ref="M73" r:id="rId71" xr:uid="{00000000-0004-0000-1200-00004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  <col min="6" max="7" width="16.7109375" customWidth="1"/>
    <col min="10" max="10" width="20.42578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2"/>
    </row>
    <row r="2" spans="1:22" ht="15.75" customHeight="1">
      <c r="A2" s="3">
        <v>90</v>
      </c>
      <c r="B2" s="3">
        <v>360</v>
      </c>
      <c r="C2" s="3">
        <f t="shared" ref="C2:C202" si="0">B2/A2</f>
        <v>4</v>
      </c>
      <c r="D2" s="3">
        <v>183</v>
      </c>
      <c r="E2" s="3" t="s">
        <v>94</v>
      </c>
      <c r="F2" s="3" t="s">
        <v>10</v>
      </c>
      <c r="G2" s="3" t="s">
        <v>133</v>
      </c>
      <c r="H2" s="4">
        <v>3.3310185185185186E-2</v>
      </c>
      <c r="I2" s="7"/>
      <c r="J2" s="23" t="s">
        <v>311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94</v>
      </c>
      <c r="F3" s="3" t="s">
        <v>10</v>
      </c>
      <c r="G3" s="3" t="s">
        <v>133</v>
      </c>
      <c r="H3" s="4">
        <v>3.3518518518518517E-2</v>
      </c>
      <c r="I3" s="24" t="str">
        <f>HYPERLINK("https://www.strava.com/activities/3380472632","Strava")</f>
        <v>Strava</v>
      </c>
      <c r="J3" s="25" t="s">
        <v>312</v>
      </c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>
      <c r="A4" s="3">
        <v>75</v>
      </c>
      <c r="B4" s="3">
        <v>375</v>
      </c>
      <c r="C4" s="3">
        <f t="shared" si="0"/>
        <v>5</v>
      </c>
      <c r="D4" s="3">
        <v>183</v>
      </c>
      <c r="E4" s="3" t="s">
        <v>13</v>
      </c>
      <c r="F4" s="3" t="s">
        <v>10</v>
      </c>
      <c r="G4" s="3" t="s">
        <v>14</v>
      </c>
      <c r="H4" s="4">
        <v>2.7766203703703703E-2</v>
      </c>
      <c r="I4" s="9" t="s">
        <v>313</v>
      </c>
      <c r="J4" s="2"/>
      <c r="K4" s="2" t="s">
        <v>314</v>
      </c>
    </row>
    <row r="5" spans="1:22" ht="15.75" customHeight="1">
      <c r="A5" s="3">
        <v>90</v>
      </c>
      <c r="B5" s="3">
        <v>360</v>
      </c>
      <c r="C5" s="3">
        <f t="shared" si="0"/>
        <v>4</v>
      </c>
      <c r="D5" s="3">
        <v>183</v>
      </c>
      <c r="E5" s="3" t="s">
        <v>9</v>
      </c>
      <c r="F5" s="3" t="s">
        <v>10</v>
      </c>
      <c r="G5" s="3" t="s">
        <v>11</v>
      </c>
      <c r="H5" s="4">
        <v>3.3657407407407407E-2</v>
      </c>
      <c r="I5" s="6"/>
      <c r="J5" s="26" t="s">
        <v>311</v>
      </c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229</v>
      </c>
      <c r="F6" s="3" t="s">
        <v>10</v>
      </c>
      <c r="G6" s="3" t="s">
        <v>145</v>
      </c>
      <c r="H6" s="4">
        <v>3.3715277777777775E-2</v>
      </c>
      <c r="I6" s="9" t="s">
        <v>315</v>
      </c>
      <c r="J6" s="2"/>
      <c r="K6" s="2"/>
    </row>
    <row r="7" spans="1:22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316</v>
      </c>
      <c r="F7" s="3" t="s">
        <v>10</v>
      </c>
      <c r="G7" s="3" t="s">
        <v>133</v>
      </c>
      <c r="H7" s="4">
        <v>3.3784722222222223E-2</v>
      </c>
      <c r="I7" s="24" t="str">
        <f>HYPERLINK("https://www.strava.com/activities/2194325895","Strava")</f>
        <v>Strava</v>
      </c>
      <c r="J7" s="25" t="s">
        <v>317</v>
      </c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 t="s">
        <v>318</v>
      </c>
      <c r="F8" s="3" t="s">
        <v>10</v>
      </c>
      <c r="G8" s="3" t="s">
        <v>133</v>
      </c>
      <c r="H8" s="4">
        <v>3.3796296296296297E-2</v>
      </c>
      <c r="I8" s="9" t="s">
        <v>319</v>
      </c>
      <c r="J8" s="2"/>
      <c r="K8" s="2" t="s">
        <v>320</v>
      </c>
    </row>
    <row r="9" spans="1:22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3" t="s">
        <v>94</v>
      </c>
      <c r="F9" s="3" t="s">
        <v>10</v>
      </c>
      <c r="G9" s="3" t="s">
        <v>133</v>
      </c>
      <c r="H9" s="4">
        <v>3.380787037037037E-2</v>
      </c>
      <c r="I9" s="9" t="s">
        <v>321</v>
      </c>
      <c r="J9" s="2"/>
      <c r="K9" s="2"/>
    </row>
    <row r="10" spans="1:22" ht="15.75" customHeight="1">
      <c r="A10" s="3">
        <v>75</v>
      </c>
      <c r="B10" s="3">
        <v>375</v>
      </c>
      <c r="C10" s="3">
        <f t="shared" si="0"/>
        <v>5</v>
      </c>
      <c r="D10" s="3">
        <v>183</v>
      </c>
      <c r="E10" s="3" t="s">
        <v>16</v>
      </c>
      <c r="F10" s="3" t="s">
        <v>10</v>
      </c>
      <c r="G10" s="3" t="s">
        <v>17</v>
      </c>
      <c r="H10" s="4">
        <v>2.826388888888889E-2</v>
      </c>
      <c r="I10" s="9" t="s">
        <v>322</v>
      </c>
      <c r="J10" s="2"/>
      <c r="K10" s="2" t="s">
        <v>314</v>
      </c>
    </row>
    <row r="11" spans="1:22" ht="15.75" customHeight="1">
      <c r="A11" s="3">
        <v>75</v>
      </c>
      <c r="B11" s="3">
        <v>300</v>
      </c>
      <c r="C11" s="3">
        <f t="shared" si="0"/>
        <v>4</v>
      </c>
      <c r="D11" s="3">
        <v>183</v>
      </c>
      <c r="E11" s="3" t="s">
        <v>207</v>
      </c>
      <c r="F11" s="3" t="s">
        <v>10</v>
      </c>
      <c r="G11" s="3" t="s">
        <v>133</v>
      </c>
      <c r="H11" s="4">
        <v>3.3819444444444444E-2</v>
      </c>
      <c r="I11" s="9" t="s">
        <v>323</v>
      </c>
      <c r="J11" s="2"/>
      <c r="K11" s="2"/>
    </row>
    <row r="12" spans="1:22" ht="15.75" customHeight="1">
      <c r="A12" s="3">
        <v>100</v>
      </c>
      <c r="B12" s="3">
        <v>400</v>
      </c>
      <c r="C12" s="3">
        <f t="shared" si="0"/>
        <v>4</v>
      </c>
      <c r="D12" s="3">
        <v>183</v>
      </c>
      <c r="E12" s="3" t="s">
        <v>19</v>
      </c>
      <c r="F12" s="3" t="s">
        <v>10</v>
      </c>
      <c r="G12" s="3" t="s">
        <v>17</v>
      </c>
      <c r="H12" s="4">
        <v>3.3460648148148149E-2</v>
      </c>
      <c r="I12" s="9" t="s">
        <v>324</v>
      </c>
      <c r="J12" s="2"/>
      <c r="K12" s="2"/>
    </row>
    <row r="13" spans="1:22" ht="15.75" customHeight="1">
      <c r="A13" s="3">
        <v>75</v>
      </c>
      <c r="B13" s="3">
        <v>300</v>
      </c>
      <c r="C13" s="3">
        <f t="shared" si="0"/>
        <v>4</v>
      </c>
      <c r="D13" s="3">
        <v>183</v>
      </c>
      <c r="E13" s="3" t="s">
        <v>325</v>
      </c>
      <c r="F13" s="3" t="s">
        <v>10</v>
      </c>
      <c r="G13" s="3" t="s">
        <v>133</v>
      </c>
      <c r="H13" s="4">
        <v>3.3819444444444444E-2</v>
      </c>
      <c r="I13" s="24" t="str">
        <f>HYPERLINK("https://www.strava.com/activities/2194326658","Strava")</f>
        <v>Strava</v>
      </c>
      <c r="J13" s="25" t="s">
        <v>326</v>
      </c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>
      <c r="A14" s="3">
        <v>75</v>
      </c>
      <c r="B14" s="3">
        <v>300</v>
      </c>
      <c r="C14" s="3">
        <f t="shared" si="0"/>
        <v>4</v>
      </c>
      <c r="D14" s="3">
        <v>183</v>
      </c>
      <c r="E14" s="3" t="s">
        <v>94</v>
      </c>
      <c r="F14" s="3" t="s">
        <v>10</v>
      </c>
      <c r="G14" s="3" t="s">
        <v>133</v>
      </c>
      <c r="H14" s="4">
        <v>3.3819444444444444E-2</v>
      </c>
      <c r="I14" s="9" t="s">
        <v>327</v>
      </c>
      <c r="J14" s="2" t="s">
        <v>298</v>
      </c>
      <c r="K14" s="2"/>
    </row>
    <row r="15" spans="1:22" ht="15.75" customHeight="1">
      <c r="A15" s="3">
        <v>75</v>
      </c>
      <c r="B15" s="3">
        <v>300</v>
      </c>
      <c r="C15" s="3">
        <f t="shared" si="0"/>
        <v>4</v>
      </c>
      <c r="D15" s="3">
        <v>183</v>
      </c>
      <c r="E15" s="3" t="s">
        <v>94</v>
      </c>
      <c r="F15" s="3" t="s">
        <v>10</v>
      </c>
      <c r="G15" s="3" t="s">
        <v>133</v>
      </c>
      <c r="H15" s="4">
        <v>3.3831018518518517E-2</v>
      </c>
      <c r="I15" s="27" t="s">
        <v>328</v>
      </c>
      <c r="J15" s="25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5.75" customHeight="1">
      <c r="A16" s="3">
        <v>75</v>
      </c>
      <c r="B16" s="3">
        <v>300</v>
      </c>
      <c r="C16" s="3">
        <f t="shared" si="0"/>
        <v>4</v>
      </c>
      <c r="D16" s="3">
        <v>183</v>
      </c>
      <c r="E16" s="3" t="s">
        <v>13</v>
      </c>
      <c r="F16" s="3" t="s">
        <v>10</v>
      </c>
      <c r="G16" s="3" t="s">
        <v>111</v>
      </c>
      <c r="H16" s="4">
        <v>3.3854166666666664E-2</v>
      </c>
      <c r="I16" s="9" t="s">
        <v>329</v>
      </c>
      <c r="J16" s="2"/>
      <c r="K16" s="2"/>
    </row>
    <row r="17" spans="1:22" ht="15.75" customHeight="1">
      <c r="A17" s="3">
        <v>75</v>
      </c>
      <c r="B17" s="3">
        <v>300</v>
      </c>
      <c r="C17" s="3">
        <f t="shared" si="0"/>
        <v>4</v>
      </c>
      <c r="D17" s="3">
        <v>183</v>
      </c>
      <c r="E17" s="3" t="s">
        <v>225</v>
      </c>
      <c r="F17" s="3" t="s">
        <v>10</v>
      </c>
      <c r="G17" s="3" t="s">
        <v>133</v>
      </c>
      <c r="H17" s="4">
        <v>3.3854166666666664E-2</v>
      </c>
      <c r="I17" s="24" t="str">
        <f>HYPERLINK("https://www.strava.com/activities/2194326105","Strava")</f>
        <v>Strava</v>
      </c>
      <c r="J17" s="25" t="s">
        <v>326</v>
      </c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5.75" customHeight="1">
      <c r="A18" s="3">
        <v>75</v>
      </c>
      <c r="B18" s="3">
        <v>300</v>
      </c>
      <c r="C18" s="3">
        <f t="shared" si="0"/>
        <v>4</v>
      </c>
      <c r="D18" s="3">
        <v>183</v>
      </c>
      <c r="E18" s="3" t="s">
        <v>13</v>
      </c>
      <c r="F18" s="3" t="s">
        <v>10</v>
      </c>
      <c r="G18" s="3" t="s">
        <v>14</v>
      </c>
      <c r="H18" s="4">
        <v>3.3865740740740738E-2</v>
      </c>
      <c r="I18" s="9" t="s">
        <v>330</v>
      </c>
      <c r="J18" s="2"/>
      <c r="K18" s="2"/>
    </row>
    <row r="19" spans="1:22" ht="15.75" customHeight="1">
      <c r="A19" s="3">
        <v>75</v>
      </c>
      <c r="B19" s="3">
        <v>300</v>
      </c>
      <c r="C19" s="3">
        <f t="shared" si="0"/>
        <v>4</v>
      </c>
      <c r="D19" s="3">
        <v>183</v>
      </c>
      <c r="E19" s="3" t="s">
        <v>233</v>
      </c>
      <c r="F19" s="3" t="s">
        <v>10</v>
      </c>
      <c r="G19" s="3" t="s">
        <v>133</v>
      </c>
      <c r="H19" s="4">
        <v>3.3865740740740738E-2</v>
      </c>
      <c r="I19" s="24" t="str">
        <f>HYPERLINK("https://www.strava.com/activities/2195410448","Strava")</f>
        <v>Strava</v>
      </c>
      <c r="J19" s="25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5.75" customHeight="1">
      <c r="A20" s="3">
        <v>75</v>
      </c>
      <c r="B20" s="3">
        <v>300</v>
      </c>
      <c r="C20" s="3">
        <f t="shared" si="0"/>
        <v>4</v>
      </c>
      <c r="D20" s="3">
        <v>183</v>
      </c>
      <c r="E20" s="3" t="s">
        <v>192</v>
      </c>
      <c r="F20" s="3" t="s">
        <v>10</v>
      </c>
      <c r="G20" s="3" t="s">
        <v>133</v>
      </c>
      <c r="H20" s="4">
        <v>3.3877314814814811E-2</v>
      </c>
      <c r="I20" s="24" t="str">
        <f>HYPERLINK("https://www.strava.com/activities/2832082167","Strava")</f>
        <v>Strava</v>
      </c>
      <c r="J20" s="25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5.75" customHeight="1">
      <c r="A21" s="3">
        <v>75</v>
      </c>
      <c r="B21" s="3">
        <v>300</v>
      </c>
      <c r="C21" s="3">
        <f t="shared" si="0"/>
        <v>4</v>
      </c>
      <c r="D21" s="3">
        <v>183</v>
      </c>
      <c r="E21" s="3" t="s">
        <v>219</v>
      </c>
      <c r="F21" s="3" t="s">
        <v>10</v>
      </c>
      <c r="G21" s="3" t="s">
        <v>133</v>
      </c>
      <c r="H21" s="4">
        <v>3.3877314814814811E-2</v>
      </c>
      <c r="I21" s="24" t="str">
        <f>HYPERLINK("https://www.strava.com/activities/2195409038","Strava")</f>
        <v>Strava</v>
      </c>
      <c r="J21" s="25"/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5.75" customHeight="1">
      <c r="A22" s="3">
        <v>75</v>
      </c>
      <c r="B22" s="3">
        <v>300</v>
      </c>
      <c r="C22" s="3">
        <f t="shared" si="0"/>
        <v>4</v>
      </c>
      <c r="D22" s="3">
        <v>183</v>
      </c>
      <c r="E22" s="3" t="s">
        <v>90</v>
      </c>
      <c r="F22" s="3" t="s">
        <v>10</v>
      </c>
      <c r="G22" s="3" t="s">
        <v>133</v>
      </c>
      <c r="H22" s="4">
        <v>3.3877314814814811E-2</v>
      </c>
      <c r="I22" s="9" t="s">
        <v>331</v>
      </c>
      <c r="J22" s="2"/>
      <c r="K22" s="2" t="s">
        <v>332</v>
      </c>
    </row>
    <row r="23" spans="1:22" ht="15.75" customHeight="1">
      <c r="A23" s="3">
        <v>75</v>
      </c>
      <c r="B23" s="3">
        <v>300</v>
      </c>
      <c r="C23" s="3">
        <f t="shared" si="0"/>
        <v>4</v>
      </c>
      <c r="D23" s="3">
        <v>183</v>
      </c>
      <c r="E23" s="3" t="s">
        <v>211</v>
      </c>
      <c r="F23" s="3" t="s">
        <v>10</v>
      </c>
      <c r="G23" s="3" t="s">
        <v>133</v>
      </c>
      <c r="H23" s="4">
        <v>3.3888888888888892E-2</v>
      </c>
      <c r="I23" s="24" t="str">
        <f>HYPERLINK("https://www.strava.com/activities/2195433299","Strava")</f>
        <v>Strava</v>
      </c>
      <c r="J23" s="25"/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5.75" customHeight="1">
      <c r="A24" s="3">
        <v>75</v>
      </c>
      <c r="B24" s="3">
        <v>300</v>
      </c>
      <c r="C24" s="3">
        <f t="shared" si="0"/>
        <v>4</v>
      </c>
      <c r="D24" s="3">
        <v>183</v>
      </c>
      <c r="E24" s="3" t="s">
        <v>215</v>
      </c>
      <c r="F24" s="3" t="s">
        <v>10</v>
      </c>
      <c r="G24" s="3" t="s">
        <v>133</v>
      </c>
      <c r="H24" s="15">
        <v>3.3888888888888892E-2</v>
      </c>
      <c r="I24" s="28" t="str">
        <f>HYPERLINK("https://www.strava.com/activities/2770952125","Strava")</f>
        <v>Strava</v>
      </c>
      <c r="J24" s="29"/>
      <c r="K24" s="2"/>
    </row>
    <row r="25" spans="1:22" ht="15.75" customHeight="1">
      <c r="A25" s="3">
        <v>75</v>
      </c>
      <c r="B25" s="3">
        <v>300</v>
      </c>
      <c r="C25" s="3">
        <f t="shared" si="0"/>
        <v>4</v>
      </c>
      <c r="D25" s="3">
        <v>183</v>
      </c>
      <c r="E25" s="3" t="s">
        <v>229</v>
      </c>
      <c r="F25" s="3" t="s">
        <v>10</v>
      </c>
      <c r="G25" s="3" t="s">
        <v>17</v>
      </c>
      <c r="H25" s="4">
        <v>3.3900462962962966E-2</v>
      </c>
      <c r="I25" s="9" t="s">
        <v>333</v>
      </c>
      <c r="J25" s="2"/>
      <c r="K25" s="2"/>
    </row>
    <row r="26" spans="1:22" ht="15.75" customHeight="1">
      <c r="A26" s="3">
        <v>75</v>
      </c>
      <c r="B26" s="3">
        <v>300</v>
      </c>
      <c r="C26" s="3">
        <f t="shared" si="0"/>
        <v>4</v>
      </c>
      <c r="D26" s="3">
        <v>183</v>
      </c>
      <c r="E26" s="3" t="s">
        <v>101</v>
      </c>
      <c r="F26" s="3" t="s">
        <v>10</v>
      </c>
      <c r="G26" s="3" t="s">
        <v>14</v>
      </c>
      <c r="H26" s="4">
        <v>3.3900462962962966E-2</v>
      </c>
      <c r="I26" s="8" t="s">
        <v>334</v>
      </c>
      <c r="J26" s="6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5.75" customHeight="1">
      <c r="A27" s="3">
        <v>75</v>
      </c>
      <c r="B27" s="3">
        <v>300</v>
      </c>
      <c r="C27" s="3">
        <f t="shared" si="0"/>
        <v>4</v>
      </c>
      <c r="D27" s="3">
        <v>183</v>
      </c>
      <c r="E27" s="3" t="s">
        <v>94</v>
      </c>
      <c r="F27" s="3" t="s">
        <v>10</v>
      </c>
      <c r="G27" s="3" t="s">
        <v>111</v>
      </c>
      <c r="H27" s="4">
        <v>3.3900462962962966E-2</v>
      </c>
      <c r="I27" s="9" t="s">
        <v>335</v>
      </c>
      <c r="J27" s="2" t="s">
        <v>153</v>
      </c>
      <c r="K27" s="2"/>
    </row>
    <row r="28" spans="1:22" ht="15.75" customHeight="1">
      <c r="A28" s="3">
        <v>75</v>
      </c>
      <c r="B28" s="3">
        <v>300</v>
      </c>
      <c r="C28" s="3">
        <f t="shared" si="0"/>
        <v>4</v>
      </c>
      <c r="D28" s="3">
        <v>183</v>
      </c>
      <c r="E28" s="3" t="s">
        <v>13</v>
      </c>
      <c r="F28" s="3" t="s">
        <v>10</v>
      </c>
      <c r="G28" s="3" t="s">
        <v>133</v>
      </c>
      <c r="H28" s="4">
        <v>3.3900462962962966E-2</v>
      </c>
      <c r="I28" s="27" t="s">
        <v>336</v>
      </c>
      <c r="J28" s="25"/>
      <c r="K28" s="6" t="s">
        <v>298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5.75" customHeight="1">
      <c r="A29" s="3">
        <v>75</v>
      </c>
      <c r="B29" s="3">
        <v>300</v>
      </c>
      <c r="C29" s="3">
        <f t="shared" si="0"/>
        <v>4</v>
      </c>
      <c r="D29" s="3">
        <v>183</v>
      </c>
      <c r="E29" s="3" t="s">
        <v>94</v>
      </c>
      <c r="F29" s="3" t="s">
        <v>10</v>
      </c>
      <c r="G29" s="3" t="s">
        <v>14</v>
      </c>
      <c r="H29" s="4">
        <v>3.3900462962962966E-2</v>
      </c>
      <c r="I29" s="9" t="s">
        <v>337</v>
      </c>
      <c r="J29" s="2" t="s">
        <v>338</v>
      </c>
      <c r="K29" s="2"/>
    </row>
    <row r="30" spans="1:22" ht="15.75" customHeight="1">
      <c r="A30" s="3">
        <v>75</v>
      </c>
      <c r="B30" s="3">
        <v>300</v>
      </c>
      <c r="C30" s="3">
        <f t="shared" si="0"/>
        <v>4</v>
      </c>
      <c r="D30" s="3">
        <v>183</v>
      </c>
      <c r="E30" s="3" t="s">
        <v>13</v>
      </c>
      <c r="F30" s="3" t="s">
        <v>10</v>
      </c>
      <c r="G30" s="3" t="s">
        <v>88</v>
      </c>
      <c r="H30" s="4">
        <v>3.3912037037037039E-2</v>
      </c>
      <c r="I30" s="9" t="s">
        <v>339</v>
      </c>
      <c r="J30" s="2"/>
      <c r="K30" s="2"/>
    </row>
    <row r="31" spans="1:22" ht="15.75" customHeight="1">
      <c r="A31" s="3">
        <v>75</v>
      </c>
      <c r="B31" s="3">
        <v>300</v>
      </c>
      <c r="C31" s="3">
        <f t="shared" si="0"/>
        <v>4</v>
      </c>
      <c r="D31" s="3">
        <v>183</v>
      </c>
      <c r="E31" s="3" t="s">
        <v>235</v>
      </c>
      <c r="F31" s="3" t="s">
        <v>10</v>
      </c>
      <c r="G31" s="3" t="s">
        <v>133</v>
      </c>
      <c r="H31" s="4">
        <v>3.3912037037037039E-2</v>
      </c>
      <c r="I31" s="28" t="str">
        <f>HYPERLINK("https://www.strava.com/activities/2839365445","Strava")</f>
        <v>Strava</v>
      </c>
      <c r="J31" s="2"/>
      <c r="K31" s="2"/>
    </row>
    <row r="32" spans="1:22" ht="15.75" customHeight="1">
      <c r="A32" s="3">
        <v>75</v>
      </c>
      <c r="B32" s="3">
        <v>300</v>
      </c>
      <c r="C32" s="3">
        <f t="shared" si="0"/>
        <v>4</v>
      </c>
      <c r="D32" s="3">
        <v>183</v>
      </c>
      <c r="E32" s="3" t="s">
        <v>221</v>
      </c>
      <c r="F32" s="3" t="s">
        <v>10</v>
      </c>
      <c r="G32" s="3" t="s">
        <v>133</v>
      </c>
      <c r="H32" s="4">
        <v>3.3912037037037039E-2</v>
      </c>
      <c r="I32" s="28" t="str">
        <f>HYPERLINK("https://www.strava.com/activities/2197451775","Strava")</f>
        <v>Strava</v>
      </c>
      <c r="J32" s="29"/>
      <c r="K32" s="2"/>
    </row>
    <row r="33" spans="1:22" ht="15.75" customHeight="1">
      <c r="A33" s="3">
        <v>75</v>
      </c>
      <c r="B33" s="3">
        <v>300</v>
      </c>
      <c r="C33" s="3">
        <f t="shared" si="0"/>
        <v>4</v>
      </c>
      <c r="D33" s="3">
        <v>183</v>
      </c>
      <c r="E33" s="3" t="s">
        <v>227</v>
      </c>
      <c r="F33" s="3" t="s">
        <v>10</v>
      </c>
      <c r="G33" s="3" t="s">
        <v>133</v>
      </c>
      <c r="H33" s="4">
        <v>3.3912037037037039E-2</v>
      </c>
      <c r="I33" s="24" t="str">
        <f>HYPERLINK("https://www.strava.com/activities/2195409038","Strava")</f>
        <v>Strava</v>
      </c>
      <c r="J33" s="25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5.75" customHeight="1">
      <c r="A34" s="3">
        <v>75</v>
      </c>
      <c r="B34" s="3">
        <v>300</v>
      </c>
      <c r="C34" s="3">
        <f t="shared" si="0"/>
        <v>4</v>
      </c>
      <c r="D34" s="3">
        <v>183</v>
      </c>
      <c r="E34" s="3" t="s">
        <v>90</v>
      </c>
      <c r="F34" s="3" t="s">
        <v>10</v>
      </c>
      <c r="G34" s="3" t="s">
        <v>111</v>
      </c>
      <c r="H34" s="4">
        <v>3.3935185185185186E-2</v>
      </c>
      <c r="I34" s="2"/>
      <c r="J34" s="2"/>
      <c r="K34" s="2"/>
    </row>
    <row r="35" spans="1:22" ht="15.75" customHeight="1">
      <c r="A35" s="3">
        <v>75</v>
      </c>
      <c r="B35" s="3">
        <v>300</v>
      </c>
      <c r="C35" s="3">
        <f t="shared" si="0"/>
        <v>4</v>
      </c>
      <c r="D35" s="3">
        <v>183</v>
      </c>
      <c r="E35" s="3" t="s">
        <v>316</v>
      </c>
      <c r="F35" s="3" t="s">
        <v>10</v>
      </c>
      <c r="G35" s="3" t="s">
        <v>17</v>
      </c>
      <c r="H35" s="4">
        <v>3.394675925925926E-2</v>
      </c>
      <c r="I35" s="24" t="str">
        <f>HYPERLINK("https://www.strava.com/activities/2191955476","Strava")</f>
        <v>Strava</v>
      </c>
      <c r="J35" s="25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5.75" customHeight="1">
      <c r="A36" s="3">
        <v>75</v>
      </c>
      <c r="B36" s="3">
        <v>300</v>
      </c>
      <c r="C36" s="3">
        <f t="shared" si="0"/>
        <v>4</v>
      </c>
      <c r="D36" s="3">
        <v>183</v>
      </c>
      <c r="E36" s="3" t="s">
        <v>90</v>
      </c>
      <c r="F36" s="3" t="s">
        <v>10</v>
      </c>
      <c r="G36" s="3" t="s">
        <v>14</v>
      </c>
      <c r="H36" s="4">
        <v>3.394675925925926E-2</v>
      </c>
      <c r="I36" s="2"/>
      <c r="J36" s="2"/>
      <c r="K36" s="2"/>
    </row>
    <row r="37" spans="1:22" ht="15">
      <c r="A37" s="3">
        <v>75</v>
      </c>
      <c r="B37" s="3">
        <v>300</v>
      </c>
      <c r="C37" s="3">
        <f t="shared" si="0"/>
        <v>4</v>
      </c>
      <c r="D37" s="3">
        <v>183</v>
      </c>
      <c r="E37" s="3" t="s">
        <v>94</v>
      </c>
      <c r="F37" s="3" t="s">
        <v>10</v>
      </c>
      <c r="G37" s="3" t="s">
        <v>88</v>
      </c>
      <c r="H37" s="4">
        <v>3.394675925925926E-2</v>
      </c>
      <c r="I37" s="9" t="s">
        <v>340</v>
      </c>
      <c r="J37" s="2" t="s">
        <v>153</v>
      </c>
      <c r="K37" s="2"/>
    </row>
    <row r="38" spans="1:22" ht="15">
      <c r="A38" s="3">
        <v>75</v>
      </c>
      <c r="B38" s="3">
        <v>300</v>
      </c>
      <c r="C38" s="3">
        <f t="shared" si="0"/>
        <v>4</v>
      </c>
      <c r="D38" s="3">
        <v>183</v>
      </c>
      <c r="E38" s="3" t="s">
        <v>239</v>
      </c>
      <c r="F38" s="3" t="s">
        <v>10</v>
      </c>
      <c r="G38" s="3" t="s">
        <v>133</v>
      </c>
      <c r="H38" s="4">
        <v>3.394675925925926E-2</v>
      </c>
      <c r="I38" s="24" t="str">
        <f>HYPERLINK("https://www.strava.com/activities/2195410448","Strava")</f>
        <v>Strava</v>
      </c>
      <c r="J38" s="25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5">
      <c r="A39" s="3">
        <v>75</v>
      </c>
      <c r="B39" s="3">
        <v>300</v>
      </c>
      <c r="C39" s="3">
        <f t="shared" si="0"/>
        <v>4</v>
      </c>
      <c r="D39" s="3">
        <v>183</v>
      </c>
      <c r="E39" s="3" t="s">
        <v>9</v>
      </c>
      <c r="F39" s="3" t="s">
        <v>10</v>
      </c>
      <c r="G39" s="3" t="s">
        <v>133</v>
      </c>
      <c r="H39" s="4">
        <v>3.394675925925926E-2</v>
      </c>
      <c r="I39" s="24" t="str">
        <f>HYPERLINK("https://www.strava.com/activities/2195433299","Strava")</f>
        <v>Strava</v>
      </c>
      <c r="J39" s="2"/>
      <c r="K39" s="2"/>
    </row>
    <row r="40" spans="1:22" ht="15">
      <c r="A40" s="3">
        <v>75</v>
      </c>
      <c r="B40" s="3">
        <v>300</v>
      </c>
      <c r="C40" s="3">
        <f t="shared" si="0"/>
        <v>4</v>
      </c>
      <c r="D40" s="3">
        <v>183</v>
      </c>
      <c r="E40" s="3" t="s">
        <v>13</v>
      </c>
      <c r="F40" s="3" t="s">
        <v>10</v>
      </c>
      <c r="G40" s="3" t="s">
        <v>79</v>
      </c>
      <c r="H40" s="4">
        <v>3.3958333333333333E-2</v>
      </c>
      <c r="I40" s="9" t="s">
        <v>341</v>
      </c>
      <c r="J40" s="2"/>
      <c r="K40" s="2"/>
    </row>
    <row r="41" spans="1:22" ht="15">
      <c r="A41" s="3">
        <v>75</v>
      </c>
      <c r="B41" s="3">
        <v>300</v>
      </c>
      <c r="C41" s="3">
        <f t="shared" si="0"/>
        <v>4</v>
      </c>
      <c r="D41" s="3">
        <v>183</v>
      </c>
      <c r="E41" s="3" t="s">
        <v>13</v>
      </c>
      <c r="F41" s="3" t="s">
        <v>10</v>
      </c>
      <c r="G41" s="3" t="s">
        <v>14</v>
      </c>
      <c r="H41" s="4">
        <v>3.3969907407407407E-2</v>
      </c>
      <c r="I41" s="9" t="s">
        <v>313</v>
      </c>
      <c r="J41" s="2"/>
      <c r="K41" s="2" t="s">
        <v>314</v>
      </c>
    </row>
    <row r="42" spans="1:22" ht="15">
      <c r="A42" s="3">
        <v>75</v>
      </c>
      <c r="B42" s="3">
        <v>300</v>
      </c>
      <c r="C42" s="3">
        <f t="shared" si="0"/>
        <v>4</v>
      </c>
      <c r="D42" s="3">
        <v>183</v>
      </c>
      <c r="E42" s="3" t="s">
        <v>318</v>
      </c>
      <c r="F42" s="3" t="s">
        <v>10</v>
      </c>
      <c r="G42" s="3" t="s">
        <v>17</v>
      </c>
      <c r="H42" s="4">
        <v>3.3969907407407407E-2</v>
      </c>
      <c r="I42" s="27" t="s">
        <v>342</v>
      </c>
      <c r="J42" s="25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5">
      <c r="A43" s="3">
        <v>75</v>
      </c>
      <c r="B43" s="3">
        <v>300</v>
      </c>
      <c r="C43" s="3">
        <f t="shared" si="0"/>
        <v>4</v>
      </c>
      <c r="D43" s="3">
        <v>183</v>
      </c>
      <c r="E43" s="3" t="s">
        <v>231</v>
      </c>
      <c r="F43" s="3" t="s">
        <v>10</v>
      </c>
      <c r="G43" s="3" t="s">
        <v>133</v>
      </c>
      <c r="H43" s="4">
        <v>3.3969907407407407E-2</v>
      </c>
      <c r="I43" s="24" t="str">
        <f>HYPERLINK("https://www.strava.com/activities/2195409038","Strava")</f>
        <v>Strava</v>
      </c>
      <c r="J43" s="25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5">
      <c r="A44" s="3">
        <v>75</v>
      </c>
      <c r="B44" s="3">
        <v>300</v>
      </c>
      <c r="C44" s="3">
        <f t="shared" si="0"/>
        <v>4</v>
      </c>
      <c r="D44" s="3">
        <v>183</v>
      </c>
      <c r="E44" s="3" t="s">
        <v>13</v>
      </c>
      <c r="F44" s="3" t="s">
        <v>10</v>
      </c>
      <c r="G44" s="3" t="s">
        <v>91</v>
      </c>
      <c r="H44" s="4">
        <v>3.3981481481481481E-2</v>
      </c>
      <c r="I44" s="9" t="s">
        <v>343</v>
      </c>
      <c r="J44" s="2"/>
      <c r="K44" s="2"/>
    </row>
    <row r="45" spans="1:22" ht="15">
      <c r="A45" s="3">
        <v>75</v>
      </c>
      <c r="B45" s="3">
        <v>300</v>
      </c>
      <c r="C45" s="3">
        <f t="shared" si="0"/>
        <v>4</v>
      </c>
      <c r="D45" s="3">
        <v>183</v>
      </c>
      <c r="E45" s="3" t="s">
        <v>58</v>
      </c>
      <c r="F45" s="3" t="s">
        <v>10</v>
      </c>
      <c r="G45" s="3" t="s">
        <v>133</v>
      </c>
      <c r="H45" s="4">
        <v>3.3981481481481481E-2</v>
      </c>
      <c r="I45" s="24" t="str">
        <f>HYPERLINK("https://www.strava.com/activities/2195410448","Strava")</f>
        <v>Strava</v>
      </c>
      <c r="J45" s="25"/>
      <c r="K45" s="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5">
      <c r="A46" s="3">
        <v>75</v>
      </c>
      <c r="B46" s="3">
        <v>300</v>
      </c>
      <c r="C46" s="3">
        <f t="shared" si="0"/>
        <v>4</v>
      </c>
      <c r="D46" s="3">
        <v>183</v>
      </c>
      <c r="E46" s="3" t="s">
        <v>61</v>
      </c>
      <c r="F46" s="3" t="s">
        <v>10</v>
      </c>
      <c r="G46" s="3" t="s">
        <v>133</v>
      </c>
      <c r="H46" s="4">
        <v>3.3981481481481481E-2</v>
      </c>
      <c r="I46" s="24" t="str">
        <f>HYPERLINK("https://www.strava.com/activities/2412885435","Strava")</f>
        <v>Strava</v>
      </c>
      <c r="J46" s="25"/>
      <c r="K46" s="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5">
      <c r="A47" s="3">
        <v>75</v>
      </c>
      <c r="B47" s="3">
        <v>300</v>
      </c>
      <c r="C47" s="3">
        <f t="shared" si="0"/>
        <v>4</v>
      </c>
      <c r="D47" s="3">
        <v>183</v>
      </c>
      <c r="E47" s="3" t="s">
        <v>90</v>
      </c>
      <c r="F47" s="3" t="s">
        <v>10</v>
      </c>
      <c r="G47" s="3" t="s">
        <v>88</v>
      </c>
      <c r="H47" s="4">
        <v>3.3993055555555554E-2</v>
      </c>
      <c r="I47" s="2"/>
      <c r="J47" s="2"/>
      <c r="K47" s="2"/>
    </row>
    <row r="48" spans="1:22" ht="15">
      <c r="A48" s="3">
        <v>75</v>
      </c>
      <c r="B48" s="3">
        <v>300</v>
      </c>
      <c r="C48" s="3">
        <f t="shared" si="0"/>
        <v>4</v>
      </c>
      <c r="D48" s="3">
        <v>183</v>
      </c>
      <c r="E48" s="3" t="s">
        <v>94</v>
      </c>
      <c r="F48" s="3" t="s">
        <v>10</v>
      </c>
      <c r="G48" s="3" t="s">
        <v>17</v>
      </c>
      <c r="H48" s="4">
        <v>3.3993055555555554E-2</v>
      </c>
      <c r="I48" s="27" t="s">
        <v>344</v>
      </c>
      <c r="J48" s="25"/>
      <c r="K48" s="6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5">
      <c r="A49" s="3">
        <v>75</v>
      </c>
      <c r="B49" s="3">
        <v>300</v>
      </c>
      <c r="C49" s="3">
        <f t="shared" si="0"/>
        <v>4</v>
      </c>
      <c r="D49" s="3">
        <v>183</v>
      </c>
      <c r="E49" s="3" t="s">
        <v>94</v>
      </c>
      <c r="F49" s="3" t="s">
        <v>10</v>
      </c>
      <c r="G49" s="3" t="s">
        <v>79</v>
      </c>
      <c r="H49" s="4">
        <v>3.3993055555555554E-2</v>
      </c>
      <c r="I49" s="9" t="s">
        <v>345</v>
      </c>
      <c r="J49" s="2" t="s">
        <v>346</v>
      </c>
      <c r="K49" s="2"/>
    </row>
    <row r="50" spans="1:22" ht="15">
      <c r="A50" s="3">
        <v>75</v>
      </c>
      <c r="B50" s="3">
        <v>300</v>
      </c>
      <c r="C50" s="3">
        <f t="shared" si="0"/>
        <v>4</v>
      </c>
      <c r="D50" s="3">
        <v>183</v>
      </c>
      <c r="E50" s="3" t="s">
        <v>207</v>
      </c>
      <c r="F50" s="3" t="s">
        <v>10</v>
      </c>
      <c r="G50" s="3" t="s">
        <v>17</v>
      </c>
      <c r="H50" s="4">
        <v>3.4004629629629628E-2</v>
      </c>
      <c r="I50" s="9" t="s">
        <v>347</v>
      </c>
      <c r="J50" s="2"/>
      <c r="K50" s="2"/>
    </row>
    <row r="51" spans="1:22" ht="15">
      <c r="A51" s="3">
        <v>75</v>
      </c>
      <c r="B51" s="3">
        <v>300</v>
      </c>
      <c r="C51" s="3">
        <f t="shared" si="0"/>
        <v>4</v>
      </c>
      <c r="D51" s="3">
        <v>183</v>
      </c>
      <c r="E51" s="3" t="s">
        <v>209</v>
      </c>
      <c r="F51" s="3" t="s">
        <v>10</v>
      </c>
      <c r="G51" s="3" t="s">
        <v>17</v>
      </c>
      <c r="H51" s="4">
        <v>3.4004629629629628E-2</v>
      </c>
      <c r="I51" s="28" t="str">
        <f>HYPERLINK("https://www.strava.com/activities/2191954587","Strava")</f>
        <v>Strava</v>
      </c>
      <c r="J51" s="29"/>
      <c r="K51" s="2"/>
    </row>
    <row r="52" spans="1:22" ht="15">
      <c r="A52" s="3">
        <v>75</v>
      </c>
      <c r="B52" s="3">
        <v>300</v>
      </c>
      <c r="C52" s="3">
        <f t="shared" si="0"/>
        <v>4</v>
      </c>
      <c r="D52" s="3">
        <v>183</v>
      </c>
      <c r="E52" s="3" t="s">
        <v>94</v>
      </c>
      <c r="F52" s="3" t="s">
        <v>10</v>
      </c>
      <c r="G52" s="3" t="s">
        <v>91</v>
      </c>
      <c r="H52" s="4">
        <v>3.4004629629629628E-2</v>
      </c>
      <c r="I52" s="27" t="s">
        <v>348</v>
      </c>
      <c r="J52" s="25" t="s">
        <v>349</v>
      </c>
      <c r="K52" s="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">
      <c r="A53" s="3">
        <v>75</v>
      </c>
      <c r="B53" s="3">
        <v>300</v>
      </c>
      <c r="C53" s="3">
        <f t="shared" si="0"/>
        <v>4</v>
      </c>
      <c r="D53" s="3">
        <v>183</v>
      </c>
      <c r="E53" s="3" t="s">
        <v>101</v>
      </c>
      <c r="F53" s="3" t="s">
        <v>10</v>
      </c>
      <c r="G53" s="3" t="s">
        <v>17</v>
      </c>
      <c r="H53" s="4">
        <v>3.4016203703703701E-2</v>
      </c>
      <c r="I53" s="9" t="s">
        <v>350</v>
      </c>
      <c r="J53" s="2"/>
      <c r="K53" s="2"/>
    </row>
    <row r="54" spans="1:22" ht="15">
      <c r="A54" s="3">
        <v>75</v>
      </c>
      <c r="B54" s="3">
        <v>300</v>
      </c>
      <c r="C54" s="3">
        <f t="shared" si="0"/>
        <v>4</v>
      </c>
      <c r="D54" s="3">
        <v>183</v>
      </c>
      <c r="E54" s="3" t="s">
        <v>225</v>
      </c>
      <c r="F54" s="3" t="s">
        <v>10</v>
      </c>
      <c r="G54" s="3" t="s">
        <v>17</v>
      </c>
      <c r="H54" s="4">
        <v>3.4016203703703701E-2</v>
      </c>
      <c r="I54" s="28" t="str">
        <f>HYPERLINK("https://www.strava.com/activities/2191956190","Strava")</f>
        <v>Strava</v>
      </c>
      <c r="J54" s="29"/>
      <c r="K54" s="2"/>
    </row>
    <row r="55" spans="1:22" ht="15">
      <c r="A55" s="3">
        <v>75</v>
      </c>
      <c r="B55" s="3">
        <v>300</v>
      </c>
      <c r="C55" s="3">
        <f t="shared" si="0"/>
        <v>4</v>
      </c>
      <c r="D55" s="3">
        <v>183</v>
      </c>
      <c r="E55" s="3" t="s">
        <v>9</v>
      </c>
      <c r="F55" s="3" t="s">
        <v>10</v>
      </c>
      <c r="G55" s="3" t="s">
        <v>111</v>
      </c>
      <c r="H55" s="4">
        <v>3.4016203703703701E-2</v>
      </c>
      <c r="I55" s="2"/>
      <c r="J55" s="2"/>
      <c r="K55" s="2"/>
    </row>
    <row r="56" spans="1:22" ht="15">
      <c r="A56" s="3">
        <v>75</v>
      </c>
      <c r="B56" s="3">
        <v>300</v>
      </c>
      <c r="C56" s="3">
        <f t="shared" si="0"/>
        <v>4</v>
      </c>
      <c r="D56" s="3">
        <v>183</v>
      </c>
      <c r="E56" s="3" t="s">
        <v>179</v>
      </c>
      <c r="F56" s="3" t="s">
        <v>10</v>
      </c>
      <c r="G56" s="3" t="s">
        <v>133</v>
      </c>
      <c r="H56" s="4">
        <v>3.4016203703703701E-2</v>
      </c>
      <c r="I56" s="24" t="str">
        <f>HYPERLINK("https://www.strava.com/activities/2195433299","Strava")</f>
        <v>Strava</v>
      </c>
      <c r="J56" s="25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">
      <c r="A57" s="3">
        <v>75</v>
      </c>
      <c r="B57" s="3">
        <v>300</v>
      </c>
      <c r="C57" s="3">
        <f t="shared" si="0"/>
        <v>4</v>
      </c>
      <c r="D57" s="3">
        <v>183</v>
      </c>
      <c r="E57" s="3" t="s">
        <v>73</v>
      </c>
      <c r="F57" s="3" t="s">
        <v>10</v>
      </c>
      <c r="G57" s="3" t="s">
        <v>351</v>
      </c>
      <c r="H57" s="4">
        <v>3.4016203703703701E-2</v>
      </c>
      <c r="I57" s="28" t="str">
        <f>HYPERLINK("https://www.strava.com/activities/2189774250","Strava")</f>
        <v>Strava</v>
      </c>
      <c r="J57" s="29" t="s">
        <v>352</v>
      </c>
      <c r="K57" s="2"/>
    </row>
    <row r="58" spans="1:22" ht="15">
      <c r="A58" s="3">
        <v>75</v>
      </c>
      <c r="B58" s="3">
        <v>300</v>
      </c>
      <c r="C58" s="3">
        <f t="shared" si="0"/>
        <v>4</v>
      </c>
      <c r="D58" s="3">
        <v>183</v>
      </c>
      <c r="E58" s="3" t="s">
        <v>9</v>
      </c>
      <c r="F58" s="3" t="s">
        <v>10</v>
      </c>
      <c r="G58" s="3" t="s">
        <v>14</v>
      </c>
      <c r="H58" s="4">
        <v>3.4016203703703701E-2</v>
      </c>
      <c r="I58" s="2"/>
      <c r="J58" s="2"/>
      <c r="K58" s="2"/>
    </row>
    <row r="59" spans="1:22" ht="15">
      <c r="A59" s="3">
        <v>75</v>
      </c>
      <c r="B59" s="3">
        <v>300</v>
      </c>
      <c r="C59" s="3">
        <f t="shared" si="0"/>
        <v>4</v>
      </c>
      <c r="D59" s="3">
        <v>183</v>
      </c>
      <c r="E59" s="3" t="s">
        <v>90</v>
      </c>
      <c r="F59" s="3" t="s">
        <v>10</v>
      </c>
      <c r="G59" s="3" t="s">
        <v>79</v>
      </c>
      <c r="H59" s="4">
        <v>3.4027777777777775E-2</v>
      </c>
      <c r="I59" s="2"/>
      <c r="J59" s="2"/>
      <c r="K59" s="2"/>
    </row>
    <row r="60" spans="1:22" ht="15">
      <c r="A60" s="3">
        <v>75</v>
      </c>
      <c r="B60" s="3">
        <v>300</v>
      </c>
      <c r="C60" s="3">
        <f t="shared" si="0"/>
        <v>4</v>
      </c>
      <c r="D60" s="3">
        <v>183</v>
      </c>
      <c r="E60" s="3" t="s">
        <v>219</v>
      </c>
      <c r="F60" s="3" t="s">
        <v>10</v>
      </c>
      <c r="G60" s="3" t="s">
        <v>17</v>
      </c>
      <c r="H60" s="4">
        <v>3.4039351851851848E-2</v>
      </c>
      <c r="I60" s="24" t="str">
        <f>HYPERLINK("https://www.strava.com/activities/2193099181","Strava")</f>
        <v>Strava</v>
      </c>
      <c r="J60" s="25"/>
      <c r="K60" s="6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">
      <c r="A61" s="3">
        <v>75</v>
      </c>
      <c r="B61" s="3">
        <v>300</v>
      </c>
      <c r="C61" s="3">
        <f t="shared" si="0"/>
        <v>4</v>
      </c>
      <c r="D61" s="3">
        <v>183</v>
      </c>
      <c r="E61" s="3" t="s">
        <v>90</v>
      </c>
      <c r="F61" s="3" t="s">
        <v>10</v>
      </c>
      <c r="G61" s="3" t="s">
        <v>17</v>
      </c>
      <c r="H61" s="4">
        <v>3.4039351851851848E-2</v>
      </c>
      <c r="I61" s="30" t="s">
        <v>353</v>
      </c>
      <c r="J61" s="29"/>
      <c r="K61" s="2"/>
    </row>
    <row r="62" spans="1:22" ht="15">
      <c r="A62" s="3">
        <v>75</v>
      </c>
      <c r="B62" s="3">
        <v>300</v>
      </c>
      <c r="C62" s="3">
        <f t="shared" si="0"/>
        <v>4</v>
      </c>
      <c r="D62" s="3">
        <v>183</v>
      </c>
      <c r="E62" s="3" t="s">
        <v>192</v>
      </c>
      <c r="F62" s="3" t="s">
        <v>10</v>
      </c>
      <c r="G62" s="3" t="s">
        <v>17</v>
      </c>
      <c r="H62" s="4">
        <v>3.4050925925925929E-2</v>
      </c>
      <c r="I62" s="9" t="s">
        <v>354</v>
      </c>
      <c r="J62" s="2"/>
      <c r="K62" s="2"/>
    </row>
    <row r="63" spans="1:22" ht="15">
      <c r="A63" s="3">
        <v>75</v>
      </c>
      <c r="B63" s="3">
        <v>300</v>
      </c>
      <c r="C63" s="3">
        <f t="shared" si="0"/>
        <v>4</v>
      </c>
      <c r="D63" s="3">
        <v>183</v>
      </c>
      <c r="E63" s="3" t="s">
        <v>233</v>
      </c>
      <c r="F63" s="3" t="s">
        <v>10</v>
      </c>
      <c r="G63" s="3" t="s">
        <v>17</v>
      </c>
      <c r="H63" s="4">
        <v>3.4050925925925929E-2</v>
      </c>
      <c r="I63" s="28" t="str">
        <f>HYPERLINK("https://www.strava.com/activities/2191956190","Strava")</f>
        <v>Strava</v>
      </c>
      <c r="J63" s="29"/>
      <c r="K63" s="2"/>
    </row>
    <row r="64" spans="1:22" ht="15">
      <c r="A64" s="3">
        <v>75</v>
      </c>
      <c r="B64" s="3">
        <v>300</v>
      </c>
      <c r="C64" s="3">
        <f t="shared" si="0"/>
        <v>4</v>
      </c>
      <c r="D64" s="3">
        <v>183</v>
      </c>
      <c r="E64" s="3" t="s">
        <v>211</v>
      </c>
      <c r="F64" s="3" t="s">
        <v>10</v>
      </c>
      <c r="G64" s="3" t="s">
        <v>17</v>
      </c>
      <c r="H64" s="4">
        <v>3.4062500000000002E-2</v>
      </c>
      <c r="I64" s="24" t="str">
        <f>HYPERLINK("https://www.strava.com/activities/2193109458","Strava")</f>
        <v>Strava</v>
      </c>
      <c r="J64" s="25"/>
      <c r="K64" s="6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">
      <c r="A65" s="3">
        <v>75</v>
      </c>
      <c r="B65" s="3">
        <v>300</v>
      </c>
      <c r="C65" s="3">
        <f t="shared" si="0"/>
        <v>4</v>
      </c>
      <c r="D65" s="3">
        <v>183</v>
      </c>
      <c r="E65" s="3" t="s">
        <v>215</v>
      </c>
      <c r="F65" s="3" t="s">
        <v>10</v>
      </c>
      <c r="G65" s="3" t="s">
        <v>17</v>
      </c>
      <c r="H65" s="4">
        <v>3.4062500000000002E-2</v>
      </c>
      <c r="I65" s="28" t="str">
        <f>HYPERLINK("https://www.strava.com/activities/2770952125","Strava")</f>
        <v>Strava</v>
      </c>
      <c r="J65" s="29"/>
      <c r="K65" s="2"/>
    </row>
    <row r="66" spans="1:22" ht="15">
      <c r="A66" s="3">
        <v>75</v>
      </c>
      <c r="B66" s="3">
        <v>300</v>
      </c>
      <c r="C66" s="3">
        <f t="shared" si="0"/>
        <v>4</v>
      </c>
      <c r="D66" s="3">
        <v>183</v>
      </c>
      <c r="E66" s="3" t="s">
        <v>221</v>
      </c>
      <c r="F66" s="3" t="s">
        <v>10</v>
      </c>
      <c r="G66" s="3" t="s">
        <v>17</v>
      </c>
      <c r="H66" s="4">
        <v>3.4062500000000002E-2</v>
      </c>
      <c r="I66" s="28" t="str">
        <f>HYPERLINK("https://www.strava.com/activities/2197452255","Strava")</f>
        <v>Strava</v>
      </c>
      <c r="J66" s="29"/>
      <c r="K66" s="2"/>
    </row>
    <row r="67" spans="1:22" ht="15">
      <c r="A67" s="3">
        <v>75</v>
      </c>
      <c r="B67" s="3">
        <v>300</v>
      </c>
      <c r="C67" s="3">
        <f t="shared" si="0"/>
        <v>4</v>
      </c>
      <c r="D67" s="3">
        <v>183</v>
      </c>
      <c r="E67" s="3" t="s">
        <v>9</v>
      </c>
      <c r="F67" s="3" t="s">
        <v>10</v>
      </c>
      <c r="G67" s="3" t="s">
        <v>88</v>
      </c>
      <c r="H67" s="4">
        <v>3.4062500000000002E-2</v>
      </c>
      <c r="I67" s="2"/>
      <c r="J67" s="2"/>
      <c r="K67" s="2"/>
    </row>
    <row r="68" spans="1:22" ht="15">
      <c r="A68" s="3">
        <v>75</v>
      </c>
      <c r="B68" s="3">
        <v>300</v>
      </c>
      <c r="C68" s="3">
        <f t="shared" si="0"/>
        <v>4</v>
      </c>
      <c r="D68" s="3">
        <v>183</v>
      </c>
      <c r="E68" s="3" t="s">
        <v>13</v>
      </c>
      <c r="F68" s="3" t="s">
        <v>10</v>
      </c>
      <c r="G68" s="3" t="s">
        <v>11</v>
      </c>
      <c r="H68" s="4">
        <v>3.4074074074074076E-2</v>
      </c>
      <c r="I68" s="9" t="s">
        <v>355</v>
      </c>
      <c r="J68" s="2"/>
      <c r="K68" s="2"/>
    </row>
    <row r="69" spans="1:22" ht="15">
      <c r="A69" s="3">
        <v>75</v>
      </c>
      <c r="B69" s="3">
        <v>300</v>
      </c>
      <c r="C69" s="3">
        <f t="shared" si="0"/>
        <v>4</v>
      </c>
      <c r="D69" s="3">
        <v>183</v>
      </c>
      <c r="E69" s="3" t="s">
        <v>13</v>
      </c>
      <c r="F69" s="3" t="s">
        <v>10</v>
      </c>
      <c r="G69" s="3" t="s">
        <v>17</v>
      </c>
      <c r="H69" s="4">
        <v>3.4074074074074076E-2</v>
      </c>
      <c r="I69" s="27" t="s">
        <v>336</v>
      </c>
      <c r="J69" s="25"/>
      <c r="K69" s="6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">
      <c r="A70" s="3">
        <v>75</v>
      </c>
      <c r="B70" s="3">
        <v>300</v>
      </c>
      <c r="C70" s="3">
        <f t="shared" si="0"/>
        <v>4</v>
      </c>
      <c r="D70" s="3">
        <v>183</v>
      </c>
      <c r="E70" s="3" t="s">
        <v>227</v>
      </c>
      <c r="F70" s="3" t="s">
        <v>10</v>
      </c>
      <c r="G70" s="3" t="s">
        <v>17</v>
      </c>
      <c r="H70" s="4">
        <v>3.4074074074074076E-2</v>
      </c>
      <c r="I70" s="24" t="str">
        <f>HYPERLINK("https://www.strava.com/activities/2193029192","Strava")</f>
        <v>Strava</v>
      </c>
      <c r="J70" s="25"/>
      <c r="K70" s="6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">
      <c r="A71" s="3">
        <v>75</v>
      </c>
      <c r="B71" s="3">
        <v>300</v>
      </c>
      <c r="C71" s="3">
        <f t="shared" si="0"/>
        <v>4</v>
      </c>
      <c r="D71" s="3">
        <v>183</v>
      </c>
      <c r="E71" s="3" t="s">
        <v>9</v>
      </c>
      <c r="F71" s="3" t="s">
        <v>10</v>
      </c>
      <c r="G71" s="3" t="s">
        <v>79</v>
      </c>
      <c r="H71" s="4">
        <v>3.4074074074074076E-2</v>
      </c>
      <c r="I71" s="9" t="s">
        <v>356</v>
      </c>
      <c r="J71" s="2" t="s">
        <v>149</v>
      </c>
      <c r="K71" s="2"/>
    </row>
    <row r="72" spans="1:22" ht="15">
      <c r="A72" s="3">
        <v>75</v>
      </c>
      <c r="B72" s="3">
        <v>300</v>
      </c>
      <c r="C72" s="3">
        <f t="shared" si="0"/>
        <v>4</v>
      </c>
      <c r="D72" s="3">
        <v>183</v>
      </c>
      <c r="E72" s="3" t="s">
        <v>235</v>
      </c>
      <c r="F72" s="3" t="s">
        <v>10</v>
      </c>
      <c r="G72" s="3" t="s">
        <v>17</v>
      </c>
      <c r="H72" s="4">
        <v>3.408564814814815E-2</v>
      </c>
      <c r="I72" s="28" t="str">
        <f>HYPERLINK("https://www.strava.com/activities/2839365445","Strava")</f>
        <v>Strava</v>
      </c>
      <c r="J72" s="2"/>
      <c r="K72" s="2"/>
    </row>
    <row r="73" spans="1:22" ht="15">
      <c r="A73" s="3">
        <v>75</v>
      </c>
      <c r="B73" s="3">
        <v>300</v>
      </c>
      <c r="C73" s="3">
        <f t="shared" si="0"/>
        <v>4</v>
      </c>
      <c r="D73" s="3">
        <v>183</v>
      </c>
      <c r="E73" s="3" t="s">
        <v>217</v>
      </c>
      <c r="F73" s="3" t="s">
        <v>10</v>
      </c>
      <c r="G73" s="3" t="s">
        <v>17</v>
      </c>
      <c r="H73" s="4">
        <v>3.408564814814815E-2</v>
      </c>
      <c r="I73" s="27" t="s">
        <v>357</v>
      </c>
      <c r="J73" s="25"/>
      <c r="K73" s="6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">
      <c r="A74" s="3">
        <v>75</v>
      </c>
      <c r="B74" s="3">
        <v>300</v>
      </c>
      <c r="C74" s="3">
        <f t="shared" si="0"/>
        <v>4</v>
      </c>
      <c r="D74" s="3">
        <v>183</v>
      </c>
      <c r="E74" s="3" t="s">
        <v>9</v>
      </c>
      <c r="F74" s="3" t="s">
        <v>10</v>
      </c>
      <c r="G74" s="3" t="s">
        <v>79</v>
      </c>
      <c r="H74" s="4">
        <v>3.4097222222222223E-2</v>
      </c>
      <c r="I74" s="2"/>
      <c r="J74" s="2" t="s">
        <v>358</v>
      </c>
      <c r="K74" s="2"/>
    </row>
    <row r="75" spans="1:22" ht="15">
      <c r="A75" s="3">
        <v>75</v>
      </c>
      <c r="B75" s="3">
        <v>300</v>
      </c>
      <c r="C75" s="3">
        <f t="shared" si="0"/>
        <v>4</v>
      </c>
      <c r="D75" s="3">
        <v>183</v>
      </c>
      <c r="E75" s="3" t="s">
        <v>94</v>
      </c>
      <c r="F75" s="3" t="s">
        <v>10</v>
      </c>
      <c r="G75" s="3" t="s">
        <v>11</v>
      </c>
      <c r="H75" s="4">
        <v>3.4108796296296297E-2</v>
      </c>
      <c r="I75" s="9" t="s">
        <v>359</v>
      </c>
      <c r="J75" s="2" t="s">
        <v>153</v>
      </c>
      <c r="K75" s="2"/>
    </row>
    <row r="76" spans="1:22" ht="15">
      <c r="A76" s="3">
        <v>75</v>
      </c>
      <c r="B76" s="3">
        <v>300</v>
      </c>
      <c r="C76" s="3">
        <f t="shared" si="0"/>
        <v>4</v>
      </c>
      <c r="D76" s="3">
        <v>183</v>
      </c>
      <c r="E76" s="3" t="s">
        <v>360</v>
      </c>
      <c r="F76" s="3" t="s">
        <v>10</v>
      </c>
      <c r="G76" s="3" t="s">
        <v>17</v>
      </c>
      <c r="H76" s="4">
        <v>3.4108796296296297E-2</v>
      </c>
      <c r="I76" s="24" t="str">
        <f>HYPERLINK("https://www.strava.com/activities/2194325895","Strava")</f>
        <v>Strava</v>
      </c>
      <c r="J76" s="25"/>
      <c r="K76" s="6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">
      <c r="A77" s="3">
        <v>75</v>
      </c>
      <c r="B77" s="3">
        <v>300</v>
      </c>
      <c r="C77" s="3">
        <f t="shared" si="0"/>
        <v>4</v>
      </c>
      <c r="D77" s="3">
        <v>183</v>
      </c>
      <c r="E77" s="3" t="s">
        <v>239</v>
      </c>
      <c r="F77" s="3" t="s">
        <v>10</v>
      </c>
      <c r="G77" s="3" t="s">
        <v>17</v>
      </c>
      <c r="H77" s="4">
        <v>3.4108796296296297E-2</v>
      </c>
      <c r="I77" s="24" t="str">
        <f>HYPERLINK("https://www.strava.com/activities/2193029192","Strava")</f>
        <v>Strava</v>
      </c>
      <c r="J77" s="25"/>
      <c r="K77" s="6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">
      <c r="A78" s="3">
        <v>75</v>
      </c>
      <c r="B78" s="3">
        <v>300</v>
      </c>
      <c r="C78" s="3">
        <f t="shared" si="0"/>
        <v>4</v>
      </c>
      <c r="D78" s="3">
        <v>183</v>
      </c>
      <c r="E78" s="3" t="s">
        <v>243</v>
      </c>
      <c r="F78" s="3" t="s">
        <v>10</v>
      </c>
      <c r="G78" s="3" t="s">
        <v>17</v>
      </c>
      <c r="H78" s="4">
        <v>3.412037037037037E-2</v>
      </c>
      <c r="I78" s="24" t="str">
        <f>HYPERLINK("https://www.strava.com/activities/2194326105","Strava")</f>
        <v>Strava</v>
      </c>
      <c r="J78" s="25"/>
      <c r="K78" s="6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">
      <c r="A79" s="3">
        <v>75</v>
      </c>
      <c r="B79" s="3">
        <v>300</v>
      </c>
      <c r="C79" s="3">
        <f t="shared" si="0"/>
        <v>4</v>
      </c>
      <c r="D79" s="3">
        <v>183</v>
      </c>
      <c r="E79" s="3" t="s">
        <v>247</v>
      </c>
      <c r="F79" s="3" t="s">
        <v>10</v>
      </c>
      <c r="G79" s="3" t="s">
        <v>17</v>
      </c>
      <c r="H79" s="4">
        <v>3.412037037037037E-2</v>
      </c>
      <c r="I79" s="24" t="str">
        <f>HYPERLINK("https://www.strava.com/activities/2194326658","Strava")</f>
        <v>Strava</v>
      </c>
      <c r="J79" s="25"/>
      <c r="K79" s="6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">
      <c r="A80" s="3">
        <v>75</v>
      </c>
      <c r="B80" s="3">
        <v>300</v>
      </c>
      <c r="C80" s="3">
        <f t="shared" si="0"/>
        <v>4</v>
      </c>
      <c r="D80" s="3">
        <v>183</v>
      </c>
      <c r="E80" s="3" t="s">
        <v>9</v>
      </c>
      <c r="F80" s="3" t="s">
        <v>10</v>
      </c>
      <c r="G80" s="3" t="s">
        <v>17</v>
      </c>
      <c r="H80" s="4">
        <v>3.412037037037037E-2</v>
      </c>
      <c r="I80" s="28" t="str">
        <f>HYPERLINK("https://www.strava.com/activities/2191954587","Strava")</f>
        <v>Strava</v>
      </c>
      <c r="J80" s="29"/>
      <c r="K80" s="2"/>
    </row>
    <row r="81" spans="1:22" ht="15">
      <c r="A81" s="3">
        <v>75</v>
      </c>
      <c r="B81" s="3">
        <v>300</v>
      </c>
      <c r="C81" s="3">
        <f t="shared" si="0"/>
        <v>4</v>
      </c>
      <c r="D81" s="3">
        <v>183</v>
      </c>
      <c r="E81" s="3" t="s">
        <v>231</v>
      </c>
      <c r="F81" s="3" t="s">
        <v>10</v>
      </c>
      <c r="G81" s="3" t="s">
        <v>17</v>
      </c>
      <c r="H81" s="4">
        <v>3.4131944444444444E-2</v>
      </c>
      <c r="I81" s="24" t="str">
        <f>HYPERLINK("https://www.strava.com/activities/2193109458","Strava")</f>
        <v>Strava</v>
      </c>
      <c r="J81" s="25"/>
      <c r="K81" s="6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">
      <c r="A82" s="3">
        <v>75</v>
      </c>
      <c r="B82" s="3">
        <v>300</v>
      </c>
      <c r="C82" s="3">
        <f t="shared" si="0"/>
        <v>4</v>
      </c>
      <c r="D82" s="3">
        <v>183</v>
      </c>
      <c r="E82" s="3" t="s">
        <v>9</v>
      </c>
      <c r="F82" s="3" t="s">
        <v>10</v>
      </c>
      <c r="G82" s="3" t="s">
        <v>91</v>
      </c>
      <c r="H82" s="4">
        <v>3.4131944444444444E-2</v>
      </c>
      <c r="I82" s="2"/>
      <c r="J82" s="2"/>
      <c r="K82" s="2"/>
    </row>
    <row r="83" spans="1:22" ht="15">
      <c r="A83" s="3">
        <v>75</v>
      </c>
      <c r="B83" s="3">
        <v>300</v>
      </c>
      <c r="C83" s="3">
        <f t="shared" si="0"/>
        <v>4</v>
      </c>
      <c r="D83" s="3">
        <v>183</v>
      </c>
      <c r="E83" s="3" t="s">
        <v>166</v>
      </c>
      <c r="F83" s="3" t="s">
        <v>10</v>
      </c>
      <c r="G83" s="3" t="s">
        <v>17</v>
      </c>
      <c r="H83" s="4">
        <v>3.4143518518518517E-2</v>
      </c>
      <c r="I83" s="9" t="s">
        <v>361</v>
      </c>
      <c r="J83" s="29"/>
      <c r="K83" s="2"/>
    </row>
    <row r="84" spans="1:22" ht="15">
      <c r="A84" s="3">
        <v>75</v>
      </c>
      <c r="B84" s="3">
        <v>300</v>
      </c>
      <c r="C84" s="3">
        <f t="shared" si="0"/>
        <v>4</v>
      </c>
      <c r="D84" s="3">
        <v>183</v>
      </c>
      <c r="E84" s="3" t="s">
        <v>58</v>
      </c>
      <c r="F84" s="3" t="s">
        <v>10</v>
      </c>
      <c r="G84" s="3" t="s">
        <v>17</v>
      </c>
      <c r="H84" s="4">
        <v>3.4155092592592591E-2</v>
      </c>
      <c r="I84" s="24" t="str">
        <f>HYPERLINK("https://www.strava.com/activities/2191955476","Strava")</f>
        <v>Strava</v>
      </c>
      <c r="J84" s="29"/>
      <c r="K84" s="6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">
      <c r="A85" s="3">
        <v>75</v>
      </c>
      <c r="B85" s="3">
        <v>300</v>
      </c>
      <c r="C85" s="3">
        <f t="shared" si="0"/>
        <v>4</v>
      </c>
      <c r="D85" s="3">
        <v>183</v>
      </c>
      <c r="E85" s="3" t="s">
        <v>256</v>
      </c>
      <c r="F85" s="3" t="s">
        <v>10</v>
      </c>
      <c r="G85" s="3" t="s">
        <v>17</v>
      </c>
      <c r="H85" s="4">
        <v>3.4155092592592591E-2</v>
      </c>
      <c r="I85" s="9" t="s">
        <v>362</v>
      </c>
      <c r="J85" s="2"/>
      <c r="K85" s="2"/>
    </row>
    <row r="86" spans="1:22" ht="15">
      <c r="A86" s="3">
        <v>75</v>
      </c>
      <c r="B86" s="3">
        <v>300</v>
      </c>
      <c r="C86" s="3">
        <f t="shared" si="0"/>
        <v>4</v>
      </c>
      <c r="D86" s="3">
        <v>183</v>
      </c>
      <c r="E86" s="3" t="s">
        <v>61</v>
      </c>
      <c r="F86" s="3" t="s">
        <v>10</v>
      </c>
      <c r="G86" s="3" t="s">
        <v>17</v>
      </c>
      <c r="H86" s="4">
        <v>3.4155092592592591E-2</v>
      </c>
      <c r="I86" s="24" t="str">
        <f>HYPERLINK("https://www.strava.com/activities/2428226001","Strava")</f>
        <v>Strava</v>
      </c>
      <c r="J86" s="6"/>
      <c r="K86" s="6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">
      <c r="A87" s="3">
        <v>75</v>
      </c>
      <c r="B87" s="3">
        <v>300</v>
      </c>
      <c r="C87" s="3">
        <f t="shared" si="0"/>
        <v>4</v>
      </c>
      <c r="D87" s="3">
        <v>183</v>
      </c>
      <c r="E87" s="3" t="s">
        <v>162</v>
      </c>
      <c r="F87" s="3" t="s">
        <v>10</v>
      </c>
      <c r="G87" s="3" t="s">
        <v>17</v>
      </c>
      <c r="H87" s="4">
        <v>3.4155092592592591E-2</v>
      </c>
      <c r="I87" s="9" t="s">
        <v>363</v>
      </c>
      <c r="J87" s="2"/>
      <c r="K87" s="2"/>
    </row>
    <row r="88" spans="1:22" ht="15">
      <c r="A88" s="3">
        <v>75</v>
      </c>
      <c r="B88" s="3">
        <v>300</v>
      </c>
      <c r="C88" s="3">
        <f t="shared" si="0"/>
        <v>4</v>
      </c>
      <c r="D88" s="3">
        <v>183</v>
      </c>
      <c r="E88" s="3" t="s">
        <v>90</v>
      </c>
      <c r="F88" s="3" t="s">
        <v>10</v>
      </c>
      <c r="G88" s="3" t="s">
        <v>11</v>
      </c>
      <c r="H88" s="4">
        <v>3.4155092592592591E-2</v>
      </c>
      <c r="I88" s="2"/>
      <c r="J88" s="2"/>
      <c r="K88" s="2"/>
    </row>
    <row r="89" spans="1:22" ht="15">
      <c r="A89" s="3">
        <v>75</v>
      </c>
      <c r="B89" s="3">
        <v>300</v>
      </c>
      <c r="C89" s="3">
        <f t="shared" si="0"/>
        <v>4</v>
      </c>
      <c r="D89" s="3">
        <v>183</v>
      </c>
      <c r="E89" s="3" t="s">
        <v>251</v>
      </c>
      <c r="F89" s="3" t="s">
        <v>10</v>
      </c>
      <c r="G89" s="3" t="s">
        <v>17</v>
      </c>
      <c r="H89" s="4">
        <v>3.4166666666666665E-2</v>
      </c>
      <c r="I89" s="24" t="str">
        <f>HYPERLINK("https://www.strava.com/activities/2194326658","Strava")</f>
        <v>Strava</v>
      </c>
      <c r="J89" s="25"/>
      <c r="K89" s="6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">
      <c r="A90" s="3">
        <v>75</v>
      </c>
      <c r="B90" s="3">
        <v>300</v>
      </c>
      <c r="C90" s="3">
        <f t="shared" si="0"/>
        <v>4</v>
      </c>
      <c r="D90" s="3">
        <v>183</v>
      </c>
      <c r="E90" s="3" t="s">
        <v>179</v>
      </c>
      <c r="F90" s="3" t="s">
        <v>10</v>
      </c>
      <c r="G90" s="3" t="s">
        <v>17</v>
      </c>
      <c r="H90" s="4">
        <v>3.4178240740740738E-2</v>
      </c>
      <c r="I90" s="24" t="str">
        <f>HYPERLINK("https://www.strava.com/activities/2191955476","Strava")</f>
        <v>Strava</v>
      </c>
      <c r="J90" s="25"/>
      <c r="K90" s="6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">
      <c r="A91" s="3">
        <v>75</v>
      </c>
      <c r="B91" s="3">
        <v>300</v>
      </c>
      <c r="C91" s="3">
        <f t="shared" si="0"/>
        <v>4</v>
      </c>
      <c r="D91" s="3">
        <v>183</v>
      </c>
      <c r="E91" s="3" t="s">
        <v>19</v>
      </c>
      <c r="F91" s="3" t="s">
        <v>10</v>
      </c>
      <c r="G91" s="3" t="s">
        <v>145</v>
      </c>
      <c r="H91" s="4">
        <v>3.4178240740740738E-2</v>
      </c>
      <c r="I91" s="9" t="s">
        <v>333</v>
      </c>
      <c r="J91" s="2"/>
      <c r="K91" s="2" t="s">
        <v>298</v>
      </c>
    </row>
    <row r="92" spans="1:22" ht="15">
      <c r="A92" s="3">
        <v>75</v>
      </c>
      <c r="B92" s="3">
        <v>300</v>
      </c>
      <c r="C92" s="3">
        <f t="shared" si="0"/>
        <v>4</v>
      </c>
      <c r="D92" s="3">
        <v>183</v>
      </c>
      <c r="E92" s="3" t="s">
        <v>164</v>
      </c>
      <c r="F92" s="3" t="s">
        <v>10</v>
      </c>
      <c r="G92" s="3" t="s">
        <v>17</v>
      </c>
      <c r="H92" s="4">
        <v>3.4189814814814812E-2</v>
      </c>
      <c r="I92" s="27" t="s">
        <v>357</v>
      </c>
      <c r="J92" s="25"/>
      <c r="K92" s="6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">
      <c r="A93" s="3">
        <v>75</v>
      </c>
      <c r="B93" s="3">
        <v>300</v>
      </c>
      <c r="C93" s="3">
        <f t="shared" si="0"/>
        <v>4</v>
      </c>
      <c r="D93" s="3">
        <v>183</v>
      </c>
      <c r="E93" s="3" t="s">
        <v>190</v>
      </c>
      <c r="F93" s="3" t="s">
        <v>10</v>
      </c>
      <c r="G93" s="3" t="s">
        <v>17</v>
      </c>
      <c r="H93" s="4">
        <v>3.4189814814814812E-2</v>
      </c>
      <c r="I93" s="24" t="str">
        <f>HYPERLINK("https://www.strava.com/activities/2194326658","Strava")</f>
        <v>Strava</v>
      </c>
      <c r="J93" s="25"/>
      <c r="K93" s="6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">
      <c r="A94" s="3">
        <v>75</v>
      </c>
      <c r="B94" s="3">
        <v>300</v>
      </c>
      <c r="C94" s="3">
        <f t="shared" si="0"/>
        <v>4</v>
      </c>
      <c r="D94" s="3">
        <v>183</v>
      </c>
      <c r="E94" s="3" t="s">
        <v>77</v>
      </c>
      <c r="F94" s="3" t="s">
        <v>10</v>
      </c>
      <c r="G94" s="3" t="s">
        <v>17</v>
      </c>
      <c r="H94" s="4">
        <v>3.4201388888888892E-2</v>
      </c>
      <c r="I94" s="28" t="str">
        <f>HYPERLINK("https://www.strava.com/activities/2191954587","Strava")</f>
        <v>Strava</v>
      </c>
      <c r="J94" s="29"/>
      <c r="K94" s="2"/>
    </row>
    <row r="95" spans="1:22" ht="15">
      <c r="A95" s="3">
        <v>75</v>
      </c>
      <c r="B95" s="3">
        <v>300</v>
      </c>
      <c r="C95" s="3">
        <f t="shared" si="0"/>
        <v>4</v>
      </c>
      <c r="D95" s="3">
        <v>183</v>
      </c>
      <c r="E95" s="3" t="s">
        <v>63</v>
      </c>
      <c r="F95" s="3" t="s">
        <v>10</v>
      </c>
      <c r="G95" s="3" t="s">
        <v>17</v>
      </c>
      <c r="H95" s="4">
        <v>3.4201388888888892E-2</v>
      </c>
      <c r="I95" s="28" t="str">
        <f>HYPERLINK("https://www.strava.com/activities/2191956190","Strava")</f>
        <v>Strava</v>
      </c>
      <c r="J95" s="29"/>
      <c r="K95" s="2"/>
    </row>
    <row r="96" spans="1:22" ht="15">
      <c r="A96" s="3">
        <v>75</v>
      </c>
      <c r="B96" s="3">
        <v>300</v>
      </c>
      <c r="C96" s="3">
        <f t="shared" si="0"/>
        <v>4</v>
      </c>
      <c r="D96" s="3">
        <v>183</v>
      </c>
      <c r="E96" s="3" t="s">
        <v>19</v>
      </c>
      <c r="F96" s="3" t="s">
        <v>10</v>
      </c>
      <c r="G96" s="3" t="s">
        <v>133</v>
      </c>
      <c r="H96" s="4">
        <v>3.4201388888888892E-2</v>
      </c>
      <c r="I96" s="28" t="str">
        <f>HYPERLINK("https://www.strava.com/activities/2189659405","Strava")</f>
        <v>Strava</v>
      </c>
      <c r="J96" s="29"/>
      <c r="K96" s="2"/>
    </row>
    <row r="97" spans="1:22" ht="15">
      <c r="A97" s="3">
        <v>75</v>
      </c>
      <c r="B97" s="3">
        <v>300</v>
      </c>
      <c r="C97" s="3">
        <f t="shared" si="0"/>
        <v>4</v>
      </c>
      <c r="D97" s="3">
        <v>183</v>
      </c>
      <c r="E97" s="3" t="s">
        <v>205</v>
      </c>
      <c r="F97" s="3" t="s">
        <v>10</v>
      </c>
      <c r="G97" s="3" t="s">
        <v>17</v>
      </c>
      <c r="H97" s="4">
        <v>3.4212962962962966E-2</v>
      </c>
      <c r="I97" s="24" t="str">
        <f t="shared" ref="I97:I98" si="1">HYPERLINK("https://www.strava.com/activities/2194326105","Strava")</f>
        <v>Strava</v>
      </c>
      <c r="J97" s="25" t="s">
        <v>364</v>
      </c>
      <c r="K97" s="6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">
      <c r="A98" s="3">
        <v>75</v>
      </c>
      <c r="B98" s="3">
        <v>300</v>
      </c>
      <c r="C98" s="3">
        <f t="shared" si="0"/>
        <v>4</v>
      </c>
      <c r="D98" s="3">
        <v>183</v>
      </c>
      <c r="E98" s="3" t="s">
        <v>241</v>
      </c>
      <c r="F98" s="3" t="s">
        <v>10</v>
      </c>
      <c r="G98" s="3" t="s">
        <v>17</v>
      </c>
      <c r="H98" s="4">
        <v>3.4224537037037039E-2</v>
      </c>
      <c r="I98" s="24" t="str">
        <f t="shared" si="1"/>
        <v>Strava</v>
      </c>
      <c r="J98" s="25"/>
      <c r="K98" s="6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">
      <c r="A99" s="3">
        <v>75</v>
      </c>
      <c r="B99" s="3">
        <v>300</v>
      </c>
      <c r="C99" s="3">
        <f t="shared" si="0"/>
        <v>4</v>
      </c>
      <c r="D99" s="3">
        <v>183</v>
      </c>
      <c r="E99" s="3" t="s">
        <v>9</v>
      </c>
      <c r="F99" s="3" t="s">
        <v>10</v>
      </c>
      <c r="G99" s="3" t="s">
        <v>11</v>
      </c>
      <c r="H99" s="4">
        <v>3.4224537037037039E-2</v>
      </c>
      <c r="I99" s="2"/>
      <c r="J99" s="2"/>
      <c r="K99" s="2"/>
    </row>
    <row r="100" spans="1:22" ht="15">
      <c r="A100" s="3">
        <v>75</v>
      </c>
      <c r="B100" s="3">
        <v>300</v>
      </c>
      <c r="C100" s="3">
        <f t="shared" si="0"/>
        <v>4</v>
      </c>
      <c r="D100" s="3">
        <v>183</v>
      </c>
      <c r="E100" s="3" t="s">
        <v>245</v>
      </c>
      <c r="F100" s="3" t="s">
        <v>10</v>
      </c>
      <c r="G100" s="3" t="s">
        <v>17</v>
      </c>
      <c r="H100" s="4">
        <v>3.4236111111111113E-2</v>
      </c>
      <c r="I100" s="24" t="str">
        <f>HYPERLINK("https://www.strava.com/activities/2194325895","Strava")</f>
        <v>Strava</v>
      </c>
      <c r="J100" s="25"/>
      <c r="K100" s="6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">
      <c r="A101" s="3">
        <v>75</v>
      </c>
      <c r="B101" s="3">
        <v>300</v>
      </c>
      <c r="C101" s="3">
        <f t="shared" si="0"/>
        <v>4</v>
      </c>
      <c r="D101" s="3">
        <v>183</v>
      </c>
      <c r="E101" s="3" t="s">
        <v>197</v>
      </c>
      <c r="F101" s="3" t="s">
        <v>10</v>
      </c>
      <c r="G101" s="3" t="s">
        <v>17</v>
      </c>
      <c r="H101" s="4">
        <v>3.4247685185185187E-2</v>
      </c>
      <c r="I101" s="8" t="s">
        <v>365</v>
      </c>
      <c r="J101" s="6"/>
      <c r="K101" s="6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">
      <c r="A102" s="3">
        <v>75</v>
      </c>
      <c r="B102" s="3">
        <v>300</v>
      </c>
      <c r="C102" s="3">
        <f t="shared" si="0"/>
        <v>4</v>
      </c>
      <c r="D102" s="3">
        <v>183</v>
      </c>
      <c r="E102" s="3" t="s">
        <v>19</v>
      </c>
      <c r="F102" s="3" t="s">
        <v>10</v>
      </c>
      <c r="G102" s="3" t="s">
        <v>129</v>
      </c>
      <c r="H102" s="4">
        <v>3.425925925925926E-2</v>
      </c>
      <c r="I102" s="28" t="str">
        <f>HYPERLINK("https://www.strava.com/activities/2189567973","Strava")</f>
        <v>Strava</v>
      </c>
      <c r="J102" s="29"/>
      <c r="K102" s="2"/>
    </row>
    <row r="103" spans="1:22" ht="15">
      <c r="A103" s="3">
        <v>75</v>
      </c>
      <c r="B103" s="3">
        <v>300</v>
      </c>
      <c r="C103" s="3">
        <f t="shared" si="0"/>
        <v>4</v>
      </c>
      <c r="D103" s="3">
        <v>183</v>
      </c>
      <c r="E103" s="3" t="s">
        <v>19</v>
      </c>
      <c r="F103" s="3" t="s">
        <v>10</v>
      </c>
      <c r="G103" s="3" t="s">
        <v>124</v>
      </c>
      <c r="H103" s="4">
        <v>3.425925925925926E-2</v>
      </c>
      <c r="I103" s="9" t="s">
        <v>365</v>
      </c>
      <c r="J103" s="2"/>
      <c r="K103" s="2" t="s">
        <v>314</v>
      </c>
    </row>
    <row r="104" spans="1:22" ht="15">
      <c r="A104" s="3">
        <v>75</v>
      </c>
      <c r="B104" s="3">
        <v>300</v>
      </c>
      <c r="C104" s="3">
        <f t="shared" si="0"/>
        <v>4</v>
      </c>
      <c r="D104" s="3">
        <v>183</v>
      </c>
      <c r="E104" s="3" t="s">
        <v>258</v>
      </c>
      <c r="F104" s="3" t="s">
        <v>10</v>
      </c>
      <c r="G104" s="3" t="s">
        <v>17</v>
      </c>
      <c r="H104" s="4">
        <v>3.4270833333333334E-2</v>
      </c>
      <c r="I104" s="24" t="str">
        <f>HYPERLINK("https://www.strava.com/activities/2194326105","Strava")</f>
        <v>Strava</v>
      </c>
      <c r="J104" s="25"/>
      <c r="K104" s="6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">
      <c r="A105" s="3">
        <v>75</v>
      </c>
      <c r="B105" s="3">
        <v>300</v>
      </c>
      <c r="C105" s="3">
        <f t="shared" si="0"/>
        <v>4</v>
      </c>
      <c r="D105" s="3">
        <v>183</v>
      </c>
      <c r="E105" s="3" t="s">
        <v>19</v>
      </c>
      <c r="F105" s="3" t="s">
        <v>10</v>
      </c>
      <c r="G105" s="3" t="s">
        <v>135</v>
      </c>
      <c r="H105" s="4">
        <v>3.4270833333333334E-2</v>
      </c>
      <c r="I105" s="28" t="str">
        <f>HYPERLINK("https://www.strava.com/activities/2189659122","Strava")</f>
        <v>Strava</v>
      </c>
      <c r="J105" s="29"/>
      <c r="K105" s="2"/>
    </row>
    <row r="106" spans="1:22" ht="15">
      <c r="A106" s="3">
        <v>75</v>
      </c>
      <c r="B106" s="3">
        <v>300</v>
      </c>
      <c r="C106" s="3">
        <f t="shared" si="0"/>
        <v>4</v>
      </c>
      <c r="D106" s="3">
        <v>183</v>
      </c>
      <c r="E106" s="3" t="s">
        <v>199</v>
      </c>
      <c r="F106" s="3" t="s">
        <v>10</v>
      </c>
      <c r="G106" s="3" t="s">
        <v>17</v>
      </c>
      <c r="H106" s="4">
        <v>3.4282407407407407E-2</v>
      </c>
      <c r="I106" s="24" t="str">
        <f>HYPERLINK("https://www.strava.com/activities/2194325895","Strava")</f>
        <v>Strava</v>
      </c>
      <c r="J106" s="25"/>
      <c r="K106" s="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">
      <c r="A107" s="3">
        <v>75</v>
      </c>
      <c r="B107" s="3">
        <v>300</v>
      </c>
      <c r="C107" s="3">
        <f t="shared" si="0"/>
        <v>4</v>
      </c>
      <c r="D107" s="3">
        <v>183</v>
      </c>
      <c r="E107" s="3" t="s">
        <v>183</v>
      </c>
      <c r="F107" s="3" t="s">
        <v>10</v>
      </c>
      <c r="G107" s="3" t="s">
        <v>17</v>
      </c>
      <c r="H107" s="4">
        <v>3.4282407407407407E-2</v>
      </c>
      <c r="I107" s="9" t="s">
        <v>366</v>
      </c>
      <c r="J107" s="6"/>
      <c r="K107" s="6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">
      <c r="A108" s="3">
        <v>75</v>
      </c>
      <c r="B108" s="3">
        <v>300</v>
      </c>
      <c r="C108" s="3">
        <f t="shared" si="0"/>
        <v>4</v>
      </c>
      <c r="D108" s="3">
        <v>183</v>
      </c>
      <c r="E108" s="3" t="s">
        <v>19</v>
      </c>
      <c r="F108" s="3" t="s">
        <v>10</v>
      </c>
      <c r="G108" s="3" t="s">
        <v>367</v>
      </c>
      <c r="H108" s="4">
        <v>3.4282407407407407E-2</v>
      </c>
      <c r="I108" s="28" t="str">
        <f>HYPERLINK("https://www.strava.com/activities/2189890063","Strava")</f>
        <v>Strava</v>
      </c>
      <c r="J108" s="29"/>
      <c r="K108" s="2"/>
    </row>
    <row r="109" spans="1:22" ht="15">
      <c r="A109" s="3">
        <v>75</v>
      </c>
      <c r="B109" s="3">
        <v>300</v>
      </c>
      <c r="C109" s="3">
        <f t="shared" si="0"/>
        <v>4</v>
      </c>
      <c r="D109" s="3">
        <v>183</v>
      </c>
      <c r="E109" s="3" t="s">
        <v>19</v>
      </c>
      <c r="F109" s="3" t="s">
        <v>10</v>
      </c>
      <c r="G109" s="3" t="s">
        <v>14</v>
      </c>
      <c r="H109" s="4">
        <v>3.4282407407407407E-2</v>
      </c>
      <c r="I109" s="9" t="s">
        <v>368</v>
      </c>
      <c r="J109" s="2"/>
      <c r="K109" s="2"/>
    </row>
    <row r="110" spans="1:22" ht="15">
      <c r="A110" s="3">
        <v>75</v>
      </c>
      <c r="B110" s="3">
        <v>300</v>
      </c>
      <c r="C110" s="3">
        <f t="shared" si="0"/>
        <v>4</v>
      </c>
      <c r="D110" s="3">
        <v>183</v>
      </c>
      <c r="E110" s="3" t="s">
        <v>75</v>
      </c>
      <c r="F110" s="3" t="s">
        <v>10</v>
      </c>
      <c r="G110" s="3" t="s">
        <v>17</v>
      </c>
      <c r="H110" s="4">
        <v>3.4293981481481481E-2</v>
      </c>
      <c r="I110" s="24" t="str">
        <f>HYPERLINK("https://www.strava.com/activities/2193677713","Strava")</f>
        <v>Strava</v>
      </c>
      <c r="J110" s="25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">
      <c r="A111" s="3">
        <v>75</v>
      </c>
      <c r="B111" s="3">
        <v>300</v>
      </c>
      <c r="C111" s="3">
        <f t="shared" si="0"/>
        <v>4</v>
      </c>
      <c r="D111" s="3">
        <v>183</v>
      </c>
      <c r="E111" s="3" t="s">
        <v>19</v>
      </c>
      <c r="F111" s="3" t="s">
        <v>10</v>
      </c>
      <c r="G111" s="3" t="s">
        <v>126</v>
      </c>
      <c r="H111" s="4">
        <v>3.4293981481481481E-2</v>
      </c>
      <c r="I111" s="28" t="str">
        <f>HYPERLINK("https://www.strava.com/activities/2189774505","Strava")</f>
        <v>Strava</v>
      </c>
      <c r="J111" s="29"/>
      <c r="K111" s="2"/>
    </row>
    <row r="112" spans="1:22" ht="15">
      <c r="A112" s="3">
        <v>75</v>
      </c>
      <c r="B112" s="3">
        <v>300</v>
      </c>
      <c r="C112" s="3">
        <f t="shared" si="0"/>
        <v>4</v>
      </c>
      <c r="D112" s="3">
        <v>183</v>
      </c>
      <c r="E112" s="3" t="s">
        <v>19</v>
      </c>
      <c r="F112" s="3" t="s">
        <v>10</v>
      </c>
      <c r="G112" s="3" t="s">
        <v>213</v>
      </c>
      <c r="H112" s="4">
        <v>3.4293981481481481E-2</v>
      </c>
      <c r="I112" s="24" t="str">
        <f>HYPERLINK("https://www.strava.com/activities/2196092149","Strava")</f>
        <v>Strava</v>
      </c>
      <c r="J112" s="25"/>
      <c r="K112" s="6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">
      <c r="A113" s="3">
        <v>75</v>
      </c>
      <c r="B113" s="3">
        <v>300</v>
      </c>
      <c r="C113" s="3">
        <f t="shared" si="0"/>
        <v>4</v>
      </c>
      <c r="D113" s="3">
        <v>183</v>
      </c>
      <c r="E113" s="3" t="s">
        <v>19</v>
      </c>
      <c r="F113" s="3" t="s">
        <v>10</v>
      </c>
      <c r="G113" s="3" t="s">
        <v>118</v>
      </c>
      <c r="H113" s="4">
        <v>3.4293981481481481E-2</v>
      </c>
      <c r="I113" s="28" t="str">
        <f>HYPERLINK("https://www.strava.com/activities/2188653592","Strava")</f>
        <v>Strava</v>
      </c>
      <c r="J113" s="29"/>
      <c r="K113" s="2"/>
    </row>
    <row r="114" spans="1:22" ht="15">
      <c r="A114" s="3">
        <v>75</v>
      </c>
      <c r="B114" s="3">
        <v>300</v>
      </c>
      <c r="C114" s="3">
        <f t="shared" si="0"/>
        <v>4</v>
      </c>
      <c r="D114" s="3">
        <v>183</v>
      </c>
      <c r="E114" s="3" t="s">
        <v>19</v>
      </c>
      <c r="F114" s="3" t="s">
        <v>10</v>
      </c>
      <c r="G114" s="3" t="s">
        <v>113</v>
      </c>
      <c r="H114" s="4">
        <v>3.4293981481481481E-2</v>
      </c>
      <c r="I114" s="24" t="str">
        <f>HYPERLINK("https://www.strava.com/activities/2193677713","Strava")</f>
        <v>Strava</v>
      </c>
      <c r="J114" s="25"/>
      <c r="K114" s="6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">
      <c r="A115" s="3">
        <v>75</v>
      </c>
      <c r="B115" s="3">
        <v>300</v>
      </c>
      <c r="C115" s="3">
        <f t="shared" si="0"/>
        <v>4</v>
      </c>
      <c r="D115" s="3">
        <v>183</v>
      </c>
      <c r="E115" s="3" t="s">
        <v>19</v>
      </c>
      <c r="F115" s="3" t="s">
        <v>10</v>
      </c>
      <c r="G115" s="3" t="s">
        <v>122</v>
      </c>
      <c r="H115" s="4">
        <v>3.4305555555555554E-2</v>
      </c>
      <c r="I115" s="27" t="s">
        <v>369</v>
      </c>
      <c r="J115" s="25"/>
      <c r="K115" s="6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">
      <c r="A116" s="3">
        <v>75</v>
      </c>
      <c r="B116" s="3">
        <v>300</v>
      </c>
      <c r="C116" s="3">
        <f t="shared" si="0"/>
        <v>4</v>
      </c>
      <c r="D116" s="3">
        <v>183</v>
      </c>
      <c r="E116" s="3" t="s">
        <v>19</v>
      </c>
      <c r="F116" s="3" t="s">
        <v>10</v>
      </c>
      <c r="G116" s="3" t="s">
        <v>188</v>
      </c>
      <c r="H116" s="4">
        <v>3.4305555555555554E-2</v>
      </c>
      <c r="I116" s="28" t="str">
        <f>HYPERLINK("https://www.strava.com/activities/2189659656","Strava")</f>
        <v>Strava</v>
      </c>
      <c r="J116" s="29"/>
      <c r="K116" s="2"/>
    </row>
    <row r="117" spans="1:22" ht="15">
      <c r="A117" s="3">
        <v>75</v>
      </c>
      <c r="B117" s="3">
        <v>300</v>
      </c>
      <c r="C117" s="3">
        <f t="shared" si="0"/>
        <v>4</v>
      </c>
      <c r="D117" s="3">
        <v>183</v>
      </c>
      <c r="E117" s="3" t="s">
        <v>186</v>
      </c>
      <c r="F117" s="3" t="s">
        <v>10</v>
      </c>
      <c r="G117" s="3" t="s">
        <v>17</v>
      </c>
      <c r="H117" s="4">
        <v>3.4317129629629628E-2</v>
      </c>
      <c r="I117" s="9" t="s">
        <v>370</v>
      </c>
      <c r="J117" s="2"/>
      <c r="K117" s="2"/>
    </row>
    <row r="118" spans="1:22" ht="15">
      <c r="A118" s="3">
        <v>75</v>
      </c>
      <c r="B118" s="3">
        <v>300</v>
      </c>
      <c r="C118" s="3">
        <f t="shared" si="0"/>
        <v>4</v>
      </c>
      <c r="D118" s="3">
        <v>183</v>
      </c>
      <c r="E118" s="3" t="s">
        <v>71</v>
      </c>
      <c r="F118" s="3" t="s">
        <v>10</v>
      </c>
      <c r="G118" s="3" t="s">
        <v>17</v>
      </c>
      <c r="H118" s="4">
        <v>3.4317129629629628E-2</v>
      </c>
      <c r="I118" s="24" t="str">
        <f>HYPERLINK("https://www.strava.com/activities/2193775502","Strava")</f>
        <v>Strava</v>
      </c>
      <c r="J118" s="25"/>
      <c r="K118" s="6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">
      <c r="A119" s="3">
        <v>75</v>
      </c>
      <c r="B119" s="3">
        <v>300</v>
      </c>
      <c r="C119" s="3">
        <f t="shared" si="0"/>
        <v>4</v>
      </c>
      <c r="D119" s="3">
        <v>183</v>
      </c>
      <c r="E119" s="3" t="s">
        <v>67</v>
      </c>
      <c r="F119" s="3" t="s">
        <v>10</v>
      </c>
      <c r="G119" s="3" t="s">
        <v>17</v>
      </c>
      <c r="H119" s="4">
        <v>3.4328703703703702E-2</v>
      </c>
      <c r="I119" s="24" t="str">
        <f>HYPERLINK("https://www.strava.com/activities/2193782940","Strava")</f>
        <v>Strava</v>
      </c>
      <c r="J119" s="25"/>
      <c r="K119" s="6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">
      <c r="A120" s="3">
        <v>75</v>
      </c>
      <c r="B120" s="3">
        <v>300</v>
      </c>
      <c r="C120" s="3">
        <f t="shared" si="0"/>
        <v>4</v>
      </c>
      <c r="D120" s="3">
        <v>183</v>
      </c>
      <c r="E120" s="3" t="s">
        <v>177</v>
      </c>
      <c r="F120" s="3" t="s">
        <v>10</v>
      </c>
      <c r="G120" s="3" t="s">
        <v>17</v>
      </c>
      <c r="H120" s="4">
        <v>3.4328703703703702E-2</v>
      </c>
      <c r="I120" s="9" t="s">
        <v>371</v>
      </c>
      <c r="J120" s="2"/>
      <c r="K120" s="2"/>
    </row>
    <row r="121" spans="1:22" ht="15">
      <c r="A121" s="3">
        <v>75</v>
      </c>
      <c r="B121" s="3">
        <v>300</v>
      </c>
      <c r="C121" s="3">
        <f t="shared" si="0"/>
        <v>4</v>
      </c>
      <c r="D121" s="3">
        <v>183</v>
      </c>
      <c r="E121" s="3" t="s">
        <v>19</v>
      </c>
      <c r="F121" s="3" t="s">
        <v>10</v>
      </c>
      <c r="G121" s="3" t="s">
        <v>141</v>
      </c>
      <c r="H121" s="4">
        <v>3.4328703703703702E-2</v>
      </c>
      <c r="I121" s="28" t="str">
        <f>HYPERLINK("https://www.strava.com/activities/2191386608","Strava")</f>
        <v>Strava</v>
      </c>
      <c r="J121" s="29"/>
      <c r="K121" s="2"/>
    </row>
    <row r="122" spans="1:22" ht="15">
      <c r="A122" s="3">
        <v>75</v>
      </c>
      <c r="B122" s="3">
        <v>300</v>
      </c>
      <c r="C122" s="3">
        <f t="shared" si="0"/>
        <v>4</v>
      </c>
      <c r="D122" s="3">
        <v>183</v>
      </c>
      <c r="E122" s="3" t="s">
        <v>19</v>
      </c>
      <c r="F122" s="3" t="s">
        <v>10</v>
      </c>
      <c r="G122" s="3" t="s">
        <v>106</v>
      </c>
      <c r="H122" s="4">
        <v>3.4328703703703702E-2</v>
      </c>
      <c r="I122" s="28" t="str">
        <f>HYPERLINK("https://www.strava.com/activities/2188652384","Strava")</f>
        <v>Strava</v>
      </c>
      <c r="J122" s="29"/>
      <c r="K122" s="2"/>
    </row>
    <row r="123" spans="1:22" ht="15">
      <c r="A123" s="3">
        <v>75</v>
      </c>
      <c r="B123" s="3">
        <v>300</v>
      </c>
      <c r="C123" s="3">
        <f t="shared" si="0"/>
        <v>4</v>
      </c>
      <c r="D123" s="3">
        <v>183</v>
      </c>
      <c r="E123" s="3" t="s">
        <v>96</v>
      </c>
      <c r="F123" s="3" t="s">
        <v>10</v>
      </c>
      <c r="G123" s="3" t="s">
        <v>79</v>
      </c>
      <c r="H123" s="4">
        <v>3.4328703703703702E-2</v>
      </c>
      <c r="I123" s="9" t="s">
        <v>372</v>
      </c>
      <c r="J123" s="2"/>
      <c r="K123" s="2"/>
    </row>
    <row r="124" spans="1:22" ht="15">
      <c r="A124" s="3">
        <v>75</v>
      </c>
      <c r="B124" s="3">
        <v>300</v>
      </c>
      <c r="C124" s="3">
        <f t="shared" si="0"/>
        <v>4</v>
      </c>
      <c r="D124" s="3">
        <v>183</v>
      </c>
      <c r="E124" s="3" t="s">
        <v>174</v>
      </c>
      <c r="F124" s="3" t="s">
        <v>10</v>
      </c>
      <c r="G124" s="3" t="s">
        <v>17</v>
      </c>
      <c r="H124" s="4">
        <v>3.4340277777777775E-2</v>
      </c>
      <c r="I124" s="9" t="s">
        <v>373</v>
      </c>
      <c r="J124" s="6"/>
      <c r="K124" s="6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">
      <c r="A125" s="3">
        <v>75</v>
      </c>
      <c r="B125" s="3">
        <v>300</v>
      </c>
      <c r="C125" s="3">
        <f t="shared" si="0"/>
        <v>4</v>
      </c>
      <c r="D125" s="3">
        <v>183</v>
      </c>
      <c r="E125" s="3" t="s">
        <v>96</v>
      </c>
      <c r="F125" s="3" t="s">
        <v>10</v>
      </c>
      <c r="G125" s="3" t="s">
        <v>17</v>
      </c>
      <c r="H125" s="4">
        <v>3.4340277777777775E-2</v>
      </c>
      <c r="I125" s="9" t="s">
        <v>374</v>
      </c>
      <c r="J125" s="2"/>
      <c r="K125" s="2"/>
    </row>
    <row r="126" spans="1:22" ht="15">
      <c r="A126" s="3">
        <v>75</v>
      </c>
      <c r="B126" s="3">
        <v>300</v>
      </c>
      <c r="C126" s="3">
        <f t="shared" si="0"/>
        <v>4</v>
      </c>
      <c r="D126" s="3">
        <v>183</v>
      </c>
      <c r="E126" s="3" t="s">
        <v>19</v>
      </c>
      <c r="F126" s="3" t="s">
        <v>10</v>
      </c>
      <c r="G126" s="3" t="s">
        <v>79</v>
      </c>
      <c r="H126" s="4">
        <v>3.4351851851851849E-2</v>
      </c>
      <c r="I126" s="28" t="str">
        <f>HYPERLINK("https://www.strava.com/activities/2187643000","Strava")</f>
        <v>Strava</v>
      </c>
      <c r="J126" s="29"/>
      <c r="K126" s="2"/>
    </row>
    <row r="127" spans="1:22" ht="15">
      <c r="A127" s="3">
        <v>75</v>
      </c>
      <c r="B127" s="3">
        <v>300</v>
      </c>
      <c r="C127" s="3">
        <f t="shared" si="0"/>
        <v>4</v>
      </c>
      <c r="D127" s="3">
        <v>183</v>
      </c>
      <c r="E127" s="3" t="s">
        <v>19</v>
      </c>
      <c r="F127" s="3" t="s">
        <v>10</v>
      </c>
      <c r="G127" s="3" t="s">
        <v>375</v>
      </c>
      <c r="H127" s="4">
        <v>3.4363425925925929E-2</v>
      </c>
      <c r="I127" s="28" t="str">
        <f>HYPERLINK("https://www.strava.com/activities/2189567221","Strava")</f>
        <v>Strava</v>
      </c>
      <c r="J127" s="29"/>
      <c r="K127" s="2"/>
    </row>
    <row r="128" spans="1:22" ht="15">
      <c r="A128" s="3">
        <v>75</v>
      </c>
      <c r="B128" s="3">
        <v>300</v>
      </c>
      <c r="C128" s="3">
        <f t="shared" si="0"/>
        <v>4</v>
      </c>
      <c r="D128" s="3">
        <v>183</v>
      </c>
      <c r="E128" s="3" t="s">
        <v>19</v>
      </c>
      <c r="F128" s="3" t="s">
        <v>10</v>
      </c>
      <c r="G128" s="3" t="s">
        <v>116</v>
      </c>
      <c r="H128" s="4">
        <v>3.4375000000000003E-2</v>
      </c>
      <c r="I128" s="28" t="str">
        <f>HYPERLINK("https://www.strava.com/activities/2189567094","Strava")</f>
        <v>Strava</v>
      </c>
      <c r="J128" s="29"/>
      <c r="K128" s="2"/>
    </row>
    <row r="129" spans="1:22" ht="15">
      <c r="A129" s="3">
        <v>75</v>
      </c>
      <c r="B129" s="3">
        <v>300</v>
      </c>
      <c r="C129" s="3">
        <f t="shared" si="0"/>
        <v>4</v>
      </c>
      <c r="D129" s="3">
        <v>183</v>
      </c>
      <c r="E129" s="3" t="s">
        <v>19</v>
      </c>
      <c r="F129" s="3" t="s">
        <v>10</v>
      </c>
      <c r="G129" s="3" t="s">
        <v>253</v>
      </c>
      <c r="H129" s="4">
        <v>3.4375000000000003E-2</v>
      </c>
      <c r="I129" s="24" t="str">
        <f>HYPERLINK("https://www.strava.com/activities/2193775502","Strava")</f>
        <v>Strava</v>
      </c>
      <c r="J129" s="25"/>
      <c r="K129" s="6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">
      <c r="A130" s="3">
        <v>75</v>
      </c>
      <c r="B130" s="3">
        <v>300</v>
      </c>
      <c r="C130" s="3">
        <f t="shared" si="0"/>
        <v>4</v>
      </c>
      <c r="D130" s="3">
        <v>183</v>
      </c>
      <c r="E130" s="3" t="s">
        <v>19</v>
      </c>
      <c r="F130" s="3" t="s">
        <v>10</v>
      </c>
      <c r="G130" s="3" t="s">
        <v>17</v>
      </c>
      <c r="H130" s="4">
        <v>3.4386574074074076E-2</v>
      </c>
      <c r="I130" s="28" t="str">
        <f>HYPERLINK("https://www.strava.com/activities/2191954587","Strava")</f>
        <v>Strava</v>
      </c>
      <c r="J130" s="31"/>
      <c r="K130" s="2"/>
    </row>
    <row r="131" spans="1:22" ht="15">
      <c r="A131" s="3">
        <v>75</v>
      </c>
      <c r="B131" s="3">
        <v>300</v>
      </c>
      <c r="C131" s="3">
        <f t="shared" si="0"/>
        <v>4</v>
      </c>
      <c r="D131" s="3">
        <v>183</v>
      </c>
      <c r="E131" s="3" t="s">
        <v>16</v>
      </c>
      <c r="F131" s="3" t="s">
        <v>10</v>
      </c>
      <c r="G131" s="3" t="s">
        <v>17</v>
      </c>
      <c r="H131" s="4">
        <v>3.4386574074074076E-2</v>
      </c>
      <c r="I131" s="24" t="str">
        <f>HYPERLINK("https://www.strava.com/activities/2194326105","Strava")</f>
        <v>Strava</v>
      </c>
      <c r="J131" s="32"/>
      <c r="K131" s="6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">
      <c r="A132" s="3">
        <v>75</v>
      </c>
      <c r="B132" s="3">
        <v>300</v>
      </c>
      <c r="C132" s="3">
        <f t="shared" si="0"/>
        <v>4</v>
      </c>
      <c r="D132" s="3">
        <v>183</v>
      </c>
      <c r="E132" s="3" t="s">
        <v>19</v>
      </c>
      <c r="F132" s="3" t="s">
        <v>10</v>
      </c>
      <c r="G132" s="3" t="s">
        <v>172</v>
      </c>
      <c r="H132" s="4">
        <v>3.4386574074074076E-2</v>
      </c>
      <c r="I132" s="28" t="str">
        <f>HYPERLINK("https://www.strava.com/activities/2191574584","Strava")</f>
        <v>Strava</v>
      </c>
      <c r="J132" s="31"/>
      <c r="K132" s="2"/>
    </row>
    <row r="133" spans="1:22" ht="15">
      <c r="A133" s="3">
        <v>75</v>
      </c>
      <c r="B133" s="3">
        <v>300</v>
      </c>
      <c r="C133" s="3">
        <f t="shared" si="0"/>
        <v>4</v>
      </c>
      <c r="D133" s="3">
        <v>183</v>
      </c>
      <c r="E133" s="3" t="s">
        <v>19</v>
      </c>
      <c r="F133" s="3" t="s">
        <v>10</v>
      </c>
      <c r="G133" s="3" t="s">
        <v>91</v>
      </c>
      <c r="H133" s="4">
        <v>3.4386574074074076E-2</v>
      </c>
      <c r="I133" s="28" t="str">
        <f>HYPERLINK("https://www.strava.com/activities/2188676585","Strava")</f>
        <v>Strava</v>
      </c>
      <c r="J133" s="31"/>
      <c r="K133" s="2"/>
    </row>
    <row r="134" spans="1:22" ht="15">
      <c r="A134" s="3">
        <v>75</v>
      </c>
      <c r="B134" s="3">
        <v>300</v>
      </c>
      <c r="C134" s="3">
        <f t="shared" si="0"/>
        <v>4</v>
      </c>
      <c r="D134" s="3">
        <v>183</v>
      </c>
      <c r="E134" s="3" t="s">
        <v>249</v>
      </c>
      <c r="F134" s="3" t="s">
        <v>10</v>
      </c>
      <c r="G134" s="3" t="s">
        <v>17</v>
      </c>
      <c r="H134" s="4">
        <v>3.4409722222222223E-2</v>
      </c>
      <c r="I134" s="24" t="str">
        <f>HYPERLINK("https://www.strava.com/activities/2194325895","Strava")</f>
        <v>Strava</v>
      </c>
      <c r="J134" s="25"/>
      <c r="K134" s="6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">
      <c r="A135" s="3">
        <v>75</v>
      </c>
      <c r="B135" s="3">
        <v>300</v>
      </c>
      <c r="C135" s="3">
        <f t="shared" si="0"/>
        <v>4</v>
      </c>
      <c r="D135" s="3">
        <v>183</v>
      </c>
      <c r="E135" s="3" t="s">
        <v>168</v>
      </c>
      <c r="F135" s="3" t="s">
        <v>10</v>
      </c>
      <c r="G135" s="3" t="s">
        <v>17</v>
      </c>
      <c r="H135" s="4">
        <v>3.4409722222222223E-2</v>
      </c>
      <c r="I135" s="24" t="str">
        <f>HYPERLINK("https://www.strava.com/activities/2194326105","Strava")</f>
        <v>Strava</v>
      </c>
      <c r="J135" s="25"/>
      <c r="K135" s="6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">
      <c r="A136" s="3">
        <v>75</v>
      </c>
      <c r="B136" s="3">
        <v>300</v>
      </c>
      <c r="C136" s="3">
        <f t="shared" si="0"/>
        <v>4</v>
      </c>
      <c r="D136" s="3">
        <v>183</v>
      </c>
      <c r="E136" s="3" t="s">
        <v>203</v>
      </c>
      <c r="F136" s="3" t="s">
        <v>10</v>
      </c>
      <c r="G136" s="3" t="s">
        <v>17</v>
      </c>
      <c r="H136" s="4">
        <v>3.4409722222222223E-2</v>
      </c>
      <c r="I136" s="24" t="str">
        <f>HYPERLINK("https://www.strava.com/activities/2194326658","Strava")</f>
        <v>Strava</v>
      </c>
      <c r="J136" s="25"/>
      <c r="K136" s="6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">
      <c r="A137" s="3">
        <v>75</v>
      </c>
      <c r="B137" s="3">
        <v>300</v>
      </c>
      <c r="C137" s="3">
        <f t="shared" si="0"/>
        <v>4</v>
      </c>
      <c r="D137" s="3">
        <v>183</v>
      </c>
      <c r="E137" s="3" t="s">
        <v>19</v>
      </c>
      <c r="F137" s="3" t="s">
        <v>10</v>
      </c>
      <c r="G137" s="3" t="s">
        <v>170</v>
      </c>
      <c r="H137" s="4">
        <v>3.4409722222222223E-2</v>
      </c>
      <c r="I137" s="9" t="s">
        <v>376</v>
      </c>
      <c r="J137" s="2"/>
      <c r="K137" s="2"/>
    </row>
    <row r="138" spans="1:22" ht="15">
      <c r="A138" s="3">
        <v>75</v>
      </c>
      <c r="B138" s="3">
        <v>300</v>
      </c>
      <c r="C138" s="3">
        <f t="shared" si="0"/>
        <v>4</v>
      </c>
      <c r="D138" s="3">
        <v>183</v>
      </c>
      <c r="E138" s="3" t="s">
        <v>19</v>
      </c>
      <c r="F138" s="3" t="s">
        <v>10</v>
      </c>
      <c r="G138" s="3" t="s">
        <v>108</v>
      </c>
      <c r="H138" s="4">
        <v>3.4421296296296297E-2</v>
      </c>
      <c r="I138" s="28" t="str">
        <f>HYPERLINK("https://www.strava.com/activities/2187643608","Strava")</f>
        <v>Strava</v>
      </c>
      <c r="J138" s="29"/>
      <c r="K138" s="2"/>
    </row>
    <row r="139" spans="1:22" ht="15">
      <c r="A139" s="3">
        <v>75</v>
      </c>
      <c r="B139" s="3">
        <v>300</v>
      </c>
      <c r="C139" s="3">
        <f t="shared" si="0"/>
        <v>4</v>
      </c>
      <c r="D139" s="3">
        <v>183</v>
      </c>
      <c r="E139" s="3" t="s">
        <v>253</v>
      </c>
      <c r="F139" s="3" t="s">
        <v>10</v>
      </c>
      <c r="G139" s="3" t="s">
        <v>133</v>
      </c>
      <c r="H139" s="4">
        <v>3.4421296296296297E-2</v>
      </c>
      <c r="I139" s="24" t="str">
        <f>HYPERLINK("https://www.strava.com/activities/2302626469","Strava")</f>
        <v>Strava</v>
      </c>
      <c r="J139" s="25"/>
      <c r="K139" s="6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">
      <c r="A140" s="3">
        <v>75</v>
      </c>
      <c r="B140" s="3">
        <v>300</v>
      </c>
      <c r="C140" s="3">
        <f t="shared" si="0"/>
        <v>4</v>
      </c>
      <c r="D140" s="3">
        <v>183</v>
      </c>
      <c r="E140" s="3" t="s">
        <v>377</v>
      </c>
      <c r="F140" s="3" t="s">
        <v>10</v>
      </c>
      <c r="G140" s="3" t="s">
        <v>17</v>
      </c>
      <c r="H140" s="4">
        <v>3.4432870370370371E-2</v>
      </c>
      <c r="I140" s="24" t="str">
        <f>HYPERLINK("https://www.strava.com/activities/2194326658","Strava")</f>
        <v>Strava</v>
      </c>
      <c r="J140" s="25"/>
      <c r="K140" s="6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">
      <c r="A141" s="3">
        <v>75</v>
      </c>
      <c r="B141" s="3">
        <v>300</v>
      </c>
      <c r="C141" s="3">
        <f t="shared" si="0"/>
        <v>4</v>
      </c>
      <c r="D141" s="3">
        <v>183</v>
      </c>
      <c r="E141" s="3" t="s">
        <v>19</v>
      </c>
      <c r="F141" s="3" t="s">
        <v>10</v>
      </c>
      <c r="G141" s="3" t="s">
        <v>143</v>
      </c>
      <c r="H141" s="4">
        <v>3.4432870370370371E-2</v>
      </c>
      <c r="I141" s="28" t="str">
        <f>HYPERLINK("https://www.strava.com/activities/2191396951","Strava")</f>
        <v>Strava</v>
      </c>
      <c r="J141" s="29"/>
      <c r="K141" s="2"/>
    </row>
    <row r="142" spans="1:22" ht="15">
      <c r="A142" s="3">
        <v>75</v>
      </c>
      <c r="B142" s="3">
        <v>300</v>
      </c>
      <c r="C142" s="3">
        <f t="shared" si="0"/>
        <v>4</v>
      </c>
      <c r="D142" s="3">
        <v>183</v>
      </c>
      <c r="E142" s="3" t="s">
        <v>19</v>
      </c>
      <c r="F142" s="3" t="s">
        <v>10</v>
      </c>
      <c r="G142" s="3" t="s">
        <v>201</v>
      </c>
      <c r="H142" s="4">
        <v>3.4456018518518518E-2</v>
      </c>
      <c r="I142" s="24" t="str">
        <f>HYPERLINK("https://www.strava.com/activities/2193677713","Strava")</f>
        <v>Strava</v>
      </c>
      <c r="J142" s="25"/>
      <c r="K142" s="6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">
      <c r="A143" s="3">
        <v>75</v>
      </c>
      <c r="B143" s="3">
        <v>300</v>
      </c>
      <c r="C143" s="3">
        <f t="shared" si="0"/>
        <v>4</v>
      </c>
      <c r="D143" s="3">
        <v>183</v>
      </c>
      <c r="E143" s="3" t="s">
        <v>19</v>
      </c>
      <c r="F143" s="3" t="s">
        <v>10</v>
      </c>
      <c r="G143" s="3" t="s">
        <v>139</v>
      </c>
      <c r="H143" s="4">
        <v>3.4467592592592591E-2</v>
      </c>
      <c r="I143" s="28" t="str">
        <f>HYPERLINK("https://www.strava.com/activities/2189920302","Strava")</f>
        <v>Strava</v>
      </c>
      <c r="J143" s="29"/>
      <c r="K143" s="2"/>
    </row>
    <row r="144" spans="1:22" ht="15">
      <c r="A144" s="3">
        <v>60</v>
      </c>
      <c r="B144" s="3">
        <v>240</v>
      </c>
      <c r="C144" s="3">
        <f t="shared" si="0"/>
        <v>4</v>
      </c>
      <c r="D144" s="3">
        <v>183</v>
      </c>
      <c r="E144" s="3" t="s">
        <v>94</v>
      </c>
      <c r="F144" s="3" t="s">
        <v>10</v>
      </c>
      <c r="G144" s="3" t="s">
        <v>133</v>
      </c>
      <c r="H144" s="4">
        <v>3.4548611111111113E-2</v>
      </c>
      <c r="J144" s="21" t="s">
        <v>311</v>
      </c>
    </row>
    <row r="145" spans="1:22" ht="15">
      <c r="A145" s="3">
        <v>75</v>
      </c>
      <c r="B145" s="3">
        <v>300</v>
      </c>
      <c r="C145" s="3">
        <f t="shared" si="0"/>
        <v>4</v>
      </c>
      <c r="D145" s="3">
        <v>183</v>
      </c>
      <c r="E145" s="3" t="s">
        <v>19</v>
      </c>
      <c r="F145" s="3" t="s">
        <v>10</v>
      </c>
      <c r="G145" s="3" t="s">
        <v>302</v>
      </c>
      <c r="H145" s="4">
        <v>3.4467592592592591E-2</v>
      </c>
      <c r="I145" s="24" t="str">
        <f>HYPERLINK("https://www.strava.com/activities/2193775502","Strava")</f>
        <v>Strava</v>
      </c>
      <c r="J145" s="25"/>
      <c r="K145" s="6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">
      <c r="A146" s="3">
        <v>75</v>
      </c>
      <c r="B146" s="3">
        <v>300</v>
      </c>
      <c r="C146" s="3">
        <f t="shared" si="0"/>
        <v>4</v>
      </c>
      <c r="D146" s="3">
        <v>183</v>
      </c>
      <c r="E146" s="3" t="s">
        <v>19</v>
      </c>
      <c r="F146" s="3" t="s">
        <v>10</v>
      </c>
      <c r="G146" s="3" t="s">
        <v>131</v>
      </c>
      <c r="H146" s="4">
        <v>3.4490740740740738E-2</v>
      </c>
      <c r="I146" s="28" t="str">
        <f>HYPERLINK("https://www.strava.com/activities/2189889917","Strava")</f>
        <v>Strava</v>
      </c>
      <c r="J146" s="29"/>
      <c r="K146" s="2"/>
    </row>
    <row r="147" spans="1:22" ht="15">
      <c r="A147" s="3">
        <v>75</v>
      </c>
      <c r="B147" s="3">
        <v>300</v>
      </c>
      <c r="C147" s="3">
        <f t="shared" si="0"/>
        <v>4</v>
      </c>
      <c r="D147" s="3">
        <v>183</v>
      </c>
      <c r="E147" s="3" t="s">
        <v>19</v>
      </c>
      <c r="F147" s="3" t="s">
        <v>10</v>
      </c>
      <c r="G147" s="3" t="s">
        <v>65</v>
      </c>
      <c r="H147" s="4">
        <v>3.4490740740740738E-2</v>
      </c>
      <c r="I147" s="28" t="str">
        <f>HYPERLINK("https://www.strava.com/activities/2187642666","Strava")</f>
        <v>Strava</v>
      </c>
      <c r="J147" s="29"/>
      <c r="K147" s="2"/>
    </row>
    <row r="148" spans="1:22" ht="15">
      <c r="A148" s="3">
        <v>75</v>
      </c>
      <c r="B148" s="3">
        <v>300</v>
      </c>
      <c r="C148" s="3">
        <f t="shared" si="0"/>
        <v>4</v>
      </c>
      <c r="D148" s="3">
        <v>183</v>
      </c>
      <c r="E148" s="3" t="s">
        <v>19</v>
      </c>
      <c r="F148" s="3" t="s">
        <v>10</v>
      </c>
      <c r="G148" s="3" t="s">
        <v>11</v>
      </c>
      <c r="H148" s="4">
        <v>3.4490740740740738E-2</v>
      </c>
      <c r="I148" s="24" t="str">
        <f>HYPERLINK("https://www.strava.com/activities/2316447582","Strava")</f>
        <v>Strava</v>
      </c>
      <c r="J148" s="25"/>
      <c r="K148" s="6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">
      <c r="A149" s="3">
        <v>75</v>
      </c>
      <c r="B149" s="3">
        <v>300</v>
      </c>
      <c r="C149" s="3">
        <f t="shared" si="0"/>
        <v>4</v>
      </c>
      <c r="D149" s="3">
        <v>183</v>
      </c>
      <c r="E149" s="3" t="s">
        <v>19</v>
      </c>
      <c r="F149" s="3" t="s">
        <v>10</v>
      </c>
      <c r="G149" s="3" t="s">
        <v>137</v>
      </c>
      <c r="H149" s="4">
        <v>3.4502314814814812E-2</v>
      </c>
      <c r="I149" s="9" t="s">
        <v>378</v>
      </c>
      <c r="J149" s="2"/>
      <c r="K149" s="2"/>
    </row>
    <row r="150" spans="1:22" ht="15">
      <c r="A150" s="3">
        <v>75</v>
      </c>
      <c r="B150" s="3">
        <v>300</v>
      </c>
      <c r="C150" s="3">
        <f t="shared" si="0"/>
        <v>4</v>
      </c>
      <c r="D150" s="3">
        <v>183</v>
      </c>
      <c r="E150" s="3" t="s">
        <v>16</v>
      </c>
      <c r="F150" s="3" t="s">
        <v>10</v>
      </c>
      <c r="G150" s="3" t="s">
        <v>122</v>
      </c>
      <c r="H150" s="4">
        <v>3.4513888888888886E-2</v>
      </c>
      <c r="I150" s="9" t="s">
        <v>379</v>
      </c>
      <c r="J150" s="2"/>
      <c r="K150" s="2"/>
    </row>
    <row r="151" spans="1:22" ht="15">
      <c r="A151" s="3">
        <v>75</v>
      </c>
      <c r="B151" s="3">
        <v>300</v>
      </c>
      <c r="C151" s="3">
        <f t="shared" si="0"/>
        <v>4</v>
      </c>
      <c r="D151" s="3">
        <v>183</v>
      </c>
      <c r="E151" s="3" t="s">
        <v>16</v>
      </c>
      <c r="F151" s="3" t="s">
        <v>10</v>
      </c>
      <c r="G151" s="3" t="s">
        <v>17</v>
      </c>
      <c r="H151" s="4">
        <v>3.4583333333333334E-2</v>
      </c>
      <c r="I151" s="9" t="s">
        <v>322</v>
      </c>
      <c r="J151" s="2"/>
      <c r="K151" s="2"/>
    </row>
    <row r="152" spans="1:22" ht="15">
      <c r="A152" s="3">
        <v>75</v>
      </c>
      <c r="B152" s="3">
        <v>300</v>
      </c>
      <c r="C152" s="3">
        <f t="shared" si="0"/>
        <v>4</v>
      </c>
      <c r="D152" s="3">
        <v>183</v>
      </c>
      <c r="E152" s="3" t="s">
        <v>253</v>
      </c>
      <c r="F152" s="3" t="s">
        <v>10</v>
      </c>
      <c r="G152" s="3" t="s">
        <v>17</v>
      </c>
      <c r="H152" s="4">
        <v>3.4594907407407408E-2</v>
      </c>
      <c r="I152" s="9" t="s">
        <v>380</v>
      </c>
      <c r="J152" s="2"/>
      <c r="K152" s="2"/>
    </row>
    <row r="153" spans="1:22" ht="15">
      <c r="A153" s="3">
        <v>75</v>
      </c>
      <c r="B153" s="3">
        <v>300</v>
      </c>
      <c r="C153" s="3">
        <f t="shared" si="0"/>
        <v>4</v>
      </c>
      <c r="D153" s="3">
        <v>183</v>
      </c>
      <c r="E153" s="3" t="s">
        <v>306</v>
      </c>
      <c r="F153" s="3" t="s">
        <v>10</v>
      </c>
      <c r="G153" s="3" t="s">
        <v>17</v>
      </c>
      <c r="H153" s="4">
        <v>3.4687500000000003E-2</v>
      </c>
      <c r="I153" s="24" t="str">
        <f>HYPERLINK("https://www.strava.com/activities/2194325895","Strava")</f>
        <v>Strava</v>
      </c>
      <c r="J153" s="25"/>
      <c r="K153" s="6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">
      <c r="A154" s="3">
        <v>75</v>
      </c>
      <c r="B154" s="3">
        <v>300</v>
      </c>
      <c r="C154" s="3">
        <f t="shared" si="0"/>
        <v>4</v>
      </c>
      <c r="D154" s="3">
        <v>183</v>
      </c>
      <c r="E154" s="3" t="s">
        <v>28</v>
      </c>
      <c r="F154" s="3" t="s">
        <v>24</v>
      </c>
      <c r="G154" s="3" t="s">
        <v>133</v>
      </c>
      <c r="H154" s="4">
        <v>3.4687500000000003E-2</v>
      </c>
      <c r="I154" s="24" t="str">
        <f>HYPERLINK("https://www.strava.com/activities/2412885435","Strava")</f>
        <v>Strava</v>
      </c>
      <c r="J154" s="33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">
      <c r="A155" s="3">
        <v>75</v>
      </c>
      <c r="B155" s="3">
        <v>300</v>
      </c>
      <c r="C155" s="3">
        <f t="shared" si="0"/>
        <v>4</v>
      </c>
      <c r="D155" s="3">
        <v>183</v>
      </c>
      <c r="E155" s="3" t="s">
        <v>42</v>
      </c>
      <c r="F155" s="3" t="s">
        <v>24</v>
      </c>
      <c r="G155" s="3" t="s">
        <v>17</v>
      </c>
      <c r="H155" s="4">
        <v>3.4756944444444444E-2</v>
      </c>
      <c r="I155" s="28" t="str">
        <f>HYPERLINK("https://www.strava.com/activities/2191386608","Strava")</f>
        <v>Strava</v>
      </c>
      <c r="J155" s="29"/>
      <c r="K155" s="2"/>
    </row>
    <row r="156" spans="1:22" ht="15">
      <c r="A156" s="3">
        <v>75</v>
      </c>
      <c r="B156" s="3">
        <v>300</v>
      </c>
      <c r="C156" s="3">
        <f t="shared" si="0"/>
        <v>4</v>
      </c>
      <c r="D156" s="3">
        <v>183</v>
      </c>
      <c r="E156" s="3" t="s">
        <v>40</v>
      </c>
      <c r="F156" s="3" t="s">
        <v>24</v>
      </c>
      <c r="G156" s="3" t="s">
        <v>17</v>
      </c>
      <c r="H156" s="4">
        <v>3.4768518518518518E-2</v>
      </c>
      <c r="I156" s="9" t="s">
        <v>381</v>
      </c>
      <c r="J156" s="2"/>
      <c r="K156" s="2"/>
    </row>
    <row r="157" spans="1:22" ht="15">
      <c r="A157" s="3">
        <v>75</v>
      </c>
      <c r="B157" s="3">
        <v>300</v>
      </c>
      <c r="C157" s="3">
        <f t="shared" si="0"/>
        <v>4</v>
      </c>
      <c r="D157" s="3">
        <v>183</v>
      </c>
      <c r="E157" s="3" t="s">
        <v>260</v>
      </c>
      <c r="F157" s="3" t="s">
        <v>10</v>
      </c>
      <c r="G157" s="3" t="s">
        <v>260</v>
      </c>
      <c r="H157" s="4">
        <v>3.4768518518518518E-2</v>
      </c>
      <c r="I157" s="9" t="s">
        <v>382</v>
      </c>
      <c r="J157" s="2"/>
      <c r="K157" s="2" t="s">
        <v>314</v>
      </c>
    </row>
    <row r="158" spans="1:22" ht="15">
      <c r="A158" s="3">
        <v>75</v>
      </c>
      <c r="B158" s="3">
        <v>300</v>
      </c>
      <c r="C158" s="3">
        <f t="shared" si="0"/>
        <v>4</v>
      </c>
      <c r="D158" s="3">
        <v>183</v>
      </c>
      <c r="E158" s="3" t="s">
        <v>32</v>
      </c>
      <c r="F158" s="3" t="s">
        <v>24</v>
      </c>
      <c r="G158" s="3" t="s">
        <v>17</v>
      </c>
      <c r="H158" s="4">
        <v>3.4780092592592592E-2</v>
      </c>
      <c r="I158" s="28" t="str">
        <f>HYPERLINK("https://www.strava.com/activities/2191386608","Strava")</f>
        <v>Strava</v>
      </c>
      <c r="J158" s="29"/>
      <c r="K158" s="2"/>
    </row>
    <row r="159" spans="1:22" ht="15">
      <c r="A159" s="3">
        <v>75</v>
      </c>
      <c r="B159" s="3">
        <v>300</v>
      </c>
      <c r="C159" s="3">
        <f t="shared" si="0"/>
        <v>4</v>
      </c>
      <c r="D159" s="3">
        <v>183</v>
      </c>
      <c r="E159" s="3" t="s">
        <v>23</v>
      </c>
      <c r="F159" s="3" t="s">
        <v>24</v>
      </c>
      <c r="G159" s="3" t="s">
        <v>17</v>
      </c>
      <c r="H159" s="4">
        <v>3.4814814814814812E-2</v>
      </c>
      <c r="I159" s="9" t="s">
        <v>383</v>
      </c>
      <c r="J159" s="2"/>
      <c r="K159" s="2"/>
    </row>
    <row r="160" spans="1:22" ht="15">
      <c r="A160" s="3">
        <v>75</v>
      </c>
      <c r="B160" s="3">
        <v>300</v>
      </c>
      <c r="C160" s="3">
        <f t="shared" si="0"/>
        <v>4</v>
      </c>
      <c r="D160" s="3">
        <v>183</v>
      </c>
      <c r="E160" s="3" t="s">
        <v>38</v>
      </c>
      <c r="F160" s="3" t="s">
        <v>24</v>
      </c>
      <c r="G160" s="3" t="s">
        <v>17</v>
      </c>
      <c r="H160" s="4">
        <v>3.4837962962962966E-2</v>
      </c>
      <c r="I160" s="28" t="str">
        <f t="shared" ref="I160:I161" si="2">HYPERLINK("https://www.strava.com/activities/2191396951","Strava")</f>
        <v>Strava</v>
      </c>
      <c r="J160" s="29"/>
      <c r="K160" s="2"/>
    </row>
    <row r="161" spans="1:22" ht="15">
      <c r="A161" s="3">
        <v>75</v>
      </c>
      <c r="B161" s="3">
        <v>300</v>
      </c>
      <c r="C161" s="3">
        <f t="shared" si="0"/>
        <v>4</v>
      </c>
      <c r="D161" s="3">
        <v>183</v>
      </c>
      <c r="E161" s="3" t="s">
        <v>26</v>
      </c>
      <c r="F161" s="3" t="s">
        <v>24</v>
      </c>
      <c r="G161" s="3" t="s">
        <v>17</v>
      </c>
      <c r="H161" s="4">
        <v>3.484953703703704E-2</v>
      </c>
      <c r="I161" s="28" t="str">
        <f t="shared" si="2"/>
        <v>Strava</v>
      </c>
      <c r="J161" s="29"/>
      <c r="K161" s="2"/>
    </row>
    <row r="162" spans="1:22" ht="15">
      <c r="A162" s="3">
        <v>75</v>
      </c>
      <c r="B162" s="3">
        <v>300</v>
      </c>
      <c r="C162" s="3">
        <f t="shared" si="0"/>
        <v>4</v>
      </c>
      <c r="D162" s="3">
        <v>183</v>
      </c>
      <c r="E162" s="3" t="s">
        <v>28</v>
      </c>
      <c r="F162" s="3" t="s">
        <v>24</v>
      </c>
      <c r="G162" s="3" t="s">
        <v>17</v>
      </c>
      <c r="H162" s="4">
        <v>3.484953703703704E-2</v>
      </c>
      <c r="I162" s="24" t="str">
        <f>HYPERLINK("https://www.strava.com/activities/2415467636","Strava")</f>
        <v>Strava</v>
      </c>
      <c r="J162" s="6"/>
      <c r="K162" s="6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">
      <c r="A163" s="3">
        <v>75</v>
      </c>
      <c r="B163" s="3">
        <v>300</v>
      </c>
      <c r="C163" s="3">
        <f t="shared" si="0"/>
        <v>4</v>
      </c>
      <c r="D163" s="3">
        <v>183</v>
      </c>
      <c r="E163" s="3" t="s">
        <v>36</v>
      </c>
      <c r="F163" s="3" t="s">
        <v>24</v>
      </c>
      <c r="G163" s="3" t="s">
        <v>17</v>
      </c>
      <c r="H163" s="4">
        <v>3.4861111111111114E-2</v>
      </c>
      <c r="I163" s="9" t="s">
        <v>384</v>
      </c>
      <c r="J163" s="2"/>
      <c r="K163" s="2"/>
    </row>
    <row r="164" spans="1:22" ht="15">
      <c r="A164" s="3">
        <v>75</v>
      </c>
      <c r="B164" s="3">
        <v>300</v>
      </c>
      <c r="C164" s="3">
        <f t="shared" si="0"/>
        <v>4</v>
      </c>
      <c r="D164" s="3">
        <v>183</v>
      </c>
      <c r="E164" s="3" t="s">
        <v>52</v>
      </c>
      <c r="F164" s="3" t="s">
        <v>24</v>
      </c>
      <c r="G164" s="3" t="s">
        <v>17</v>
      </c>
      <c r="H164" s="4">
        <v>3.4861111111111114E-2</v>
      </c>
      <c r="I164" s="28" t="str">
        <f>HYPERLINK("https://www.strava.com/activities/2191954587","Strava")</f>
        <v>Strava</v>
      </c>
      <c r="J164" s="29"/>
      <c r="K164" s="2"/>
    </row>
    <row r="165" spans="1:22" ht="15">
      <c r="A165" s="3">
        <v>60</v>
      </c>
      <c r="B165" s="3">
        <v>240</v>
      </c>
      <c r="C165" s="3">
        <f t="shared" si="0"/>
        <v>4</v>
      </c>
      <c r="D165" s="3">
        <v>183</v>
      </c>
      <c r="E165" s="3" t="s">
        <v>9</v>
      </c>
      <c r="F165" s="3" t="s">
        <v>10</v>
      </c>
      <c r="G165" s="3" t="s">
        <v>11</v>
      </c>
      <c r="H165" s="4">
        <v>3.5069444444444445E-2</v>
      </c>
      <c r="I165" s="2"/>
      <c r="J165" s="9" t="s">
        <v>311</v>
      </c>
      <c r="K165" s="2"/>
    </row>
    <row r="166" spans="1:22" ht="15">
      <c r="A166" s="3">
        <v>75</v>
      </c>
      <c r="B166" s="3">
        <v>300</v>
      </c>
      <c r="C166" s="3">
        <f t="shared" si="0"/>
        <v>4</v>
      </c>
      <c r="D166" s="3">
        <v>183</v>
      </c>
      <c r="E166" s="3" t="s">
        <v>46</v>
      </c>
      <c r="F166" s="3" t="s">
        <v>24</v>
      </c>
      <c r="G166" s="3" t="s">
        <v>17</v>
      </c>
      <c r="H166" s="4">
        <v>3.4872685185185187E-2</v>
      </c>
      <c r="I166" s="24" t="str">
        <f>HYPERLINK("https://www.strava.com/activities/2191955476","Strava")</f>
        <v>Strava</v>
      </c>
      <c r="J166" s="25"/>
      <c r="K166" s="6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">
      <c r="A167" s="3">
        <v>75</v>
      </c>
      <c r="B167" s="3">
        <v>300</v>
      </c>
      <c r="C167" s="3">
        <f t="shared" si="0"/>
        <v>4</v>
      </c>
      <c r="D167" s="3">
        <v>183</v>
      </c>
      <c r="E167" s="3" t="s">
        <v>30</v>
      </c>
      <c r="F167" s="3" t="s">
        <v>24</v>
      </c>
      <c r="G167" s="3" t="s">
        <v>17</v>
      </c>
      <c r="H167" s="4">
        <v>3.4872685185185187E-2</v>
      </c>
      <c r="I167" s="28" t="str">
        <f>HYPERLINK("https://www.strava.com/activities/2191396951","Strava")</f>
        <v>Strava</v>
      </c>
      <c r="J167" s="29"/>
      <c r="K167" s="2"/>
    </row>
    <row r="168" spans="1:22" ht="15">
      <c r="A168" s="3">
        <v>75</v>
      </c>
      <c r="B168" s="3">
        <v>300</v>
      </c>
      <c r="C168" s="3">
        <f t="shared" si="0"/>
        <v>4</v>
      </c>
      <c r="D168" s="3">
        <v>183</v>
      </c>
      <c r="E168" s="3" t="s">
        <v>385</v>
      </c>
      <c r="F168" s="3" t="s">
        <v>24</v>
      </c>
      <c r="G168" s="3" t="s">
        <v>17</v>
      </c>
      <c r="H168" s="4">
        <v>3.4884259259259261E-2</v>
      </c>
      <c r="I168" s="28" t="str">
        <f>HYPERLINK("https://www.strava.com/activities/2191574584","Strava")</f>
        <v>Strava</v>
      </c>
      <c r="J168" s="29"/>
      <c r="K168" s="2"/>
    </row>
    <row r="169" spans="1:22" ht="15">
      <c r="A169" s="3">
        <v>75</v>
      </c>
      <c r="B169" s="3">
        <v>300</v>
      </c>
      <c r="C169" s="3">
        <f t="shared" si="0"/>
        <v>4</v>
      </c>
      <c r="D169" s="3">
        <v>183</v>
      </c>
      <c r="E169" s="3" t="s">
        <v>48</v>
      </c>
      <c r="F169" s="3" t="s">
        <v>24</v>
      </c>
      <c r="G169" s="3" t="s">
        <v>17</v>
      </c>
      <c r="H169" s="4">
        <v>3.4965277777777776E-2</v>
      </c>
      <c r="I169" s="28" t="str">
        <f t="shared" ref="I169:I170" si="3">HYPERLINK("https://www.strava.com/activities/2191956190","Strava")</f>
        <v>Strava</v>
      </c>
      <c r="J169" s="29"/>
      <c r="K169" s="2"/>
    </row>
    <row r="170" spans="1:22" ht="15">
      <c r="A170" s="3">
        <v>75</v>
      </c>
      <c r="B170" s="3">
        <v>300</v>
      </c>
      <c r="C170" s="3">
        <f t="shared" si="0"/>
        <v>4</v>
      </c>
      <c r="D170" s="3">
        <v>183</v>
      </c>
      <c r="E170" s="3" t="s">
        <v>50</v>
      </c>
      <c r="F170" s="3" t="s">
        <v>24</v>
      </c>
      <c r="G170" s="3" t="s">
        <v>17</v>
      </c>
      <c r="H170" s="4">
        <v>3.5000000000000003E-2</v>
      </c>
      <c r="I170" s="28" t="str">
        <f t="shared" si="3"/>
        <v>Strava</v>
      </c>
      <c r="J170" s="29"/>
      <c r="K170" s="2"/>
    </row>
    <row r="171" spans="1:22" ht="15">
      <c r="A171" s="3">
        <v>75</v>
      </c>
      <c r="B171" s="3">
        <v>300</v>
      </c>
      <c r="C171" s="3">
        <f t="shared" si="0"/>
        <v>4</v>
      </c>
      <c r="D171" s="3">
        <v>183</v>
      </c>
      <c r="E171" s="3" t="s">
        <v>56</v>
      </c>
      <c r="F171" s="3" t="s">
        <v>24</v>
      </c>
      <c r="G171" s="3" t="s">
        <v>17</v>
      </c>
      <c r="H171" s="4">
        <v>3.5057870370370371E-2</v>
      </c>
      <c r="I171" s="28" t="str">
        <f>HYPERLINK("https://www.strava.com/activities/2191954587","Strava")</f>
        <v>Strava</v>
      </c>
      <c r="J171" s="29"/>
      <c r="K171" s="2"/>
    </row>
    <row r="172" spans="1:22" ht="15">
      <c r="A172" s="3">
        <v>75</v>
      </c>
      <c r="B172" s="3">
        <v>300</v>
      </c>
      <c r="C172" s="3">
        <f t="shared" si="0"/>
        <v>4</v>
      </c>
      <c r="D172" s="3">
        <v>183</v>
      </c>
      <c r="E172" s="3" t="s">
        <v>34</v>
      </c>
      <c r="F172" s="3" t="s">
        <v>24</v>
      </c>
      <c r="G172" s="3" t="s">
        <v>17</v>
      </c>
      <c r="H172" s="4">
        <v>3.516203703703704E-2</v>
      </c>
      <c r="I172" s="24" t="str">
        <f>HYPERLINK("https://www.strava.com/activities/2191955476","Strava")</f>
        <v>Strava</v>
      </c>
      <c r="J172" s="25"/>
      <c r="K172" s="6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">
      <c r="A173" s="3">
        <v>75</v>
      </c>
      <c r="B173" s="3">
        <v>300</v>
      </c>
      <c r="C173" s="3">
        <f t="shared" si="0"/>
        <v>4</v>
      </c>
      <c r="D173" s="3">
        <v>183</v>
      </c>
      <c r="E173" s="3" t="s">
        <v>201</v>
      </c>
      <c r="F173" s="3" t="s">
        <v>10</v>
      </c>
      <c r="G173" s="3" t="s">
        <v>17</v>
      </c>
      <c r="H173" s="4">
        <v>3.5277777777777776E-2</v>
      </c>
      <c r="I173" s="9" t="s">
        <v>386</v>
      </c>
      <c r="J173" s="2"/>
      <c r="K173" s="2"/>
    </row>
    <row r="174" spans="1:22" ht="15">
      <c r="A174" s="3">
        <v>75</v>
      </c>
      <c r="B174" s="3">
        <v>300</v>
      </c>
      <c r="C174" s="3">
        <f t="shared" si="0"/>
        <v>4</v>
      </c>
      <c r="D174" s="3">
        <v>183</v>
      </c>
      <c r="E174" s="3" t="s">
        <v>270</v>
      </c>
      <c r="F174" s="3" t="s">
        <v>267</v>
      </c>
      <c r="G174" s="3" t="s">
        <v>268</v>
      </c>
      <c r="H174" s="4">
        <v>3.5706018518518519E-2</v>
      </c>
      <c r="I174" s="9" t="s">
        <v>387</v>
      </c>
      <c r="J174" s="2"/>
      <c r="K174" s="2"/>
    </row>
    <row r="175" spans="1:22" ht="15">
      <c r="A175" s="3">
        <v>75</v>
      </c>
      <c r="B175" s="3">
        <v>300</v>
      </c>
      <c r="C175" s="3">
        <f t="shared" si="0"/>
        <v>4</v>
      </c>
      <c r="D175" s="3">
        <v>183</v>
      </c>
      <c r="E175" s="3" t="s">
        <v>266</v>
      </c>
      <c r="F175" s="3" t="s">
        <v>267</v>
      </c>
      <c r="G175" s="3" t="s">
        <v>268</v>
      </c>
      <c r="H175" s="4">
        <v>3.5868055555555556E-2</v>
      </c>
      <c r="I175" s="9" t="s">
        <v>388</v>
      </c>
      <c r="J175" s="2"/>
      <c r="K175" s="2"/>
    </row>
    <row r="176" spans="1:22" ht="15">
      <c r="A176" s="3">
        <v>50</v>
      </c>
      <c r="B176" s="3">
        <v>200</v>
      </c>
      <c r="C176" s="3">
        <f t="shared" si="0"/>
        <v>4</v>
      </c>
      <c r="D176" s="3">
        <v>183</v>
      </c>
      <c r="E176" s="3" t="s">
        <v>19</v>
      </c>
      <c r="F176" s="3" t="s">
        <v>10</v>
      </c>
      <c r="G176" s="3" t="s">
        <v>17</v>
      </c>
      <c r="H176" s="4">
        <v>3.6064814814814813E-2</v>
      </c>
      <c r="I176" s="9" t="s">
        <v>389</v>
      </c>
      <c r="J176" s="2"/>
      <c r="K176" s="2"/>
    </row>
    <row r="177" spans="1:11" ht="15">
      <c r="A177" s="3">
        <v>75</v>
      </c>
      <c r="B177" s="3">
        <v>225</v>
      </c>
      <c r="C177" s="3">
        <f t="shared" si="0"/>
        <v>3</v>
      </c>
      <c r="D177" s="3">
        <v>183</v>
      </c>
      <c r="E177" s="3" t="s">
        <v>13</v>
      </c>
      <c r="F177" s="3" t="s">
        <v>10</v>
      </c>
      <c r="G177" s="3" t="s">
        <v>14</v>
      </c>
      <c r="H177" s="4">
        <v>4.4432870370370373E-2</v>
      </c>
      <c r="I177" s="9" t="s">
        <v>313</v>
      </c>
      <c r="J177" s="2"/>
      <c r="K177" s="2" t="s">
        <v>314</v>
      </c>
    </row>
    <row r="178" spans="1:11" ht="15">
      <c r="A178" s="3">
        <v>75</v>
      </c>
      <c r="B178" s="3">
        <v>300</v>
      </c>
      <c r="C178" s="3">
        <f t="shared" si="0"/>
        <v>4</v>
      </c>
      <c r="D178" s="3">
        <v>183</v>
      </c>
      <c r="E178" s="3" t="s">
        <v>272</v>
      </c>
      <c r="F178" s="3" t="s">
        <v>267</v>
      </c>
      <c r="G178" s="3" t="s">
        <v>268</v>
      </c>
      <c r="H178" s="4">
        <v>3.605324074074074E-2</v>
      </c>
      <c r="I178" s="9" t="s">
        <v>390</v>
      </c>
      <c r="J178" s="2"/>
      <c r="K178" s="2"/>
    </row>
    <row r="179" spans="1:11" ht="15">
      <c r="A179" s="3">
        <v>75</v>
      </c>
      <c r="B179" s="3">
        <v>225</v>
      </c>
      <c r="C179" s="3">
        <f t="shared" si="0"/>
        <v>3</v>
      </c>
      <c r="D179" s="3">
        <v>183</v>
      </c>
      <c r="E179" s="3" t="s">
        <v>19</v>
      </c>
      <c r="F179" s="3" t="s">
        <v>10</v>
      </c>
      <c r="G179" s="3" t="s">
        <v>17</v>
      </c>
      <c r="H179" s="4">
        <v>4.4953703703703704E-2</v>
      </c>
      <c r="I179" s="9" t="s">
        <v>391</v>
      </c>
      <c r="J179" s="2"/>
      <c r="K179" s="2"/>
    </row>
    <row r="180" spans="1:11" ht="15">
      <c r="A180" s="3">
        <v>75</v>
      </c>
      <c r="B180" s="3">
        <v>225</v>
      </c>
      <c r="C180" s="3">
        <f t="shared" si="0"/>
        <v>3</v>
      </c>
      <c r="D180" s="3">
        <v>183</v>
      </c>
      <c r="E180" s="3" t="s">
        <v>16</v>
      </c>
      <c r="F180" s="3" t="s">
        <v>10</v>
      </c>
      <c r="G180" s="3" t="s">
        <v>17</v>
      </c>
      <c r="H180" s="4">
        <v>4.5254629629629631E-2</v>
      </c>
      <c r="I180" s="9" t="s">
        <v>322</v>
      </c>
      <c r="J180" s="2"/>
      <c r="K180" s="2" t="s">
        <v>314</v>
      </c>
    </row>
    <row r="181" spans="1:11" ht="15">
      <c r="A181" s="3">
        <v>50</v>
      </c>
      <c r="B181" s="3">
        <v>150</v>
      </c>
      <c r="C181" s="3">
        <f t="shared" si="0"/>
        <v>3</v>
      </c>
      <c r="D181" s="3">
        <v>183</v>
      </c>
      <c r="E181" s="3" t="s">
        <v>19</v>
      </c>
      <c r="F181" s="3" t="s">
        <v>10</v>
      </c>
      <c r="G181" s="3" t="s">
        <v>17</v>
      </c>
      <c r="H181" s="4">
        <v>4.7106481481481478E-2</v>
      </c>
      <c r="I181" s="9" t="s">
        <v>392</v>
      </c>
      <c r="J181" s="2"/>
      <c r="K181" s="2"/>
    </row>
    <row r="182" spans="1:11" ht="15">
      <c r="A182" s="3">
        <v>75</v>
      </c>
      <c r="B182" s="3">
        <v>150</v>
      </c>
      <c r="C182" s="3">
        <f t="shared" si="0"/>
        <v>2</v>
      </c>
      <c r="D182" s="3">
        <v>183</v>
      </c>
      <c r="E182" s="3" t="s">
        <v>94</v>
      </c>
      <c r="F182" s="3" t="s">
        <v>10</v>
      </c>
      <c r="G182" s="3" t="s">
        <v>133</v>
      </c>
      <c r="H182" s="4">
        <v>6.5231481481481488E-2</v>
      </c>
      <c r="I182" s="11" t="s">
        <v>393</v>
      </c>
      <c r="J182" s="2"/>
      <c r="K182" s="2" t="s">
        <v>314</v>
      </c>
    </row>
    <row r="183" spans="1:11" ht="15">
      <c r="A183" s="3">
        <v>75</v>
      </c>
      <c r="B183" s="3">
        <v>225</v>
      </c>
      <c r="C183" s="3">
        <f t="shared" si="0"/>
        <v>3</v>
      </c>
      <c r="D183" s="3">
        <v>183</v>
      </c>
      <c r="E183" s="3" t="s">
        <v>94</v>
      </c>
      <c r="F183" s="3" t="s">
        <v>10</v>
      </c>
      <c r="G183" s="3" t="s">
        <v>133</v>
      </c>
      <c r="H183" s="4">
        <v>4.4189814814814814E-2</v>
      </c>
      <c r="I183" s="9" t="s">
        <v>394</v>
      </c>
      <c r="J183" s="2"/>
      <c r="K183" s="2" t="s">
        <v>314</v>
      </c>
    </row>
    <row r="184" spans="1:11" ht="15">
      <c r="A184" s="3">
        <v>75</v>
      </c>
      <c r="B184" s="3">
        <v>300</v>
      </c>
      <c r="C184" s="3">
        <f t="shared" si="0"/>
        <v>4</v>
      </c>
      <c r="D184" s="3">
        <v>183</v>
      </c>
      <c r="E184" s="3" t="s">
        <v>268</v>
      </c>
      <c r="F184" s="3" t="s">
        <v>267</v>
      </c>
      <c r="G184" s="3" t="s">
        <v>268</v>
      </c>
      <c r="H184" s="4">
        <v>3.6064814814814813E-2</v>
      </c>
      <c r="I184" s="9" t="s">
        <v>395</v>
      </c>
      <c r="J184" s="2"/>
      <c r="K184" s="2"/>
    </row>
    <row r="185" spans="1:11" ht="15">
      <c r="A185" s="3">
        <v>75</v>
      </c>
      <c r="B185" s="3">
        <v>375</v>
      </c>
      <c r="C185" s="3">
        <f t="shared" si="0"/>
        <v>5</v>
      </c>
      <c r="D185" s="3">
        <v>183</v>
      </c>
      <c r="E185" s="3" t="s">
        <v>94</v>
      </c>
      <c r="F185" s="3" t="s">
        <v>10</v>
      </c>
      <c r="G185" s="3" t="s">
        <v>133</v>
      </c>
      <c r="H185" s="4">
        <v>2.7662037037037037E-2</v>
      </c>
      <c r="I185" s="9" t="s">
        <v>394</v>
      </c>
      <c r="J185" s="2"/>
      <c r="K185" s="2" t="s">
        <v>314</v>
      </c>
    </row>
    <row r="186" spans="1:11" ht="15">
      <c r="A186" s="3">
        <v>75</v>
      </c>
      <c r="B186" s="3">
        <v>150</v>
      </c>
      <c r="C186" s="3">
        <f t="shared" si="0"/>
        <v>2</v>
      </c>
      <c r="D186" s="3">
        <v>183</v>
      </c>
      <c r="E186" s="3" t="s">
        <v>13</v>
      </c>
      <c r="F186" s="3" t="s">
        <v>10</v>
      </c>
      <c r="G186" s="3" t="s">
        <v>14</v>
      </c>
      <c r="H186" s="4">
        <v>6.564814814814815E-2</v>
      </c>
      <c r="I186" s="11" t="s">
        <v>313</v>
      </c>
      <c r="J186" s="2"/>
      <c r="K186" s="2" t="s">
        <v>314</v>
      </c>
    </row>
    <row r="187" spans="1:11" ht="15">
      <c r="A187" s="3">
        <v>100</v>
      </c>
      <c r="B187" s="3">
        <v>200</v>
      </c>
      <c r="C187" s="3">
        <f t="shared" si="0"/>
        <v>2</v>
      </c>
      <c r="D187" s="3">
        <v>183</v>
      </c>
      <c r="E187" s="3" t="s">
        <v>19</v>
      </c>
      <c r="F187" s="3" t="s">
        <v>10</v>
      </c>
      <c r="G187" s="3" t="s">
        <v>17</v>
      </c>
      <c r="H187" s="4">
        <v>6.4837962962962958E-2</v>
      </c>
      <c r="I187" s="9" t="s">
        <v>396</v>
      </c>
      <c r="J187" s="2"/>
      <c r="K187" s="2"/>
    </row>
    <row r="188" spans="1:11" ht="15">
      <c r="A188" s="3">
        <v>75</v>
      </c>
      <c r="B188" s="3">
        <v>150</v>
      </c>
      <c r="C188" s="3">
        <f t="shared" si="0"/>
        <v>2</v>
      </c>
      <c r="D188" s="3">
        <v>183</v>
      </c>
      <c r="E188" s="3" t="s">
        <v>19</v>
      </c>
      <c r="F188" s="3" t="s">
        <v>10</v>
      </c>
      <c r="G188" s="3" t="s">
        <v>17</v>
      </c>
      <c r="H188" s="4">
        <v>6.6412037037037033E-2</v>
      </c>
      <c r="I188" s="9" t="s">
        <v>397</v>
      </c>
      <c r="J188" s="2"/>
      <c r="K188" s="2"/>
    </row>
    <row r="189" spans="1:11" ht="15">
      <c r="A189" s="3">
        <v>75</v>
      </c>
      <c r="B189" s="3">
        <v>150</v>
      </c>
      <c r="C189" s="3">
        <f t="shared" si="0"/>
        <v>2</v>
      </c>
      <c r="D189" s="3">
        <v>183</v>
      </c>
      <c r="E189" s="3" t="s">
        <v>16</v>
      </c>
      <c r="F189" s="3" t="s">
        <v>10</v>
      </c>
      <c r="G189" s="3" t="s">
        <v>17</v>
      </c>
      <c r="H189" s="4">
        <v>6.6851851851851857E-2</v>
      </c>
      <c r="I189" s="11" t="s">
        <v>322</v>
      </c>
      <c r="J189" s="2"/>
      <c r="K189" s="2" t="s">
        <v>314</v>
      </c>
    </row>
    <row r="190" spans="1:11" ht="15">
      <c r="A190" s="3">
        <v>75</v>
      </c>
      <c r="B190" s="3">
        <v>300</v>
      </c>
      <c r="C190" s="3">
        <f t="shared" si="0"/>
        <v>4</v>
      </c>
      <c r="D190" s="3">
        <v>183</v>
      </c>
      <c r="E190" s="3" t="s">
        <v>274</v>
      </c>
      <c r="F190" s="3" t="s">
        <v>267</v>
      </c>
      <c r="G190" s="3" t="s">
        <v>268</v>
      </c>
      <c r="H190" s="4">
        <v>3.6087962962962961E-2</v>
      </c>
      <c r="I190" s="9" t="s">
        <v>398</v>
      </c>
      <c r="J190" s="2"/>
      <c r="K190" s="2"/>
    </row>
    <row r="191" spans="1:11" ht="15">
      <c r="A191" s="3">
        <v>75</v>
      </c>
      <c r="B191" s="3">
        <v>300</v>
      </c>
      <c r="C191" s="3">
        <f t="shared" si="0"/>
        <v>4</v>
      </c>
      <c r="D191" s="3">
        <v>183</v>
      </c>
      <c r="E191" s="3" t="s">
        <v>284</v>
      </c>
      <c r="F191" s="3" t="s">
        <v>285</v>
      </c>
      <c r="G191" s="3" t="s">
        <v>286</v>
      </c>
      <c r="H191" s="4">
        <v>3.7835648148148146E-2</v>
      </c>
      <c r="I191" s="9" t="s">
        <v>399</v>
      </c>
      <c r="J191" s="2"/>
      <c r="K191" s="2" t="s">
        <v>400</v>
      </c>
    </row>
    <row r="192" spans="1:11" ht="15">
      <c r="A192" s="3">
        <v>50</v>
      </c>
      <c r="B192" s="3">
        <v>100</v>
      </c>
      <c r="C192" s="3">
        <f t="shared" si="0"/>
        <v>2</v>
      </c>
      <c r="D192" s="3">
        <v>183</v>
      </c>
      <c r="E192" s="3" t="s">
        <v>19</v>
      </c>
      <c r="F192" s="3" t="s">
        <v>10</v>
      </c>
      <c r="G192" s="3" t="s">
        <v>17</v>
      </c>
      <c r="H192" s="4">
        <v>6.9467592592592595E-2</v>
      </c>
      <c r="I192" s="16" t="s">
        <v>401</v>
      </c>
      <c r="J192" s="2"/>
      <c r="K192" s="17"/>
    </row>
    <row r="193" spans="1:11" ht="15">
      <c r="A193" s="3">
        <v>75</v>
      </c>
      <c r="B193" s="3">
        <v>300</v>
      </c>
      <c r="C193" s="3">
        <f t="shared" si="0"/>
        <v>4</v>
      </c>
      <c r="D193" s="3">
        <v>183</v>
      </c>
      <c r="E193" s="3" t="s">
        <v>289</v>
      </c>
      <c r="F193" s="3" t="s">
        <v>285</v>
      </c>
      <c r="G193" s="3" t="s">
        <v>286</v>
      </c>
      <c r="H193" s="4">
        <v>3.784722222222222E-2</v>
      </c>
      <c r="I193" s="9" t="s">
        <v>402</v>
      </c>
      <c r="J193" s="2"/>
      <c r="K193" s="2" t="s">
        <v>400</v>
      </c>
    </row>
    <row r="194" spans="1:11" ht="15">
      <c r="A194" s="3">
        <v>75</v>
      </c>
      <c r="B194" s="3">
        <v>300</v>
      </c>
      <c r="C194" s="3">
        <f t="shared" si="0"/>
        <v>4</v>
      </c>
      <c r="D194" s="3">
        <v>183</v>
      </c>
      <c r="E194" s="3" t="s">
        <v>291</v>
      </c>
      <c r="F194" s="3" t="s">
        <v>285</v>
      </c>
      <c r="G194" s="3" t="s">
        <v>286</v>
      </c>
      <c r="H194" s="4">
        <v>3.7962962962962962E-2</v>
      </c>
      <c r="I194" s="9" t="s">
        <v>403</v>
      </c>
      <c r="J194" s="2"/>
      <c r="K194" s="2" t="s">
        <v>400</v>
      </c>
    </row>
    <row r="195" spans="1:11" ht="15">
      <c r="A195" s="3">
        <v>75</v>
      </c>
      <c r="B195" s="3">
        <v>300</v>
      </c>
      <c r="C195" s="3">
        <f t="shared" si="0"/>
        <v>4</v>
      </c>
      <c r="D195" s="3">
        <v>183</v>
      </c>
      <c r="E195" s="3" t="s">
        <v>286</v>
      </c>
      <c r="F195" s="3" t="s">
        <v>285</v>
      </c>
      <c r="G195" s="3" t="s">
        <v>286</v>
      </c>
      <c r="H195" s="4">
        <v>3.8078703703703705E-2</v>
      </c>
      <c r="I195" s="9" t="s">
        <v>404</v>
      </c>
      <c r="J195" s="2"/>
      <c r="K195" s="2" t="s">
        <v>400</v>
      </c>
    </row>
    <row r="196" spans="1:11" ht="15">
      <c r="A196" s="3">
        <v>100</v>
      </c>
      <c r="B196" s="3">
        <v>300</v>
      </c>
      <c r="C196" s="3">
        <f t="shared" si="0"/>
        <v>3</v>
      </c>
      <c r="D196" s="3">
        <v>183</v>
      </c>
      <c r="E196" s="3" t="s">
        <v>19</v>
      </c>
      <c r="F196" s="3" t="s">
        <v>10</v>
      </c>
      <c r="G196" s="3" t="s">
        <v>17</v>
      </c>
      <c r="H196" s="4">
        <v>4.3842592592592593E-2</v>
      </c>
      <c r="I196" s="9" t="s">
        <v>405</v>
      </c>
      <c r="J196" s="2"/>
      <c r="K196" s="2"/>
    </row>
    <row r="197" spans="1:11" ht="15">
      <c r="A197" s="3">
        <v>75</v>
      </c>
      <c r="B197" s="3">
        <v>300</v>
      </c>
      <c r="C197" s="3">
        <f t="shared" si="0"/>
        <v>4</v>
      </c>
      <c r="D197" s="3">
        <v>183</v>
      </c>
      <c r="E197" s="3" t="s">
        <v>406</v>
      </c>
      <c r="F197" s="3" t="s">
        <v>285</v>
      </c>
      <c r="G197" s="3" t="s">
        <v>286</v>
      </c>
      <c r="H197" s="4">
        <v>3.8483796296296294E-2</v>
      </c>
      <c r="I197" s="9" t="s">
        <v>407</v>
      </c>
      <c r="J197" s="2"/>
      <c r="K197" s="2"/>
    </row>
    <row r="198" spans="1:11" ht="15">
      <c r="A198" s="3">
        <v>75</v>
      </c>
      <c r="B198" s="3">
        <v>300</v>
      </c>
      <c r="C198" s="3">
        <f t="shared" si="0"/>
        <v>4</v>
      </c>
      <c r="D198" s="3">
        <v>183</v>
      </c>
      <c r="E198" s="3" t="s">
        <v>284</v>
      </c>
      <c r="F198" s="3" t="s">
        <v>285</v>
      </c>
      <c r="G198" s="3" t="s">
        <v>286</v>
      </c>
      <c r="H198" s="4">
        <v>3.8553240740740742E-2</v>
      </c>
      <c r="I198" s="9" t="s">
        <v>408</v>
      </c>
      <c r="J198" s="2"/>
      <c r="K198" s="2" t="s">
        <v>298</v>
      </c>
    </row>
    <row r="199" spans="1:11" ht="15">
      <c r="A199" s="3">
        <v>75</v>
      </c>
      <c r="B199" s="3">
        <v>300</v>
      </c>
      <c r="C199" s="3">
        <f t="shared" si="0"/>
        <v>4</v>
      </c>
      <c r="D199" s="3">
        <v>183</v>
      </c>
      <c r="E199" s="3" t="s">
        <v>289</v>
      </c>
      <c r="F199" s="3" t="s">
        <v>285</v>
      </c>
      <c r="G199" s="3" t="s">
        <v>286</v>
      </c>
      <c r="H199" s="4">
        <v>3.861111111111111E-2</v>
      </c>
      <c r="I199" s="9" t="s">
        <v>409</v>
      </c>
      <c r="J199" s="2"/>
      <c r="K199" s="2" t="s">
        <v>298</v>
      </c>
    </row>
    <row r="200" spans="1:11" ht="15">
      <c r="A200" s="3">
        <v>75</v>
      </c>
      <c r="B200" s="3">
        <v>300</v>
      </c>
      <c r="C200" s="3">
        <f t="shared" si="0"/>
        <v>4</v>
      </c>
      <c r="D200" s="3">
        <v>183</v>
      </c>
      <c r="E200" s="3" t="s">
        <v>289</v>
      </c>
      <c r="F200" s="3" t="s">
        <v>285</v>
      </c>
      <c r="G200" s="3" t="s">
        <v>286</v>
      </c>
      <c r="H200" s="4">
        <v>3.861111111111111E-2</v>
      </c>
      <c r="I200" s="9" t="s">
        <v>409</v>
      </c>
      <c r="J200" s="2"/>
      <c r="K200" s="2" t="s">
        <v>298</v>
      </c>
    </row>
    <row r="201" spans="1:11" ht="15">
      <c r="A201" s="3">
        <v>75</v>
      </c>
      <c r="B201" s="3">
        <v>300</v>
      </c>
      <c r="C201" s="3">
        <f t="shared" si="0"/>
        <v>4</v>
      </c>
      <c r="D201" s="3">
        <v>183</v>
      </c>
      <c r="E201" s="3" t="s">
        <v>291</v>
      </c>
      <c r="F201" s="3" t="s">
        <v>285</v>
      </c>
      <c r="G201" s="3" t="s">
        <v>286</v>
      </c>
      <c r="H201" s="4">
        <v>3.8680555555555558E-2</v>
      </c>
      <c r="I201" s="9" t="s">
        <v>410</v>
      </c>
      <c r="J201" s="2"/>
      <c r="K201" s="2" t="s">
        <v>298</v>
      </c>
    </row>
    <row r="202" spans="1:11" ht="15">
      <c r="A202" s="3">
        <v>75</v>
      </c>
      <c r="B202" s="3">
        <v>300</v>
      </c>
      <c r="C202" s="3">
        <f t="shared" si="0"/>
        <v>4</v>
      </c>
      <c r="D202" s="3">
        <v>183</v>
      </c>
      <c r="E202" s="3" t="s">
        <v>286</v>
      </c>
      <c r="F202" s="3" t="s">
        <v>285</v>
      </c>
      <c r="G202" s="3" t="s">
        <v>286</v>
      </c>
      <c r="H202" s="4">
        <v>3.8807870370370368E-2</v>
      </c>
      <c r="I202" s="9" t="s">
        <v>411</v>
      </c>
      <c r="J202" s="2"/>
      <c r="K202" s="2" t="s">
        <v>298</v>
      </c>
    </row>
    <row r="999" spans="1:11" ht="15">
      <c r="A999" s="3">
        <v>75</v>
      </c>
      <c r="B999" s="3">
        <v>300</v>
      </c>
      <c r="C999" s="3">
        <f>B999/A999</f>
        <v>4</v>
      </c>
      <c r="D999" s="3">
        <v>183</v>
      </c>
      <c r="E999" s="3" t="s">
        <v>9</v>
      </c>
      <c r="F999" s="3" t="s">
        <v>10</v>
      </c>
      <c r="G999" s="3" t="s">
        <v>79</v>
      </c>
      <c r="H999" s="4">
        <v>3.4074074074074076E-2</v>
      </c>
      <c r="I999" s="9" t="s">
        <v>412</v>
      </c>
      <c r="J999" s="2"/>
      <c r="K999" s="2"/>
    </row>
    <row r="1000" spans="1:11" ht="12.75">
      <c r="I1000" s="34"/>
      <c r="J1000" s="34"/>
    </row>
  </sheetData>
  <autoFilter ref="A1:I999" xr:uid="{00000000-0009-0000-0000-000001000000}"/>
  <customSheetViews>
    <customSheetView guid="{5B966157-D76D-4ACD-A64E-35B71110F4A8}" filter="1" showAutoFilter="1">
      <pageMargins left="0.7" right="0.7" top="0.75" bottom="0.75" header="0.3" footer="0.3"/>
      <autoFilter ref="A1:I1000" xr:uid="{6029DA93-47A6-4AA1-9610-D382470D8B4C}">
        <filterColumn colId="0">
          <filters blank="1">
            <filter val="60"/>
            <filter val="75"/>
            <filter val="90"/>
          </filters>
        </filterColumn>
        <filterColumn colId="1">
          <filters blank="1">
            <filter val="100"/>
            <filter val="225"/>
            <filter val="240"/>
            <filter val="360"/>
          </filters>
        </filterColumn>
        <filterColumn colId="3">
          <filters blank="1">
            <filter val="183"/>
          </filters>
        </filterColumn>
        <filterColumn colId="4">
          <filters blank="1">
            <filter val="BMC SLR01"/>
            <filter val="BMC Timemachine01"/>
            <filter val="Bridgestone SR9s"/>
            <filter val="Cannondale CAAD12"/>
            <filter val="Cannondale Evo"/>
            <filter val="Cannondale SuperSix EVO"/>
            <filter val="Cannondale Synapse"/>
            <filter val="Cannondale SystemSix"/>
            <filter val="Canyon Aeroad 2021"/>
            <filter val="Canyon Grail"/>
            <filter val="Canyon Inflite"/>
            <filter val="Canyon Lux"/>
            <filter val="Canyon Speedmax"/>
            <filter val="Canyon Speedmax CF SLX Disc"/>
            <filter val="Canyon Ultimate"/>
            <filter val="Cervelo Aspero"/>
            <filter val="Cervelo P5"/>
            <filter val="Cervelo P5x"/>
            <filter val="Cervelo R5"/>
            <filter val="Cervelo S3D"/>
            <filter val="Chapter2 Rere"/>
            <filter val="Chapter2 Tere"/>
            <filter val="Colnago V3RS"/>
            <filter val="Cube Aerium"/>
            <filter val="Cube Litening"/>
            <filter val="Diamondback Andean"/>
            <filter val="Factor One"/>
            <filter val="Felt AR"/>
            <filter val="Felt IA"/>
            <filter val="Focus Izalco Max 2020"/>
            <filter val="Giant Propel Advanced SL Disc"/>
            <filter val="Giant TCR Advanced SL"/>
            <filter val="Giant TCR Advanced SL Disc"/>
            <filter val="Lauf True Grit"/>
            <filter val="Liv Langma Advanced SL 0"/>
            <filter val="OLD Canyon Aeroad 2021"/>
            <filter val="OLD Specialized Tarmac Pro"/>
            <filter val="Parlee RZ7"/>
            <filter val="Pinarello Bolide"/>
            <filter val="Pinarello Bolide TT"/>
            <filter val="Pinarello Dogma 65.1"/>
            <filter val="Pinarello Dogma F"/>
            <filter val="Pinarello Dogma F10"/>
            <filter val="Pinarello Dogma F12"/>
            <filter val="Pinarello F8"/>
            <filter val="Ribble Endurance"/>
            <filter val="Ridley Helium"/>
            <filter val="Ridley Noah Fast Disc"/>
            <filter val="Scott Foil"/>
            <filter val="Scott Plasma"/>
            <filter val="Scott Spark RC"/>
            <filter val="Specialized Aethos"/>
            <filter val="Specialized Allez"/>
            <filter val="Specialized Allez Sprint"/>
            <filter val="Specialized Amira"/>
            <filter val="Specialized Amira S-Works"/>
            <filter val="Specialized Epic S-Works"/>
            <filter val="Specialized Roubaix"/>
            <filter val="Specialized Roubaix S-Works"/>
            <filter val="Specialized Ruby"/>
            <filter val="Specialized Ruby S-Works"/>
            <filter val="Specialized Shiv"/>
            <filter val="Specialized Shiv Disc"/>
            <filter val="Specialized Shiv S-Works"/>
            <filter val="Specialized Tarmac"/>
            <filter val="Specialized Tarmac Pro"/>
            <filter val="Specialized Tarmac SL7"/>
            <filter val="Specialized Venge"/>
            <filter val="Specialized Venge S-Works"/>
            <filter val="Trek Emonda"/>
            <filter val="Trek Emonda SL"/>
            <filter val="Trek Supercaliber"/>
            <filter val="Tron (Concept Z1)"/>
            <filter val="Ventum One"/>
            <filter val="Zwift Big Wheel"/>
            <filter val="Zwift Buffalo Fahrrad"/>
            <filter val="Zwift Carbon"/>
            <filter val="Zwift Gravel"/>
            <filter val="Zwift Mountain"/>
            <filter val="Zwift Safety"/>
            <filter val="Zwift Steel"/>
            <filter val="Zwift TT"/>
          </filters>
        </filterColumn>
        <filterColumn colId="6">
          <filters blank="1">
            <filter val="32mm Carbon"/>
            <filter val="50mm Carbon"/>
            <filter val="Bontrager Aeolus5"/>
            <filter val="Campagnolo Bora Ultra 50"/>
            <filter val="Campagnolo Boral Ultra 35"/>
            <filter val="DT Swiss ARC 62"/>
            <filter val="ENVE 3.4"/>
            <filter val="ENVE 7.8"/>
            <filter val="ENVE SES 2.2"/>
            <filter val="ENVE SES 3.4"/>
            <filter val="ENVE SES 6.7"/>
            <filter val="ENVE SES 7.8"/>
            <filter val="ENVE SES 8.9"/>
            <filter val="Giant SLR 0"/>
            <filter val="Lightweight Meilenstein"/>
            <filter val="Mavic Comete Pro Carbon SL UST"/>
            <filter val="Mavic Cosmic Ultimate UST"/>
            <filter val="Roval Alpinist CLX"/>
            <filter val="Roval CLX 64"/>
            <filter val="Roval Rapide CLX"/>
            <filter val="Shimano C40"/>
            <filter val="Shimano C60"/>
            <filter val="Tron"/>
            <filter val="Zipp 353 NSW"/>
            <filter val="Zipp 454"/>
            <filter val="Zipp 808/Super9"/>
            <filter val="Zipp 858"/>
            <filter val="Zipp 858/Super9"/>
            <filter val="Zwift Big Wheel"/>
            <filter val="Zwift Buffalo Fahrrad"/>
            <filter val="Zwift Classic"/>
            <filter val="Zwift Gravel"/>
            <filter val="Zwift Mountain"/>
            <filter val="Zwift Safety"/>
          </filters>
        </filterColumn>
      </autoFilter>
    </customSheetView>
  </customSheetViews>
  <hyperlinks>
    <hyperlink ref="J2" r:id="rId1" xr:uid="{00000000-0004-0000-0100-000000000000}"/>
    <hyperlink ref="I4" r:id="rId2" xr:uid="{00000000-0004-0000-0100-000001000000}"/>
    <hyperlink ref="J5" r:id="rId3" xr:uid="{00000000-0004-0000-0100-000002000000}"/>
    <hyperlink ref="I6" r:id="rId4" xr:uid="{00000000-0004-0000-0100-000003000000}"/>
    <hyperlink ref="I8" r:id="rId5" xr:uid="{00000000-0004-0000-0100-000004000000}"/>
    <hyperlink ref="I9" r:id="rId6" xr:uid="{00000000-0004-0000-0100-000005000000}"/>
    <hyperlink ref="I10" r:id="rId7" xr:uid="{00000000-0004-0000-0100-000006000000}"/>
    <hyperlink ref="I11" r:id="rId8" xr:uid="{00000000-0004-0000-0100-000007000000}"/>
    <hyperlink ref="I12" r:id="rId9" xr:uid="{00000000-0004-0000-0100-000008000000}"/>
    <hyperlink ref="I14" r:id="rId10" xr:uid="{00000000-0004-0000-0100-000009000000}"/>
    <hyperlink ref="I15" r:id="rId11" xr:uid="{00000000-0004-0000-0100-00000A000000}"/>
    <hyperlink ref="I16" r:id="rId12" xr:uid="{00000000-0004-0000-0100-00000B000000}"/>
    <hyperlink ref="I18" r:id="rId13" xr:uid="{00000000-0004-0000-0100-00000C000000}"/>
    <hyperlink ref="I22" r:id="rId14" xr:uid="{00000000-0004-0000-0100-00000D000000}"/>
    <hyperlink ref="I25" r:id="rId15" xr:uid="{00000000-0004-0000-0100-00000E000000}"/>
    <hyperlink ref="I26" r:id="rId16" xr:uid="{00000000-0004-0000-0100-00000F000000}"/>
    <hyperlink ref="I27" r:id="rId17" xr:uid="{00000000-0004-0000-0100-000010000000}"/>
    <hyperlink ref="I28" r:id="rId18" xr:uid="{00000000-0004-0000-0100-000011000000}"/>
    <hyperlink ref="I29" r:id="rId19" xr:uid="{00000000-0004-0000-0100-000012000000}"/>
    <hyperlink ref="I30" r:id="rId20" xr:uid="{00000000-0004-0000-0100-000013000000}"/>
    <hyperlink ref="I37" r:id="rId21" xr:uid="{00000000-0004-0000-0100-000014000000}"/>
    <hyperlink ref="I40" r:id="rId22" xr:uid="{00000000-0004-0000-0100-000015000000}"/>
    <hyperlink ref="I41" r:id="rId23" xr:uid="{00000000-0004-0000-0100-000016000000}"/>
    <hyperlink ref="I42" r:id="rId24" xr:uid="{00000000-0004-0000-0100-000017000000}"/>
    <hyperlink ref="I44" r:id="rId25" xr:uid="{00000000-0004-0000-0100-000018000000}"/>
    <hyperlink ref="I48" r:id="rId26" xr:uid="{00000000-0004-0000-0100-000019000000}"/>
    <hyperlink ref="I49" r:id="rId27" xr:uid="{00000000-0004-0000-0100-00001A000000}"/>
    <hyperlink ref="I50" r:id="rId28" xr:uid="{00000000-0004-0000-0100-00001B000000}"/>
    <hyperlink ref="I52" r:id="rId29" xr:uid="{00000000-0004-0000-0100-00001C000000}"/>
    <hyperlink ref="I53" r:id="rId30" xr:uid="{00000000-0004-0000-0100-00001D000000}"/>
    <hyperlink ref="I61" r:id="rId31" xr:uid="{00000000-0004-0000-0100-00001E000000}"/>
    <hyperlink ref="I62" r:id="rId32" xr:uid="{00000000-0004-0000-0100-00001F000000}"/>
    <hyperlink ref="I68" r:id="rId33" xr:uid="{00000000-0004-0000-0100-000020000000}"/>
    <hyperlink ref="I69" r:id="rId34" xr:uid="{00000000-0004-0000-0100-000021000000}"/>
    <hyperlink ref="I71" r:id="rId35" xr:uid="{00000000-0004-0000-0100-000022000000}"/>
    <hyperlink ref="I73" r:id="rId36" xr:uid="{00000000-0004-0000-0100-000023000000}"/>
    <hyperlink ref="I75" r:id="rId37" xr:uid="{00000000-0004-0000-0100-000024000000}"/>
    <hyperlink ref="I83" r:id="rId38" xr:uid="{00000000-0004-0000-0100-000025000000}"/>
    <hyperlink ref="I85" r:id="rId39" xr:uid="{00000000-0004-0000-0100-000026000000}"/>
    <hyperlink ref="I87" r:id="rId40" xr:uid="{00000000-0004-0000-0100-000027000000}"/>
    <hyperlink ref="I91" r:id="rId41" xr:uid="{00000000-0004-0000-0100-000028000000}"/>
    <hyperlink ref="I92" r:id="rId42" xr:uid="{00000000-0004-0000-0100-000029000000}"/>
    <hyperlink ref="I101" r:id="rId43" xr:uid="{00000000-0004-0000-0100-00002A000000}"/>
    <hyperlink ref="I103" r:id="rId44" xr:uid="{00000000-0004-0000-0100-00002B000000}"/>
    <hyperlink ref="I107" r:id="rId45" xr:uid="{00000000-0004-0000-0100-00002C000000}"/>
    <hyperlink ref="I109" r:id="rId46" xr:uid="{00000000-0004-0000-0100-00002D000000}"/>
    <hyperlink ref="I115" r:id="rId47" xr:uid="{00000000-0004-0000-0100-00002E000000}"/>
    <hyperlink ref="I117" r:id="rId48" xr:uid="{00000000-0004-0000-0100-00002F000000}"/>
    <hyperlink ref="I120" r:id="rId49" xr:uid="{00000000-0004-0000-0100-000030000000}"/>
    <hyperlink ref="I123" r:id="rId50" xr:uid="{00000000-0004-0000-0100-000031000000}"/>
    <hyperlink ref="I124" r:id="rId51" xr:uid="{00000000-0004-0000-0100-000032000000}"/>
    <hyperlink ref="I125" r:id="rId52" xr:uid="{00000000-0004-0000-0100-000033000000}"/>
    <hyperlink ref="I137" r:id="rId53" xr:uid="{00000000-0004-0000-0100-000034000000}"/>
    <hyperlink ref="J144" r:id="rId54" xr:uid="{00000000-0004-0000-0100-000035000000}"/>
    <hyperlink ref="I149" r:id="rId55" xr:uid="{00000000-0004-0000-0100-000036000000}"/>
    <hyperlink ref="I150" r:id="rId56" xr:uid="{00000000-0004-0000-0100-000037000000}"/>
    <hyperlink ref="I151" r:id="rId57" xr:uid="{00000000-0004-0000-0100-000038000000}"/>
    <hyperlink ref="I152" r:id="rId58" xr:uid="{00000000-0004-0000-0100-000039000000}"/>
    <hyperlink ref="I156" r:id="rId59" xr:uid="{00000000-0004-0000-0100-00003A000000}"/>
    <hyperlink ref="I157" r:id="rId60" xr:uid="{00000000-0004-0000-0100-00003B000000}"/>
    <hyperlink ref="I159" r:id="rId61" xr:uid="{00000000-0004-0000-0100-00003C000000}"/>
    <hyperlink ref="I163" r:id="rId62" xr:uid="{00000000-0004-0000-0100-00003D000000}"/>
    <hyperlink ref="J165" r:id="rId63" xr:uid="{00000000-0004-0000-0100-00003E000000}"/>
    <hyperlink ref="I173" r:id="rId64" xr:uid="{00000000-0004-0000-0100-00003F000000}"/>
    <hyperlink ref="I174" r:id="rId65" xr:uid="{00000000-0004-0000-0100-000040000000}"/>
    <hyperlink ref="I175" r:id="rId66" xr:uid="{00000000-0004-0000-0100-000041000000}"/>
    <hyperlink ref="I176" r:id="rId67" xr:uid="{00000000-0004-0000-0100-000042000000}"/>
    <hyperlink ref="I177" r:id="rId68" xr:uid="{00000000-0004-0000-0100-000043000000}"/>
    <hyperlink ref="I178" r:id="rId69" xr:uid="{00000000-0004-0000-0100-000044000000}"/>
    <hyperlink ref="I179" r:id="rId70" xr:uid="{00000000-0004-0000-0100-000045000000}"/>
    <hyperlink ref="I180" r:id="rId71" xr:uid="{00000000-0004-0000-0100-000046000000}"/>
    <hyperlink ref="I181" r:id="rId72" xr:uid="{00000000-0004-0000-0100-000047000000}"/>
    <hyperlink ref="I182" r:id="rId73" xr:uid="{00000000-0004-0000-0100-000048000000}"/>
    <hyperlink ref="I183" r:id="rId74" xr:uid="{00000000-0004-0000-0100-000049000000}"/>
    <hyperlink ref="I184" r:id="rId75" xr:uid="{00000000-0004-0000-0100-00004A000000}"/>
    <hyperlink ref="I185" r:id="rId76" xr:uid="{00000000-0004-0000-0100-00004B000000}"/>
    <hyperlink ref="I186" r:id="rId77" xr:uid="{00000000-0004-0000-0100-00004C000000}"/>
    <hyperlink ref="I187" r:id="rId78" xr:uid="{00000000-0004-0000-0100-00004D000000}"/>
    <hyperlink ref="I188" r:id="rId79" xr:uid="{00000000-0004-0000-0100-00004E000000}"/>
    <hyperlink ref="I189" r:id="rId80" xr:uid="{00000000-0004-0000-0100-00004F000000}"/>
    <hyperlink ref="I190" r:id="rId81" xr:uid="{00000000-0004-0000-0100-000050000000}"/>
    <hyperlink ref="I191" r:id="rId82" xr:uid="{00000000-0004-0000-0100-000051000000}"/>
    <hyperlink ref="I192" r:id="rId83" xr:uid="{00000000-0004-0000-0100-000052000000}"/>
    <hyperlink ref="I193" r:id="rId84" xr:uid="{00000000-0004-0000-0100-000053000000}"/>
    <hyperlink ref="I194" r:id="rId85" xr:uid="{00000000-0004-0000-0100-000054000000}"/>
    <hyperlink ref="I195" r:id="rId86" xr:uid="{00000000-0004-0000-0100-000055000000}"/>
    <hyperlink ref="I196" r:id="rId87" xr:uid="{00000000-0004-0000-0100-000056000000}"/>
    <hyperlink ref="I197" r:id="rId88" xr:uid="{00000000-0004-0000-0100-000057000000}"/>
    <hyperlink ref="I198" r:id="rId89" xr:uid="{00000000-0004-0000-0100-000058000000}"/>
    <hyperlink ref="I199" r:id="rId90" xr:uid="{00000000-0004-0000-0100-000059000000}"/>
    <hyperlink ref="I200" r:id="rId91" xr:uid="{00000000-0004-0000-0100-00005A000000}"/>
    <hyperlink ref="I201" r:id="rId92" xr:uid="{00000000-0004-0000-0100-00005B000000}"/>
    <hyperlink ref="I202" r:id="rId93" xr:uid="{00000000-0004-0000-0100-00005C000000}"/>
    <hyperlink ref="I999" r:id="rId94" xr:uid="{00000000-0004-0000-0100-00005D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  <col min="6" max="6" width="16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454</v>
      </c>
      <c r="H1" s="1" t="s">
        <v>472</v>
      </c>
      <c r="I1" s="1" t="s">
        <v>632</v>
      </c>
      <c r="J1" s="1" t="s">
        <v>554</v>
      </c>
      <c r="K1" s="1" t="s">
        <v>632</v>
      </c>
      <c r="L1" s="1" t="s">
        <v>555</v>
      </c>
      <c r="M1" s="1"/>
      <c r="N1" s="1" t="s">
        <v>8</v>
      </c>
    </row>
    <row r="2" spans="1:25" ht="15.75" customHeight="1">
      <c r="A2" s="3"/>
      <c r="B2" s="3"/>
      <c r="C2" s="3"/>
      <c r="D2" s="3"/>
      <c r="E2" s="57" t="s">
        <v>633</v>
      </c>
      <c r="F2" s="3"/>
      <c r="G2" s="4"/>
      <c r="H2" s="4"/>
      <c r="I2" s="36"/>
      <c r="J2" s="4"/>
      <c r="K2" s="58"/>
      <c r="L2" s="48"/>
      <c r="M2" s="48"/>
    </row>
    <row r="3" spans="1:25" ht="15.75" customHeight="1">
      <c r="A3" s="3">
        <v>75</v>
      </c>
      <c r="B3" s="3">
        <v>375</v>
      </c>
      <c r="C3" s="3">
        <f>B3/A3</f>
        <v>5</v>
      </c>
      <c r="D3" s="3">
        <v>183</v>
      </c>
      <c r="E3" s="49" t="s">
        <v>32</v>
      </c>
      <c r="F3" s="3" t="s">
        <v>634</v>
      </c>
      <c r="G3" s="4">
        <v>1.0868055555555556E-2</v>
      </c>
      <c r="H3" s="4">
        <f t="shared" ref="H3:H18" si="0">G3-J3</f>
        <v>5.4398148148148157E-3</v>
      </c>
      <c r="I3" s="36">
        <f t="shared" ref="I3:I18" si="1">H3/(H3+J3)</f>
        <v>0.50053248136315232</v>
      </c>
      <c r="J3" s="4">
        <v>5.4282407407407404E-3</v>
      </c>
      <c r="K3" s="58">
        <f t="shared" ref="K3:K18" si="2">J3/(H3+J3)</f>
        <v>0.49946751863684763</v>
      </c>
      <c r="L3" s="48"/>
      <c r="M3" s="28" t="str">
        <f>HYPERLINK("https://www.strava.com/activities/2365413947","Strava")</f>
        <v>Strava</v>
      </c>
    </row>
    <row r="4" spans="1:25" ht="15.75" customHeight="1">
      <c r="A4" s="3">
        <v>75</v>
      </c>
      <c r="B4" s="3" t="s">
        <v>635</v>
      </c>
      <c r="C4" s="3"/>
      <c r="D4" s="3">
        <v>183</v>
      </c>
      <c r="E4" s="49" t="s">
        <v>26</v>
      </c>
      <c r="F4" s="3" t="s">
        <v>634</v>
      </c>
      <c r="G4" s="4">
        <v>1.2337962962962964E-2</v>
      </c>
      <c r="H4" s="4">
        <f t="shared" si="0"/>
        <v>6.1921296296296308E-3</v>
      </c>
      <c r="I4" s="36">
        <f t="shared" si="1"/>
        <v>0.50187617260787998</v>
      </c>
      <c r="J4" s="4">
        <v>6.145833333333333E-3</v>
      </c>
      <c r="K4" s="58">
        <f t="shared" si="2"/>
        <v>0.49812382739212002</v>
      </c>
      <c r="L4" s="48"/>
      <c r="M4" s="28" t="str">
        <f>HYPERLINK("https://www.strava.com/activities/2365048721","Strava")</f>
        <v>Strava</v>
      </c>
      <c r="N4" s="10" t="s">
        <v>636</v>
      </c>
    </row>
    <row r="5" spans="1:25" ht="15.75" customHeight="1">
      <c r="A5" s="3">
        <v>75</v>
      </c>
      <c r="B5" s="3" t="s">
        <v>635</v>
      </c>
      <c r="C5" s="3"/>
      <c r="D5" s="3">
        <v>183</v>
      </c>
      <c r="E5" s="3" t="s">
        <v>73</v>
      </c>
      <c r="F5" s="3" t="s">
        <v>351</v>
      </c>
      <c r="G5" s="4">
        <v>1.2361111111111111E-2</v>
      </c>
      <c r="H5" s="4">
        <f t="shared" si="0"/>
        <v>6.3888888888888884E-3</v>
      </c>
      <c r="I5" s="36">
        <f t="shared" si="1"/>
        <v>0.51685393258426959</v>
      </c>
      <c r="J5" s="4">
        <v>5.9722222222222225E-3</v>
      </c>
      <c r="K5" s="58">
        <f t="shared" si="2"/>
        <v>0.48314606741573035</v>
      </c>
      <c r="L5" s="48"/>
      <c r="M5" s="28" t="str">
        <f>HYPERLINK("https://www.strava.com/activities/2365248411","Strava")</f>
        <v>Strava</v>
      </c>
    </row>
    <row r="6" spans="1:25" ht="15.75" customHeight="1">
      <c r="A6" s="3">
        <v>75</v>
      </c>
      <c r="B6" s="3" t="s">
        <v>635</v>
      </c>
      <c r="C6" s="3"/>
      <c r="D6" s="3">
        <v>183</v>
      </c>
      <c r="E6" s="3" t="s">
        <v>94</v>
      </c>
      <c r="F6" s="3" t="s">
        <v>133</v>
      </c>
      <c r="G6" s="4">
        <v>1.2418981481481482E-2</v>
      </c>
      <c r="H6" s="4">
        <f t="shared" si="0"/>
        <v>6.4930555555555566E-3</v>
      </c>
      <c r="I6" s="36">
        <f t="shared" si="1"/>
        <v>0.52283317800559181</v>
      </c>
      <c r="J6" s="4">
        <v>5.9259259259259256E-3</v>
      </c>
      <c r="K6" s="58">
        <f t="shared" si="2"/>
        <v>0.47716682199440813</v>
      </c>
      <c r="L6" s="48"/>
      <c r="M6" s="28" t="str">
        <f>HYPERLINK("https://www.strava.com/activities/2365123415","Strava")</f>
        <v>Strava</v>
      </c>
      <c r="N6" s="10" t="s">
        <v>636</v>
      </c>
    </row>
    <row r="7" spans="1:25" ht="15.75" customHeight="1">
      <c r="A7" s="3">
        <v>75</v>
      </c>
      <c r="B7" s="3">
        <v>300</v>
      </c>
      <c r="C7" s="3">
        <f t="shared" ref="C7:C23" si="3">B7/A7</f>
        <v>4</v>
      </c>
      <c r="D7" s="3">
        <v>183</v>
      </c>
      <c r="E7" s="49" t="s">
        <v>32</v>
      </c>
      <c r="F7" s="3" t="s">
        <v>79</v>
      </c>
      <c r="G7" s="4">
        <v>1.2615740740740742E-2</v>
      </c>
      <c r="H7" s="4">
        <f t="shared" si="0"/>
        <v>5.9606481481481489E-3</v>
      </c>
      <c r="I7" s="36">
        <f t="shared" si="1"/>
        <v>0.47247706422018354</v>
      </c>
      <c r="J7" s="4">
        <v>6.6550925925925927E-3</v>
      </c>
      <c r="K7" s="58">
        <f t="shared" si="2"/>
        <v>0.52752293577981646</v>
      </c>
      <c r="L7" s="48"/>
      <c r="M7" s="28" t="str">
        <f t="shared" ref="M7:M8" si="4">HYPERLINK("https://www.strava.com/activities/2364921231","Strava")</f>
        <v>Strava</v>
      </c>
    </row>
    <row r="8" spans="1:25" ht="15.75" customHeight="1">
      <c r="A8" s="3">
        <v>75</v>
      </c>
      <c r="B8" s="3">
        <v>300</v>
      </c>
      <c r="C8" s="3">
        <f t="shared" si="3"/>
        <v>4</v>
      </c>
      <c r="D8" s="3">
        <v>183</v>
      </c>
      <c r="E8" s="49" t="s">
        <v>26</v>
      </c>
      <c r="F8" s="3" t="s">
        <v>634</v>
      </c>
      <c r="G8" s="4">
        <v>1.2615740740740742E-2</v>
      </c>
      <c r="H8" s="4">
        <f t="shared" si="0"/>
        <v>5.9143518518518529E-3</v>
      </c>
      <c r="I8" s="36">
        <f t="shared" si="1"/>
        <v>0.46880733944954134</v>
      </c>
      <c r="J8" s="4">
        <v>6.7013888888888887E-3</v>
      </c>
      <c r="K8" s="58">
        <f t="shared" si="2"/>
        <v>0.53119266055045866</v>
      </c>
      <c r="L8" s="48"/>
      <c r="M8" s="28" t="str">
        <f t="shared" si="4"/>
        <v>Strava</v>
      </c>
    </row>
    <row r="9" spans="1:25" ht="15.75" customHeight="1">
      <c r="A9" s="3">
        <v>75</v>
      </c>
      <c r="B9" s="3">
        <v>300</v>
      </c>
      <c r="C9" s="3">
        <f t="shared" si="3"/>
        <v>4</v>
      </c>
      <c r="D9" s="3">
        <v>183</v>
      </c>
      <c r="E9" s="49" t="s">
        <v>28</v>
      </c>
      <c r="F9" s="3" t="s">
        <v>634</v>
      </c>
      <c r="G9" s="4">
        <v>1.2627314814814815E-2</v>
      </c>
      <c r="H9" s="4">
        <f t="shared" si="0"/>
        <v>5.9259259259259265E-3</v>
      </c>
      <c r="I9" s="36">
        <f t="shared" si="1"/>
        <v>0.46929422548120991</v>
      </c>
      <c r="J9" s="4">
        <v>6.7013888888888887E-3</v>
      </c>
      <c r="K9" s="58">
        <f t="shared" si="2"/>
        <v>0.53070577451879009</v>
      </c>
      <c r="L9" s="48"/>
      <c r="M9" s="28" t="str">
        <f>HYPERLINK("https://www.strava.com/activities/2431760506","Strava")</f>
        <v>Strava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.75" customHeight="1">
      <c r="A10" s="3">
        <v>75</v>
      </c>
      <c r="B10" s="3">
        <v>300</v>
      </c>
      <c r="C10" s="3">
        <f t="shared" si="3"/>
        <v>4</v>
      </c>
      <c r="D10" s="3">
        <v>183</v>
      </c>
      <c r="E10" s="49" t="s">
        <v>32</v>
      </c>
      <c r="F10" s="3" t="s">
        <v>634</v>
      </c>
      <c r="G10" s="4">
        <v>1.2627314814814815E-2</v>
      </c>
      <c r="H10" s="4">
        <f t="shared" si="0"/>
        <v>5.9490740740740745E-3</v>
      </c>
      <c r="I10" s="36">
        <f t="shared" si="1"/>
        <v>0.47112740604949588</v>
      </c>
      <c r="J10" s="4">
        <v>6.6782407407407407E-3</v>
      </c>
      <c r="K10" s="58">
        <f t="shared" si="2"/>
        <v>0.52887259395050412</v>
      </c>
      <c r="L10" s="48"/>
      <c r="M10" s="28" t="str">
        <f>HYPERLINK("https://www.strava.com/activities/2361845770","Strava")</f>
        <v>Strava</v>
      </c>
    </row>
    <row r="11" spans="1:25" ht="15.75" customHeight="1">
      <c r="A11" s="3">
        <v>75</v>
      </c>
      <c r="B11" s="3">
        <v>300</v>
      </c>
      <c r="C11" s="3">
        <f t="shared" si="3"/>
        <v>4</v>
      </c>
      <c r="D11" s="3">
        <v>183</v>
      </c>
      <c r="E11" s="49" t="s">
        <v>42</v>
      </c>
      <c r="F11" s="3" t="s">
        <v>634</v>
      </c>
      <c r="G11" s="4">
        <v>1.2638888888888889E-2</v>
      </c>
      <c r="H11" s="4">
        <f t="shared" si="0"/>
        <v>5.9722222222222216E-3</v>
      </c>
      <c r="I11" s="36">
        <f t="shared" si="1"/>
        <v>0.47252747252747251</v>
      </c>
      <c r="J11" s="4">
        <v>6.6666666666666671E-3</v>
      </c>
      <c r="K11" s="58">
        <f t="shared" si="2"/>
        <v>0.52747252747252749</v>
      </c>
      <c r="L11" s="48"/>
      <c r="M11" s="28" t="str">
        <f>HYPERLINK("https://www.strava.com/activities/2365413947","Strava")</f>
        <v>Strava</v>
      </c>
    </row>
    <row r="12" spans="1:25" ht="15.75" customHeight="1">
      <c r="A12" s="3">
        <v>75</v>
      </c>
      <c r="B12" s="3">
        <v>300</v>
      </c>
      <c r="C12" s="3">
        <f t="shared" si="3"/>
        <v>4</v>
      </c>
      <c r="D12" s="3">
        <v>183</v>
      </c>
      <c r="E12" s="3" t="s">
        <v>73</v>
      </c>
      <c r="F12" s="3" t="s">
        <v>351</v>
      </c>
      <c r="G12" s="4">
        <v>1.2638888888888889E-2</v>
      </c>
      <c r="H12" s="4">
        <f t="shared" si="0"/>
        <v>6.122685185185185E-3</v>
      </c>
      <c r="I12" s="36">
        <f t="shared" si="1"/>
        <v>0.48443223443223443</v>
      </c>
      <c r="J12" s="4">
        <v>6.5162037037037037E-3</v>
      </c>
      <c r="K12" s="58">
        <f t="shared" si="2"/>
        <v>0.51556776556776562</v>
      </c>
      <c r="L12" s="48"/>
      <c r="M12" s="28" t="str">
        <f>HYPERLINK("https://www.strava.com/activities/2361845770","Strava")</f>
        <v>Strava</v>
      </c>
    </row>
    <row r="13" spans="1:25" ht="15.75" customHeight="1">
      <c r="A13" s="3">
        <v>75</v>
      </c>
      <c r="B13" s="3">
        <v>300</v>
      </c>
      <c r="C13" s="3">
        <f t="shared" si="3"/>
        <v>4</v>
      </c>
      <c r="D13" s="3">
        <v>183</v>
      </c>
      <c r="E13" s="49" t="s">
        <v>32</v>
      </c>
      <c r="F13" s="3" t="s">
        <v>133</v>
      </c>
      <c r="G13" s="4">
        <v>1.2662037037037038E-2</v>
      </c>
      <c r="H13" s="4">
        <f t="shared" si="0"/>
        <v>6.030092592592593E-3</v>
      </c>
      <c r="I13" s="36">
        <f t="shared" si="1"/>
        <v>0.47623400365630714</v>
      </c>
      <c r="J13" s="4">
        <v>6.6319444444444446E-3</v>
      </c>
      <c r="K13" s="58">
        <f t="shared" si="2"/>
        <v>0.52376599634369281</v>
      </c>
      <c r="L13" s="48"/>
      <c r="M13" s="28" t="str">
        <f>HYPERLINK("https://www.strava.com/activities/2359227555","Strava")</f>
        <v>Strava</v>
      </c>
    </row>
    <row r="14" spans="1:25" ht="15.75" customHeight="1">
      <c r="A14" s="3">
        <v>75</v>
      </c>
      <c r="B14" s="3">
        <v>300</v>
      </c>
      <c r="C14" s="3">
        <f t="shared" si="3"/>
        <v>4</v>
      </c>
      <c r="D14" s="3">
        <v>183</v>
      </c>
      <c r="E14" s="3" t="s">
        <v>9</v>
      </c>
      <c r="F14" s="3" t="s">
        <v>79</v>
      </c>
      <c r="G14" s="4">
        <v>1.2662037037037038E-2</v>
      </c>
      <c r="H14" s="4">
        <f t="shared" si="0"/>
        <v>6.1342592592592594E-3</v>
      </c>
      <c r="I14" s="36">
        <f t="shared" si="1"/>
        <v>0.48446069469835468</v>
      </c>
      <c r="J14" s="4">
        <v>6.5277777777777782E-3</v>
      </c>
      <c r="K14" s="58">
        <f t="shared" si="2"/>
        <v>0.51553930530164538</v>
      </c>
      <c r="L14" s="48"/>
      <c r="M14" s="28" t="str">
        <f>HYPERLINK("https://www.strava.com/activities/2361887261","Strava")</f>
        <v>Strava</v>
      </c>
    </row>
    <row r="15" spans="1:25" ht="15.75" customHeight="1">
      <c r="A15" s="3">
        <v>75</v>
      </c>
      <c r="B15" s="3">
        <v>300</v>
      </c>
      <c r="C15" s="3">
        <f t="shared" si="3"/>
        <v>4</v>
      </c>
      <c r="D15" s="3">
        <v>183</v>
      </c>
      <c r="E15" s="3" t="s">
        <v>94</v>
      </c>
      <c r="F15" s="3" t="s">
        <v>634</v>
      </c>
      <c r="G15" s="4">
        <v>1.2673611111111111E-2</v>
      </c>
      <c r="H15" s="4">
        <f t="shared" si="0"/>
        <v>6.1574074074074074E-3</v>
      </c>
      <c r="I15" s="36">
        <f t="shared" si="1"/>
        <v>0.48584474885844747</v>
      </c>
      <c r="J15" s="4">
        <v>6.5162037037037037E-3</v>
      </c>
      <c r="K15" s="58">
        <f t="shared" si="2"/>
        <v>0.51415525114155247</v>
      </c>
      <c r="L15" s="48"/>
      <c r="M15" s="28" t="str">
        <f>HYPERLINK("https://www.strava.com/activities/2364921231","Strava")</f>
        <v>Strava</v>
      </c>
    </row>
    <row r="16" spans="1:25" ht="15.75" customHeight="1">
      <c r="A16" s="3">
        <v>75</v>
      </c>
      <c r="B16" s="3">
        <v>300</v>
      </c>
      <c r="C16" s="3">
        <f t="shared" si="3"/>
        <v>4</v>
      </c>
      <c r="D16" s="3">
        <v>183</v>
      </c>
      <c r="E16" s="3" t="s">
        <v>94</v>
      </c>
      <c r="F16" s="3" t="s">
        <v>133</v>
      </c>
      <c r="G16" s="4">
        <v>1.2685185185185185E-2</v>
      </c>
      <c r="H16" s="4">
        <f t="shared" si="0"/>
        <v>6.2268518518518515E-3</v>
      </c>
      <c r="I16" s="36">
        <f t="shared" si="1"/>
        <v>0.49087591240875911</v>
      </c>
      <c r="J16" s="4">
        <v>6.4583333333333333E-3</v>
      </c>
      <c r="K16" s="58">
        <f t="shared" si="2"/>
        <v>0.50912408759124084</v>
      </c>
      <c r="L16" s="48"/>
      <c r="M16" s="28" t="str">
        <f>HYPERLINK("https://www.strava.com/activities/2359226828","Strava")</f>
        <v>Strava</v>
      </c>
    </row>
    <row r="17" spans="1:13" ht="15.75" customHeight="1">
      <c r="A17" s="3">
        <v>75</v>
      </c>
      <c r="B17" s="3">
        <v>225</v>
      </c>
      <c r="C17" s="3">
        <f t="shared" si="3"/>
        <v>3</v>
      </c>
      <c r="D17" s="3">
        <v>183</v>
      </c>
      <c r="E17" s="49" t="s">
        <v>32</v>
      </c>
      <c r="F17" s="3" t="s">
        <v>634</v>
      </c>
      <c r="G17" s="4">
        <v>1.5462962962962963E-2</v>
      </c>
      <c r="H17" s="4">
        <f t="shared" si="0"/>
        <v>6.6666666666666662E-3</v>
      </c>
      <c r="I17" s="36">
        <f t="shared" si="1"/>
        <v>0.43113772455089816</v>
      </c>
      <c r="J17" s="4">
        <v>8.7962962962962968E-3</v>
      </c>
      <c r="K17" s="58">
        <f t="shared" si="2"/>
        <v>0.56886227544910184</v>
      </c>
      <c r="L17" s="48"/>
      <c r="M17" s="28" t="str">
        <f>HYPERLINK("https://www.strava.com/activities/2365413947","Strava")</f>
        <v>Strava</v>
      </c>
    </row>
    <row r="18" spans="1:13" ht="15.75" customHeight="1">
      <c r="A18" s="3">
        <v>75</v>
      </c>
      <c r="B18" s="3">
        <v>150</v>
      </c>
      <c r="C18" s="3">
        <f t="shared" si="3"/>
        <v>2</v>
      </c>
      <c r="D18" s="3">
        <v>183</v>
      </c>
      <c r="E18" s="49" t="s">
        <v>28</v>
      </c>
      <c r="F18" s="3" t="s">
        <v>634</v>
      </c>
      <c r="G18" s="4">
        <v>2.1030092592592593E-2</v>
      </c>
      <c r="H18" s="4">
        <f t="shared" si="0"/>
        <v>7.9282407407407409E-3</v>
      </c>
      <c r="I18" s="36">
        <f t="shared" si="1"/>
        <v>0.37699504678040724</v>
      </c>
      <c r="J18" s="4">
        <v>1.3101851851851852E-2</v>
      </c>
      <c r="K18" s="58">
        <f t="shared" si="2"/>
        <v>0.62300495321959271</v>
      </c>
      <c r="L18" s="48"/>
      <c r="M18" s="28" t="str">
        <f>HYPERLINK("https://www.strava.com/activities/2431826150","Strava")</f>
        <v>Strava</v>
      </c>
    </row>
    <row r="19" spans="1:13" ht="15.75" customHeight="1">
      <c r="A19" s="3">
        <v>75</v>
      </c>
      <c r="B19" s="3">
        <v>150</v>
      </c>
      <c r="C19" s="3">
        <f t="shared" si="3"/>
        <v>2</v>
      </c>
      <c r="D19" s="3">
        <v>183</v>
      </c>
      <c r="E19" s="49" t="s">
        <v>42</v>
      </c>
      <c r="F19" s="3" t="s">
        <v>634</v>
      </c>
      <c r="G19" s="4"/>
      <c r="H19" s="4"/>
      <c r="I19" s="36"/>
      <c r="J19" s="4"/>
      <c r="K19" s="58"/>
      <c r="L19" s="48"/>
      <c r="M19" s="28" t="str">
        <f t="shared" ref="M19:M20" si="5">HYPERLINK("https://www.strava.com/activities/2365413947","Strava")</f>
        <v>Strava</v>
      </c>
    </row>
    <row r="20" spans="1:13" ht="15.75" customHeight="1">
      <c r="A20" s="3">
        <v>75</v>
      </c>
      <c r="B20" s="3">
        <v>150</v>
      </c>
      <c r="C20" s="3">
        <f t="shared" si="3"/>
        <v>2</v>
      </c>
      <c r="D20" s="3">
        <v>183</v>
      </c>
      <c r="E20" s="49" t="s">
        <v>32</v>
      </c>
      <c r="F20" s="3" t="s">
        <v>634</v>
      </c>
      <c r="G20" s="4"/>
      <c r="H20" s="4"/>
      <c r="I20" s="36"/>
      <c r="J20" s="4"/>
      <c r="K20" s="58"/>
      <c r="L20" s="48"/>
      <c r="M20" s="28" t="str">
        <f t="shared" si="5"/>
        <v>Strava</v>
      </c>
    </row>
    <row r="21" spans="1:13" ht="15.75" customHeight="1">
      <c r="A21" s="3">
        <v>75</v>
      </c>
      <c r="B21" s="3">
        <v>300</v>
      </c>
      <c r="C21" s="3">
        <f t="shared" si="3"/>
        <v>4</v>
      </c>
      <c r="D21" s="3">
        <v>183</v>
      </c>
      <c r="E21" s="3" t="s">
        <v>9</v>
      </c>
      <c r="F21" s="3" t="s">
        <v>634</v>
      </c>
      <c r="G21" s="4">
        <v>1.2592592592592593E-2</v>
      </c>
      <c r="H21" s="4">
        <f t="shared" ref="H21:H23" si="6">G21-J21</f>
        <v>6.099537037037037E-3</v>
      </c>
      <c r="I21" s="36">
        <f t="shared" ref="I21:I23" si="7">H21/(H21+J21)</f>
        <v>0.484375</v>
      </c>
      <c r="J21" s="4">
        <v>6.4930555555555557E-3</v>
      </c>
      <c r="K21" s="58">
        <f t="shared" ref="K21:K23" si="8">J21/(H21+J21)</f>
        <v>0.515625</v>
      </c>
      <c r="L21" s="4">
        <v>7.1990740740740739E-3</v>
      </c>
      <c r="M21" s="21" t="s">
        <v>637</v>
      </c>
    </row>
    <row r="22" spans="1:13" ht="15.75" customHeight="1">
      <c r="A22" s="3">
        <v>75</v>
      </c>
      <c r="B22" s="3">
        <v>300</v>
      </c>
      <c r="C22" s="3">
        <f t="shared" si="3"/>
        <v>4</v>
      </c>
      <c r="D22" s="3">
        <v>183</v>
      </c>
      <c r="E22" s="3" t="s">
        <v>73</v>
      </c>
      <c r="F22" s="3" t="s">
        <v>351</v>
      </c>
      <c r="G22" s="4">
        <v>1.2569444444444444E-2</v>
      </c>
      <c r="H22" s="4">
        <f t="shared" si="6"/>
        <v>6.1111111111111106E-3</v>
      </c>
      <c r="I22" s="36">
        <f t="shared" si="7"/>
        <v>0.48618784530386738</v>
      </c>
      <c r="J22" s="4">
        <v>6.4583333333333333E-3</v>
      </c>
      <c r="K22" s="58">
        <f t="shared" si="8"/>
        <v>0.51381215469613262</v>
      </c>
      <c r="L22" s="4">
        <v>7.2106481481481483E-3</v>
      </c>
      <c r="M22" s="21" t="s">
        <v>637</v>
      </c>
    </row>
    <row r="23" spans="1:13" ht="15.75" customHeight="1">
      <c r="A23" s="3">
        <v>75</v>
      </c>
      <c r="B23" s="3">
        <v>300</v>
      </c>
      <c r="C23" s="3">
        <f t="shared" si="3"/>
        <v>4</v>
      </c>
      <c r="D23" s="3">
        <v>183</v>
      </c>
      <c r="E23" s="49" t="s">
        <v>26</v>
      </c>
      <c r="F23" s="3" t="s">
        <v>634</v>
      </c>
      <c r="G23" s="4">
        <v>1.255787037037037E-2</v>
      </c>
      <c r="H23" s="4">
        <f t="shared" si="6"/>
        <v>6.099537037037037E-3</v>
      </c>
      <c r="I23" s="36">
        <f t="shared" si="7"/>
        <v>0.48571428571428571</v>
      </c>
      <c r="J23" s="4">
        <v>6.4583333333333333E-3</v>
      </c>
      <c r="K23" s="58">
        <f t="shared" si="8"/>
        <v>0.51428571428571423</v>
      </c>
      <c r="L23" s="4">
        <v>7.2106481481481483E-3</v>
      </c>
      <c r="M23" s="21" t="s">
        <v>637</v>
      </c>
    </row>
    <row r="24" spans="1:13" ht="15.75" customHeight="1">
      <c r="A24" s="3"/>
      <c r="B24" s="3"/>
      <c r="C24" s="3"/>
      <c r="D24" s="3"/>
      <c r="E24" s="3"/>
      <c r="F24" s="3"/>
      <c r="G24" s="4"/>
      <c r="H24" s="4"/>
      <c r="I24" s="4"/>
      <c r="J24" s="4"/>
      <c r="K24" s="48"/>
      <c r="L24" s="48"/>
      <c r="M24" s="48"/>
    </row>
    <row r="25" spans="1:13" ht="15.75" customHeight="1">
      <c r="A25" s="3"/>
      <c r="B25" s="3"/>
      <c r="C25" s="3"/>
      <c r="D25" s="3"/>
      <c r="E25" s="3"/>
      <c r="F25" s="3"/>
      <c r="G25" s="4"/>
      <c r="H25" s="4"/>
      <c r="I25" s="4"/>
      <c r="J25" s="4"/>
      <c r="K25" s="48"/>
      <c r="L25" s="48"/>
      <c r="M25" s="48"/>
    </row>
    <row r="26" spans="1:13" ht="15.75" customHeight="1">
      <c r="A26" s="3"/>
      <c r="B26" s="3"/>
      <c r="C26" s="3"/>
      <c r="D26" s="3"/>
      <c r="E26" s="3"/>
      <c r="F26" s="3"/>
      <c r="G26" s="4"/>
      <c r="H26" s="4"/>
      <c r="I26" s="4"/>
      <c r="J26" s="4"/>
      <c r="K26" s="48"/>
      <c r="L26" s="48"/>
      <c r="M26" s="48"/>
    </row>
    <row r="27" spans="1:13" ht="15.75" customHeight="1">
      <c r="A27" s="3"/>
      <c r="B27" s="3"/>
      <c r="C27" s="3"/>
      <c r="D27" s="3"/>
      <c r="E27" s="3"/>
      <c r="F27" s="3"/>
      <c r="G27" s="4"/>
      <c r="H27" s="4"/>
      <c r="I27" s="4"/>
      <c r="J27" s="4"/>
      <c r="K27" s="48"/>
      <c r="L27" s="48"/>
      <c r="M27" s="48"/>
    </row>
    <row r="28" spans="1:13" ht="15.75" customHeight="1">
      <c r="A28" s="3"/>
      <c r="B28" s="3"/>
      <c r="C28" s="3"/>
      <c r="D28" s="3"/>
      <c r="E28" s="3"/>
      <c r="F28" s="3"/>
      <c r="G28" s="4"/>
      <c r="H28" s="4"/>
      <c r="I28" s="4"/>
      <c r="J28" s="4"/>
      <c r="K28" s="48"/>
      <c r="L28" s="48"/>
      <c r="M28" s="48"/>
    </row>
    <row r="29" spans="1:13" ht="15.75" customHeight="1">
      <c r="A29" s="3"/>
      <c r="B29" s="3"/>
      <c r="C29" s="3"/>
      <c r="D29" s="3"/>
      <c r="E29" s="3"/>
      <c r="F29" s="3"/>
      <c r="G29" s="4"/>
      <c r="H29" s="4"/>
      <c r="I29" s="4"/>
      <c r="J29" s="4"/>
      <c r="K29" s="48"/>
      <c r="L29" s="48"/>
      <c r="M29" s="48"/>
    </row>
    <row r="30" spans="1:13" ht="15.75" customHeight="1">
      <c r="A30" s="3"/>
      <c r="B30" s="3"/>
      <c r="C30" s="3"/>
      <c r="D30" s="3"/>
      <c r="E30" s="3"/>
      <c r="F30" s="3"/>
      <c r="G30" s="4"/>
      <c r="H30" s="4"/>
      <c r="I30" s="4"/>
      <c r="J30" s="4"/>
      <c r="K30" s="48"/>
      <c r="L30" s="48"/>
      <c r="M30" s="48"/>
    </row>
    <row r="31" spans="1:13" ht="15.75" customHeight="1">
      <c r="A31" s="3"/>
      <c r="B31" s="3"/>
      <c r="C31" s="3"/>
      <c r="D31" s="3"/>
      <c r="E31" s="3"/>
      <c r="F31" s="3"/>
      <c r="G31" s="4"/>
      <c r="H31" s="4"/>
      <c r="I31" s="4"/>
      <c r="J31" s="4"/>
      <c r="K31" s="48"/>
      <c r="L31" s="48"/>
      <c r="M31" s="48"/>
    </row>
    <row r="32" spans="1:13" ht="15.75" customHeight="1">
      <c r="A32" s="3"/>
      <c r="B32" s="3"/>
      <c r="C32" s="3"/>
      <c r="D32" s="3"/>
      <c r="E32" s="3"/>
      <c r="F32" s="3"/>
      <c r="G32" s="53"/>
      <c r="H32" s="53"/>
      <c r="I32" s="53"/>
      <c r="J32" s="53"/>
      <c r="K32" s="48"/>
      <c r="L32" s="48"/>
      <c r="M32" s="48"/>
    </row>
    <row r="33" spans="1:14" ht="15.75" customHeight="1">
      <c r="A33" s="3"/>
      <c r="B33" s="3"/>
      <c r="C33" s="3"/>
      <c r="D33" s="3"/>
      <c r="E33" s="3"/>
      <c r="F33" s="3"/>
      <c r="G33" s="53"/>
      <c r="H33" s="53"/>
      <c r="I33" s="53"/>
      <c r="J33" s="53"/>
      <c r="K33" s="48"/>
      <c r="L33" s="48"/>
      <c r="M33" s="48"/>
    </row>
    <row r="34" spans="1:14" ht="15.75" customHeight="1">
      <c r="A34" s="3"/>
      <c r="B34" s="3"/>
      <c r="C34" s="3"/>
      <c r="D34" s="3"/>
      <c r="E34" s="3"/>
      <c r="F34" s="3"/>
      <c r="G34" s="53"/>
      <c r="H34" s="53"/>
      <c r="I34" s="53"/>
      <c r="J34" s="53"/>
      <c r="K34" s="48"/>
      <c r="L34" s="48"/>
      <c r="M34" s="48"/>
    </row>
    <row r="35" spans="1:14" ht="15.75" customHeight="1">
      <c r="A35" s="3"/>
      <c r="B35" s="3"/>
      <c r="C35" s="3"/>
      <c r="D35" s="3"/>
      <c r="E35" s="3"/>
      <c r="F35" s="3"/>
      <c r="G35" s="53"/>
      <c r="H35" s="53"/>
      <c r="I35" s="53"/>
      <c r="J35" s="53"/>
      <c r="K35" s="48"/>
      <c r="L35" s="48"/>
      <c r="M35" s="48"/>
    </row>
    <row r="36" spans="1:14" ht="15.75" customHeight="1">
      <c r="A36" s="3"/>
      <c r="B36" s="3"/>
      <c r="C36" s="3"/>
      <c r="D36" s="3"/>
      <c r="E36" s="3"/>
      <c r="F36" s="3"/>
      <c r="G36" s="53"/>
      <c r="H36" s="53"/>
      <c r="I36" s="53"/>
      <c r="J36" s="53"/>
      <c r="K36" s="48"/>
      <c r="L36" s="48"/>
      <c r="M36" s="48"/>
    </row>
    <row r="37" spans="1:14">
      <c r="A37" s="3"/>
      <c r="B37" s="3"/>
      <c r="C37" s="3"/>
      <c r="D37" s="3"/>
      <c r="E37" s="3"/>
      <c r="F37" s="3"/>
      <c r="G37" s="4"/>
      <c r="H37" s="53"/>
      <c r="I37" s="53"/>
      <c r="J37" s="53"/>
      <c r="K37" s="48"/>
      <c r="L37" s="48"/>
      <c r="M37" s="48"/>
    </row>
    <row r="38" spans="1:14">
      <c r="A38" s="3"/>
      <c r="B38" s="3"/>
      <c r="C38" s="3"/>
      <c r="D38" s="3"/>
      <c r="E38" s="3"/>
      <c r="F38" s="3"/>
      <c r="G38" s="4"/>
      <c r="H38" s="53"/>
      <c r="I38" s="53"/>
      <c r="J38" s="53"/>
      <c r="K38" s="48"/>
      <c r="L38" s="48"/>
      <c r="M38" s="48"/>
    </row>
    <row r="39" spans="1:14">
      <c r="A39" s="3"/>
      <c r="B39" s="3"/>
      <c r="C39" s="3"/>
      <c r="D39" s="3"/>
      <c r="E39" s="3"/>
      <c r="F39" s="3"/>
      <c r="G39" s="4"/>
      <c r="H39" s="53"/>
      <c r="I39" s="53"/>
      <c r="J39" s="53"/>
      <c r="K39" s="48"/>
      <c r="L39" s="48"/>
      <c r="M39" s="48"/>
    </row>
    <row r="40" spans="1:14" ht="15">
      <c r="A40" s="3"/>
      <c r="B40" s="3"/>
      <c r="C40" s="3"/>
      <c r="D40" s="3"/>
      <c r="E40" s="3"/>
      <c r="F40" s="3"/>
      <c r="G40" s="4"/>
      <c r="H40" s="4"/>
      <c r="I40" s="4"/>
      <c r="J40" s="4"/>
      <c r="K40" s="48"/>
      <c r="L40" s="48"/>
      <c r="M40" s="48"/>
    </row>
    <row r="41" spans="1:14" ht="15">
      <c r="A41" s="3"/>
      <c r="B41" s="3"/>
      <c r="C41" s="3"/>
      <c r="D41" s="3"/>
      <c r="E41" s="3"/>
      <c r="F41" s="3"/>
      <c r="G41" s="4"/>
      <c r="H41" s="4"/>
      <c r="I41" s="4"/>
      <c r="J41" s="4"/>
      <c r="K41" s="48"/>
      <c r="L41" s="48"/>
      <c r="M41" s="48"/>
    </row>
    <row r="42" spans="1:14">
      <c r="A42" s="3"/>
      <c r="B42" s="3"/>
      <c r="C42" s="3"/>
      <c r="D42" s="3"/>
      <c r="E42" s="3"/>
      <c r="F42" s="3"/>
      <c r="G42" s="4"/>
      <c r="H42" s="53"/>
      <c r="I42" s="53"/>
      <c r="J42" s="53"/>
      <c r="K42" s="48"/>
      <c r="L42" s="48"/>
      <c r="M42" s="48"/>
    </row>
    <row r="43" spans="1:14" ht="15">
      <c r="A43" s="3"/>
      <c r="B43" s="3"/>
      <c r="C43" s="3"/>
      <c r="D43" s="3"/>
      <c r="E43" s="3"/>
      <c r="F43" s="3"/>
      <c r="G43" s="4"/>
      <c r="H43" s="4"/>
      <c r="I43" s="4"/>
      <c r="J43" s="4"/>
      <c r="K43" s="48"/>
      <c r="L43" s="48"/>
      <c r="M43" s="48"/>
    </row>
    <row r="44" spans="1:14">
      <c r="A44" s="3"/>
      <c r="B44" s="3"/>
      <c r="C44" s="3"/>
      <c r="D44" s="3"/>
      <c r="E44" s="3"/>
      <c r="F44" s="3"/>
      <c r="G44" s="4"/>
      <c r="H44" s="53"/>
      <c r="I44" s="53"/>
      <c r="J44" s="53"/>
      <c r="K44" s="48"/>
      <c r="L44" s="48"/>
      <c r="M44" s="48"/>
      <c r="N44" s="51"/>
    </row>
    <row r="45" spans="1:14" ht="15">
      <c r="A45" s="3"/>
      <c r="B45" s="3"/>
      <c r="C45" s="3"/>
      <c r="D45" s="3"/>
      <c r="E45" s="3"/>
      <c r="F45" s="3"/>
      <c r="G45" s="4"/>
      <c r="H45" s="4"/>
      <c r="I45" s="4"/>
      <c r="J45" s="4"/>
      <c r="K45" s="48"/>
      <c r="L45" s="48"/>
      <c r="M45" s="48"/>
    </row>
    <row r="46" spans="1:14" ht="15">
      <c r="A46" s="3"/>
      <c r="B46" s="3"/>
      <c r="C46" s="3"/>
      <c r="D46" s="3"/>
      <c r="E46" s="3"/>
      <c r="F46" s="3"/>
      <c r="G46" s="4"/>
      <c r="H46" s="4"/>
      <c r="I46" s="4"/>
      <c r="J46" s="4"/>
      <c r="K46" s="48"/>
      <c r="L46" s="48"/>
      <c r="M46" s="48"/>
    </row>
    <row r="47" spans="1:14" ht="15">
      <c r="A47" s="3"/>
      <c r="B47" s="3"/>
      <c r="C47" s="3"/>
      <c r="D47" s="3"/>
      <c r="E47" s="3"/>
      <c r="F47" s="3"/>
      <c r="G47" s="4"/>
      <c r="H47" s="4"/>
      <c r="I47" s="4"/>
      <c r="J47" s="4"/>
      <c r="K47" s="48"/>
      <c r="L47" s="48"/>
      <c r="M47" s="48"/>
    </row>
    <row r="48" spans="1:14" ht="15">
      <c r="A48" s="3"/>
      <c r="B48" s="3"/>
      <c r="C48" s="3"/>
      <c r="D48" s="3"/>
      <c r="E48" s="3"/>
      <c r="F48" s="3"/>
      <c r="G48" s="4"/>
      <c r="H48" s="4"/>
      <c r="I48" s="4"/>
      <c r="J48" s="4"/>
      <c r="K48" s="48"/>
      <c r="L48" s="48"/>
      <c r="M48" s="48"/>
    </row>
    <row r="49" spans="1:13" ht="15">
      <c r="A49" s="3"/>
      <c r="B49" s="3"/>
      <c r="C49" s="3"/>
      <c r="D49" s="3"/>
      <c r="E49" s="3"/>
      <c r="F49" s="3"/>
      <c r="G49" s="4"/>
      <c r="H49" s="4"/>
      <c r="I49" s="4"/>
      <c r="J49" s="4"/>
      <c r="K49" s="48"/>
      <c r="L49" s="48"/>
      <c r="M49" s="48"/>
    </row>
    <row r="50" spans="1:13" ht="15">
      <c r="A50" s="3"/>
      <c r="B50" s="3"/>
      <c r="C50" s="3"/>
      <c r="D50" s="3"/>
      <c r="E50" s="3"/>
      <c r="F50" s="3"/>
      <c r="G50" s="4"/>
      <c r="H50" s="4"/>
      <c r="I50" s="4"/>
      <c r="J50" s="4"/>
      <c r="K50" s="48"/>
      <c r="L50" s="48"/>
      <c r="M50" s="48"/>
    </row>
    <row r="51" spans="1:13" ht="15">
      <c r="A51" s="3"/>
      <c r="B51" s="3"/>
      <c r="C51" s="3"/>
      <c r="D51" s="3"/>
      <c r="E51" s="3"/>
      <c r="F51" s="3"/>
      <c r="G51" s="4"/>
      <c r="H51" s="4"/>
      <c r="I51" s="4"/>
      <c r="J51" s="4"/>
      <c r="K51" s="48"/>
      <c r="L51" s="48"/>
      <c r="M51" s="48"/>
    </row>
    <row r="52" spans="1:13">
      <c r="A52" s="3"/>
      <c r="B52" s="3"/>
      <c r="C52" s="3"/>
      <c r="D52" s="3"/>
      <c r="E52" s="3"/>
      <c r="F52" s="3"/>
      <c r="G52" s="53"/>
      <c r="H52" s="53"/>
      <c r="I52" s="53"/>
      <c r="J52" s="53"/>
      <c r="K52" s="48"/>
      <c r="L52" s="48"/>
      <c r="M52" s="48"/>
    </row>
    <row r="53" spans="1:13">
      <c r="A53" s="3"/>
      <c r="B53" s="3"/>
      <c r="C53" s="3"/>
      <c r="D53" s="3"/>
      <c r="E53" s="3"/>
      <c r="F53" s="3"/>
      <c r="G53" s="53"/>
      <c r="H53" s="53"/>
      <c r="I53" s="53"/>
      <c r="J53" s="53"/>
      <c r="K53" s="48"/>
      <c r="L53" s="48"/>
      <c r="M53" s="48"/>
    </row>
    <row r="54" spans="1:13">
      <c r="A54" s="3"/>
      <c r="B54" s="3"/>
      <c r="C54" s="3"/>
      <c r="D54" s="3"/>
      <c r="E54" s="3"/>
      <c r="F54" s="3"/>
      <c r="G54" s="53"/>
      <c r="H54" s="53"/>
      <c r="I54" s="53"/>
      <c r="J54" s="53"/>
      <c r="K54" s="48"/>
      <c r="L54" s="48"/>
      <c r="M54" s="48"/>
    </row>
    <row r="55" spans="1:13">
      <c r="A55" s="3"/>
      <c r="B55" s="3"/>
      <c r="C55" s="3"/>
      <c r="D55" s="3"/>
      <c r="E55" s="3"/>
      <c r="F55" s="3"/>
      <c r="G55" s="53"/>
      <c r="H55" s="53"/>
      <c r="I55" s="53"/>
      <c r="J55" s="53"/>
      <c r="K55" s="48"/>
      <c r="L55" s="48"/>
      <c r="M55" s="48"/>
    </row>
    <row r="56" spans="1:13">
      <c r="A56" s="3"/>
      <c r="B56" s="3"/>
      <c r="C56" s="3"/>
      <c r="D56" s="3"/>
      <c r="E56" s="3"/>
      <c r="F56" s="3"/>
      <c r="G56" s="53"/>
      <c r="H56" s="53"/>
      <c r="I56" s="53"/>
      <c r="J56" s="53"/>
      <c r="K56" s="48"/>
      <c r="L56" s="48"/>
      <c r="M56" s="48"/>
    </row>
    <row r="57" spans="1:13" ht="15">
      <c r="A57" s="3"/>
      <c r="B57" s="3"/>
      <c r="C57" s="3"/>
      <c r="D57" s="3"/>
      <c r="E57" s="3"/>
      <c r="F57" s="3"/>
      <c r="G57" s="4"/>
      <c r="H57" s="4"/>
      <c r="I57" s="4"/>
      <c r="J57" s="4"/>
      <c r="K57" s="48"/>
      <c r="L57" s="48"/>
      <c r="M57" s="48"/>
    </row>
    <row r="58" spans="1:13">
      <c r="A58" s="3"/>
      <c r="B58" s="3"/>
      <c r="C58" s="3"/>
      <c r="D58" s="3"/>
      <c r="E58" s="3"/>
      <c r="F58" s="3"/>
      <c r="G58" s="53"/>
      <c r="H58" s="53"/>
      <c r="I58" s="53"/>
      <c r="J58" s="53"/>
      <c r="K58" s="48"/>
      <c r="L58" s="48"/>
      <c r="M58" s="48"/>
    </row>
    <row r="59" spans="1:13">
      <c r="A59" s="3"/>
      <c r="B59" s="3"/>
      <c r="C59" s="3"/>
      <c r="D59" s="3"/>
      <c r="E59" s="3"/>
      <c r="F59" s="3"/>
      <c r="G59" s="53"/>
      <c r="H59" s="4"/>
      <c r="I59" s="4"/>
      <c r="J59" s="4"/>
      <c r="K59" s="48"/>
      <c r="L59" s="48"/>
      <c r="M59" s="48"/>
    </row>
    <row r="60" spans="1:13">
      <c r="A60" s="3"/>
      <c r="B60" s="3"/>
      <c r="C60" s="3"/>
      <c r="D60" s="3"/>
      <c r="E60" s="3"/>
      <c r="F60" s="3"/>
      <c r="G60" s="53"/>
      <c r="H60" s="53"/>
      <c r="I60" s="53"/>
      <c r="J60" s="53"/>
      <c r="K60" s="48"/>
      <c r="L60" s="48"/>
      <c r="M60" s="48"/>
    </row>
    <row r="61" spans="1:13" ht="15">
      <c r="A61" s="3"/>
      <c r="B61" s="3"/>
      <c r="C61" s="3"/>
      <c r="D61" s="3"/>
      <c r="E61" s="3"/>
      <c r="F61" s="3"/>
      <c r="G61" s="4"/>
      <c r="H61" s="4"/>
      <c r="I61" s="4"/>
      <c r="J61" s="4"/>
      <c r="K61" s="48"/>
      <c r="L61" s="48"/>
      <c r="M61" s="48"/>
    </row>
    <row r="62" spans="1:13" ht="15">
      <c r="A62" s="3"/>
      <c r="B62" s="3"/>
      <c r="C62" s="3"/>
      <c r="D62" s="3"/>
      <c r="E62" s="3"/>
      <c r="F62" s="3"/>
      <c r="G62" s="4"/>
      <c r="H62" s="4"/>
      <c r="I62" s="4"/>
      <c r="J62" s="4"/>
      <c r="K62" s="48"/>
      <c r="L62" s="48"/>
      <c r="M62" s="48"/>
    </row>
    <row r="63" spans="1:13">
      <c r="A63" s="3"/>
      <c r="B63" s="3"/>
      <c r="C63" s="3"/>
      <c r="D63" s="3"/>
      <c r="E63" s="3"/>
      <c r="F63" s="3"/>
      <c r="G63" s="4"/>
      <c r="H63" s="53"/>
      <c r="I63" s="53"/>
      <c r="J63" s="53"/>
      <c r="K63" s="48"/>
      <c r="L63" s="48"/>
      <c r="M63" s="48"/>
    </row>
    <row r="64" spans="1:13">
      <c r="A64" s="3"/>
      <c r="B64" s="3"/>
      <c r="C64" s="3"/>
      <c r="D64" s="3"/>
      <c r="E64" s="3"/>
      <c r="F64" s="3"/>
      <c r="G64" s="4"/>
      <c r="H64" s="53"/>
      <c r="I64" s="53"/>
      <c r="J64" s="53"/>
      <c r="K64" s="48"/>
      <c r="L64" s="48"/>
      <c r="M64" s="48"/>
    </row>
    <row r="65" spans="1:13" ht="15">
      <c r="A65" s="3"/>
      <c r="B65" s="3"/>
      <c r="C65" s="3"/>
      <c r="D65" s="3"/>
      <c r="E65" s="3"/>
      <c r="F65" s="3"/>
      <c r="G65" s="4"/>
      <c r="H65" s="4"/>
      <c r="I65" s="4"/>
      <c r="J65" s="4"/>
      <c r="K65" s="48"/>
      <c r="L65" s="48"/>
      <c r="M65" s="48"/>
    </row>
    <row r="66" spans="1:13">
      <c r="A66" s="3"/>
      <c r="B66" s="3"/>
      <c r="C66" s="3"/>
      <c r="D66" s="3"/>
      <c r="E66" s="3"/>
      <c r="F66" s="3"/>
      <c r="G66" s="4"/>
      <c r="H66" s="53"/>
      <c r="I66" s="53"/>
      <c r="J66" s="53"/>
      <c r="K66" s="48"/>
      <c r="L66" s="48"/>
      <c r="M66" s="48"/>
    </row>
    <row r="67" spans="1:13" ht="15">
      <c r="A67" s="3"/>
      <c r="B67" s="3"/>
      <c r="C67" s="3"/>
      <c r="D67" s="3"/>
      <c r="E67" s="3"/>
      <c r="F67" s="3"/>
      <c r="G67" s="4"/>
      <c r="H67" s="4"/>
      <c r="I67" s="4"/>
      <c r="J67" s="4"/>
      <c r="K67" s="48"/>
      <c r="L67" s="48"/>
      <c r="M67" s="48"/>
    </row>
    <row r="68" spans="1:13" ht="15">
      <c r="A68" s="3"/>
      <c r="B68" s="3"/>
      <c r="C68" s="3"/>
      <c r="D68" s="3"/>
      <c r="E68" s="3"/>
      <c r="F68" s="3"/>
      <c r="G68" s="4"/>
      <c r="H68" s="4"/>
      <c r="I68" s="4"/>
      <c r="J68" s="4"/>
      <c r="K68" s="48"/>
      <c r="L68" s="48"/>
      <c r="M68" s="48"/>
    </row>
    <row r="69" spans="1:13" ht="15">
      <c r="A69" s="3"/>
      <c r="B69" s="3"/>
      <c r="C69" s="3"/>
      <c r="D69" s="3"/>
      <c r="E69" s="3"/>
      <c r="F69" s="3"/>
      <c r="G69" s="4"/>
      <c r="H69" s="4"/>
      <c r="I69" s="4"/>
      <c r="J69" s="4"/>
      <c r="K69" s="48"/>
      <c r="L69" s="48"/>
      <c r="M69" s="48"/>
    </row>
    <row r="70" spans="1:13" ht="15">
      <c r="A70" s="3"/>
      <c r="B70" s="3"/>
      <c r="C70" s="3"/>
      <c r="D70" s="3"/>
      <c r="E70" s="3"/>
      <c r="F70" s="3"/>
      <c r="G70" s="4"/>
      <c r="H70" s="4"/>
      <c r="I70" s="4"/>
      <c r="J70" s="4"/>
      <c r="K70" s="48"/>
      <c r="L70" s="48"/>
      <c r="M70" s="48"/>
    </row>
    <row r="71" spans="1:13" ht="15">
      <c r="A71" s="3"/>
      <c r="B71" s="3"/>
      <c r="C71" s="3"/>
      <c r="D71" s="3"/>
      <c r="E71" s="3"/>
      <c r="F71" s="3"/>
      <c r="G71" s="4"/>
      <c r="H71" s="4"/>
      <c r="I71" s="4"/>
      <c r="J71" s="4"/>
      <c r="K71" s="48"/>
      <c r="L71" s="48"/>
      <c r="M71" s="48"/>
    </row>
    <row r="72" spans="1:13" ht="15">
      <c r="A72" s="3"/>
      <c r="B72" s="3"/>
      <c r="C72" s="3"/>
      <c r="D72" s="3"/>
      <c r="E72" s="3"/>
      <c r="F72" s="3"/>
      <c r="G72" s="4"/>
      <c r="H72" s="4"/>
      <c r="I72" s="4"/>
      <c r="J72" s="4"/>
      <c r="K72" s="48"/>
      <c r="L72" s="48"/>
      <c r="M72" s="48"/>
    </row>
    <row r="73" spans="1:13" ht="15">
      <c r="A73" s="3"/>
      <c r="B73" s="3"/>
      <c r="C73" s="3"/>
      <c r="D73" s="3"/>
      <c r="E73" s="3"/>
      <c r="F73" s="3"/>
      <c r="G73" s="4"/>
      <c r="H73" s="4"/>
      <c r="I73" s="4"/>
      <c r="J73" s="4"/>
      <c r="K73" s="48"/>
      <c r="L73" s="48"/>
      <c r="M73" s="48"/>
    </row>
    <row r="74" spans="1:13" ht="15">
      <c r="A74" s="3"/>
      <c r="B74" s="3"/>
      <c r="C74" s="3"/>
      <c r="D74" s="3"/>
      <c r="E74" s="3"/>
      <c r="F74" s="3"/>
      <c r="G74" s="4"/>
      <c r="H74" s="4"/>
      <c r="I74" s="4"/>
      <c r="J74" s="4"/>
      <c r="K74" s="48"/>
      <c r="L74" s="48"/>
      <c r="M74" s="48"/>
    </row>
    <row r="75" spans="1:13" ht="15">
      <c r="A75" s="3"/>
      <c r="B75" s="3"/>
      <c r="C75" s="3"/>
      <c r="D75" s="3"/>
      <c r="E75" s="3"/>
      <c r="F75" s="3"/>
      <c r="G75" s="4"/>
      <c r="H75" s="4"/>
      <c r="I75" s="4"/>
      <c r="J75" s="4"/>
      <c r="K75" s="48"/>
      <c r="L75" s="48"/>
      <c r="M75" s="48"/>
    </row>
    <row r="76" spans="1:13" ht="15">
      <c r="A76" s="3"/>
      <c r="B76" s="3"/>
      <c r="C76" s="3"/>
      <c r="D76" s="3"/>
      <c r="E76" s="3"/>
      <c r="F76" s="3"/>
      <c r="G76" s="4"/>
      <c r="H76" s="4"/>
      <c r="I76" s="4"/>
      <c r="J76" s="4"/>
      <c r="K76" s="48"/>
      <c r="L76" s="48"/>
      <c r="M76" s="48"/>
    </row>
    <row r="77" spans="1:13" ht="15">
      <c r="A77" s="3"/>
      <c r="B77" s="3"/>
      <c r="C77" s="3"/>
      <c r="D77" s="3"/>
      <c r="E77" s="3"/>
      <c r="F77" s="3"/>
      <c r="G77" s="4"/>
      <c r="H77" s="4"/>
      <c r="I77" s="4"/>
      <c r="J77" s="4"/>
      <c r="K77" s="48"/>
      <c r="L77" s="48"/>
      <c r="M77" s="48"/>
    </row>
    <row r="78" spans="1:13" ht="15">
      <c r="A78" s="3"/>
      <c r="B78" s="3"/>
      <c r="C78" s="3"/>
      <c r="D78" s="3"/>
      <c r="E78" s="3"/>
      <c r="F78" s="3"/>
      <c r="G78" s="4"/>
      <c r="H78" s="4"/>
      <c r="I78" s="4"/>
      <c r="J78" s="4"/>
      <c r="K78" s="48"/>
      <c r="L78" s="48"/>
      <c r="M78" s="48"/>
    </row>
    <row r="79" spans="1:13" ht="15">
      <c r="A79" s="3"/>
      <c r="B79" s="3"/>
      <c r="C79" s="3"/>
      <c r="D79" s="3"/>
      <c r="E79" s="3"/>
      <c r="F79" s="3"/>
      <c r="G79" s="4"/>
      <c r="H79" s="4"/>
      <c r="I79" s="4"/>
      <c r="J79" s="4"/>
      <c r="K79" s="48"/>
      <c r="L79" s="48"/>
      <c r="M79" s="48"/>
    </row>
    <row r="80" spans="1:13" ht="15">
      <c r="A80" s="3"/>
      <c r="B80" s="3"/>
      <c r="C80" s="3"/>
      <c r="D80" s="3"/>
      <c r="E80" s="3"/>
      <c r="F80" s="3"/>
      <c r="G80" s="4"/>
      <c r="H80" s="4"/>
      <c r="I80" s="4"/>
      <c r="J80" s="4"/>
      <c r="K80" s="48"/>
      <c r="L80" s="48"/>
      <c r="M80" s="48"/>
    </row>
    <row r="81" spans="1:13" ht="15">
      <c r="A81" s="3"/>
      <c r="B81" s="3"/>
      <c r="C81" s="3"/>
      <c r="D81" s="3"/>
      <c r="E81" s="3"/>
      <c r="F81" s="3"/>
      <c r="G81" s="4"/>
      <c r="H81" s="4"/>
      <c r="I81" s="4"/>
      <c r="J81" s="4"/>
      <c r="K81" s="48"/>
      <c r="L81" s="48"/>
      <c r="M81" s="48"/>
    </row>
    <row r="82" spans="1:13" ht="15">
      <c r="A82" s="3"/>
      <c r="B82" s="3"/>
      <c r="C82" s="3"/>
      <c r="D82" s="3"/>
      <c r="E82" s="3"/>
      <c r="F82" s="3"/>
      <c r="G82" s="4"/>
      <c r="H82" s="4"/>
      <c r="I82" s="4"/>
      <c r="J82" s="4"/>
      <c r="K82" s="48"/>
      <c r="L82" s="48"/>
      <c r="M82" s="48"/>
    </row>
    <row r="83" spans="1:13" ht="15">
      <c r="A83" s="3"/>
      <c r="B83" s="3"/>
      <c r="C83" s="3"/>
      <c r="D83" s="3"/>
      <c r="E83" s="3"/>
      <c r="F83" s="3"/>
      <c r="G83" s="4"/>
      <c r="H83" s="4"/>
      <c r="I83" s="4"/>
      <c r="J83" s="4"/>
      <c r="K83" s="48"/>
      <c r="L83" s="48"/>
      <c r="M83" s="48"/>
    </row>
    <row r="84" spans="1:13" ht="15">
      <c r="A84" s="3"/>
      <c r="B84" s="3"/>
      <c r="C84" s="3"/>
      <c r="D84" s="3"/>
      <c r="E84" s="3"/>
      <c r="F84" s="3"/>
      <c r="G84" s="4"/>
      <c r="H84" s="4"/>
      <c r="I84" s="4"/>
      <c r="J84" s="4"/>
      <c r="K84" s="48"/>
      <c r="L84" s="48"/>
      <c r="M84" s="48"/>
    </row>
    <row r="85" spans="1:13" ht="15">
      <c r="A85" s="3"/>
      <c r="B85" s="3"/>
      <c r="C85" s="3"/>
      <c r="D85" s="3"/>
      <c r="E85" s="3"/>
      <c r="F85" s="3"/>
      <c r="G85" s="4"/>
      <c r="H85" s="4"/>
      <c r="I85" s="4"/>
      <c r="J85" s="4"/>
      <c r="K85" s="48"/>
      <c r="L85" s="48"/>
      <c r="M85" s="48"/>
    </row>
    <row r="86" spans="1:13" ht="15">
      <c r="A86" s="3"/>
      <c r="B86" s="3"/>
      <c r="C86" s="3"/>
      <c r="D86" s="3"/>
      <c r="E86" s="3"/>
      <c r="F86" s="3"/>
      <c r="G86" s="4"/>
      <c r="H86" s="4"/>
      <c r="I86" s="4"/>
      <c r="J86" s="4"/>
      <c r="K86" s="48"/>
      <c r="L86" s="48"/>
      <c r="M86" s="48"/>
    </row>
    <row r="87" spans="1:13" ht="15">
      <c r="A87" s="3"/>
      <c r="B87" s="3"/>
      <c r="C87" s="3"/>
      <c r="D87" s="3"/>
      <c r="E87" s="3"/>
      <c r="F87" s="3"/>
      <c r="G87" s="4"/>
      <c r="H87" s="4"/>
      <c r="I87" s="4"/>
      <c r="J87" s="4"/>
      <c r="K87" s="48"/>
      <c r="L87" s="48"/>
      <c r="M87" s="48"/>
    </row>
    <row r="88" spans="1:13" ht="15">
      <c r="A88" s="3"/>
      <c r="B88" s="3"/>
      <c r="C88" s="3"/>
      <c r="D88" s="3"/>
      <c r="E88" s="3"/>
      <c r="F88" s="3"/>
      <c r="G88" s="4"/>
      <c r="H88" s="4"/>
      <c r="I88" s="4"/>
      <c r="J88" s="4"/>
      <c r="K88" s="48"/>
      <c r="L88" s="48"/>
      <c r="M88" s="48"/>
    </row>
    <row r="89" spans="1:13" ht="15">
      <c r="A89" s="3"/>
      <c r="B89" s="3"/>
      <c r="C89" s="3"/>
      <c r="D89" s="3"/>
      <c r="E89" s="3"/>
      <c r="F89" s="3"/>
      <c r="G89" s="4"/>
      <c r="H89" s="4"/>
      <c r="I89" s="4"/>
      <c r="J89" s="4"/>
      <c r="K89" s="48"/>
      <c r="L89" s="48"/>
      <c r="M89" s="48"/>
    </row>
    <row r="90" spans="1:13" ht="15">
      <c r="A90" s="3"/>
      <c r="B90" s="3"/>
      <c r="C90" s="3"/>
      <c r="D90" s="3"/>
      <c r="E90" s="3"/>
      <c r="F90" s="3"/>
      <c r="G90" s="4"/>
      <c r="H90" s="4"/>
      <c r="I90" s="4"/>
      <c r="J90" s="4"/>
      <c r="K90" s="48"/>
      <c r="L90" s="48"/>
      <c r="M90" s="48"/>
    </row>
    <row r="91" spans="1:13" ht="15">
      <c r="A91" s="3"/>
      <c r="B91" s="3"/>
      <c r="C91" s="3"/>
      <c r="D91" s="3"/>
      <c r="E91" s="3"/>
      <c r="F91" s="3"/>
      <c r="G91" s="4"/>
      <c r="H91" s="4"/>
      <c r="I91" s="4"/>
      <c r="J91" s="4"/>
      <c r="K91" s="48"/>
      <c r="L91" s="48"/>
      <c r="M91" s="48"/>
    </row>
    <row r="92" spans="1:13" ht="15">
      <c r="A92" s="3"/>
      <c r="B92" s="3"/>
      <c r="C92" s="3"/>
      <c r="D92" s="3"/>
      <c r="E92" s="3"/>
      <c r="F92" s="3"/>
      <c r="G92" s="4"/>
      <c r="H92" s="4"/>
      <c r="I92" s="4"/>
      <c r="J92" s="4"/>
      <c r="K92" s="48"/>
      <c r="L92" s="48"/>
      <c r="M92" s="48"/>
    </row>
    <row r="93" spans="1:13" ht="15">
      <c r="A93" s="3"/>
      <c r="B93" s="3"/>
      <c r="C93" s="3"/>
      <c r="D93" s="3"/>
      <c r="E93" s="3"/>
      <c r="F93" s="3"/>
      <c r="G93" s="4"/>
      <c r="H93" s="4"/>
      <c r="I93" s="4"/>
      <c r="J93" s="4"/>
      <c r="K93" s="48"/>
      <c r="L93" s="48"/>
      <c r="M93" s="48"/>
    </row>
    <row r="94" spans="1:13" ht="15">
      <c r="A94" s="3"/>
      <c r="B94" s="3"/>
      <c r="C94" s="3"/>
      <c r="D94" s="3"/>
      <c r="E94" s="3"/>
      <c r="F94" s="3"/>
      <c r="G94" s="4"/>
      <c r="H94" s="4"/>
      <c r="I94" s="4"/>
      <c r="J94" s="4"/>
      <c r="K94" s="48"/>
      <c r="L94" s="48"/>
      <c r="M94" s="48"/>
    </row>
    <row r="95" spans="1:13" ht="15">
      <c r="A95" s="3"/>
      <c r="B95" s="3"/>
      <c r="C95" s="3"/>
      <c r="D95" s="3"/>
      <c r="E95" s="3"/>
      <c r="F95" s="3"/>
      <c r="G95" s="4"/>
      <c r="H95" s="4"/>
      <c r="I95" s="4"/>
      <c r="J95" s="4"/>
      <c r="K95" s="48"/>
      <c r="L95" s="48"/>
      <c r="M95" s="48"/>
    </row>
    <row r="96" spans="1:13" ht="15">
      <c r="A96" s="3"/>
      <c r="B96" s="3"/>
      <c r="C96" s="3"/>
      <c r="D96" s="3"/>
      <c r="E96" s="3"/>
      <c r="F96" s="3"/>
      <c r="G96" s="4"/>
      <c r="H96" s="4"/>
      <c r="I96" s="4"/>
      <c r="J96" s="4"/>
      <c r="K96" s="48"/>
      <c r="L96" s="48"/>
      <c r="M96" s="48"/>
    </row>
    <row r="97" spans="1:13" ht="15">
      <c r="A97" s="3"/>
      <c r="B97" s="3"/>
      <c r="C97" s="3"/>
      <c r="D97" s="3"/>
      <c r="E97" s="3"/>
      <c r="F97" s="3"/>
      <c r="G97" s="4"/>
      <c r="H97" s="4"/>
      <c r="I97" s="4"/>
      <c r="J97" s="4"/>
      <c r="K97" s="48"/>
      <c r="L97" s="48"/>
      <c r="M97" s="48"/>
    </row>
    <row r="98" spans="1:13" ht="15">
      <c r="E98" s="3"/>
    </row>
    <row r="99" spans="1:13" ht="15">
      <c r="E99" s="3"/>
    </row>
    <row r="100" spans="1:13" ht="15">
      <c r="E100" s="3"/>
    </row>
    <row r="102" spans="1:13" ht="15">
      <c r="E102" s="3"/>
    </row>
    <row r="103" spans="1:13" ht="15">
      <c r="E103" s="3"/>
    </row>
    <row r="104" spans="1:13" ht="15">
      <c r="E104" s="3"/>
    </row>
  </sheetData>
  <autoFilter ref="A1:M104" xr:uid="{00000000-0009-0000-0000-000013000000}"/>
  <customSheetViews>
    <customSheetView guid="{5B966157-D76D-4ACD-A64E-35B71110F4A8}" filter="1" showAutoFilter="1">
      <pageMargins left="0.7" right="0.7" top="0.75" bottom="0.75" header="0.3" footer="0.3"/>
      <autoFilter ref="A1:M104" xr:uid="{2AC99E34-CA0E-4AF6-9C47-B1560058D95D}">
        <filterColumn colId="0">
          <filters blank="1">
            <filter val="75"/>
          </filters>
        </filterColumn>
        <filterColumn colId="1">
          <filters blank="1">
            <filter val="225"/>
            <filter val="270/330"/>
          </filters>
        </filterColumn>
        <filterColumn colId="3">
          <filters blank="1">
            <filter val="183"/>
          </filters>
        </filterColumn>
        <filterColumn colId="4">
          <filters blank="1">
            <filter val="Cervelo P5"/>
            <filter val="Cervelo P5x"/>
            <filter val="Felt IA"/>
            <filter val="Note: these results aren't current anymore, since Zwift adjusted Crr values for brick, which makes up a portion of the route"/>
            <filter val="Specialized Shiv S-Works"/>
            <filter val="Specialized Tarmac Pro"/>
            <filter val="Specialized Venge S-Works"/>
            <filter val="Tron (Concept Z1)"/>
          </filters>
        </filterColumn>
        <filterColumn colId="5">
          <filters blank="1">
            <filter val="Lightweight Meilenstein"/>
            <filter val="Tron"/>
            <filter val="Zipp 858"/>
            <filter val="Zipp 858/Super 9"/>
          </filters>
        </filterColumn>
      </autoFilter>
    </customSheetView>
  </customSheetViews>
  <hyperlinks>
    <hyperlink ref="M21" r:id="rId1" xr:uid="{00000000-0004-0000-1300-000000000000}"/>
    <hyperlink ref="M22" r:id="rId2" xr:uid="{00000000-0004-0000-1300-000001000000}"/>
    <hyperlink ref="M23" r:id="rId3" xr:uid="{00000000-0004-0000-13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T10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  <col min="6" max="6" width="16.71093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454</v>
      </c>
      <c r="H1" s="1"/>
      <c r="I1" s="1" t="s">
        <v>8</v>
      </c>
    </row>
    <row r="2" spans="1:20" ht="15.75" customHeight="1">
      <c r="A2" s="3">
        <v>75</v>
      </c>
      <c r="B2" s="3">
        <v>300</v>
      </c>
      <c r="C2" s="3">
        <f t="shared" ref="C2:C21" si="0">B2/A2</f>
        <v>4</v>
      </c>
      <c r="D2" s="3">
        <v>183</v>
      </c>
      <c r="E2" s="3" t="s">
        <v>19</v>
      </c>
      <c r="F2" s="3" t="s">
        <v>141</v>
      </c>
      <c r="G2" s="4">
        <v>1.0891203703703703E-2</v>
      </c>
      <c r="H2" s="28" t="str">
        <f t="shared" ref="H2:H6" si="1">HYPERLINK("https://www.strava.com/activities/2760037725","Strava")</f>
        <v>Strava</v>
      </c>
      <c r="I2" s="10" t="s">
        <v>638</v>
      </c>
    </row>
    <row r="3" spans="1:20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19</v>
      </c>
      <c r="F3" s="3" t="s">
        <v>461</v>
      </c>
      <c r="G3" s="4">
        <v>1.0925925925925926E-2</v>
      </c>
      <c r="H3" s="28" t="str">
        <f t="shared" si="1"/>
        <v>Strava</v>
      </c>
      <c r="I3" s="10" t="s">
        <v>638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 t="s">
        <v>19</v>
      </c>
      <c r="F4" s="3" t="s">
        <v>458</v>
      </c>
      <c r="G4" s="4">
        <v>1.0868055555555556E-2</v>
      </c>
      <c r="H4" s="28" t="str">
        <f t="shared" si="1"/>
        <v>Strava</v>
      </c>
      <c r="I4" s="10" t="s">
        <v>638</v>
      </c>
    </row>
    <row r="5" spans="1:20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3" t="s">
        <v>19</v>
      </c>
      <c r="F5" s="3" t="s">
        <v>213</v>
      </c>
      <c r="G5" s="4">
        <v>1.0937499999999999E-2</v>
      </c>
      <c r="H5" s="28" t="str">
        <f t="shared" si="1"/>
        <v>Strava</v>
      </c>
      <c r="I5" s="10" t="s">
        <v>638</v>
      </c>
    </row>
    <row r="6" spans="1:20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19</v>
      </c>
      <c r="F6" s="3" t="s">
        <v>129</v>
      </c>
      <c r="G6" s="4">
        <v>1.0868055555555556E-2</v>
      </c>
      <c r="H6" s="28" t="str">
        <f t="shared" si="1"/>
        <v>Strava</v>
      </c>
      <c r="I6" s="10" t="s">
        <v>638</v>
      </c>
    </row>
    <row r="7" spans="1:20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19</v>
      </c>
      <c r="F7" s="3" t="s">
        <v>116</v>
      </c>
      <c r="G7" s="4">
        <v>1.0868055555555556E-2</v>
      </c>
      <c r="H7" s="28" t="str">
        <f>HYPERLINK("https://www.strava.com/activities/2359226828","Strava")</f>
        <v>Strava</v>
      </c>
      <c r="I7" s="10" t="s">
        <v>638</v>
      </c>
    </row>
    <row r="8" spans="1:20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 t="s">
        <v>286</v>
      </c>
      <c r="F8" s="3" t="s">
        <v>286</v>
      </c>
      <c r="G8" s="4">
        <v>1.1111111111111112E-2</v>
      </c>
      <c r="H8" s="28" t="str">
        <f>HYPERLINK("https://www.strava.com/activities/2758024656","Strava")</f>
        <v>Strava</v>
      </c>
      <c r="I8" s="10" t="s">
        <v>638</v>
      </c>
    </row>
    <row r="9" spans="1:20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3" t="s">
        <v>73</v>
      </c>
      <c r="F9" s="3" t="s">
        <v>351</v>
      </c>
      <c r="G9" s="4">
        <v>1.0775462962962962E-2</v>
      </c>
      <c r="H9" s="28" t="str">
        <f>HYPERLINK("https://www.strava.com/activities/2364921231","Strava")</f>
        <v>Strava</v>
      </c>
      <c r="I9" s="10" t="s">
        <v>638</v>
      </c>
    </row>
    <row r="10" spans="1:20" ht="15.75" customHeight="1">
      <c r="A10" s="3">
        <v>75</v>
      </c>
      <c r="B10" s="3">
        <v>300</v>
      </c>
      <c r="C10" s="3">
        <f t="shared" si="0"/>
        <v>4</v>
      </c>
      <c r="D10" s="3">
        <v>183</v>
      </c>
      <c r="E10" s="3" t="s">
        <v>19</v>
      </c>
      <c r="F10" s="3" t="s">
        <v>106</v>
      </c>
      <c r="G10" s="4">
        <v>1.0833333333333334E-2</v>
      </c>
      <c r="H10" s="28" t="str">
        <f>HYPERLINK("https://www.strava.com/activities/2365413947","Strava")</f>
        <v>Strava</v>
      </c>
      <c r="I10" s="10" t="s">
        <v>638</v>
      </c>
    </row>
    <row r="11" spans="1:20" ht="15.75" customHeight="1">
      <c r="A11" s="3">
        <v>75</v>
      </c>
      <c r="B11" s="3">
        <v>300</v>
      </c>
      <c r="C11" s="3">
        <f t="shared" si="0"/>
        <v>4</v>
      </c>
      <c r="D11" s="3">
        <v>183</v>
      </c>
      <c r="E11" s="3" t="s">
        <v>19</v>
      </c>
      <c r="F11" s="3" t="s">
        <v>108</v>
      </c>
      <c r="G11" s="4">
        <v>1.0868055555555556E-2</v>
      </c>
      <c r="H11" s="28" t="str">
        <f>HYPERLINK("https://www.strava.com/activities/2760719071","Strava")</f>
        <v>Strava</v>
      </c>
      <c r="I11" s="10" t="s">
        <v>638</v>
      </c>
    </row>
    <row r="12" spans="1:20" ht="15.75" customHeight="1">
      <c r="A12" s="3">
        <v>75</v>
      </c>
      <c r="B12" s="3">
        <v>300</v>
      </c>
      <c r="C12" s="3">
        <f t="shared" si="0"/>
        <v>4</v>
      </c>
      <c r="D12" s="3">
        <v>183</v>
      </c>
      <c r="E12" s="3" t="s">
        <v>19</v>
      </c>
      <c r="F12" s="3" t="s">
        <v>135</v>
      </c>
      <c r="G12" s="4">
        <v>1.087962962962963E-2</v>
      </c>
      <c r="H12" s="28" t="str">
        <f t="shared" ref="H12:H18" si="2">HYPERLINK("https://www.strava.com/activities/2761325938","Strava")</f>
        <v>Strava</v>
      </c>
      <c r="I12" s="10" t="s">
        <v>638</v>
      </c>
    </row>
    <row r="13" spans="1:20" ht="15.75" customHeight="1">
      <c r="A13" s="3">
        <v>75</v>
      </c>
      <c r="B13" s="3">
        <v>300</v>
      </c>
      <c r="C13" s="3">
        <f t="shared" si="0"/>
        <v>4</v>
      </c>
      <c r="D13" s="3">
        <v>183</v>
      </c>
      <c r="E13" s="3" t="s">
        <v>19</v>
      </c>
      <c r="F13" s="3" t="s">
        <v>133</v>
      </c>
      <c r="G13" s="4">
        <v>1.0902777777777779E-2</v>
      </c>
      <c r="H13" s="28" t="str">
        <f t="shared" si="2"/>
        <v>Strava</v>
      </c>
      <c r="I13" s="10" t="s">
        <v>638</v>
      </c>
    </row>
    <row r="14" spans="1:20" ht="15.75" customHeight="1">
      <c r="A14" s="3">
        <v>75</v>
      </c>
      <c r="B14" s="3">
        <v>300</v>
      </c>
      <c r="C14" s="3">
        <f t="shared" si="0"/>
        <v>4</v>
      </c>
      <c r="D14" s="3">
        <v>183</v>
      </c>
      <c r="E14" s="3" t="s">
        <v>19</v>
      </c>
      <c r="F14" s="3" t="s">
        <v>131</v>
      </c>
      <c r="G14" s="4">
        <v>1.0902777777777779E-2</v>
      </c>
      <c r="H14" s="28" t="str">
        <f t="shared" si="2"/>
        <v>Strava</v>
      </c>
      <c r="I14" s="10" t="s">
        <v>638</v>
      </c>
    </row>
    <row r="15" spans="1:20" ht="15.75" customHeight="1">
      <c r="A15" s="3">
        <v>75</v>
      </c>
      <c r="B15" s="3">
        <v>300</v>
      </c>
      <c r="C15" s="3">
        <f t="shared" si="0"/>
        <v>4</v>
      </c>
      <c r="D15" s="3">
        <v>183</v>
      </c>
      <c r="E15" s="3" t="s">
        <v>19</v>
      </c>
      <c r="F15" s="3" t="s">
        <v>139</v>
      </c>
      <c r="G15" s="4">
        <v>1.0902777777777779E-2</v>
      </c>
      <c r="H15" s="28" t="str">
        <f t="shared" si="2"/>
        <v>Strava</v>
      </c>
      <c r="I15" s="10" t="s">
        <v>638</v>
      </c>
    </row>
    <row r="16" spans="1:20" ht="15.75" customHeight="1">
      <c r="A16" s="3">
        <v>75</v>
      </c>
      <c r="B16" s="3">
        <v>300</v>
      </c>
      <c r="C16" s="3">
        <f t="shared" si="0"/>
        <v>4</v>
      </c>
      <c r="D16" s="3">
        <v>183</v>
      </c>
      <c r="E16" s="3" t="s">
        <v>19</v>
      </c>
      <c r="F16" s="3" t="s">
        <v>143</v>
      </c>
      <c r="G16" s="4">
        <v>1.0868055555555556E-2</v>
      </c>
      <c r="H16" s="28" t="str">
        <f t="shared" si="2"/>
        <v>Strava</v>
      </c>
      <c r="I16" s="10" t="s">
        <v>638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9" ht="15.75" customHeight="1">
      <c r="A17" s="3">
        <v>75</v>
      </c>
      <c r="B17" s="3">
        <v>300</v>
      </c>
      <c r="C17" s="3">
        <f t="shared" si="0"/>
        <v>4</v>
      </c>
      <c r="D17" s="3">
        <v>183</v>
      </c>
      <c r="E17" s="3" t="s">
        <v>19</v>
      </c>
      <c r="F17" s="3" t="s">
        <v>120</v>
      </c>
      <c r="G17" s="4">
        <v>1.0914351851851852E-2</v>
      </c>
      <c r="H17" s="28" t="str">
        <f t="shared" si="2"/>
        <v>Strava</v>
      </c>
      <c r="I17" s="10" t="s">
        <v>638</v>
      </c>
    </row>
    <row r="18" spans="1:9" ht="15.75" customHeight="1">
      <c r="A18" s="3">
        <v>75</v>
      </c>
      <c r="B18" s="3">
        <v>300</v>
      </c>
      <c r="C18" s="3">
        <f t="shared" si="0"/>
        <v>4</v>
      </c>
      <c r="D18" s="3">
        <v>183</v>
      </c>
      <c r="E18" s="3" t="s">
        <v>19</v>
      </c>
      <c r="F18" s="3" t="s">
        <v>170</v>
      </c>
      <c r="G18" s="4">
        <v>1.0914351851851852E-2</v>
      </c>
      <c r="H18" s="28" t="str">
        <f t="shared" si="2"/>
        <v>Strava</v>
      </c>
      <c r="I18" s="10" t="s">
        <v>638</v>
      </c>
    </row>
    <row r="19" spans="1:9" ht="15.75" customHeight="1">
      <c r="A19" s="3">
        <v>75</v>
      </c>
      <c r="B19" s="3">
        <v>300</v>
      </c>
      <c r="C19" s="3">
        <f t="shared" si="0"/>
        <v>4</v>
      </c>
      <c r="D19" s="3">
        <v>183</v>
      </c>
      <c r="E19" s="3" t="s">
        <v>19</v>
      </c>
      <c r="F19" s="3" t="s">
        <v>65</v>
      </c>
      <c r="G19" s="4">
        <v>1.0833333333333334E-2</v>
      </c>
      <c r="H19" s="28" t="str">
        <f>HYPERLINK("https://www.strava.com/activities/2758170242","Strava")</f>
        <v>Strava</v>
      </c>
      <c r="I19" s="10" t="s">
        <v>638</v>
      </c>
    </row>
    <row r="20" spans="1:9" ht="15.75" customHeight="1">
      <c r="A20" s="3">
        <v>75</v>
      </c>
      <c r="B20" s="3">
        <v>300</v>
      </c>
      <c r="C20" s="3">
        <f t="shared" si="0"/>
        <v>4</v>
      </c>
      <c r="D20" s="3">
        <v>183</v>
      </c>
      <c r="E20" s="3" t="s">
        <v>286</v>
      </c>
      <c r="F20" s="3" t="s">
        <v>286</v>
      </c>
      <c r="G20" s="4">
        <v>9.1898148148148156E-3</v>
      </c>
      <c r="H20" s="28" t="str">
        <f t="shared" ref="H20:H21" si="3">HYPERLINK("https://www.strava.com/activities/2780664896","Strava")</f>
        <v>Strava</v>
      </c>
      <c r="I20" s="10" t="s">
        <v>639</v>
      </c>
    </row>
    <row r="21" spans="1:9" ht="15.75" customHeight="1">
      <c r="A21" s="3">
        <v>75</v>
      </c>
      <c r="B21" s="3">
        <v>300</v>
      </c>
      <c r="C21" s="3">
        <f t="shared" si="0"/>
        <v>4</v>
      </c>
      <c r="D21" s="3">
        <v>183</v>
      </c>
      <c r="E21" s="3" t="s">
        <v>73</v>
      </c>
      <c r="F21" s="3" t="s">
        <v>351</v>
      </c>
      <c r="G21" s="4">
        <v>8.4143518518518517E-3</v>
      </c>
      <c r="H21" s="28" t="str">
        <f t="shared" si="3"/>
        <v>Strava</v>
      </c>
      <c r="I21" s="10" t="s">
        <v>639</v>
      </c>
    </row>
    <row r="22" spans="1:9" ht="15.75" customHeight="1">
      <c r="A22" s="3"/>
      <c r="B22" s="3"/>
      <c r="C22" s="3"/>
      <c r="D22" s="3"/>
      <c r="E22" s="3"/>
      <c r="F22" s="3"/>
      <c r="G22" s="4"/>
      <c r="H22" s="48"/>
    </row>
    <row r="23" spans="1:9" ht="15.75" customHeight="1">
      <c r="A23" s="3"/>
      <c r="B23" s="3"/>
      <c r="C23" s="3"/>
      <c r="D23" s="3"/>
      <c r="E23" s="3"/>
      <c r="F23" s="3"/>
      <c r="G23" s="4"/>
      <c r="H23" s="48"/>
    </row>
    <row r="24" spans="1:9" ht="15.75" customHeight="1">
      <c r="A24" s="3"/>
      <c r="B24" s="3"/>
      <c r="C24" s="3"/>
      <c r="D24" s="3"/>
      <c r="E24" s="3"/>
      <c r="F24" s="3"/>
      <c r="G24" s="53"/>
      <c r="H24" s="48"/>
    </row>
    <row r="25" spans="1:9" ht="15.75" customHeight="1">
      <c r="A25" s="3"/>
      <c r="B25" s="3"/>
      <c r="C25" s="3"/>
      <c r="D25" s="3"/>
      <c r="E25" s="3"/>
      <c r="F25" s="3"/>
      <c r="G25" s="53"/>
      <c r="H25" s="48"/>
    </row>
    <row r="26" spans="1:9" ht="15.75" customHeight="1">
      <c r="A26" s="3"/>
      <c r="B26" s="3"/>
      <c r="C26" s="3"/>
      <c r="D26" s="3"/>
      <c r="E26" s="3"/>
      <c r="F26" s="3"/>
      <c r="G26" s="53"/>
      <c r="H26" s="48"/>
    </row>
    <row r="27" spans="1:9" ht="15.75" customHeight="1">
      <c r="A27" s="3"/>
      <c r="B27" s="3"/>
      <c r="C27" s="3"/>
      <c r="D27" s="3"/>
      <c r="E27" s="3"/>
      <c r="F27" s="3"/>
      <c r="G27" s="53"/>
      <c r="H27" s="48"/>
    </row>
    <row r="28" spans="1:9" ht="15.75" customHeight="1">
      <c r="A28" s="3"/>
      <c r="B28" s="3"/>
      <c r="C28" s="3"/>
      <c r="D28" s="3"/>
      <c r="E28" s="3"/>
      <c r="F28" s="3"/>
      <c r="G28" s="53"/>
      <c r="H28" s="48"/>
    </row>
    <row r="29" spans="1:9" ht="15.75" customHeight="1">
      <c r="A29" s="3"/>
      <c r="B29" s="3"/>
      <c r="C29" s="3"/>
      <c r="D29" s="3"/>
      <c r="E29" s="3"/>
      <c r="F29" s="3"/>
      <c r="G29" s="4"/>
      <c r="H29" s="48"/>
    </row>
    <row r="30" spans="1:9" ht="15.75" customHeight="1">
      <c r="A30" s="3"/>
      <c r="B30" s="3"/>
      <c r="C30" s="3"/>
      <c r="D30" s="3"/>
      <c r="E30" s="3"/>
      <c r="F30" s="3"/>
      <c r="G30" s="4"/>
      <c r="H30" s="48"/>
    </row>
    <row r="31" spans="1:9" ht="15.75" customHeight="1">
      <c r="A31" s="3"/>
      <c r="B31" s="3"/>
      <c r="C31" s="3"/>
      <c r="D31" s="3"/>
      <c r="E31" s="3"/>
      <c r="F31" s="3"/>
      <c r="G31" s="4"/>
      <c r="H31" s="48"/>
    </row>
    <row r="32" spans="1:9" ht="15.75" customHeight="1">
      <c r="A32" s="3"/>
      <c r="B32" s="3"/>
      <c r="C32" s="3"/>
      <c r="D32" s="3"/>
      <c r="E32" s="3"/>
      <c r="F32" s="3"/>
      <c r="G32" s="4"/>
      <c r="H32" s="48"/>
    </row>
    <row r="33" spans="1:9" ht="15.75" customHeight="1">
      <c r="A33" s="3"/>
      <c r="B33" s="3"/>
      <c r="C33" s="3"/>
      <c r="D33" s="3"/>
      <c r="E33" s="3"/>
      <c r="F33" s="3"/>
      <c r="G33" s="4"/>
      <c r="H33" s="48"/>
    </row>
    <row r="34" spans="1:9" ht="15.75" customHeight="1">
      <c r="A34" s="3"/>
      <c r="B34" s="3"/>
      <c r="C34" s="3"/>
      <c r="D34" s="3"/>
      <c r="E34" s="3"/>
      <c r="F34" s="3"/>
      <c r="G34" s="4"/>
      <c r="H34" s="48"/>
    </row>
    <row r="35" spans="1:9" ht="15.75" customHeight="1">
      <c r="A35" s="3"/>
      <c r="B35" s="3"/>
      <c r="C35" s="3"/>
      <c r="D35" s="3"/>
      <c r="E35" s="3"/>
      <c r="F35" s="3"/>
      <c r="G35" s="4"/>
      <c r="H35" s="48"/>
    </row>
    <row r="36" spans="1:9" ht="15.75" customHeight="1">
      <c r="A36" s="3"/>
      <c r="B36" s="3"/>
      <c r="C36" s="3"/>
      <c r="D36" s="3"/>
      <c r="E36" s="3"/>
      <c r="F36" s="3"/>
      <c r="G36" s="4"/>
      <c r="H36" s="48"/>
      <c r="I36" s="51"/>
    </row>
    <row r="37" spans="1:9" ht="15">
      <c r="A37" s="3"/>
      <c r="B37" s="3"/>
      <c r="C37" s="3"/>
      <c r="D37" s="3"/>
      <c r="E37" s="3"/>
      <c r="F37" s="3"/>
      <c r="G37" s="4"/>
      <c r="H37" s="48"/>
    </row>
    <row r="38" spans="1:9" ht="15">
      <c r="A38" s="3"/>
      <c r="B38" s="3"/>
      <c r="C38" s="3"/>
      <c r="D38" s="3"/>
      <c r="E38" s="3"/>
      <c r="F38" s="3"/>
      <c r="G38" s="4"/>
      <c r="H38" s="48"/>
    </row>
    <row r="39" spans="1:9" ht="15">
      <c r="A39" s="3"/>
      <c r="B39" s="3"/>
      <c r="C39" s="3"/>
      <c r="D39" s="3"/>
      <c r="E39" s="3"/>
      <c r="F39" s="3"/>
      <c r="G39" s="4"/>
      <c r="H39" s="48"/>
    </row>
    <row r="40" spans="1:9" ht="15">
      <c r="A40" s="3"/>
      <c r="B40" s="3"/>
      <c r="C40" s="3"/>
      <c r="D40" s="3"/>
      <c r="E40" s="3"/>
      <c r="F40" s="3"/>
      <c r="G40" s="4"/>
      <c r="H40" s="48"/>
    </row>
    <row r="41" spans="1:9" ht="15">
      <c r="A41" s="3"/>
      <c r="B41" s="3"/>
      <c r="C41" s="3"/>
      <c r="D41" s="3"/>
      <c r="E41" s="3"/>
      <c r="F41" s="3"/>
      <c r="G41" s="4"/>
      <c r="H41" s="48"/>
    </row>
    <row r="42" spans="1:9" ht="15">
      <c r="A42" s="3"/>
      <c r="B42" s="3"/>
      <c r="C42" s="3"/>
      <c r="D42" s="3"/>
      <c r="E42" s="3"/>
      <c r="F42" s="3"/>
      <c r="G42" s="4"/>
      <c r="H42" s="48"/>
    </row>
    <row r="43" spans="1:9" ht="15">
      <c r="A43" s="3"/>
      <c r="B43" s="3"/>
      <c r="C43" s="3"/>
      <c r="D43" s="3"/>
      <c r="E43" s="3"/>
      <c r="F43" s="3"/>
      <c r="G43" s="4"/>
      <c r="H43" s="48"/>
    </row>
    <row r="44" spans="1:9">
      <c r="A44" s="3"/>
      <c r="B44" s="3"/>
      <c r="C44" s="3"/>
      <c r="D44" s="3"/>
      <c r="E44" s="3"/>
      <c r="F44" s="3"/>
      <c r="G44" s="53"/>
      <c r="H44" s="48"/>
    </row>
    <row r="45" spans="1:9">
      <c r="A45" s="3"/>
      <c r="B45" s="3"/>
      <c r="C45" s="3"/>
      <c r="D45" s="3"/>
      <c r="E45" s="3"/>
      <c r="F45" s="3"/>
      <c r="G45" s="53"/>
      <c r="H45" s="48"/>
    </row>
    <row r="46" spans="1:9">
      <c r="A46" s="3"/>
      <c r="B46" s="3"/>
      <c r="C46" s="3"/>
      <c r="D46" s="3"/>
      <c r="E46" s="3"/>
      <c r="F46" s="3"/>
      <c r="G46" s="53"/>
      <c r="H46" s="48"/>
    </row>
    <row r="47" spans="1:9">
      <c r="A47" s="3"/>
      <c r="B47" s="3"/>
      <c r="C47" s="3"/>
      <c r="D47" s="3"/>
      <c r="E47" s="3"/>
      <c r="F47" s="3"/>
      <c r="G47" s="53"/>
      <c r="H47" s="48"/>
    </row>
    <row r="48" spans="1:9">
      <c r="A48" s="3"/>
      <c r="B48" s="3"/>
      <c r="C48" s="3"/>
      <c r="D48" s="3"/>
      <c r="E48" s="3"/>
      <c r="F48" s="3"/>
      <c r="G48" s="53"/>
      <c r="H48" s="48"/>
    </row>
    <row r="49" spans="1:8" ht="15">
      <c r="A49" s="3"/>
      <c r="B49" s="3"/>
      <c r="C49" s="3"/>
      <c r="D49" s="3"/>
      <c r="E49" s="3"/>
      <c r="F49" s="3"/>
      <c r="G49" s="4"/>
      <c r="H49" s="48"/>
    </row>
    <row r="50" spans="1:8">
      <c r="A50" s="3"/>
      <c r="B50" s="3"/>
      <c r="C50" s="3"/>
      <c r="D50" s="3"/>
      <c r="E50" s="3"/>
      <c r="F50" s="3"/>
      <c r="G50" s="53"/>
      <c r="H50" s="48"/>
    </row>
    <row r="51" spans="1:8">
      <c r="A51" s="3"/>
      <c r="B51" s="3"/>
      <c r="C51" s="3"/>
      <c r="D51" s="3"/>
      <c r="E51" s="3"/>
      <c r="F51" s="3"/>
      <c r="G51" s="53"/>
      <c r="H51" s="48"/>
    </row>
    <row r="52" spans="1:8">
      <c r="A52" s="3"/>
      <c r="B52" s="3"/>
      <c r="C52" s="3"/>
      <c r="D52" s="3"/>
      <c r="E52" s="3"/>
      <c r="F52" s="3"/>
      <c r="G52" s="53"/>
      <c r="H52" s="48"/>
    </row>
    <row r="53" spans="1:8" ht="15">
      <c r="A53" s="3"/>
      <c r="B53" s="3"/>
      <c r="C53" s="3"/>
      <c r="D53" s="3"/>
      <c r="E53" s="3"/>
      <c r="F53" s="3"/>
      <c r="G53" s="4"/>
      <c r="H53" s="48"/>
    </row>
    <row r="54" spans="1:8" ht="15">
      <c r="A54" s="3"/>
      <c r="B54" s="3"/>
      <c r="C54" s="3"/>
      <c r="D54" s="3"/>
      <c r="E54" s="3"/>
      <c r="F54" s="3"/>
      <c r="G54" s="4"/>
      <c r="H54" s="48"/>
    </row>
    <row r="55" spans="1:8" ht="15">
      <c r="A55" s="3"/>
      <c r="B55" s="3"/>
      <c r="C55" s="3"/>
      <c r="D55" s="3"/>
      <c r="E55" s="3"/>
      <c r="F55" s="3"/>
      <c r="G55" s="4"/>
      <c r="H55" s="48"/>
    </row>
    <row r="56" spans="1:8" ht="15">
      <c r="A56" s="3"/>
      <c r="B56" s="3"/>
      <c r="C56" s="3"/>
      <c r="D56" s="3"/>
      <c r="E56" s="3"/>
      <c r="F56" s="3"/>
      <c r="G56" s="4"/>
      <c r="H56" s="48"/>
    </row>
    <row r="57" spans="1:8" ht="15">
      <c r="A57" s="3"/>
      <c r="B57" s="3"/>
      <c r="C57" s="3"/>
      <c r="D57" s="3"/>
      <c r="E57" s="3"/>
      <c r="F57" s="3"/>
      <c r="G57" s="4"/>
      <c r="H57" s="48"/>
    </row>
    <row r="58" spans="1:8" ht="15">
      <c r="A58" s="3"/>
      <c r="B58" s="3"/>
      <c r="C58" s="3"/>
      <c r="D58" s="3"/>
      <c r="E58" s="3"/>
      <c r="F58" s="3"/>
      <c r="G58" s="4"/>
      <c r="H58" s="48"/>
    </row>
    <row r="59" spans="1:8" ht="15">
      <c r="A59" s="3"/>
      <c r="B59" s="3"/>
      <c r="C59" s="3"/>
      <c r="D59" s="3"/>
      <c r="E59" s="3"/>
      <c r="F59" s="3"/>
      <c r="G59" s="4"/>
      <c r="H59" s="48"/>
    </row>
    <row r="60" spans="1:8" ht="15">
      <c r="A60" s="3"/>
      <c r="B60" s="3"/>
      <c r="C60" s="3"/>
      <c r="D60" s="3"/>
      <c r="E60" s="3"/>
      <c r="F60" s="3"/>
      <c r="G60" s="4"/>
      <c r="H60" s="48"/>
    </row>
    <row r="61" spans="1:8" ht="15">
      <c r="A61" s="3"/>
      <c r="B61" s="3"/>
      <c r="C61" s="3"/>
      <c r="D61" s="3"/>
      <c r="E61" s="3"/>
      <c r="F61" s="3"/>
      <c r="G61" s="4"/>
      <c r="H61" s="48"/>
    </row>
    <row r="62" spans="1:8" ht="15">
      <c r="A62" s="3"/>
      <c r="B62" s="3"/>
      <c r="C62" s="3"/>
      <c r="D62" s="3"/>
      <c r="E62" s="3"/>
      <c r="F62" s="3"/>
      <c r="G62" s="4"/>
      <c r="H62" s="48"/>
    </row>
    <row r="63" spans="1:8" ht="15">
      <c r="A63" s="3"/>
      <c r="B63" s="3"/>
      <c r="C63" s="3"/>
      <c r="D63" s="3"/>
      <c r="E63" s="3"/>
      <c r="F63" s="3"/>
      <c r="G63" s="4"/>
      <c r="H63" s="48"/>
    </row>
    <row r="64" spans="1:8" ht="15">
      <c r="A64" s="3"/>
      <c r="B64" s="3"/>
      <c r="C64" s="3"/>
      <c r="D64" s="3"/>
      <c r="E64" s="3"/>
      <c r="F64" s="3"/>
      <c r="G64" s="4"/>
      <c r="H64" s="48"/>
    </row>
    <row r="65" spans="1:8" ht="15">
      <c r="A65" s="3"/>
      <c r="B65" s="3"/>
      <c r="C65" s="3"/>
      <c r="D65" s="3"/>
      <c r="E65" s="3"/>
      <c r="F65" s="3"/>
      <c r="G65" s="4"/>
      <c r="H65" s="48"/>
    </row>
    <row r="66" spans="1:8" ht="15">
      <c r="A66" s="3"/>
      <c r="B66" s="3"/>
      <c r="C66" s="3"/>
      <c r="D66" s="3"/>
      <c r="E66" s="3"/>
      <c r="F66" s="3"/>
      <c r="G66" s="4"/>
      <c r="H66" s="48"/>
    </row>
    <row r="67" spans="1:8" ht="15">
      <c r="A67" s="3"/>
      <c r="B67" s="3"/>
      <c r="C67" s="3"/>
      <c r="D67" s="3"/>
      <c r="E67" s="3"/>
      <c r="F67" s="3"/>
      <c r="G67" s="4"/>
      <c r="H67" s="48"/>
    </row>
    <row r="68" spans="1:8" ht="15">
      <c r="A68" s="3"/>
      <c r="B68" s="3"/>
      <c r="C68" s="3"/>
      <c r="D68" s="3"/>
      <c r="E68" s="3"/>
      <c r="F68" s="3"/>
      <c r="G68" s="4"/>
      <c r="H68" s="48"/>
    </row>
    <row r="69" spans="1:8" ht="15">
      <c r="A69" s="3"/>
      <c r="B69" s="3"/>
      <c r="C69" s="3"/>
      <c r="D69" s="3"/>
      <c r="E69" s="3"/>
      <c r="F69" s="3"/>
      <c r="G69" s="4"/>
      <c r="H69" s="48"/>
    </row>
    <row r="70" spans="1:8" ht="15">
      <c r="A70" s="3"/>
      <c r="B70" s="3"/>
      <c r="C70" s="3"/>
      <c r="D70" s="3"/>
      <c r="E70" s="3"/>
      <c r="F70" s="3"/>
      <c r="G70" s="4"/>
      <c r="H70" s="48"/>
    </row>
    <row r="71" spans="1:8" ht="15">
      <c r="A71" s="3"/>
      <c r="B71" s="3"/>
      <c r="C71" s="3"/>
      <c r="D71" s="3"/>
      <c r="E71" s="3"/>
      <c r="F71" s="3"/>
      <c r="G71" s="4"/>
      <c r="H71" s="48"/>
    </row>
    <row r="72" spans="1:8" ht="15">
      <c r="A72" s="3"/>
      <c r="B72" s="3"/>
      <c r="C72" s="3"/>
      <c r="D72" s="3"/>
      <c r="E72" s="3"/>
      <c r="F72" s="3"/>
      <c r="G72" s="4"/>
      <c r="H72" s="48"/>
    </row>
    <row r="73" spans="1:8" ht="15">
      <c r="A73" s="3"/>
      <c r="B73" s="3"/>
      <c r="C73" s="3"/>
      <c r="D73" s="3"/>
      <c r="E73" s="3"/>
      <c r="F73" s="3"/>
      <c r="G73" s="4"/>
      <c r="H73" s="48"/>
    </row>
    <row r="74" spans="1:8" ht="15">
      <c r="A74" s="3"/>
      <c r="B74" s="3"/>
      <c r="C74" s="3"/>
      <c r="D74" s="3"/>
      <c r="E74" s="3"/>
      <c r="F74" s="3"/>
      <c r="G74" s="4"/>
      <c r="H74" s="48"/>
    </row>
    <row r="75" spans="1:8" ht="15">
      <c r="A75" s="3"/>
      <c r="B75" s="3"/>
      <c r="C75" s="3"/>
      <c r="D75" s="3"/>
      <c r="E75" s="3"/>
      <c r="F75" s="3"/>
      <c r="G75" s="4"/>
      <c r="H75" s="48"/>
    </row>
    <row r="76" spans="1:8" ht="15">
      <c r="A76" s="3"/>
      <c r="B76" s="3"/>
      <c r="C76" s="3"/>
      <c r="D76" s="3"/>
      <c r="E76" s="3"/>
      <c r="F76" s="3"/>
      <c r="G76" s="4"/>
      <c r="H76" s="48"/>
    </row>
    <row r="77" spans="1:8" ht="15">
      <c r="A77" s="3"/>
      <c r="B77" s="3"/>
      <c r="C77" s="3"/>
      <c r="D77" s="3"/>
      <c r="E77" s="3"/>
      <c r="F77" s="3"/>
      <c r="G77" s="4"/>
      <c r="H77" s="48"/>
    </row>
    <row r="78" spans="1:8" ht="15">
      <c r="A78" s="3"/>
      <c r="B78" s="3"/>
      <c r="C78" s="3"/>
      <c r="D78" s="3"/>
      <c r="E78" s="3"/>
      <c r="F78" s="3"/>
      <c r="G78" s="4"/>
      <c r="H78" s="48"/>
    </row>
    <row r="79" spans="1:8" ht="15">
      <c r="A79" s="3"/>
      <c r="B79" s="3"/>
      <c r="C79" s="3"/>
      <c r="D79" s="3"/>
      <c r="E79" s="3"/>
      <c r="F79" s="3"/>
      <c r="G79" s="4"/>
      <c r="H79" s="48"/>
    </row>
    <row r="80" spans="1:8" ht="15">
      <c r="A80" s="3"/>
      <c r="B80" s="3"/>
      <c r="C80" s="3"/>
      <c r="D80" s="3"/>
      <c r="E80" s="3"/>
      <c r="F80" s="3"/>
      <c r="G80" s="4"/>
      <c r="H80" s="48"/>
    </row>
    <row r="81" spans="1:8" ht="15">
      <c r="A81" s="3"/>
      <c r="B81" s="3"/>
      <c r="C81" s="3"/>
      <c r="D81" s="3"/>
      <c r="E81" s="3"/>
      <c r="F81" s="3"/>
      <c r="G81" s="4"/>
      <c r="H81" s="48"/>
    </row>
    <row r="82" spans="1:8" ht="15">
      <c r="A82" s="3"/>
      <c r="B82" s="3"/>
      <c r="C82" s="3"/>
      <c r="D82" s="3"/>
      <c r="E82" s="3"/>
      <c r="F82" s="3"/>
      <c r="G82" s="4"/>
      <c r="H82" s="48"/>
    </row>
    <row r="83" spans="1:8" ht="15">
      <c r="A83" s="3"/>
      <c r="B83" s="3"/>
      <c r="C83" s="3"/>
      <c r="D83" s="3"/>
      <c r="E83" s="3"/>
      <c r="F83" s="3"/>
      <c r="G83" s="4"/>
      <c r="H83" s="48"/>
    </row>
    <row r="84" spans="1:8" ht="15">
      <c r="A84" s="3"/>
      <c r="B84" s="3"/>
      <c r="C84" s="3"/>
      <c r="D84" s="3"/>
      <c r="E84" s="3"/>
      <c r="F84" s="3"/>
      <c r="G84" s="4"/>
      <c r="H84" s="48"/>
    </row>
    <row r="85" spans="1:8" ht="15">
      <c r="A85" s="3"/>
      <c r="B85" s="3"/>
      <c r="C85" s="3"/>
      <c r="D85" s="3"/>
      <c r="E85" s="3"/>
      <c r="F85" s="3"/>
      <c r="G85" s="4"/>
      <c r="H85" s="48"/>
    </row>
    <row r="86" spans="1:8" ht="15">
      <c r="A86" s="3"/>
      <c r="B86" s="3"/>
      <c r="C86" s="3"/>
      <c r="D86" s="3"/>
      <c r="E86" s="3"/>
      <c r="F86" s="3"/>
      <c r="G86" s="4"/>
      <c r="H86" s="48"/>
    </row>
    <row r="87" spans="1:8" ht="15">
      <c r="A87" s="3"/>
      <c r="B87" s="3"/>
      <c r="C87" s="3"/>
      <c r="D87" s="3"/>
      <c r="E87" s="3"/>
      <c r="F87" s="3"/>
      <c r="G87" s="4"/>
      <c r="H87" s="48"/>
    </row>
    <row r="88" spans="1:8" ht="15">
      <c r="A88" s="3"/>
      <c r="B88" s="3"/>
      <c r="C88" s="3"/>
      <c r="D88" s="3"/>
      <c r="E88" s="3"/>
      <c r="F88" s="3"/>
      <c r="G88" s="4"/>
      <c r="H88" s="48"/>
    </row>
    <row r="89" spans="1:8" ht="15">
      <c r="A89" s="3"/>
      <c r="B89" s="3"/>
      <c r="C89" s="3"/>
      <c r="D89" s="3"/>
      <c r="E89" s="3"/>
      <c r="F89" s="3"/>
      <c r="G89" s="4"/>
      <c r="H89" s="48"/>
    </row>
    <row r="90" spans="1:8" ht="15">
      <c r="E90" s="3"/>
    </row>
    <row r="91" spans="1:8" ht="15">
      <c r="E91" s="3"/>
    </row>
    <row r="92" spans="1:8" ht="15">
      <c r="E92" s="3"/>
    </row>
    <row r="94" spans="1:8" ht="15">
      <c r="E94" s="3"/>
    </row>
    <row r="95" spans="1:8" ht="15">
      <c r="E95" s="3"/>
    </row>
    <row r="96" spans="1:8" ht="15">
      <c r="E96" s="3"/>
    </row>
    <row r="97" spans="1:8" ht="15">
      <c r="A97" s="3">
        <v>75</v>
      </c>
      <c r="B97" s="3">
        <v>300</v>
      </c>
      <c r="C97" s="3">
        <f t="shared" ref="C97:C107" si="4">B97/A97</f>
        <v>4</v>
      </c>
      <c r="D97" s="3">
        <v>183</v>
      </c>
      <c r="E97" s="3" t="s">
        <v>19</v>
      </c>
      <c r="F97" s="3" t="s">
        <v>188</v>
      </c>
      <c r="G97" s="4"/>
      <c r="H97" s="48"/>
    </row>
    <row r="98" spans="1:8" ht="15">
      <c r="A98" s="3">
        <v>75</v>
      </c>
      <c r="B98" s="3">
        <v>300</v>
      </c>
      <c r="C98" s="3">
        <f t="shared" si="4"/>
        <v>4</v>
      </c>
      <c r="D98" s="3">
        <v>183</v>
      </c>
      <c r="E98" s="3" t="s">
        <v>19</v>
      </c>
      <c r="F98" s="3" t="s">
        <v>118</v>
      </c>
      <c r="G98" s="4"/>
      <c r="H98" s="48"/>
    </row>
    <row r="99" spans="1:8" ht="15">
      <c r="A99" s="3">
        <v>75</v>
      </c>
      <c r="B99" s="3">
        <v>300</v>
      </c>
      <c r="C99" s="3">
        <f t="shared" si="4"/>
        <v>4</v>
      </c>
      <c r="D99" s="3">
        <v>183</v>
      </c>
      <c r="E99" s="3" t="s">
        <v>19</v>
      </c>
      <c r="F99" s="3" t="s">
        <v>113</v>
      </c>
      <c r="G99" s="4"/>
      <c r="H99" s="48"/>
    </row>
    <row r="100" spans="1:8" ht="15">
      <c r="A100" s="3">
        <v>75</v>
      </c>
      <c r="B100" s="3">
        <v>300</v>
      </c>
      <c r="C100" s="3">
        <f t="shared" si="4"/>
        <v>4</v>
      </c>
      <c r="D100" s="3">
        <v>183</v>
      </c>
      <c r="E100" s="3" t="s">
        <v>19</v>
      </c>
      <c r="F100" s="3" t="s">
        <v>91</v>
      </c>
      <c r="G100" s="4"/>
      <c r="H100" s="48"/>
    </row>
    <row r="101" spans="1:8" ht="15">
      <c r="A101" s="3">
        <v>75</v>
      </c>
      <c r="B101" s="3">
        <v>300</v>
      </c>
      <c r="C101" s="3">
        <f t="shared" si="4"/>
        <v>4</v>
      </c>
      <c r="D101" s="3">
        <v>183</v>
      </c>
      <c r="E101" s="3" t="s">
        <v>19</v>
      </c>
      <c r="F101" s="3" t="s">
        <v>79</v>
      </c>
      <c r="G101" s="4"/>
      <c r="H101" s="48"/>
    </row>
    <row r="102" spans="1:8" ht="15">
      <c r="A102" s="3">
        <v>75</v>
      </c>
      <c r="B102" s="3">
        <v>300</v>
      </c>
      <c r="C102" s="3">
        <f t="shared" si="4"/>
        <v>4</v>
      </c>
      <c r="D102" s="3">
        <v>183</v>
      </c>
      <c r="E102" s="3" t="s">
        <v>19</v>
      </c>
      <c r="F102" s="3" t="s">
        <v>11</v>
      </c>
      <c r="G102" s="4"/>
      <c r="H102" s="48"/>
    </row>
    <row r="103" spans="1:8" ht="15">
      <c r="A103" s="3">
        <v>75</v>
      </c>
      <c r="B103" s="3">
        <v>300</v>
      </c>
      <c r="C103" s="3">
        <f t="shared" si="4"/>
        <v>4</v>
      </c>
      <c r="D103" s="3">
        <v>183</v>
      </c>
      <c r="E103" s="3" t="s">
        <v>19</v>
      </c>
      <c r="F103" s="3" t="s">
        <v>640</v>
      </c>
      <c r="G103" s="4"/>
      <c r="H103" s="48"/>
    </row>
    <row r="104" spans="1:8" ht="15">
      <c r="A104" s="3">
        <v>75</v>
      </c>
      <c r="B104" s="3">
        <v>300</v>
      </c>
      <c r="C104" s="3">
        <f t="shared" si="4"/>
        <v>4</v>
      </c>
      <c r="D104" s="3">
        <v>183</v>
      </c>
      <c r="E104" s="3" t="s">
        <v>19</v>
      </c>
      <c r="F104" s="3" t="s">
        <v>641</v>
      </c>
      <c r="G104" s="4"/>
      <c r="H104" s="48"/>
    </row>
    <row r="105" spans="1:8" ht="15">
      <c r="A105" s="3">
        <v>75</v>
      </c>
      <c r="B105" s="3">
        <v>300</v>
      </c>
      <c r="C105" s="3">
        <f t="shared" si="4"/>
        <v>4</v>
      </c>
      <c r="D105" s="3">
        <v>183</v>
      </c>
      <c r="E105" s="3" t="s">
        <v>19</v>
      </c>
      <c r="F105" s="3" t="s">
        <v>201</v>
      </c>
      <c r="G105" s="4"/>
      <c r="H105" s="48"/>
    </row>
    <row r="106" spans="1:8" ht="15">
      <c r="A106" s="3">
        <v>75</v>
      </c>
      <c r="B106" s="3">
        <v>300</v>
      </c>
      <c r="C106" s="3">
        <f t="shared" si="4"/>
        <v>4</v>
      </c>
      <c r="D106" s="3">
        <v>183</v>
      </c>
      <c r="E106" s="3" t="s">
        <v>19</v>
      </c>
      <c r="F106" s="3" t="s">
        <v>302</v>
      </c>
      <c r="G106" s="4"/>
      <c r="H106" s="48"/>
    </row>
    <row r="107" spans="1:8" ht="15">
      <c r="A107" s="3">
        <v>75</v>
      </c>
      <c r="B107" s="3">
        <v>300</v>
      </c>
      <c r="C107" s="3">
        <f t="shared" si="4"/>
        <v>4</v>
      </c>
      <c r="D107" s="3">
        <v>183</v>
      </c>
      <c r="E107" s="3" t="s">
        <v>19</v>
      </c>
      <c r="F107" s="3" t="s">
        <v>253</v>
      </c>
      <c r="G107" s="4"/>
      <c r="H107" s="48"/>
    </row>
  </sheetData>
  <autoFilter ref="A1:H107" xr:uid="{00000000-0009-0000-0000-000014000000}"/>
  <customSheetViews>
    <customSheetView guid="{5B966157-D76D-4ACD-A64E-35B71110F4A8}" filter="1" showAutoFilter="1">
      <pageMargins left="0.7" right="0.7" top="0.75" bottom="0.75" header="0.3" footer="0.3"/>
      <autoFilter ref="A1:H107" xr:uid="{ABE1E6BA-1146-4315-BDFC-3230DA8BE32C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Tron (Concept Z1)"/>
            <filter val="Zwift Mountain"/>
          </filters>
        </filterColumn>
        <filterColumn colId="5">
          <filters blank="1">
            <filter val="Bontrager Aeolus5"/>
            <filter val="Bora Ultra 35"/>
            <filter val="Bora Ultra 50"/>
            <filter val="ENVE SES 2.2"/>
            <filter val="ENVE SES 3.4"/>
            <filter val="ENVE SES 6.7"/>
            <filter val="ENVE SES 7.8"/>
            <filter val="ENVE SES 8.9"/>
            <filter val="Giant SLR 0"/>
            <filter val="Lightweight Meilenstein"/>
            <filter val="Mavic Comete Pro Carbon SL UST"/>
            <filter val="Mavic Cosmic Ultimate UST"/>
            <filter val="Roval CLX64"/>
            <filter val="Shimano C40"/>
            <filter val="Tron"/>
            <filter val="Zipp 454"/>
            <filter val="Zipp 808/Super9"/>
            <filter val="Zipp 858"/>
            <filter val="Zipp 858/Super9"/>
            <filter val="Zwift 32mm Carbon"/>
            <filter val="Zwift 50mm Carbon"/>
            <filter val="Zwift Buffalo Fahrrad"/>
            <filter val="Zwift Classic"/>
            <filter val="Zwift Mountain"/>
            <filter val="Zwift Safety"/>
          </filters>
        </filterColumn>
      </autoFilter>
    </customSheetView>
  </customSheetView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N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8.28515625" customWidth="1"/>
    <col min="2" max="2" width="7.42578125" customWidth="1"/>
    <col min="3" max="3" width="6.85546875" customWidth="1"/>
    <col min="4" max="4" width="8.42578125" customWidth="1"/>
    <col min="5" max="6" width="16.42578125" customWidth="1"/>
    <col min="7" max="7" width="10.28515625" customWidth="1"/>
    <col min="8" max="8" width="7.7109375" customWidth="1"/>
    <col min="9" max="9" width="7.140625" customWidth="1"/>
    <col min="14" max="14" width="8.42578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539</v>
      </c>
      <c r="H1" s="1" t="s">
        <v>642</v>
      </c>
      <c r="I1" s="1" t="s">
        <v>643</v>
      </c>
      <c r="J1" s="1" t="s">
        <v>644</v>
      </c>
      <c r="K1" s="1" t="s">
        <v>645</v>
      </c>
      <c r="L1" s="1" t="s">
        <v>646</v>
      </c>
      <c r="M1" s="1" t="s">
        <v>647</v>
      </c>
    </row>
    <row r="2" spans="1:14" ht="15.75" customHeight="1">
      <c r="A2" s="3">
        <v>75</v>
      </c>
      <c r="B2" s="3">
        <v>225</v>
      </c>
      <c r="C2" s="3">
        <f>B2/A2</f>
        <v>3</v>
      </c>
      <c r="D2" s="3">
        <v>183</v>
      </c>
      <c r="E2" s="3" t="s">
        <v>56</v>
      </c>
      <c r="F2" s="3" t="s">
        <v>91</v>
      </c>
      <c r="G2" s="4">
        <v>2.0763888888888888</v>
      </c>
      <c r="H2" s="55">
        <v>0.20833333333333334</v>
      </c>
      <c r="I2" s="55">
        <v>0.35972222222222222</v>
      </c>
      <c r="J2" s="55">
        <v>0.2361111111111111</v>
      </c>
      <c r="K2" s="55">
        <v>0.14166666666666666</v>
      </c>
      <c r="L2" s="55">
        <v>0.17499999999999999</v>
      </c>
      <c r="M2" s="55">
        <v>6.458333333333334E-2</v>
      </c>
      <c r="N2" s="54" t="s">
        <v>353</v>
      </c>
    </row>
    <row r="3" spans="1:14" ht="15.75" customHeight="1">
      <c r="A3" s="3">
        <v>75</v>
      </c>
      <c r="B3" s="3">
        <v>225</v>
      </c>
      <c r="C3" s="3">
        <v>3</v>
      </c>
      <c r="D3" s="3">
        <v>183</v>
      </c>
      <c r="E3" s="3" t="s">
        <v>56</v>
      </c>
      <c r="F3" s="3" t="s">
        <v>585</v>
      </c>
      <c r="G3" s="4">
        <v>2.1069444444444443</v>
      </c>
      <c r="H3" s="55">
        <v>0.21180555555555555</v>
      </c>
      <c r="I3" s="55">
        <v>0.36458333333333331</v>
      </c>
      <c r="J3" s="55">
        <v>0.23819444444444443</v>
      </c>
      <c r="K3" s="55">
        <v>0.1423611111111111</v>
      </c>
      <c r="L3" s="55">
        <v>0.17777777777777778</v>
      </c>
      <c r="M3" s="55">
        <v>6.5972222222222224E-2</v>
      </c>
      <c r="N3" s="54" t="s">
        <v>353</v>
      </c>
    </row>
    <row r="4" spans="1:14" ht="15.75" customHeight="1">
      <c r="A4" s="3">
        <v>75</v>
      </c>
      <c r="B4" s="3">
        <v>225</v>
      </c>
      <c r="C4" s="3">
        <v>3</v>
      </c>
      <c r="D4" s="3">
        <v>183</v>
      </c>
      <c r="E4" s="3" t="s">
        <v>648</v>
      </c>
      <c r="F4" s="3" t="s">
        <v>351</v>
      </c>
      <c r="G4" s="4">
        <v>2.1194444444444445</v>
      </c>
      <c r="H4" s="55">
        <v>0.21388888888888888</v>
      </c>
      <c r="I4" s="55">
        <v>0.36944444444444446</v>
      </c>
      <c r="J4" s="55">
        <v>0.23749999999999999</v>
      </c>
      <c r="K4" s="55">
        <v>0.14027777777777778</v>
      </c>
      <c r="L4" s="55">
        <v>0.18055555555555555</v>
      </c>
      <c r="M4" s="55">
        <v>6.7361111111111108E-2</v>
      </c>
      <c r="N4" s="28" t="str">
        <f>HYPERLINK("https://www.strava.com/activities/796100705","Strava")</f>
        <v>Strava</v>
      </c>
    </row>
    <row r="5" spans="1:14" ht="15.75" customHeight="1">
      <c r="A5" s="3">
        <v>75</v>
      </c>
      <c r="B5" s="3">
        <v>225</v>
      </c>
      <c r="C5" s="3">
        <f t="shared" ref="C5:C11" si="0">B5/A5</f>
        <v>3</v>
      </c>
      <c r="D5" s="3">
        <v>183</v>
      </c>
      <c r="E5" s="3" t="s">
        <v>623</v>
      </c>
      <c r="F5" s="3" t="s">
        <v>91</v>
      </c>
      <c r="G5" s="4">
        <v>2.1222222222222222</v>
      </c>
      <c r="H5" s="55">
        <v>0.21388888888888888</v>
      </c>
      <c r="I5" s="55">
        <v>0.36944444444444446</v>
      </c>
      <c r="J5" s="55">
        <v>0.23819444444444443</v>
      </c>
      <c r="K5" s="55">
        <v>0.1388888888888889</v>
      </c>
      <c r="L5" s="55">
        <v>0.18055555555555555</v>
      </c>
      <c r="M5" s="55">
        <v>6.7361111111111108E-2</v>
      </c>
      <c r="N5" s="54" t="s">
        <v>353</v>
      </c>
    </row>
    <row r="6" spans="1:14" ht="15.75" customHeight="1">
      <c r="A6" s="3">
        <v>75</v>
      </c>
      <c r="B6" s="3">
        <v>225</v>
      </c>
      <c r="C6" s="3">
        <f t="shared" si="0"/>
        <v>3</v>
      </c>
      <c r="D6" s="3">
        <v>183</v>
      </c>
      <c r="E6" s="3" t="s">
        <v>58</v>
      </c>
      <c r="F6" s="3" t="s">
        <v>91</v>
      </c>
      <c r="G6" s="4">
        <v>2.1236111111111109</v>
      </c>
      <c r="H6" s="55">
        <v>0.21388888888888888</v>
      </c>
      <c r="I6" s="55">
        <v>0.36944444444444446</v>
      </c>
      <c r="J6" s="55">
        <v>0.23819444444444443</v>
      </c>
      <c r="K6" s="55">
        <v>0.14027777777777778</v>
      </c>
      <c r="L6" s="55">
        <v>0.18055555555555555</v>
      </c>
      <c r="M6" s="55">
        <v>6.6666666666666666E-2</v>
      </c>
      <c r="N6" s="54" t="s">
        <v>353</v>
      </c>
    </row>
    <row r="7" spans="1:14" ht="15.75" customHeight="1">
      <c r="A7" s="3">
        <v>75</v>
      </c>
      <c r="B7" s="3">
        <v>225</v>
      </c>
      <c r="C7" s="3">
        <f t="shared" si="0"/>
        <v>3</v>
      </c>
      <c r="D7" s="3">
        <v>183</v>
      </c>
      <c r="E7" s="3" t="s">
        <v>63</v>
      </c>
      <c r="F7" s="3" t="s">
        <v>91</v>
      </c>
      <c r="G7" s="4">
        <v>2.1284722222222223</v>
      </c>
      <c r="H7" s="55">
        <v>0.21458333333333332</v>
      </c>
      <c r="I7" s="55">
        <v>0.37013888888888891</v>
      </c>
      <c r="J7" s="55">
        <v>0.2388888888888889</v>
      </c>
      <c r="K7" s="55">
        <v>0.14027777777777778</v>
      </c>
      <c r="L7" s="55">
        <v>0.18124999999999999</v>
      </c>
      <c r="M7" s="55">
        <v>6.6666666666666666E-2</v>
      </c>
      <c r="N7" s="54" t="s">
        <v>353</v>
      </c>
    </row>
    <row r="8" spans="1:14" ht="15.75" customHeight="1">
      <c r="A8" s="3">
        <v>75</v>
      </c>
      <c r="B8" s="3">
        <v>225</v>
      </c>
      <c r="C8" s="3">
        <f t="shared" si="0"/>
        <v>3</v>
      </c>
      <c r="D8" s="3">
        <v>183</v>
      </c>
      <c r="E8" s="3" t="s">
        <v>75</v>
      </c>
      <c r="F8" s="3" t="s">
        <v>91</v>
      </c>
      <c r="G8" s="4">
        <v>2.1291666666666669</v>
      </c>
      <c r="H8" s="55">
        <v>0.21458333333333332</v>
      </c>
      <c r="I8" s="55">
        <v>0.37013888888888891</v>
      </c>
      <c r="J8" s="55">
        <v>0.2388888888888889</v>
      </c>
      <c r="K8" s="55">
        <v>0.14097222222222222</v>
      </c>
      <c r="L8" s="55">
        <v>0.18055555555555555</v>
      </c>
      <c r="M8" s="55">
        <v>6.6666666666666666E-2</v>
      </c>
      <c r="N8" s="54" t="s">
        <v>353</v>
      </c>
    </row>
    <row r="9" spans="1:14" ht="15.75" customHeight="1">
      <c r="A9" s="3">
        <v>75</v>
      </c>
      <c r="B9" s="3">
        <v>225</v>
      </c>
      <c r="C9" s="3">
        <f t="shared" si="0"/>
        <v>3</v>
      </c>
      <c r="D9" s="3">
        <v>183</v>
      </c>
      <c r="E9" s="3" t="s">
        <v>19</v>
      </c>
      <c r="F9" s="3" t="s">
        <v>91</v>
      </c>
      <c r="G9" s="4">
        <v>2.1305555555555555</v>
      </c>
      <c r="H9" s="55">
        <v>0.21527777777777779</v>
      </c>
      <c r="I9" s="55">
        <v>0.37013888888888891</v>
      </c>
      <c r="J9" s="55">
        <v>0.23958333333333334</v>
      </c>
      <c r="K9" s="55">
        <v>0.14166666666666666</v>
      </c>
      <c r="L9" s="55">
        <v>0.18055555555555555</v>
      </c>
      <c r="M9" s="55">
        <v>6.6666666666666666E-2</v>
      </c>
      <c r="N9" s="54" t="s">
        <v>353</v>
      </c>
    </row>
    <row r="10" spans="1:14" ht="15.75" customHeight="1">
      <c r="A10" s="3">
        <v>75</v>
      </c>
      <c r="B10" s="3">
        <v>225</v>
      </c>
      <c r="C10" s="3">
        <f t="shared" si="0"/>
        <v>3</v>
      </c>
      <c r="D10" s="3">
        <v>183</v>
      </c>
      <c r="E10" s="3" t="s">
        <v>225</v>
      </c>
      <c r="F10" s="3" t="s">
        <v>91</v>
      </c>
      <c r="G10" s="4">
        <v>2.1354166666666665</v>
      </c>
      <c r="H10" s="55">
        <v>0.21527777777777779</v>
      </c>
      <c r="I10" s="55">
        <v>0.37152777777777779</v>
      </c>
      <c r="J10" s="55">
        <v>0.2388888888888889</v>
      </c>
      <c r="K10" s="55">
        <v>0.14027777777777778</v>
      </c>
      <c r="L10" s="55">
        <v>0.18124999999999999</v>
      </c>
      <c r="M10" s="55">
        <v>6.7361111111111108E-2</v>
      </c>
      <c r="N10" s="54" t="s">
        <v>353</v>
      </c>
    </row>
    <row r="11" spans="1:14" ht="15.75" customHeight="1">
      <c r="A11" s="3">
        <v>75</v>
      </c>
      <c r="B11" s="3">
        <v>225</v>
      </c>
      <c r="C11" s="3">
        <f t="shared" si="0"/>
        <v>3</v>
      </c>
      <c r="D11" s="3">
        <v>183</v>
      </c>
      <c r="E11" s="3" t="s">
        <v>221</v>
      </c>
      <c r="F11" s="3" t="s">
        <v>91</v>
      </c>
      <c r="G11" s="4">
        <v>2.1361111111111111</v>
      </c>
      <c r="H11" s="55">
        <v>0.21527777777777779</v>
      </c>
      <c r="I11" s="55">
        <v>0.37222222222222223</v>
      </c>
      <c r="J11" s="55">
        <v>0.2388888888888889</v>
      </c>
      <c r="K11" s="55">
        <v>0.14027777777777778</v>
      </c>
      <c r="L11" s="55">
        <v>0.18194444444444444</v>
      </c>
      <c r="M11" s="55">
        <v>6.7361111111111108E-2</v>
      </c>
      <c r="N11" s="54" t="s">
        <v>353</v>
      </c>
    </row>
    <row r="12" spans="1:14" ht="15.75" customHeight="1">
      <c r="A12" s="3">
        <v>75</v>
      </c>
      <c r="B12" s="3">
        <v>225</v>
      </c>
      <c r="C12" s="3">
        <v>3</v>
      </c>
      <c r="D12" s="3">
        <v>183</v>
      </c>
      <c r="E12" s="3" t="s">
        <v>19</v>
      </c>
      <c r="F12" s="3" t="s">
        <v>118</v>
      </c>
      <c r="G12" s="4">
        <v>2.1368055555555556</v>
      </c>
      <c r="H12" s="55">
        <v>0.21597222222222223</v>
      </c>
      <c r="I12" s="55">
        <v>0.37222222222222223</v>
      </c>
      <c r="J12" s="55">
        <v>0.24027777777777778</v>
      </c>
      <c r="K12" s="55">
        <v>0.14097222222222222</v>
      </c>
      <c r="L12" s="55">
        <v>0.18194444444444444</v>
      </c>
      <c r="M12" s="55">
        <v>6.7361111111111108E-2</v>
      </c>
      <c r="N12" s="54" t="s">
        <v>353</v>
      </c>
    </row>
    <row r="13" spans="1:14" ht="15.75" customHeight="1">
      <c r="A13" s="3">
        <v>75</v>
      </c>
      <c r="B13" s="3">
        <v>225</v>
      </c>
      <c r="C13" s="3">
        <f t="shared" ref="C13:C18" si="1">B13/A13</f>
        <v>3</v>
      </c>
      <c r="D13" s="3">
        <v>183</v>
      </c>
      <c r="E13" s="3" t="s">
        <v>199</v>
      </c>
      <c r="F13" s="3" t="s">
        <v>91</v>
      </c>
      <c r="G13" s="4">
        <v>2.1388888888888888</v>
      </c>
      <c r="H13" s="55">
        <v>0.21597222222222223</v>
      </c>
      <c r="I13" s="55">
        <v>0.37152777777777779</v>
      </c>
      <c r="J13" s="55">
        <v>0.24027777777777778</v>
      </c>
      <c r="K13" s="55">
        <v>0.14166666666666666</v>
      </c>
      <c r="L13" s="55">
        <v>0.18194444444444444</v>
      </c>
      <c r="M13" s="55">
        <v>6.7361111111111108E-2</v>
      </c>
      <c r="N13" s="54" t="s">
        <v>353</v>
      </c>
    </row>
    <row r="14" spans="1:14" ht="15.75" customHeight="1">
      <c r="A14" s="3">
        <v>75</v>
      </c>
      <c r="B14" s="3">
        <v>225</v>
      </c>
      <c r="C14" s="3">
        <f t="shared" si="1"/>
        <v>3</v>
      </c>
      <c r="D14" s="3">
        <v>183</v>
      </c>
      <c r="E14" s="3" t="s">
        <v>16</v>
      </c>
      <c r="F14" s="3" t="s">
        <v>91</v>
      </c>
      <c r="G14" s="4">
        <v>2.1395833333333334</v>
      </c>
      <c r="H14" s="55">
        <v>0.21597222222222223</v>
      </c>
      <c r="I14" s="55">
        <v>0.37222222222222223</v>
      </c>
      <c r="J14" s="55">
        <v>0.24027777777777778</v>
      </c>
      <c r="K14" s="55">
        <v>0.14166666666666666</v>
      </c>
      <c r="L14" s="55">
        <v>0.18194444444444444</v>
      </c>
      <c r="M14" s="55">
        <v>6.7361111111111108E-2</v>
      </c>
      <c r="N14" s="54" t="s">
        <v>353</v>
      </c>
    </row>
    <row r="15" spans="1:14" ht="15.75" customHeight="1">
      <c r="A15" s="3">
        <v>75</v>
      </c>
      <c r="B15" s="3">
        <v>225</v>
      </c>
      <c r="C15" s="3">
        <f t="shared" si="1"/>
        <v>3</v>
      </c>
      <c r="D15" s="3">
        <v>183</v>
      </c>
      <c r="E15" s="3" t="s">
        <v>625</v>
      </c>
      <c r="F15" s="3" t="s">
        <v>91</v>
      </c>
      <c r="G15" s="4">
        <v>2.1395833333333334</v>
      </c>
      <c r="H15" s="55">
        <v>0.21527777777777779</v>
      </c>
      <c r="I15" s="55">
        <v>0.37222222222222223</v>
      </c>
      <c r="J15" s="55">
        <v>0.24097222222222223</v>
      </c>
      <c r="K15" s="55">
        <v>0.14166666666666666</v>
      </c>
      <c r="L15" s="55">
        <v>0.18194444444444444</v>
      </c>
      <c r="M15" s="55">
        <v>6.7361111111111108E-2</v>
      </c>
      <c r="N15" s="54" t="s">
        <v>353</v>
      </c>
    </row>
    <row r="16" spans="1:14" ht="15.75" customHeight="1">
      <c r="A16" s="3">
        <v>75</v>
      </c>
      <c r="B16" s="3">
        <v>225</v>
      </c>
      <c r="C16" s="3">
        <f t="shared" si="1"/>
        <v>3</v>
      </c>
      <c r="D16" s="3">
        <v>183</v>
      </c>
      <c r="E16" s="3" t="s">
        <v>552</v>
      </c>
      <c r="F16" s="3" t="s">
        <v>91</v>
      </c>
      <c r="G16" s="4">
        <v>2.1416666666666666</v>
      </c>
      <c r="H16" s="55">
        <v>0.21597222222222223</v>
      </c>
      <c r="I16" s="55">
        <v>0.37222222222222223</v>
      </c>
      <c r="J16" s="55">
        <v>0.24097222222222223</v>
      </c>
      <c r="K16" s="55">
        <v>0.1423611111111111</v>
      </c>
      <c r="L16" s="55">
        <v>0.18194444444444444</v>
      </c>
      <c r="M16" s="55">
        <v>6.7361111111111108E-2</v>
      </c>
      <c r="N16" s="54" t="s">
        <v>353</v>
      </c>
    </row>
    <row r="17" spans="1:14" ht="15.75" customHeight="1">
      <c r="A17" s="3">
        <v>75</v>
      </c>
      <c r="B17" s="3">
        <v>225</v>
      </c>
      <c r="C17" s="3">
        <f t="shared" si="1"/>
        <v>3</v>
      </c>
      <c r="D17" s="3">
        <v>183</v>
      </c>
      <c r="E17" s="3" t="s">
        <v>306</v>
      </c>
      <c r="F17" s="3" t="s">
        <v>91</v>
      </c>
      <c r="G17" s="4">
        <v>2.1423611111111112</v>
      </c>
      <c r="H17" s="55">
        <v>0.21597222222222223</v>
      </c>
      <c r="I17" s="55">
        <v>0.37222222222222223</v>
      </c>
      <c r="J17" s="55">
        <v>0.24097222222222223</v>
      </c>
      <c r="K17" s="55">
        <v>0.14305555555555555</v>
      </c>
      <c r="L17" s="55">
        <v>0.18124999999999999</v>
      </c>
      <c r="M17" s="55">
        <v>6.7361111111111108E-2</v>
      </c>
      <c r="N17" s="54" t="s">
        <v>353</v>
      </c>
    </row>
    <row r="18" spans="1:14" ht="15.75" customHeight="1">
      <c r="A18" s="3">
        <v>75</v>
      </c>
      <c r="B18" s="3">
        <v>225</v>
      </c>
      <c r="C18" s="3">
        <f t="shared" si="1"/>
        <v>3</v>
      </c>
      <c r="D18" s="3">
        <v>183</v>
      </c>
      <c r="E18" s="3" t="s">
        <v>16</v>
      </c>
      <c r="F18" s="3" t="s">
        <v>624</v>
      </c>
      <c r="G18" s="4">
        <v>2.1458333333333335</v>
      </c>
      <c r="H18" s="55">
        <v>0.21666666666666667</v>
      </c>
      <c r="I18" s="55">
        <v>0.37361111111111112</v>
      </c>
      <c r="J18" s="55">
        <v>0.24097222222222223</v>
      </c>
      <c r="K18" s="55">
        <v>0.14166666666666666</v>
      </c>
      <c r="L18" s="55">
        <v>0.18194444444444444</v>
      </c>
      <c r="M18" s="55">
        <v>6.805555555555555E-2</v>
      </c>
      <c r="N18" s="54" t="s">
        <v>353</v>
      </c>
    </row>
    <row r="19" spans="1:14" ht="15.75" customHeight="1">
      <c r="A19" s="3">
        <v>75</v>
      </c>
      <c r="B19" s="3">
        <v>225</v>
      </c>
      <c r="C19" s="3">
        <v>3</v>
      </c>
      <c r="D19" s="3">
        <v>183</v>
      </c>
      <c r="E19" s="3" t="s">
        <v>649</v>
      </c>
      <c r="F19" s="3" t="s">
        <v>188</v>
      </c>
      <c r="G19" s="4">
        <v>2.1465277777777776</v>
      </c>
      <c r="H19" s="55">
        <v>0.21666666666666667</v>
      </c>
      <c r="I19" s="55">
        <v>0.37430555555555556</v>
      </c>
      <c r="J19" s="55">
        <v>0.23958333333333334</v>
      </c>
      <c r="K19" s="55">
        <v>0.13958333333333334</v>
      </c>
      <c r="L19" s="55">
        <v>0.18333333333333332</v>
      </c>
      <c r="M19" s="55">
        <v>6.805555555555555E-2</v>
      </c>
      <c r="N19" s="54" t="s">
        <v>353</v>
      </c>
    </row>
    <row r="20" spans="1:14" ht="15.75" customHeight="1">
      <c r="A20" s="3">
        <v>75</v>
      </c>
      <c r="B20" s="3">
        <v>225</v>
      </c>
      <c r="C20" s="3">
        <v>3</v>
      </c>
      <c r="D20" s="3">
        <v>183</v>
      </c>
      <c r="E20" s="3" t="s">
        <v>16</v>
      </c>
      <c r="F20" s="3" t="s">
        <v>118</v>
      </c>
      <c r="G20" s="4">
        <v>2.1465277777777776</v>
      </c>
      <c r="H20" s="55">
        <v>0.21666666666666667</v>
      </c>
      <c r="I20" s="55">
        <v>0.37361111111111112</v>
      </c>
      <c r="J20" s="55">
        <v>0.24097222222222223</v>
      </c>
      <c r="K20" s="55">
        <v>0.14166666666666666</v>
      </c>
      <c r="L20" s="55">
        <v>0.18194444444444444</v>
      </c>
      <c r="M20" s="55">
        <v>6.7361111111111108E-2</v>
      </c>
      <c r="N20" s="54" t="s">
        <v>353</v>
      </c>
    </row>
    <row r="21" spans="1:14" ht="15.75" customHeight="1">
      <c r="A21" s="3">
        <v>75</v>
      </c>
      <c r="B21" s="3">
        <v>225</v>
      </c>
      <c r="C21" s="3">
        <v>3</v>
      </c>
      <c r="D21" s="3">
        <v>183</v>
      </c>
      <c r="E21" s="3" t="s">
        <v>16</v>
      </c>
      <c r="F21" s="3" t="s">
        <v>627</v>
      </c>
      <c r="G21" s="4">
        <v>2.1527777777777777</v>
      </c>
      <c r="H21" s="55">
        <v>0.21736111111111112</v>
      </c>
      <c r="I21" s="55">
        <v>0.375</v>
      </c>
      <c r="J21" s="55">
        <v>0.24097222222222223</v>
      </c>
      <c r="K21" s="55">
        <v>0.14166666666666666</v>
      </c>
      <c r="L21" s="55">
        <v>0.18333333333333332</v>
      </c>
      <c r="M21" s="55">
        <v>6.805555555555555E-2</v>
      </c>
      <c r="N21" s="54" t="s">
        <v>353</v>
      </c>
    </row>
    <row r="22" spans="1:14" ht="15.75" customHeight="1">
      <c r="A22" s="3">
        <v>75</v>
      </c>
      <c r="B22" s="3">
        <v>225</v>
      </c>
      <c r="C22" s="3">
        <v>3</v>
      </c>
      <c r="D22" s="3">
        <v>183</v>
      </c>
      <c r="E22" s="3" t="s">
        <v>16</v>
      </c>
      <c r="F22" s="3" t="s">
        <v>139</v>
      </c>
      <c r="G22" s="4">
        <v>2.1527777777777777</v>
      </c>
      <c r="H22" s="55">
        <v>0.21666666666666667</v>
      </c>
      <c r="I22" s="55">
        <v>0.37430555555555556</v>
      </c>
      <c r="J22" s="55">
        <v>0.24166666666666667</v>
      </c>
      <c r="K22" s="55">
        <v>0.1423611111111111</v>
      </c>
      <c r="L22" s="55">
        <v>0.18263888888888888</v>
      </c>
      <c r="M22" s="55">
        <v>6.805555555555555E-2</v>
      </c>
      <c r="N22" s="54" t="s">
        <v>353</v>
      </c>
    </row>
    <row r="23" spans="1:14" ht="15.75" customHeight="1">
      <c r="A23" s="3">
        <v>75</v>
      </c>
      <c r="B23" s="3">
        <v>225</v>
      </c>
      <c r="C23" s="3">
        <v>3</v>
      </c>
      <c r="D23" s="3">
        <v>183</v>
      </c>
      <c r="E23" s="3" t="s">
        <v>626</v>
      </c>
      <c r="F23" s="3" t="s">
        <v>351</v>
      </c>
      <c r="G23" s="4">
        <v>2.1548611111111109</v>
      </c>
      <c r="H23" s="55">
        <v>0.21736111111111112</v>
      </c>
      <c r="I23" s="55">
        <v>0.375</v>
      </c>
      <c r="J23" s="55">
        <v>0.24097222222222223</v>
      </c>
      <c r="K23" s="55">
        <v>0.14097222222222222</v>
      </c>
      <c r="L23" s="55">
        <v>0.18333333333333332</v>
      </c>
      <c r="M23" s="55">
        <v>6.8750000000000006E-2</v>
      </c>
      <c r="N23" s="54" t="s">
        <v>353</v>
      </c>
    </row>
    <row r="24" spans="1:14" ht="15.75" customHeight="1">
      <c r="A24" s="3">
        <v>75</v>
      </c>
      <c r="B24" s="3">
        <v>225</v>
      </c>
      <c r="C24" s="3">
        <v>3</v>
      </c>
      <c r="D24" s="3">
        <v>183</v>
      </c>
      <c r="E24" s="3" t="s">
        <v>16</v>
      </c>
      <c r="F24" s="3" t="s">
        <v>628</v>
      </c>
      <c r="G24" s="4">
        <v>2.1576388888888891</v>
      </c>
      <c r="H24" s="55">
        <v>0.21805555555555556</v>
      </c>
      <c r="I24" s="55">
        <v>0.37569444444444444</v>
      </c>
      <c r="J24" s="55">
        <v>0.24166666666666667</v>
      </c>
      <c r="K24" s="55">
        <v>0.14166666666666666</v>
      </c>
      <c r="L24" s="55">
        <v>0.18333333333333332</v>
      </c>
      <c r="M24" s="55">
        <v>6.805555555555555E-2</v>
      </c>
      <c r="N24" s="54" t="s">
        <v>353</v>
      </c>
    </row>
    <row r="25" spans="1:14" ht="15.75" customHeight="1">
      <c r="A25" s="3">
        <v>75</v>
      </c>
      <c r="B25" s="3">
        <v>225</v>
      </c>
      <c r="C25" s="3">
        <v>3</v>
      </c>
      <c r="D25" s="3">
        <v>183</v>
      </c>
      <c r="E25" s="3" t="s">
        <v>225</v>
      </c>
      <c r="F25" s="3" t="s">
        <v>188</v>
      </c>
      <c r="G25" s="4">
        <v>2.1590277777777778</v>
      </c>
      <c r="H25" s="55">
        <v>0.21805555555555556</v>
      </c>
      <c r="I25" s="55">
        <v>0.37638888888888888</v>
      </c>
      <c r="J25" s="55">
        <v>0.24097222222222223</v>
      </c>
      <c r="K25" s="55">
        <v>0.14027777777777778</v>
      </c>
      <c r="L25" s="55">
        <v>0.18472222222222223</v>
      </c>
      <c r="M25" s="55">
        <v>6.8750000000000006E-2</v>
      </c>
      <c r="N25" s="54" t="s">
        <v>353</v>
      </c>
    </row>
    <row r="26" spans="1:14" ht="15.75" customHeight="1">
      <c r="A26" s="3">
        <v>75</v>
      </c>
      <c r="B26" s="3">
        <v>225</v>
      </c>
      <c r="C26" s="3">
        <v>3</v>
      </c>
      <c r="D26" s="3">
        <v>183</v>
      </c>
      <c r="E26" s="3" t="s">
        <v>16</v>
      </c>
      <c r="F26" s="3" t="s">
        <v>188</v>
      </c>
      <c r="G26" s="4">
        <v>2.1631944444444446</v>
      </c>
      <c r="H26" s="55">
        <v>0.21805555555555556</v>
      </c>
      <c r="I26" s="55">
        <v>0.37638888888888888</v>
      </c>
      <c r="J26" s="55">
        <v>0.24236111111111111</v>
      </c>
      <c r="K26" s="55">
        <v>0.14166666666666666</v>
      </c>
      <c r="L26" s="55">
        <v>0.18402777777777779</v>
      </c>
      <c r="M26" s="55">
        <v>6.8750000000000006E-2</v>
      </c>
      <c r="N26" s="54" t="s">
        <v>353</v>
      </c>
    </row>
    <row r="27" spans="1:14" ht="15.75" customHeight="1">
      <c r="A27" s="3">
        <v>75</v>
      </c>
      <c r="B27" s="3">
        <v>225</v>
      </c>
      <c r="C27" s="3">
        <v>3</v>
      </c>
      <c r="D27" s="3">
        <v>183</v>
      </c>
      <c r="E27" s="3" t="s">
        <v>16</v>
      </c>
      <c r="F27" s="3" t="s">
        <v>585</v>
      </c>
      <c r="G27" s="4">
        <v>2.1666666666666665</v>
      </c>
      <c r="H27" s="55">
        <v>0.21805555555555556</v>
      </c>
      <c r="I27" s="55">
        <v>0.37708333333333333</v>
      </c>
      <c r="J27" s="55">
        <v>0.24236111111111111</v>
      </c>
      <c r="K27" s="55">
        <v>0.14166666666666666</v>
      </c>
      <c r="L27" s="55">
        <v>0.18472222222222223</v>
      </c>
      <c r="M27" s="55">
        <v>6.8750000000000006E-2</v>
      </c>
      <c r="N27" s="54" t="s">
        <v>353</v>
      </c>
    </row>
    <row r="28" spans="1:14" ht="15.75" customHeight="1">
      <c r="A28" s="3">
        <v>75</v>
      </c>
      <c r="B28" s="3">
        <v>225</v>
      </c>
      <c r="C28" s="3">
        <v>3</v>
      </c>
      <c r="D28" s="3">
        <v>183</v>
      </c>
      <c r="E28" s="3" t="s">
        <v>552</v>
      </c>
      <c r="F28" s="3" t="s">
        <v>585</v>
      </c>
      <c r="G28" s="4">
        <v>2.1694444444444443</v>
      </c>
      <c r="H28" s="55">
        <v>0.21875</v>
      </c>
      <c r="I28" s="55">
        <v>0.37708333333333333</v>
      </c>
      <c r="J28" s="55">
        <v>0.24305555555555555</v>
      </c>
      <c r="K28" s="55">
        <v>0.1423611111111111</v>
      </c>
      <c r="L28" s="55">
        <v>0.18402777777777779</v>
      </c>
      <c r="M28" s="55">
        <v>6.8750000000000006E-2</v>
      </c>
      <c r="N28" s="54" t="s">
        <v>353</v>
      </c>
    </row>
    <row r="29" spans="1:14" ht="15.75" customHeight="1">
      <c r="A29" s="3">
        <v>75</v>
      </c>
      <c r="B29" s="3">
        <v>225</v>
      </c>
      <c r="C29" s="3">
        <f>B29/A29</f>
        <v>3</v>
      </c>
      <c r="D29" s="3">
        <v>183</v>
      </c>
      <c r="E29" s="3" t="s">
        <v>650</v>
      </c>
      <c r="F29" s="3" t="s">
        <v>651</v>
      </c>
      <c r="G29" s="4">
        <v>2.1694444444444443</v>
      </c>
      <c r="H29" s="55">
        <v>0.21875</v>
      </c>
      <c r="I29" s="55">
        <v>0.37777777777777777</v>
      </c>
      <c r="J29" s="55">
        <v>0.24374999999999999</v>
      </c>
      <c r="K29" s="55">
        <v>0.14305555555555555</v>
      </c>
      <c r="L29" s="55">
        <v>0.18472222222222223</v>
      </c>
      <c r="M29" s="55">
        <v>6.805555555555555E-2</v>
      </c>
      <c r="N29" s="54" t="str">
        <f>HYPERLINK("https://www.strava.com/activities/762747441","Strava")</f>
        <v>Strava</v>
      </c>
    </row>
    <row r="30" spans="1:14" ht="15.75" customHeight="1">
      <c r="A30" s="3">
        <v>75</v>
      </c>
      <c r="B30" s="3">
        <v>225</v>
      </c>
      <c r="C30" s="3">
        <v>3</v>
      </c>
      <c r="D30" s="3">
        <v>183</v>
      </c>
      <c r="E30" s="3" t="s">
        <v>16</v>
      </c>
      <c r="F30" s="3" t="s">
        <v>551</v>
      </c>
      <c r="G30" s="4">
        <v>2.1701388888888888</v>
      </c>
      <c r="H30" s="55">
        <v>0.21875</v>
      </c>
      <c r="I30" s="55">
        <v>0.37777777777777777</v>
      </c>
      <c r="J30" s="55">
        <v>0.24374999999999999</v>
      </c>
      <c r="K30" s="55">
        <v>0.1423611111111111</v>
      </c>
      <c r="L30" s="55">
        <v>0.18472222222222223</v>
      </c>
      <c r="M30" s="55">
        <v>6.8750000000000006E-2</v>
      </c>
      <c r="N30" s="54" t="s">
        <v>353</v>
      </c>
    </row>
  </sheetData>
  <autoFilter ref="A1:N30" xr:uid="{00000000-0009-0000-0000-000015000000}"/>
  <customSheetViews>
    <customSheetView guid="{76999AAD-A7A0-4C0B-8C86-CC12D092308D}" filter="1" showAutoFilter="1">
      <pageMargins left="0.7" right="0.7" top="0.75" bottom="0.75" header="0.3" footer="0.3"/>
      <autoFilter ref="A1:N30" xr:uid="{E8E58500-7F01-42BA-BF6E-29A7D15D4B07}">
        <filterColumn colId="4">
          <filters>
            <filter val="Buffalo Fahrrad"/>
            <filter val="Specialized Tarmac"/>
            <filter val="Trek Emonda"/>
            <filter val="Zwift Carbon"/>
            <filter val="Zwift Steel"/>
          </filters>
        </filterColumn>
      </autoFilter>
    </customSheetView>
  </customSheetViews>
  <hyperlinks>
    <hyperlink ref="N2" r:id="rId1" xr:uid="{00000000-0004-0000-1500-000000000000}"/>
    <hyperlink ref="N3" r:id="rId2" xr:uid="{00000000-0004-0000-1500-000001000000}"/>
    <hyperlink ref="N5" r:id="rId3" xr:uid="{00000000-0004-0000-1500-000002000000}"/>
    <hyperlink ref="N6" r:id="rId4" xr:uid="{00000000-0004-0000-1500-000003000000}"/>
    <hyperlink ref="N7" r:id="rId5" xr:uid="{00000000-0004-0000-1500-000004000000}"/>
    <hyperlink ref="N8" r:id="rId6" xr:uid="{00000000-0004-0000-1500-000005000000}"/>
    <hyperlink ref="N9" r:id="rId7" xr:uid="{00000000-0004-0000-1500-000006000000}"/>
    <hyperlink ref="N10" r:id="rId8" xr:uid="{00000000-0004-0000-1500-000007000000}"/>
    <hyperlink ref="N11" r:id="rId9" xr:uid="{00000000-0004-0000-1500-000008000000}"/>
    <hyperlink ref="N12" r:id="rId10" xr:uid="{00000000-0004-0000-1500-000009000000}"/>
    <hyperlink ref="N13" r:id="rId11" xr:uid="{00000000-0004-0000-1500-00000A000000}"/>
    <hyperlink ref="N14" r:id="rId12" xr:uid="{00000000-0004-0000-1500-00000B000000}"/>
    <hyperlink ref="N15" r:id="rId13" xr:uid="{00000000-0004-0000-1500-00000C000000}"/>
    <hyperlink ref="N16" r:id="rId14" xr:uid="{00000000-0004-0000-1500-00000D000000}"/>
    <hyperlink ref="N17" r:id="rId15" xr:uid="{00000000-0004-0000-1500-00000E000000}"/>
    <hyperlink ref="N18" r:id="rId16" xr:uid="{00000000-0004-0000-1500-00000F000000}"/>
    <hyperlink ref="N19" r:id="rId17" xr:uid="{00000000-0004-0000-1500-000010000000}"/>
    <hyperlink ref="N20" r:id="rId18" xr:uid="{00000000-0004-0000-1500-000011000000}"/>
    <hyperlink ref="N21" r:id="rId19" xr:uid="{00000000-0004-0000-1500-000012000000}"/>
    <hyperlink ref="N22" r:id="rId20" xr:uid="{00000000-0004-0000-1500-000013000000}"/>
    <hyperlink ref="N23" r:id="rId21" xr:uid="{00000000-0004-0000-1500-000014000000}"/>
    <hyperlink ref="N24" r:id="rId22" xr:uid="{00000000-0004-0000-1500-000015000000}"/>
    <hyperlink ref="N25" r:id="rId23" xr:uid="{00000000-0004-0000-1500-000016000000}"/>
    <hyperlink ref="N26" r:id="rId24" xr:uid="{00000000-0004-0000-1500-000017000000}"/>
    <hyperlink ref="N27" r:id="rId25" xr:uid="{00000000-0004-0000-1500-000018000000}"/>
    <hyperlink ref="N28" r:id="rId26" xr:uid="{00000000-0004-0000-1500-000019000000}"/>
    <hyperlink ref="N30" r:id="rId27" xr:uid="{00000000-0004-0000-1500-00001A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O97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8.28515625" customWidth="1"/>
    <col min="2" max="2" width="7.5703125" customWidth="1"/>
    <col min="3" max="3" width="6.85546875" customWidth="1"/>
    <col min="4" max="4" width="8.42578125" customWidth="1"/>
    <col min="5" max="6" width="16.42578125" customWidth="1"/>
    <col min="7" max="7" width="10.28515625" customWidth="1"/>
    <col min="8" max="8" width="7.7109375" customWidth="1"/>
    <col min="9" max="9" width="7.140625" customWidth="1"/>
    <col min="14" max="14" width="8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59" t="s">
        <v>539</v>
      </c>
      <c r="H1" s="59" t="s">
        <v>642</v>
      </c>
      <c r="I1" s="59" t="s">
        <v>643</v>
      </c>
      <c r="J1" s="59" t="s">
        <v>644</v>
      </c>
      <c r="K1" s="59" t="s">
        <v>645</v>
      </c>
      <c r="L1" s="59" t="s">
        <v>646</v>
      </c>
      <c r="M1" s="59" t="s">
        <v>647</v>
      </c>
      <c r="O1" s="1" t="s">
        <v>8</v>
      </c>
    </row>
    <row r="2" spans="1:15" ht="15.75" customHeight="1">
      <c r="A2" s="3">
        <v>75</v>
      </c>
      <c r="B2" s="3">
        <v>225</v>
      </c>
      <c r="C2" s="3">
        <f t="shared" ref="C2:C8" si="0">B2/A2</f>
        <v>3</v>
      </c>
      <c r="D2" s="3">
        <v>183</v>
      </c>
      <c r="E2" s="3" t="s">
        <v>648</v>
      </c>
      <c r="F2" s="3" t="s">
        <v>351</v>
      </c>
      <c r="G2" s="4">
        <v>3.5381944444444445E-2</v>
      </c>
      <c r="H2" s="4">
        <v>3.5648148148148149E-3</v>
      </c>
      <c r="I2" s="4">
        <v>6.145833333333333E-3</v>
      </c>
      <c r="J2" s="4">
        <v>3.9699074074074072E-3</v>
      </c>
      <c r="K2" s="4">
        <v>2.3379629629629631E-3</v>
      </c>
      <c r="L2" s="4">
        <v>2.9976851851851853E-3</v>
      </c>
      <c r="M2" s="4">
        <v>1.1111111111111111E-3</v>
      </c>
      <c r="N2" s="28" t="str">
        <f>HYPERLINK("https://www.strava.com/activities/1258033831","Strava")</f>
        <v>Strava</v>
      </c>
    </row>
    <row r="3" spans="1:15" ht="15.75" customHeight="1">
      <c r="A3" s="3">
        <v>75</v>
      </c>
      <c r="B3" s="3">
        <v>225</v>
      </c>
      <c r="C3" s="3">
        <f t="shared" si="0"/>
        <v>3</v>
      </c>
      <c r="D3" s="3">
        <v>183</v>
      </c>
      <c r="E3" s="55" t="s">
        <v>58</v>
      </c>
      <c r="F3" s="55" t="s">
        <v>91</v>
      </c>
      <c r="G3" s="4">
        <v>3.5509259259259261E-2</v>
      </c>
      <c r="H3" s="4">
        <v>3.5648148148148149E-3</v>
      </c>
      <c r="I3" s="4">
        <v>6.1689814814814819E-3</v>
      </c>
      <c r="J3" s="4">
        <v>3.9814814814814817E-3</v>
      </c>
      <c r="K3" s="4">
        <v>2.3495370370370371E-3</v>
      </c>
      <c r="L3" s="4">
        <v>3.0092592592592593E-3</v>
      </c>
      <c r="M3" s="4">
        <v>1.1226851851851851E-3</v>
      </c>
      <c r="N3" s="60" t="str">
        <f>HYPERLINK("https://www.strava.com/activities/1258158340","Strava")</f>
        <v>Strava</v>
      </c>
    </row>
    <row r="4" spans="1:15" ht="15.75" customHeight="1">
      <c r="A4" s="3">
        <v>75</v>
      </c>
      <c r="B4" s="3">
        <v>225</v>
      </c>
      <c r="C4" s="3">
        <f t="shared" si="0"/>
        <v>3</v>
      </c>
      <c r="D4" s="3">
        <v>183</v>
      </c>
      <c r="E4" s="3" t="s">
        <v>63</v>
      </c>
      <c r="F4" s="55" t="s">
        <v>91</v>
      </c>
      <c r="G4" s="4">
        <v>3.5486111111111114E-2</v>
      </c>
      <c r="H4" s="4">
        <v>3.5763888888888889E-3</v>
      </c>
      <c r="I4" s="4">
        <v>6.1574074074074074E-3</v>
      </c>
      <c r="J4" s="4">
        <v>3.9814814814814817E-3</v>
      </c>
      <c r="K4" s="4">
        <v>2.3495370370370371E-3</v>
      </c>
      <c r="L4" s="4">
        <v>3.0092592592592593E-3</v>
      </c>
      <c r="M4" s="4">
        <v>1.1111111111111111E-3</v>
      </c>
      <c r="N4" s="61" t="str">
        <f>HYPERLINK("https://www.strava.com/activities/1258281056","Strava")</f>
        <v>Strava</v>
      </c>
      <c r="O4" s="62" t="s">
        <v>652</v>
      </c>
    </row>
    <row r="5" spans="1:15" ht="15.75" customHeight="1">
      <c r="A5" s="3">
        <v>75</v>
      </c>
      <c r="B5" s="3">
        <v>225</v>
      </c>
      <c r="C5" s="3">
        <f t="shared" si="0"/>
        <v>3</v>
      </c>
      <c r="D5" s="3">
        <v>183</v>
      </c>
      <c r="E5" s="3" t="s">
        <v>75</v>
      </c>
      <c r="F5" s="55" t="s">
        <v>91</v>
      </c>
      <c r="G5" s="4">
        <v>3.5555555555555556E-2</v>
      </c>
      <c r="H5" s="4">
        <v>3.5763888888888889E-3</v>
      </c>
      <c r="I5" s="4">
        <v>6.1689814814814819E-3</v>
      </c>
      <c r="J5" s="4">
        <v>3.9930555555555552E-3</v>
      </c>
      <c r="K5" s="4">
        <v>2.3611111111111111E-3</v>
      </c>
      <c r="L5" s="4">
        <v>3.0092592592592593E-3</v>
      </c>
      <c r="M5" s="4">
        <v>1.1111111111111111E-3</v>
      </c>
      <c r="N5" s="61" t="str">
        <f>HYPERLINK("https://www.strava.com/activities/1261515248","Strava")</f>
        <v>Strava</v>
      </c>
    </row>
    <row r="6" spans="1:15" ht="15.75" customHeight="1">
      <c r="A6" s="3">
        <v>75</v>
      </c>
      <c r="B6" s="3">
        <v>225</v>
      </c>
      <c r="C6" s="3">
        <f t="shared" si="0"/>
        <v>3</v>
      </c>
      <c r="D6" s="3">
        <v>183</v>
      </c>
      <c r="E6" s="3" t="s">
        <v>19</v>
      </c>
      <c r="F6" s="55" t="s">
        <v>91</v>
      </c>
      <c r="G6" s="4">
        <v>3.560185185185185E-2</v>
      </c>
      <c r="H6" s="4">
        <v>3.5763888888888889E-3</v>
      </c>
      <c r="I6" s="4">
        <v>6.1805555555555555E-3</v>
      </c>
      <c r="J6" s="4">
        <v>3.9930555555555552E-3</v>
      </c>
      <c r="K6" s="4">
        <v>2.3611111111111111E-3</v>
      </c>
      <c r="L6" s="4">
        <v>3.0208333333333333E-3</v>
      </c>
      <c r="M6" s="4">
        <v>1.1226851851851851E-3</v>
      </c>
      <c r="N6" s="61" t="str">
        <f>HYPERLINK("https://www.strava.com/activities/1261555818","Strava")</f>
        <v>Strava</v>
      </c>
    </row>
    <row r="7" spans="1:15" ht="15.75" customHeight="1">
      <c r="A7" s="3">
        <v>75</v>
      </c>
      <c r="B7" s="3">
        <v>225</v>
      </c>
      <c r="C7" s="3">
        <f t="shared" si="0"/>
        <v>3</v>
      </c>
      <c r="D7" s="3">
        <v>183</v>
      </c>
      <c r="E7" s="3" t="s">
        <v>19</v>
      </c>
      <c r="F7" s="3" t="s">
        <v>118</v>
      </c>
      <c r="G7" s="4">
        <v>3.5682870370370372E-2</v>
      </c>
      <c r="H7" s="4">
        <v>3.5879629629629629E-3</v>
      </c>
      <c r="I7" s="4">
        <v>6.2037037037037035E-3</v>
      </c>
      <c r="J7" s="4">
        <v>4.0046296296296297E-3</v>
      </c>
      <c r="K7" s="4">
        <v>2.3611111111111111E-3</v>
      </c>
      <c r="L7" s="4">
        <v>3.0208333333333333E-3</v>
      </c>
      <c r="M7" s="4">
        <v>1.1226851851851851E-3</v>
      </c>
      <c r="N7" s="61" t="str">
        <f>HYPERLINK("https://www.strava.com/activities/1261590500","Strava")</f>
        <v>Strava</v>
      </c>
    </row>
    <row r="8" spans="1:15" ht="15.75" customHeight="1">
      <c r="A8" s="3">
        <v>75</v>
      </c>
      <c r="B8" s="3">
        <v>225</v>
      </c>
      <c r="C8" s="3">
        <f t="shared" si="0"/>
        <v>3</v>
      </c>
      <c r="D8" s="3">
        <v>183</v>
      </c>
      <c r="E8" s="3" t="s">
        <v>625</v>
      </c>
      <c r="F8" s="3" t="s">
        <v>91</v>
      </c>
      <c r="G8" s="4">
        <v>3.5636574074074077E-2</v>
      </c>
      <c r="H8" s="4">
        <v>3.5879629629629629E-3</v>
      </c>
      <c r="I8" s="4">
        <v>6.1921296296296299E-3</v>
      </c>
      <c r="J8" s="4">
        <v>3.9930555555555552E-3</v>
      </c>
      <c r="K8" s="4">
        <v>2.3495370370370371E-3</v>
      </c>
      <c r="L8" s="4">
        <v>3.0208333333333333E-3</v>
      </c>
      <c r="M8" s="4">
        <v>1.1111111111111111E-3</v>
      </c>
      <c r="N8" s="61" t="str">
        <f>HYPERLINK("https://www.strava.com/activities/1261621399","Strava")</f>
        <v>Strava</v>
      </c>
    </row>
    <row r="9" spans="1:15" ht="15.75" customHeight="1">
      <c r="A9" s="3">
        <v>75</v>
      </c>
      <c r="B9" s="3">
        <v>225</v>
      </c>
      <c r="C9" s="3">
        <v>3</v>
      </c>
      <c r="D9" s="3">
        <v>183</v>
      </c>
      <c r="E9" s="3" t="s">
        <v>58</v>
      </c>
      <c r="F9" s="3" t="s">
        <v>653</v>
      </c>
      <c r="G9" s="4">
        <v>3.574074074074074E-2</v>
      </c>
      <c r="H9" s="4">
        <v>3.6111111111111109E-3</v>
      </c>
      <c r="I9" s="4">
        <v>6.2384259259259259E-3</v>
      </c>
      <c r="J9" s="4">
        <v>3.9930555555555552E-3</v>
      </c>
      <c r="K9" s="4">
        <v>2.3495370370370371E-3</v>
      </c>
      <c r="L9" s="4">
        <v>3.0439814814814813E-3</v>
      </c>
      <c r="M9" s="4">
        <v>1.1342592592592593E-3</v>
      </c>
      <c r="N9" s="61" t="str">
        <f>HYPERLINK("https://www.strava.com/activities/1482102089","Strava")</f>
        <v>Strava</v>
      </c>
    </row>
    <row r="10" spans="1:15" ht="15.75" customHeight="1">
      <c r="A10" s="3">
        <v>75</v>
      </c>
      <c r="B10" s="3">
        <v>225</v>
      </c>
      <c r="C10" s="3">
        <f t="shared" ref="C10:C14" si="1">B10/A10</f>
        <v>3</v>
      </c>
      <c r="D10" s="3">
        <v>183</v>
      </c>
      <c r="E10" s="3" t="s">
        <v>58</v>
      </c>
      <c r="F10" s="3" t="s">
        <v>654</v>
      </c>
      <c r="G10" s="4">
        <v>3.5358796296296298E-2</v>
      </c>
      <c r="H10" s="4">
        <v>3.5648148148148149E-3</v>
      </c>
      <c r="I10" s="4">
        <v>6.145833333333333E-3</v>
      </c>
      <c r="J10" s="4">
        <v>3.9814814814814817E-3</v>
      </c>
      <c r="K10" s="4">
        <v>2.3495370370370371E-3</v>
      </c>
      <c r="L10" s="4">
        <v>2.9976851851851853E-3</v>
      </c>
      <c r="M10" s="4">
        <v>1.1111111111111111E-3</v>
      </c>
      <c r="N10" s="61" t="str">
        <f>HYPERLINK("https://www.strava.com/activities/1489245459","Strava")</f>
        <v>Strava</v>
      </c>
    </row>
    <row r="11" spans="1:15" ht="15.75" customHeight="1">
      <c r="A11" s="3">
        <v>75</v>
      </c>
      <c r="B11" s="3">
        <v>300</v>
      </c>
      <c r="C11" s="3">
        <f t="shared" si="1"/>
        <v>4</v>
      </c>
      <c r="D11" s="3">
        <v>183</v>
      </c>
      <c r="E11" s="3" t="s">
        <v>58</v>
      </c>
      <c r="F11" s="3" t="s">
        <v>654</v>
      </c>
      <c r="G11" s="4">
        <v>3.125E-2</v>
      </c>
      <c r="H11" s="4">
        <v>3.1944444444444446E-3</v>
      </c>
      <c r="I11" s="4">
        <v>5.5439814814814813E-3</v>
      </c>
      <c r="J11" s="4">
        <v>3.2523148148148147E-3</v>
      </c>
      <c r="K11" s="4">
        <v>1.8287037037037037E-3</v>
      </c>
      <c r="L11" s="4">
        <v>2.7546296296296294E-3</v>
      </c>
      <c r="M11" s="4">
        <v>1.0416666666666667E-3</v>
      </c>
      <c r="N11" s="61" t="str">
        <f t="shared" ref="N11:N12" si="2">HYPERLINK("https://www.strava.com/activities/1489151285","Strava")</f>
        <v>Strava</v>
      </c>
    </row>
    <row r="12" spans="1:15" ht="15.75" customHeight="1">
      <c r="A12" s="3">
        <v>75</v>
      </c>
      <c r="B12" s="3">
        <v>375</v>
      </c>
      <c r="C12" s="3">
        <f t="shared" si="1"/>
        <v>5</v>
      </c>
      <c r="D12" s="3">
        <v>183</v>
      </c>
      <c r="E12" s="3" t="s">
        <v>58</v>
      </c>
      <c r="F12" s="3" t="s">
        <v>654</v>
      </c>
      <c r="G12" s="4">
        <v>2.8518518518518519E-2</v>
      </c>
      <c r="H12" s="4">
        <v>2.9398148148148148E-3</v>
      </c>
      <c r="I12" s="4">
        <v>5.1273148148148146E-3</v>
      </c>
      <c r="J12" s="4">
        <v>2.9861111111111113E-3</v>
      </c>
      <c r="K12" s="4">
        <v>1.5393518518518519E-3</v>
      </c>
      <c r="L12" s="4">
        <v>2.5810185185185185E-3</v>
      </c>
      <c r="M12" s="4">
        <v>1.0069444444444444E-3</v>
      </c>
      <c r="N12" s="61" t="str">
        <f t="shared" si="2"/>
        <v>Strava</v>
      </c>
    </row>
    <row r="13" spans="1:15" ht="15.75" customHeight="1">
      <c r="A13" s="3">
        <v>75</v>
      </c>
      <c r="B13" s="3">
        <v>300</v>
      </c>
      <c r="C13" s="3">
        <f t="shared" si="1"/>
        <v>4</v>
      </c>
      <c r="D13" s="3">
        <v>183</v>
      </c>
      <c r="E13" s="3" t="s">
        <v>648</v>
      </c>
      <c r="F13" s="3" t="s">
        <v>351</v>
      </c>
      <c r="G13" s="4">
        <v>3.1226851851851853E-2</v>
      </c>
      <c r="H13" s="4">
        <v>3.1944444444444446E-3</v>
      </c>
      <c r="I13" s="4">
        <v>5.5439814814814813E-3</v>
      </c>
      <c r="J13" s="4">
        <v>3.2523148148148147E-3</v>
      </c>
      <c r="K13" s="4">
        <v>1.8287037037037037E-3</v>
      </c>
      <c r="L13" s="4">
        <v>2.7546296296296294E-3</v>
      </c>
      <c r="M13" s="4">
        <v>1.0532407407407407E-3</v>
      </c>
      <c r="N13" s="61" t="str">
        <f>HYPERLINK("https://www.strava.com/activities/1490849804","Strava")</f>
        <v>Strava</v>
      </c>
    </row>
    <row r="14" spans="1:15" ht="15.75" customHeight="1">
      <c r="A14" s="3">
        <v>75</v>
      </c>
      <c r="B14" s="3">
        <v>375</v>
      </c>
      <c r="C14" s="3">
        <f t="shared" si="1"/>
        <v>5</v>
      </c>
      <c r="D14" s="3">
        <v>183</v>
      </c>
      <c r="E14" s="3" t="s">
        <v>648</v>
      </c>
      <c r="F14" s="3" t="s">
        <v>351</v>
      </c>
      <c r="G14" s="4">
        <v>2.8518518518518519E-2</v>
      </c>
      <c r="H14" s="4">
        <v>2.9513888888888888E-3</v>
      </c>
      <c r="I14" s="4"/>
      <c r="J14" s="4"/>
      <c r="K14" s="4"/>
      <c r="L14" s="4"/>
      <c r="M14" s="4"/>
    </row>
    <row r="15" spans="1:15" ht="15.75" customHeight="1">
      <c r="F15" s="3"/>
      <c r="G15" s="4"/>
      <c r="H15" s="4"/>
      <c r="I15" s="4"/>
      <c r="J15" s="4"/>
      <c r="K15" s="4"/>
      <c r="L15" s="4"/>
      <c r="M15" s="4"/>
    </row>
    <row r="16" spans="1:15" ht="15.75" customHeight="1">
      <c r="F16" s="10"/>
      <c r="G16" s="4"/>
      <c r="H16" s="4"/>
      <c r="I16" s="4"/>
      <c r="J16" s="4"/>
      <c r="K16" s="4"/>
      <c r="L16" s="4"/>
      <c r="M16" s="4"/>
    </row>
    <row r="17" spans="7:13" ht="15.75" customHeight="1">
      <c r="G17" s="4"/>
      <c r="H17" s="4"/>
      <c r="I17" s="4"/>
      <c r="J17" s="4"/>
      <c r="K17" s="4"/>
      <c r="L17" s="4"/>
      <c r="M17" s="4"/>
    </row>
    <row r="18" spans="7:13" ht="15.75" customHeight="1">
      <c r="G18" s="4"/>
      <c r="H18" s="4"/>
      <c r="I18" s="4"/>
      <c r="J18" s="4"/>
      <c r="K18" s="4"/>
      <c r="L18" s="4"/>
      <c r="M18" s="4"/>
    </row>
    <row r="19" spans="7:13" ht="15.75" customHeight="1">
      <c r="G19" s="4"/>
      <c r="H19" s="4"/>
      <c r="I19" s="4"/>
      <c r="J19" s="4"/>
      <c r="K19" s="4"/>
      <c r="L19" s="4"/>
      <c r="M19" s="4"/>
    </row>
    <row r="20" spans="7:13" ht="15.75" customHeight="1">
      <c r="G20" s="4"/>
      <c r="H20" s="4"/>
      <c r="I20" s="4"/>
      <c r="J20" s="4"/>
      <c r="K20" s="4"/>
      <c r="L20" s="4"/>
      <c r="M20" s="4"/>
    </row>
    <row r="21" spans="7:13" ht="15.75" customHeight="1">
      <c r="G21" s="4"/>
      <c r="H21" s="4"/>
      <c r="I21" s="4"/>
      <c r="J21" s="4"/>
      <c r="K21" s="4"/>
      <c r="L21" s="4"/>
      <c r="M21" s="4"/>
    </row>
    <row r="22" spans="7:13" ht="15.75" customHeight="1">
      <c r="G22" s="4"/>
      <c r="H22" s="4"/>
      <c r="I22" s="4"/>
      <c r="J22" s="4"/>
      <c r="K22" s="4"/>
      <c r="L22" s="4"/>
      <c r="M22" s="4"/>
    </row>
    <row r="23" spans="7:13" ht="15.75" customHeight="1">
      <c r="G23" s="4"/>
      <c r="H23" s="4"/>
      <c r="I23" s="4"/>
      <c r="J23" s="4"/>
      <c r="K23" s="4"/>
      <c r="L23" s="4"/>
      <c r="M23" s="4"/>
    </row>
    <row r="24" spans="7:13" ht="15.75" customHeight="1">
      <c r="G24" s="4"/>
      <c r="H24" s="4"/>
      <c r="I24" s="4"/>
      <c r="J24" s="4"/>
      <c r="K24" s="4"/>
      <c r="L24" s="4"/>
      <c r="M24" s="4"/>
    </row>
    <row r="25" spans="7:13" ht="15.75" customHeight="1">
      <c r="G25" s="4"/>
      <c r="H25" s="4"/>
      <c r="I25" s="4"/>
      <c r="J25" s="4"/>
      <c r="K25" s="4"/>
      <c r="L25" s="4"/>
      <c r="M25" s="4"/>
    </row>
    <row r="26" spans="7:13" ht="15.75" customHeight="1">
      <c r="G26" s="4"/>
      <c r="H26" s="4"/>
      <c r="I26" s="4"/>
      <c r="J26" s="4"/>
      <c r="K26" s="4"/>
      <c r="L26" s="4"/>
      <c r="M26" s="4"/>
    </row>
    <row r="27" spans="7:13" ht="15.75" customHeight="1">
      <c r="G27" s="4"/>
      <c r="H27" s="4"/>
      <c r="I27" s="4"/>
      <c r="J27" s="4"/>
      <c r="K27" s="4"/>
      <c r="L27" s="4"/>
      <c r="M27" s="4"/>
    </row>
    <row r="28" spans="7:13" ht="15.75" customHeight="1">
      <c r="G28" s="4"/>
      <c r="H28" s="4"/>
      <c r="I28" s="4"/>
      <c r="J28" s="4"/>
      <c r="K28" s="4"/>
      <c r="L28" s="4"/>
      <c r="M28" s="4"/>
    </row>
    <row r="29" spans="7:13" ht="15.75" customHeight="1">
      <c r="G29" s="4"/>
      <c r="H29" s="4"/>
      <c r="I29" s="4"/>
      <c r="J29" s="4"/>
      <c r="K29" s="4"/>
      <c r="L29" s="4"/>
      <c r="M29" s="4"/>
    </row>
    <row r="30" spans="7:13" ht="15.75" customHeight="1">
      <c r="G30" s="4"/>
      <c r="H30" s="4"/>
      <c r="I30" s="4"/>
      <c r="J30" s="4"/>
      <c r="K30" s="4"/>
      <c r="L30" s="4"/>
      <c r="M30" s="4"/>
    </row>
    <row r="31" spans="7:13" ht="15.75" customHeight="1">
      <c r="G31" s="4"/>
      <c r="H31" s="4"/>
      <c r="I31" s="4"/>
      <c r="J31" s="4"/>
      <c r="K31" s="4"/>
      <c r="L31" s="4"/>
      <c r="M31" s="4"/>
    </row>
    <row r="32" spans="7:13" ht="15.75" customHeight="1">
      <c r="G32" s="63"/>
      <c r="H32" s="63"/>
      <c r="I32" s="63"/>
      <c r="J32" s="63"/>
      <c r="K32" s="63"/>
      <c r="L32" s="63"/>
      <c r="M32" s="63"/>
    </row>
    <row r="33" spans="7:13" ht="15.75" customHeight="1">
      <c r="G33" s="63"/>
      <c r="H33" s="63"/>
      <c r="I33" s="63"/>
      <c r="J33" s="63"/>
      <c r="K33" s="63"/>
      <c r="L33" s="63"/>
      <c r="M33" s="63"/>
    </row>
    <row r="34" spans="7:13" ht="15.75" customHeight="1">
      <c r="G34" s="63"/>
      <c r="H34" s="63"/>
      <c r="I34" s="63"/>
      <c r="J34" s="63"/>
      <c r="K34" s="63"/>
      <c r="L34" s="63"/>
      <c r="M34" s="63"/>
    </row>
    <row r="35" spans="7:13" ht="15.75" customHeight="1">
      <c r="G35" s="63"/>
      <c r="H35" s="63"/>
      <c r="I35" s="63"/>
      <c r="J35" s="63"/>
      <c r="K35" s="63"/>
      <c r="L35" s="63"/>
      <c r="M35" s="63"/>
    </row>
    <row r="36" spans="7:13" ht="15.75" customHeight="1">
      <c r="G36" s="63"/>
      <c r="H36" s="63"/>
      <c r="I36" s="63"/>
      <c r="J36" s="63"/>
      <c r="K36" s="63"/>
      <c r="L36" s="63"/>
      <c r="M36" s="63"/>
    </row>
    <row r="37" spans="7:13" ht="12.75">
      <c r="G37" s="63"/>
      <c r="H37" s="63"/>
      <c r="I37" s="63"/>
      <c r="J37" s="63"/>
      <c r="K37" s="63"/>
      <c r="L37" s="63"/>
      <c r="M37" s="63"/>
    </row>
    <row r="38" spans="7:13" ht="12.75">
      <c r="G38" s="63"/>
      <c r="H38" s="63"/>
      <c r="I38" s="63"/>
      <c r="J38" s="63"/>
      <c r="K38" s="63"/>
      <c r="L38" s="63"/>
      <c r="M38" s="63"/>
    </row>
    <row r="39" spans="7:13" ht="12.75">
      <c r="G39" s="63"/>
      <c r="H39" s="63"/>
      <c r="I39" s="63"/>
      <c r="J39" s="63"/>
      <c r="K39" s="63"/>
      <c r="L39" s="63"/>
      <c r="M39" s="63"/>
    </row>
    <row r="40" spans="7:13" ht="12.75">
      <c r="G40" s="63"/>
      <c r="H40" s="63"/>
      <c r="I40" s="63"/>
      <c r="J40" s="63"/>
      <c r="K40" s="63"/>
      <c r="L40" s="63"/>
      <c r="M40" s="63"/>
    </row>
    <row r="41" spans="7:13" ht="12.75">
      <c r="G41" s="63"/>
      <c r="H41" s="63"/>
      <c r="I41" s="63"/>
      <c r="J41" s="63"/>
      <c r="K41" s="63"/>
      <c r="L41" s="63"/>
      <c r="M41" s="63"/>
    </row>
    <row r="42" spans="7:13" ht="12.75">
      <c r="G42" s="63"/>
      <c r="H42" s="63"/>
      <c r="I42" s="63"/>
      <c r="J42" s="63"/>
      <c r="K42" s="63"/>
      <c r="L42" s="63"/>
      <c r="M42" s="63"/>
    </row>
    <row r="43" spans="7:13" ht="12.75">
      <c r="G43" s="63"/>
      <c r="H43" s="63"/>
      <c r="I43" s="63"/>
      <c r="J43" s="63"/>
      <c r="K43" s="63"/>
      <c r="L43" s="63"/>
      <c r="M43" s="63"/>
    </row>
    <row r="44" spans="7:13" ht="12.75">
      <c r="G44" s="63"/>
      <c r="H44" s="63"/>
      <c r="I44" s="63"/>
      <c r="J44" s="63"/>
      <c r="K44" s="63"/>
      <c r="L44" s="63"/>
      <c r="M44" s="63"/>
    </row>
    <row r="45" spans="7:13" ht="12.75">
      <c r="G45" s="63"/>
      <c r="H45" s="63"/>
      <c r="I45" s="63"/>
      <c r="J45" s="63"/>
      <c r="K45" s="63"/>
      <c r="L45" s="63"/>
      <c r="M45" s="63"/>
    </row>
    <row r="46" spans="7:13" ht="12.75">
      <c r="G46" s="63"/>
      <c r="H46" s="63"/>
      <c r="I46" s="63"/>
      <c r="J46" s="63"/>
      <c r="K46" s="63"/>
      <c r="L46" s="63"/>
      <c r="M46" s="63"/>
    </row>
    <row r="47" spans="7:13" ht="12.75">
      <c r="G47" s="63"/>
      <c r="H47" s="63"/>
      <c r="I47" s="63"/>
      <c r="J47" s="63"/>
      <c r="K47" s="63"/>
      <c r="L47" s="63"/>
      <c r="M47" s="63"/>
    </row>
    <row r="48" spans="7:13" ht="12.75">
      <c r="G48" s="63"/>
      <c r="H48" s="63"/>
      <c r="I48" s="63"/>
      <c r="J48" s="63"/>
      <c r="K48" s="63"/>
      <c r="L48" s="63"/>
      <c r="M48" s="63"/>
    </row>
    <row r="49" spans="7:13" ht="12.75">
      <c r="G49" s="63"/>
      <c r="H49" s="63"/>
      <c r="I49" s="63"/>
      <c r="J49" s="63"/>
      <c r="K49" s="63"/>
      <c r="L49" s="63"/>
      <c r="M49" s="63"/>
    </row>
    <row r="50" spans="7:13" ht="12.75">
      <c r="G50" s="63"/>
      <c r="H50" s="63"/>
      <c r="I50" s="63"/>
      <c r="J50" s="63"/>
      <c r="K50" s="63"/>
      <c r="L50" s="63"/>
      <c r="M50" s="63"/>
    </row>
    <row r="51" spans="7:13" ht="12.75">
      <c r="G51" s="63"/>
      <c r="H51" s="63"/>
      <c r="I51" s="63"/>
      <c r="J51" s="63"/>
      <c r="K51" s="63"/>
      <c r="L51" s="63"/>
      <c r="M51" s="63"/>
    </row>
    <row r="52" spans="7:13" ht="12.75">
      <c r="G52" s="63"/>
      <c r="H52" s="63"/>
      <c r="I52" s="63"/>
      <c r="J52" s="63"/>
      <c r="K52" s="63"/>
      <c r="L52" s="63"/>
      <c r="M52" s="63"/>
    </row>
    <row r="53" spans="7:13" ht="12.75">
      <c r="G53" s="63"/>
      <c r="H53" s="63"/>
      <c r="I53" s="63"/>
      <c r="J53" s="63"/>
      <c r="K53" s="63"/>
      <c r="L53" s="63"/>
      <c r="M53" s="63"/>
    </row>
    <row r="54" spans="7:13" ht="12.75">
      <c r="G54" s="63"/>
      <c r="H54" s="63"/>
      <c r="I54" s="63"/>
      <c r="J54" s="63"/>
      <c r="K54" s="63"/>
      <c r="L54" s="63"/>
      <c r="M54" s="63"/>
    </row>
    <row r="55" spans="7:13" ht="12.75">
      <c r="G55" s="63"/>
      <c r="H55" s="63"/>
      <c r="I55" s="63"/>
      <c r="J55" s="63"/>
      <c r="K55" s="63"/>
      <c r="L55" s="63"/>
      <c r="M55" s="63"/>
    </row>
    <row r="56" spans="7:13" ht="12.75">
      <c r="G56" s="63"/>
      <c r="H56" s="63"/>
      <c r="I56" s="63"/>
      <c r="J56" s="63"/>
      <c r="K56" s="63"/>
      <c r="L56" s="63"/>
      <c r="M56" s="63"/>
    </row>
    <row r="57" spans="7:13" ht="12.75">
      <c r="G57" s="63"/>
      <c r="H57" s="63"/>
      <c r="I57" s="63"/>
      <c r="J57" s="63"/>
      <c r="K57" s="63"/>
      <c r="L57" s="63"/>
      <c r="M57" s="63"/>
    </row>
    <row r="58" spans="7:13" ht="12.75">
      <c r="G58" s="63"/>
      <c r="H58" s="63"/>
      <c r="I58" s="63"/>
      <c r="J58" s="63"/>
      <c r="K58" s="63"/>
      <c r="L58" s="63"/>
      <c r="M58" s="63"/>
    </row>
    <row r="59" spans="7:13" ht="12.75">
      <c r="G59" s="63"/>
      <c r="H59" s="63"/>
      <c r="I59" s="63"/>
      <c r="J59" s="63"/>
      <c r="K59" s="63"/>
      <c r="L59" s="63"/>
      <c r="M59" s="63"/>
    </row>
    <row r="60" spans="7:13" ht="12.75">
      <c r="G60" s="63"/>
      <c r="H60" s="63"/>
      <c r="I60" s="63"/>
      <c r="J60" s="63"/>
      <c r="K60" s="63"/>
      <c r="L60" s="63"/>
      <c r="M60" s="63"/>
    </row>
    <row r="61" spans="7:13" ht="12.75">
      <c r="G61" s="63"/>
      <c r="H61" s="63"/>
      <c r="I61" s="63"/>
      <c r="J61" s="63"/>
      <c r="K61" s="63"/>
      <c r="L61" s="63"/>
      <c r="M61" s="63"/>
    </row>
    <row r="62" spans="7:13" ht="12.75">
      <c r="G62" s="63"/>
      <c r="H62" s="63"/>
      <c r="I62" s="63"/>
      <c r="J62" s="63"/>
      <c r="K62" s="63"/>
      <c r="L62" s="63"/>
      <c r="M62" s="63"/>
    </row>
    <row r="63" spans="7:13" ht="12.75">
      <c r="G63" s="63"/>
      <c r="H63" s="63"/>
      <c r="I63" s="63"/>
      <c r="J63" s="63"/>
      <c r="K63" s="63"/>
      <c r="L63" s="63"/>
      <c r="M63" s="63"/>
    </row>
    <row r="64" spans="7:13" ht="12.75">
      <c r="G64" s="63"/>
      <c r="H64" s="63"/>
      <c r="I64" s="63"/>
      <c r="J64" s="63"/>
      <c r="K64" s="63"/>
      <c r="L64" s="63"/>
      <c r="M64" s="63"/>
    </row>
    <row r="65" spans="7:13" ht="12.75">
      <c r="G65" s="63"/>
      <c r="H65" s="63"/>
      <c r="I65" s="63"/>
      <c r="J65" s="63"/>
      <c r="K65" s="63"/>
      <c r="L65" s="63"/>
      <c r="M65" s="63"/>
    </row>
    <row r="66" spans="7:13" ht="12.75">
      <c r="G66" s="63"/>
      <c r="H66" s="63"/>
      <c r="I66" s="63"/>
      <c r="J66" s="63"/>
      <c r="K66" s="63"/>
      <c r="L66" s="63"/>
      <c r="M66" s="63"/>
    </row>
    <row r="67" spans="7:13" ht="12.75">
      <c r="G67" s="63"/>
      <c r="H67" s="63"/>
      <c r="I67" s="63"/>
      <c r="J67" s="63"/>
      <c r="K67" s="63"/>
      <c r="L67" s="63"/>
      <c r="M67" s="63"/>
    </row>
    <row r="68" spans="7:13" ht="12.75">
      <c r="G68" s="63"/>
      <c r="H68" s="63"/>
      <c r="I68" s="63"/>
      <c r="J68" s="63"/>
      <c r="K68" s="63"/>
      <c r="L68" s="63"/>
      <c r="M68" s="63"/>
    </row>
    <row r="69" spans="7:13" ht="12.75">
      <c r="G69" s="63"/>
      <c r="H69" s="63"/>
      <c r="I69" s="63"/>
      <c r="J69" s="63"/>
      <c r="K69" s="63"/>
      <c r="L69" s="63"/>
      <c r="M69" s="63"/>
    </row>
    <row r="70" spans="7:13" ht="12.75">
      <c r="G70" s="63"/>
      <c r="H70" s="63"/>
      <c r="I70" s="63"/>
      <c r="J70" s="63"/>
      <c r="K70" s="63"/>
      <c r="L70" s="63"/>
      <c r="M70" s="63"/>
    </row>
    <row r="71" spans="7:13" ht="12.75">
      <c r="G71" s="63"/>
      <c r="H71" s="63"/>
      <c r="I71" s="63"/>
      <c r="J71" s="63"/>
      <c r="K71" s="63"/>
      <c r="L71" s="63"/>
      <c r="M71" s="63"/>
    </row>
    <row r="72" spans="7:13" ht="12.75">
      <c r="G72" s="63"/>
      <c r="H72" s="63"/>
      <c r="I72" s="63"/>
      <c r="J72" s="63"/>
      <c r="K72" s="63"/>
      <c r="L72" s="63"/>
      <c r="M72" s="63"/>
    </row>
    <row r="73" spans="7:13" ht="12.75">
      <c r="G73" s="63"/>
      <c r="H73" s="63"/>
      <c r="I73" s="63"/>
      <c r="J73" s="63"/>
      <c r="K73" s="63"/>
      <c r="L73" s="63"/>
      <c r="M73" s="63"/>
    </row>
    <row r="74" spans="7:13" ht="12.75">
      <c r="G74" s="63"/>
      <c r="H74" s="63"/>
      <c r="I74" s="63"/>
      <c r="J74" s="63"/>
      <c r="K74" s="63"/>
      <c r="L74" s="63"/>
      <c r="M74" s="63"/>
    </row>
    <row r="75" spans="7:13" ht="12.75">
      <c r="G75" s="63"/>
      <c r="H75" s="63"/>
      <c r="I75" s="63"/>
      <c r="J75" s="63"/>
      <c r="K75" s="63"/>
      <c r="L75" s="63"/>
      <c r="M75" s="63"/>
    </row>
    <row r="76" spans="7:13" ht="12.75">
      <c r="G76" s="63"/>
      <c r="H76" s="63"/>
      <c r="I76" s="63"/>
      <c r="J76" s="63"/>
      <c r="K76" s="63"/>
      <c r="L76" s="63"/>
      <c r="M76" s="63"/>
    </row>
    <row r="77" spans="7:13" ht="12.75">
      <c r="G77" s="63"/>
      <c r="H77" s="63"/>
      <c r="I77" s="63"/>
      <c r="J77" s="63"/>
      <c r="K77" s="63"/>
      <c r="L77" s="63"/>
      <c r="M77" s="63"/>
    </row>
    <row r="78" spans="7:13" ht="12.75">
      <c r="G78" s="63"/>
      <c r="H78" s="63"/>
      <c r="I78" s="63"/>
      <c r="J78" s="63"/>
      <c r="K78" s="63"/>
      <c r="L78" s="63"/>
      <c r="M78" s="63"/>
    </row>
    <row r="79" spans="7:13" ht="12.75">
      <c r="G79" s="63"/>
      <c r="H79" s="63"/>
      <c r="I79" s="63"/>
      <c r="J79" s="63"/>
      <c r="K79" s="63"/>
      <c r="L79" s="63"/>
      <c r="M79" s="63"/>
    </row>
    <row r="80" spans="7:13" ht="12.75">
      <c r="G80" s="63"/>
      <c r="H80" s="63"/>
      <c r="I80" s="63"/>
      <c r="J80" s="63"/>
      <c r="K80" s="63"/>
      <c r="L80" s="63"/>
      <c r="M80" s="63"/>
    </row>
    <row r="81" spans="7:13" ht="12.75">
      <c r="G81" s="63"/>
      <c r="H81" s="63"/>
      <c r="I81" s="63"/>
      <c r="J81" s="63"/>
      <c r="K81" s="63"/>
      <c r="L81" s="63"/>
      <c r="M81" s="63"/>
    </row>
    <row r="82" spans="7:13" ht="12.75">
      <c r="G82" s="63"/>
      <c r="H82" s="63"/>
      <c r="I82" s="63"/>
      <c r="J82" s="63"/>
      <c r="K82" s="63"/>
      <c r="L82" s="63"/>
      <c r="M82" s="63"/>
    </row>
    <row r="83" spans="7:13" ht="12.75">
      <c r="G83" s="63"/>
      <c r="H83" s="63"/>
      <c r="I83" s="63"/>
      <c r="J83" s="63"/>
      <c r="K83" s="63"/>
      <c r="L83" s="63"/>
      <c r="M83" s="63"/>
    </row>
    <row r="84" spans="7:13" ht="12.75">
      <c r="G84" s="63"/>
      <c r="H84" s="63"/>
      <c r="I84" s="63"/>
      <c r="J84" s="63"/>
      <c r="K84" s="63"/>
      <c r="L84" s="63"/>
      <c r="M84" s="63"/>
    </row>
    <row r="85" spans="7:13" ht="12.75">
      <c r="G85" s="63"/>
      <c r="H85" s="63"/>
      <c r="I85" s="63"/>
      <c r="J85" s="63"/>
      <c r="K85" s="63"/>
      <c r="L85" s="63"/>
      <c r="M85" s="63"/>
    </row>
    <row r="86" spans="7:13" ht="12.75">
      <c r="G86" s="63"/>
      <c r="H86" s="63"/>
      <c r="I86" s="63"/>
      <c r="J86" s="63"/>
      <c r="K86" s="63"/>
      <c r="L86" s="63"/>
      <c r="M86" s="63"/>
    </row>
    <row r="87" spans="7:13" ht="12.75">
      <c r="G87" s="63"/>
      <c r="H87" s="63"/>
      <c r="I87" s="63"/>
      <c r="J87" s="63"/>
      <c r="K87" s="63"/>
      <c r="L87" s="63"/>
      <c r="M87" s="63"/>
    </row>
    <row r="88" spans="7:13" ht="12.75">
      <c r="G88" s="63"/>
      <c r="H88" s="63"/>
      <c r="I88" s="63"/>
      <c r="J88" s="63"/>
      <c r="K88" s="63"/>
      <c r="L88" s="63"/>
      <c r="M88" s="63"/>
    </row>
    <row r="89" spans="7:13" ht="12.75">
      <c r="G89" s="63"/>
      <c r="H89" s="63"/>
      <c r="I89" s="63"/>
      <c r="J89" s="63"/>
      <c r="K89" s="63"/>
      <c r="L89" s="63"/>
      <c r="M89" s="63"/>
    </row>
    <row r="90" spans="7:13" ht="12.75">
      <c r="G90" s="63"/>
      <c r="H90" s="63"/>
      <c r="I90" s="63"/>
      <c r="J90" s="63"/>
      <c r="K90" s="63"/>
      <c r="L90" s="63"/>
      <c r="M90" s="63"/>
    </row>
    <row r="91" spans="7:13" ht="12.75">
      <c r="G91" s="63"/>
      <c r="H91" s="63"/>
      <c r="I91" s="63"/>
      <c r="J91" s="63"/>
      <c r="K91" s="63"/>
      <c r="L91" s="63"/>
      <c r="M91" s="63"/>
    </row>
    <row r="92" spans="7:13" ht="12.75">
      <c r="G92" s="63"/>
      <c r="H92" s="63"/>
      <c r="I92" s="63"/>
      <c r="J92" s="63"/>
      <c r="K92" s="63"/>
      <c r="L92" s="63"/>
      <c r="M92" s="63"/>
    </row>
    <row r="93" spans="7:13" ht="12.75">
      <c r="G93" s="63"/>
      <c r="H93" s="63"/>
      <c r="I93" s="63"/>
      <c r="J93" s="63"/>
      <c r="K93" s="63"/>
      <c r="L93" s="63"/>
      <c r="M93" s="63"/>
    </row>
    <row r="94" spans="7:13" ht="12.75">
      <c r="G94" s="63"/>
      <c r="H94" s="63"/>
      <c r="I94" s="63"/>
      <c r="J94" s="63"/>
      <c r="K94" s="63"/>
      <c r="L94" s="63"/>
      <c r="M94" s="63"/>
    </row>
    <row r="95" spans="7:13" ht="12.75">
      <c r="G95" s="63"/>
      <c r="H95" s="63"/>
      <c r="I95" s="63"/>
      <c r="J95" s="63"/>
      <c r="K95" s="63"/>
      <c r="L95" s="63"/>
      <c r="M95" s="63"/>
    </row>
    <row r="96" spans="7:13" ht="12.75">
      <c r="G96" s="63"/>
      <c r="H96" s="63"/>
      <c r="I96" s="63"/>
      <c r="J96" s="63"/>
      <c r="K96" s="63"/>
      <c r="L96" s="63"/>
      <c r="M96" s="63"/>
    </row>
    <row r="97" spans="7:13" ht="12.75">
      <c r="G97" s="63"/>
      <c r="H97" s="63"/>
      <c r="I97" s="63"/>
      <c r="J97" s="63"/>
      <c r="K97" s="63"/>
      <c r="L97" s="63"/>
      <c r="M97" s="63"/>
    </row>
    <row r="98" spans="7:13" ht="12.75">
      <c r="G98" s="63"/>
      <c r="H98" s="63"/>
      <c r="I98" s="63"/>
      <c r="J98" s="63"/>
      <c r="K98" s="63"/>
      <c r="L98" s="63"/>
      <c r="M98" s="63"/>
    </row>
    <row r="99" spans="7:13" ht="12.75">
      <c r="G99" s="63"/>
      <c r="H99" s="63"/>
      <c r="I99" s="63"/>
      <c r="J99" s="63"/>
      <c r="K99" s="63"/>
      <c r="L99" s="63"/>
      <c r="M99" s="63"/>
    </row>
    <row r="100" spans="7:13" ht="12.75">
      <c r="G100" s="63"/>
      <c r="H100" s="63"/>
      <c r="I100" s="63"/>
      <c r="J100" s="63"/>
      <c r="K100" s="63"/>
      <c r="L100" s="63"/>
      <c r="M100" s="63"/>
    </row>
    <row r="101" spans="7:13" ht="12.75">
      <c r="G101" s="63"/>
      <c r="H101" s="63"/>
      <c r="I101" s="63"/>
      <c r="J101" s="63"/>
      <c r="K101" s="63"/>
      <c r="L101" s="63"/>
      <c r="M101" s="63"/>
    </row>
    <row r="102" spans="7:13" ht="12.75">
      <c r="G102" s="63"/>
      <c r="H102" s="63"/>
      <c r="I102" s="63"/>
      <c r="J102" s="63"/>
      <c r="K102" s="63"/>
      <c r="L102" s="63"/>
      <c r="M102" s="63"/>
    </row>
    <row r="103" spans="7:13" ht="12.75">
      <c r="G103" s="63"/>
      <c r="H103" s="63"/>
      <c r="I103" s="63"/>
      <c r="J103" s="63"/>
      <c r="K103" s="63"/>
      <c r="L103" s="63"/>
      <c r="M103" s="63"/>
    </row>
    <row r="104" spans="7:13" ht="12.75">
      <c r="G104" s="63"/>
      <c r="H104" s="63"/>
      <c r="I104" s="63"/>
      <c r="J104" s="63"/>
      <c r="K104" s="63"/>
      <c r="L104" s="63"/>
      <c r="M104" s="63"/>
    </row>
    <row r="105" spans="7:13" ht="12.75">
      <c r="G105" s="63"/>
      <c r="H105" s="63"/>
      <c r="I105" s="63"/>
      <c r="J105" s="63"/>
      <c r="K105" s="63"/>
      <c r="L105" s="63"/>
      <c r="M105" s="63"/>
    </row>
    <row r="106" spans="7:13" ht="12.75">
      <c r="G106" s="63"/>
      <c r="H106" s="63"/>
      <c r="I106" s="63"/>
      <c r="J106" s="63"/>
      <c r="K106" s="63"/>
      <c r="L106" s="63"/>
      <c r="M106" s="63"/>
    </row>
    <row r="107" spans="7:13" ht="12.75">
      <c r="G107" s="63"/>
      <c r="H107" s="63"/>
      <c r="I107" s="63"/>
      <c r="J107" s="63"/>
      <c r="K107" s="63"/>
      <c r="L107" s="63"/>
      <c r="M107" s="63"/>
    </row>
    <row r="108" spans="7:13" ht="12.75">
      <c r="G108" s="63"/>
      <c r="H108" s="63"/>
      <c r="I108" s="63"/>
      <c r="J108" s="63"/>
      <c r="K108" s="63"/>
      <c r="L108" s="63"/>
      <c r="M108" s="63"/>
    </row>
    <row r="109" spans="7:13" ht="12.75">
      <c r="G109" s="63"/>
      <c r="H109" s="63"/>
      <c r="I109" s="63"/>
      <c r="J109" s="63"/>
      <c r="K109" s="63"/>
      <c r="L109" s="63"/>
      <c r="M109" s="63"/>
    </row>
    <row r="110" spans="7:13" ht="12.75">
      <c r="G110" s="63"/>
      <c r="H110" s="63"/>
      <c r="I110" s="63"/>
      <c r="J110" s="63"/>
      <c r="K110" s="63"/>
      <c r="L110" s="63"/>
      <c r="M110" s="63"/>
    </row>
    <row r="111" spans="7:13" ht="12.75">
      <c r="G111" s="63"/>
      <c r="H111" s="63"/>
      <c r="I111" s="63"/>
      <c r="J111" s="63"/>
      <c r="K111" s="63"/>
      <c r="L111" s="63"/>
      <c r="M111" s="63"/>
    </row>
    <row r="112" spans="7:13" ht="12.75">
      <c r="G112" s="63"/>
      <c r="H112" s="63"/>
      <c r="I112" s="63"/>
      <c r="J112" s="63"/>
      <c r="K112" s="63"/>
      <c r="L112" s="63"/>
      <c r="M112" s="63"/>
    </row>
    <row r="113" spans="7:13" ht="12.75">
      <c r="G113" s="63"/>
      <c r="H113" s="63"/>
      <c r="I113" s="63"/>
      <c r="J113" s="63"/>
      <c r="K113" s="63"/>
      <c r="L113" s="63"/>
      <c r="M113" s="63"/>
    </row>
    <row r="114" spans="7:13" ht="12.75">
      <c r="G114" s="63"/>
      <c r="H114" s="63"/>
      <c r="I114" s="63"/>
      <c r="J114" s="63"/>
      <c r="K114" s="63"/>
      <c r="L114" s="63"/>
      <c r="M114" s="63"/>
    </row>
    <row r="115" spans="7:13" ht="12.75">
      <c r="G115" s="63"/>
      <c r="H115" s="63"/>
      <c r="I115" s="63"/>
      <c r="J115" s="63"/>
      <c r="K115" s="63"/>
      <c r="L115" s="63"/>
      <c r="M115" s="63"/>
    </row>
    <row r="116" spans="7:13" ht="12.75">
      <c r="G116" s="63"/>
      <c r="H116" s="63"/>
      <c r="I116" s="63"/>
      <c r="J116" s="63"/>
      <c r="K116" s="63"/>
      <c r="L116" s="63"/>
      <c r="M116" s="63"/>
    </row>
    <row r="117" spans="7:13" ht="12.75">
      <c r="G117" s="63"/>
      <c r="H117" s="63"/>
      <c r="I117" s="63"/>
      <c r="J117" s="63"/>
      <c r="K117" s="63"/>
      <c r="L117" s="63"/>
      <c r="M117" s="63"/>
    </row>
    <row r="118" spans="7:13" ht="12.75">
      <c r="G118" s="63"/>
      <c r="H118" s="63"/>
      <c r="I118" s="63"/>
      <c r="J118" s="63"/>
      <c r="K118" s="63"/>
      <c r="L118" s="63"/>
      <c r="M118" s="63"/>
    </row>
    <row r="119" spans="7:13" ht="12.75">
      <c r="G119" s="63"/>
      <c r="H119" s="63"/>
      <c r="I119" s="63"/>
      <c r="J119" s="63"/>
      <c r="K119" s="63"/>
      <c r="L119" s="63"/>
      <c r="M119" s="63"/>
    </row>
    <row r="120" spans="7:13" ht="12.75">
      <c r="G120" s="63"/>
      <c r="H120" s="63"/>
      <c r="I120" s="63"/>
      <c r="J120" s="63"/>
      <c r="K120" s="63"/>
      <c r="L120" s="63"/>
      <c r="M120" s="63"/>
    </row>
    <row r="121" spans="7:13" ht="12.75">
      <c r="G121" s="63"/>
      <c r="H121" s="63"/>
      <c r="I121" s="63"/>
      <c r="J121" s="63"/>
      <c r="K121" s="63"/>
      <c r="L121" s="63"/>
      <c r="M121" s="63"/>
    </row>
    <row r="122" spans="7:13" ht="12.75">
      <c r="G122" s="63"/>
      <c r="H122" s="63"/>
      <c r="I122" s="63"/>
      <c r="J122" s="63"/>
      <c r="K122" s="63"/>
      <c r="L122" s="63"/>
      <c r="M122" s="63"/>
    </row>
    <row r="123" spans="7:13" ht="12.75">
      <c r="G123" s="63"/>
      <c r="H123" s="63"/>
      <c r="I123" s="63"/>
      <c r="J123" s="63"/>
      <c r="K123" s="63"/>
      <c r="L123" s="63"/>
      <c r="M123" s="63"/>
    </row>
    <row r="124" spans="7:13" ht="12.75">
      <c r="G124" s="63"/>
      <c r="H124" s="63"/>
      <c r="I124" s="63"/>
      <c r="J124" s="63"/>
      <c r="K124" s="63"/>
      <c r="L124" s="63"/>
      <c r="M124" s="63"/>
    </row>
    <row r="125" spans="7:13" ht="12.75">
      <c r="G125" s="63"/>
      <c r="H125" s="63"/>
      <c r="I125" s="63"/>
      <c r="J125" s="63"/>
      <c r="K125" s="63"/>
      <c r="L125" s="63"/>
      <c r="M125" s="63"/>
    </row>
    <row r="126" spans="7:13" ht="12.75">
      <c r="G126" s="63"/>
      <c r="H126" s="63"/>
      <c r="I126" s="63"/>
      <c r="J126" s="63"/>
      <c r="K126" s="63"/>
      <c r="L126" s="63"/>
      <c r="M126" s="63"/>
    </row>
    <row r="127" spans="7:13" ht="12.75">
      <c r="G127" s="63"/>
      <c r="H127" s="63"/>
      <c r="I127" s="63"/>
      <c r="J127" s="63"/>
      <c r="K127" s="63"/>
      <c r="L127" s="63"/>
      <c r="M127" s="63"/>
    </row>
    <row r="128" spans="7:13" ht="12.75">
      <c r="G128" s="63"/>
      <c r="H128" s="63"/>
      <c r="I128" s="63"/>
      <c r="J128" s="63"/>
      <c r="K128" s="63"/>
      <c r="L128" s="63"/>
      <c r="M128" s="63"/>
    </row>
    <row r="129" spans="7:13" ht="12.75">
      <c r="G129" s="63"/>
      <c r="H129" s="63"/>
      <c r="I129" s="63"/>
      <c r="J129" s="63"/>
      <c r="K129" s="63"/>
      <c r="L129" s="63"/>
      <c r="M129" s="63"/>
    </row>
    <row r="130" spans="7:13" ht="12.75">
      <c r="G130" s="63"/>
      <c r="H130" s="63"/>
      <c r="I130" s="63"/>
      <c r="J130" s="63"/>
      <c r="K130" s="63"/>
      <c r="L130" s="63"/>
      <c r="M130" s="63"/>
    </row>
    <row r="131" spans="7:13" ht="12.75">
      <c r="G131" s="63"/>
      <c r="H131" s="63"/>
      <c r="I131" s="63"/>
      <c r="J131" s="63"/>
      <c r="K131" s="63"/>
      <c r="L131" s="63"/>
      <c r="M131" s="63"/>
    </row>
    <row r="132" spans="7:13" ht="12.75">
      <c r="G132" s="63"/>
      <c r="H132" s="63"/>
      <c r="I132" s="63"/>
      <c r="J132" s="63"/>
      <c r="K132" s="63"/>
      <c r="L132" s="63"/>
      <c r="M132" s="63"/>
    </row>
    <row r="133" spans="7:13" ht="12.75">
      <c r="G133" s="63"/>
      <c r="H133" s="63"/>
      <c r="I133" s="63"/>
      <c r="J133" s="63"/>
      <c r="K133" s="63"/>
      <c r="L133" s="63"/>
      <c r="M133" s="63"/>
    </row>
    <row r="134" spans="7:13" ht="12.75">
      <c r="G134" s="63"/>
      <c r="H134" s="63"/>
      <c r="I134" s="63"/>
      <c r="J134" s="63"/>
      <c r="K134" s="63"/>
      <c r="L134" s="63"/>
      <c r="M134" s="63"/>
    </row>
    <row r="135" spans="7:13" ht="12.75">
      <c r="G135" s="63"/>
      <c r="H135" s="63"/>
      <c r="I135" s="63"/>
      <c r="J135" s="63"/>
      <c r="K135" s="63"/>
      <c r="L135" s="63"/>
      <c r="M135" s="63"/>
    </row>
    <row r="136" spans="7:13" ht="12.75">
      <c r="G136" s="63"/>
      <c r="H136" s="63"/>
      <c r="I136" s="63"/>
      <c r="J136" s="63"/>
      <c r="K136" s="63"/>
      <c r="L136" s="63"/>
      <c r="M136" s="63"/>
    </row>
    <row r="137" spans="7:13" ht="12.75">
      <c r="G137" s="63"/>
      <c r="H137" s="63"/>
      <c r="I137" s="63"/>
      <c r="J137" s="63"/>
      <c r="K137" s="63"/>
      <c r="L137" s="63"/>
      <c r="M137" s="63"/>
    </row>
    <row r="138" spans="7:13" ht="12.75">
      <c r="G138" s="63"/>
      <c r="H138" s="63"/>
      <c r="I138" s="63"/>
      <c r="J138" s="63"/>
      <c r="K138" s="63"/>
      <c r="L138" s="63"/>
      <c r="M138" s="63"/>
    </row>
    <row r="139" spans="7:13" ht="12.75">
      <c r="G139" s="63"/>
      <c r="H139" s="63"/>
      <c r="I139" s="63"/>
      <c r="J139" s="63"/>
      <c r="K139" s="63"/>
      <c r="L139" s="63"/>
      <c r="M139" s="63"/>
    </row>
    <row r="140" spans="7:13" ht="12.75">
      <c r="G140" s="63"/>
      <c r="H140" s="63"/>
      <c r="I140" s="63"/>
      <c r="J140" s="63"/>
      <c r="K140" s="63"/>
      <c r="L140" s="63"/>
      <c r="M140" s="63"/>
    </row>
    <row r="141" spans="7:13" ht="12.75">
      <c r="G141" s="63"/>
      <c r="H141" s="63"/>
      <c r="I141" s="63"/>
      <c r="J141" s="63"/>
      <c r="K141" s="63"/>
      <c r="L141" s="63"/>
      <c r="M141" s="63"/>
    </row>
    <row r="142" spans="7:13" ht="12.75">
      <c r="G142" s="63"/>
      <c r="H142" s="63"/>
      <c r="I142" s="63"/>
      <c r="J142" s="63"/>
      <c r="K142" s="63"/>
      <c r="L142" s="63"/>
      <c r="M142" s="63"/>
    </row>
    <row r="143" spans="7:13" ht="12.75">
      <c r="G143" s="63"/>
      <c r="H143" s="63"/>
      <c r="I143" s="63"/>
      <c r="J143" s="63"/>
      <c r="K143" s="63"/>
      <c r="L143" s="63"/>
      <c r="M143" s="63"/>
    </row>
    <row r="144" spans="7:13" ht="12.75">
      <c r="G144" s="63"/>
      <c r="H144" s="63"/>
      <c r="I144" s="63"/>
      <c r="J144" s="63"/>
      <c r="K144" s="63"/>
      <c r="L144" s="63"/>
      <c r="M144" s="63"/>
    </row>
    <row r="145" spans="7:13" ht="12.75">
      <c r="G145" s="63"/>
      <c r="H145" s="63"/>
      <c r="I145" s="63"/>
      <c r="J145" s="63"/>
      <c r="K145" s="63"/>
      <c r="L145" s="63"/>
      <c r="M145" s="63"/>
    </row>
    <row r="146" spans="7:13" ht="12.75">
      <c r="G146" s="63"/>
      <c r="H146" s="63"/>
      <c r="I146" s="63"/>
      <c r="J146" s="63"/>
      <c r="K146" s="63"/>
      <c r="L146" s="63"/>
      <c r="M146" s="63"/>
    </row>
    <row r="147" spans="7:13" ht="12.75">
      <c r="G147" s="63"/>
      <c r="H147" s="63"/>
      <c r="I147" s="63"/>
      <c r="J147" s="63"/>
      <c r="K147" s="63"/>
      <c r="L147" s="63"/>
      <c r="M147" s="63"/>
    </row>
    <row r="148" spans="7:13" ht="12.75">
      <c r="G148" s="63"/>
      <c r="H148" s="63"/>
      <c r="I148" s="63"/>
      <c r="J148" s="63"/>
      <c r="K148" s="63"/>
      <c r="L148" s="63"/>
      <c r="M148" s="63"/>
    </row>
    <row r="149" spans="7:13" ht="12.75">
      <c r="G149" s="63"/>
      <c r="H149" s="63"/>
      <c r="I149" s="63"/>
      <c r="J149" s="63"/>
      <c r="K149" s="63"/>
      <c r="L149" s="63"/>
      <c r="M149" s="63"/>
    </row>
    <row r="150" spans="7:13" ht="12.75">
      <c r="G150" s="63"/>
      <c r="H150" s="63"/>
      <c r="I150" s="63"/>
      <c r="J150" s="63"/>
      <c r="K150" s="63"/>
      <c r="L150" s="63"/>
      <c r="M150" s="63"/>
    </row>
    <row r="151" spans="7:13" ht="12.75">
      <c r="G151" s="63"/>
      <c r="H151" s="63"/>
      <c r="I151" s="63"/>
      <c r="J151" s="63"/>
      <c r="K151" s="63"/>
      <c r="L151" s="63"/>
      <c r="M151" s="63"/>
    </row>
    <row r="152" spans="7:13" ht="12.75">
      <c r="G152" s="63"/>
      <c r="H152" s="63"/>
      <c r="I152" s="63"/>
      <c r="J152" s="63"/>
      <c r="K152" s="63"/>
      <c r="L152" s="63"/>
      <c r="M152" s="63"/>
    </row>
    <row r="153" spans="7:13" ht="12.75">
      <c r="G153" s="63"/>
      <c r="H153" s="63"/>
      <c r="I153" s="63"/>
      <c r="J153" s="63"/>
      <c r="K153" s="63"/>
      <c r="L153" s="63"/>
      <c r="M153" s="63"/>
    </row>
    <row r="154" spans="7:13" ht="12.75">
      <c r="G154" s="63"/>
      <c r="H154" s="63"/>
      <c r="I154" s="63"/>
      <c r="J154" s="63"/>
      <c r="K154" s="63"/>
      <c r="L154" s="63"/>
      <c r="M154" s="63"/>
    </row>
    <row r="155" spans="7:13" ht="12.75">
      <c r="G155" s="63"/>
      <c r="H155" s="63"/>
      <c r="I155" s="63"/>
      <c r="J155" s="63"/>
      <c r="K155" s="63"/>
      <c r="L155" s="63"/>
      <c r="M155" s="63"/>
    </row>
    <row r="156" spans="7:13" ht="12.75">
      <c r="G156" s="63"/>
      <c r="H156" s="63"/>
      <c r="I156" s="63"/>
      <c r="J156" s="63"/>
      <c r="K156" s="63"/>
      <c r="L156" s="63"/>
      <c r="M156" s="63"/>
    </row>
    <row r="157" spans="7:13" ht="12.75">
      <c r="G157" s="63"/>
      <c r="H157" s="63"/>
      <c r="I157" s="63"/>
      <c r="J157" s="63"/>
      <c r="K157" s="63"/>
      <c r="L157" s="63"/>
      <c r="M157" s="63"/>
    </row>
    <row r="158" spans="7:13" ht="12.75">
      <c r="G158" s="63"/>
      <c r="H158" s="63"/>
      <c r="I158" s="63"/>
      <c r="J158" s="63"/>
      <c r="K158" s="63"/>
      <c r="L158" s="63"/>
      <c r="M158" s="63"/>
    </row>
    <row r="159" spans="7:13" ht="12.75">
      <c r="G159" s="63"/>
      <c r="H159" s="63"/>
      <c r="I159" s="63"/>
      <c r="J159" s="63"/>
      <c r="K159" s="63"/>
      <c r="L159" s="63"/>
      <c r="M159" s="63"/>
    </row>
    <row r="160" spans="7:13" ht="12.75">
      <c r="G160" s="63"/>
      <c r="H160" s="63"/>
      <c r="I160" s="63"/>
      <c r="J160" s="63"/>
      <c r="K160" s="63"/>
      <c r="L160" s="63"/>
      <c r="M160" s="63"/>
    </row>
    <row r="161" spans="7:13" ht="12.75">
      <c r="G161" s="63"/>
      <c r="H161" s="63"/>
      <c r="I161" s="63"/>
      <c r="J161" s="63"/>
      <c r="K161" s="63"/>
      <c r="L161" s="63"/>
      <c r="M161" s="63"/>
    </row>
    <row r="162" spans="7:13" ht="12.75">
      <c r="G162" s="63"/>
      <c r="H162" s="63"/>
      <c r="I162" s="63"/>
      <c r="J162" s="63"/>
      <c r="K162" s="63"/>
      <c r="L162" s="63"/>
      <c r="M162" s="63"/>
    </row>
    <row r="163" spans="7:13" ht="12.75">
      <c r="G163" s="63"/>
      <c r="H163" s="63"/>
      <c r="I163" s="63"/>
      <c r="J163" s="63"/>
      <c r="K163" s="63"/>
      <c r="L163" s="63"/>
      <c r="M163" s="63"/>
    </row>
    <row r="164" spans="7:13" ht="12.75">
      <c r="G164" s="63"/>
      <c r="H164" s="63"/>
      <c r="I164" s="63"/>
      <c r="J164" s="63"/>
      <c r="K164" s="63"/>
      <c r="L164" s="63"/>
      <c r="M164" s="63"/>
    </row>
    <row r="165" spans="7:13" ht="12.75">
      <c r="G165" s="63"/>
      <c r="H165" s="63"/>
      <c r="I165" s="63"/>
      <c r="J165" s="63"/>
      <c r="K165" s="63"/>
      <c r="L165" s="63"/>
      <c r="M165" s="63"/>
    </row>
    <row r="166" spans="7:13" ht="12.75">
      <c r="G166" s="63"/>
      <c r="H166" s="63"/>
      <c r="I166" s="63"/>
      <c r="J166" s="63"/>
      <c r="K166" s="63"/>
      <c r="L166" s="63"/>
      <c r="M166" s="63"/>
    </row>
    <row r="167" spans="7:13" ht="12.75">
      <c r="G167" s="63"/>
      <c r="H167" s="63"/>
      <c r="I167" s="63"/>
      <c r="J167" s="63"/>
      <c r="K167" s="63"/>
      <c r="L167" s="63"/>
      <c r="M167" s="63"/>
    </row>
    <row r="168" spans="7:13" ht="12.75">
      <c r="G168" s="63"/>
      <c r="H168" s="63"/>
      <c r="I168" s="63"/>
      <c r="J168" s="63"/>
      <c r="K168" s="63"/>
      <c r="L168" s="63"/>
      <c r="M168" s="63"/>
    </row>
    <row r="169" spans="7:13" ht="12.75">
      <c r="G169" s="63"/>
      <c r="H169" s="63"/>
      <c r="I169" s="63"/>
      <c r="J169" s="63"/>
      <c r="K169" s="63"/>
      <c r="L169" s="63"/>
      <c r="M169" s="63"/>
    </row>
    <row r="170" spans="7:13" ht="12.75">
      <c r="G170" s="63"/>
      <c r="H170" s="63"/>
      <c r="I170" s="63"/>
      <c r="J170" s="63"/>
      <c r="K170" s="63"/>
      <c r="L170" s="63"/>
      <c r="M170" s="63"/>
    </row>
    <row r="171" spans="7:13" ht="12.75">
      <c r="G171" s="63"/>
      <c r="H171" s="63"/>
      <c r="I171" s="63"/>
      <c r="J171" s="63"/>
      <c r="K171" s="63"/>
      <c r="L171" s="63"/>
      <c r="M171" s="63"/>
    </row>
    <row r="172" spans="7:13" ht="12.75">
      <c r="G172" s="63"/>
      <c r="H172" s="63"/>
      <c r="I172" s="63"/>
      <c r="J172" s="63"/>
      <c r="K172" s="63"/>
      <c r="L172" s="63"/>
      <c r="M172" s="63"/>
    </row>
    <row r="173" spans="7:13" ht="12.75">
      <c r="G173" s="63"/>
      <c r="H173" s="63"/>
      <c r="I173" s="63"/>
      <c r="J173" s="63"/>
      <c r="K173" s="63"/>
      <c r="L173" s="63"/>
      <c r="M173" s="63"/>
    </row>
    <row r="174" spans="7:13" ht="12.75">
      <c r="G174" s="63"/>
      <c r="H174" s="63"/>
      <c r="I174" s="63"/>
      <c r="J174" s="63"/>
      <c r="K174" s="63"/>
      <c r="L174" s="63"/>
      <c r="M174" s="63"/>
    </row>
    <row r="175" spans="7:13" ht="12.75">
      <c r="G175" s="63"/>
      <c r="H175" s="63"/>
      <c r="I175" s="63"/>
      <c r="J175" s="63"/>
      <c r="K175" s="63"/>
      <c r="L175" s="63"/>
      <c r="M175" s="63"/>
    </row>
    <row r="176" spans="7:13" ht="12.75">
      <c r="G176" s="63"/>
      <c r="H176" s="63"/>
      <c r="I176" s="63"/>
      <c r="J176" s="63"/>
      <c r="K176" s="63"/>
      <c r="L176" s="63"/>
      <c r="M176" s="63"/>
    </row>
    <row r="177" spans="7:13" ht="12.75">
      <c r="G177" s="63"/>
      <c r="H177" s="63"/>
      <c r="I177" s="63"/>
      <c r="J177" s="63"/>
      <c r="K177" s="63"/>
      <c r="L177" s="63"/>
      <c r="M177" s="63"/>
    </row>
    <row r="178" spans="7:13" ht="12.75">
      <c r="G178" s="63"/>
      <c r="H178" s="63"/>
      <c r="I178" s="63"/>
      <c r="J178" s="63"/>
      <c r="K178" s="63"/>
      <c r="L178" s="63"/>
      <c r="M178" s="63"/>
    </row>
    <row r="179" spans="7:13" ht="12.75">
      <c r="G179" s="63"/>
      <c r="H179" s="63"/>
      <c r="I179" s="63"/>
      <c r="J179" s="63"/>
      <c r="K179" s="63"/>
      <c r="L179" s="63"/>
      <c r="M179" s="63"/>
    </row>
    <row r="180" spans="7:13" ht="12.75">
      <c r="G180" s="63"/>
      <c r="H180" s="63"/>
      <c r="I180" s="63"/>
      <c r="J180" s="63"/>
      <c r="K180" s="63"/>
      <c r="L180" s="63"/>
      <c r="M180" s="63"/>
    </row>
    <row r="181" spans="7:13" ht="12.75">
      <c r="G181" s="63"/>
      <c r="H181" s="63"/>
      <c r="I181" s="63"/>
      <c r="J181" s="63"/>
      <c r="K181" s="63"/>
      <c r="L181" s="63"/>
      <c r="M181" s="63"/>
    </row>
    <row r="182" spans="7:13" ht="12.75">
      <c r="G182" s="63"/>
      <c r="H182" s="63"/>
      <c r="I182" s="63"/>
      <c r="J182" s="63"/>
      <c r="K182" s="63"/>
      <c r="L182" s="63"/>
      <c r="M182" s="63"/>
    </row>
    <row r="183" spans="7:13" ht="12.75">
      <c r="G183" s="63"/>
      <c r="H183" s="63"/>
      <c r="I183" s="63"/>
      <c r="J183" s="63"/>
      <c r="K183" s="63"/>
      <c r="L183" s="63"/>
      <c r="M183" s="63"/>
    </row>
    <row r="184" spans="7:13" ht="12.75">
      <c r="G184" s="63"/>
      <c r="H184" s="63"/>
      <c r="I184" s="63"/>
      <c r="J184" s="63"/>
      <c r="K184" s="63"/>
      <c r="L184" s="63"/>
      <c r="M184" s="63"/>
    </row>
    <row r="185" spans="7:13" ht="12.75">
      <c r="G185" s="63"/>
      <c r="H185" s="63"/>
      <c r="I185" s="63"/>
      <c r="J185" s="63"/>
      <c r="K185" s="63"/>
      <c r="L185" s="63"/>
      <c r="M185" s="63"/>
    </row>
    <row r="186" spans="7:13" ht="12.75">
      <c r="G186" s="63"/>
      <c r="H186" s="63"/>
      <c r="I186" s="63"/>
      <c r="J186" s="63"/>
      <c r="K186" s="63"/>
      <c r="L186" s="63"/>
      <c r="M186" s="63"/>
    </row>
    <row r="187" spans="7:13" ht="12.75">
      <c r="G187" s="63"/>
      <c r="H187" s="63"/>
      <c r="I187" s="63"/>
      <c r="J187" s="63"/>
      <c r="K187" s="63"/>
      <c r="L187" s="63"/>
      <c r="M187" s="63"/>
    </row>
    <row r="188" spans="7:13" ht="12.75">
      <c r="G188" s="63"/>
      <c r="H188" s="63"/>
      <c r="I188" s="63"/>
      <c r="J188" s="63"/>
      <c r="K188" s="63"/>
      <c r="L188" s="63"/>
      <c r="M188" s="63"/>
    </row>
    <row r="189" spans="7:13" ht="12.75">
      <c r="G189" s="63"/>
      <c r="H189" s="63"/>
      <c r="I189" s="63"/>
      <c r="J189" s="63"/>
      <c r="K189" s="63"/>
      <c r="L189" s="63"/>
      <c r="M189" s="63"/>
    </row>
    <row r="190" spans="7:13" ht="12.75">
      <c r="G190" s="63"/>
      <c r="H190" s="63"/>
      <c r="I190" s="63"/>
      <c r="J190" s="63"/>
      <c r="K190" s="63"/>
      <c r="L190" s="63"/>
      <c r="M190" s="63"/>
    </row>
    <row r="191" spans="7:13" ht="12.75">
      <c r="G191" s="63"/>
      <c r="H191" s="63"/>
      <c r="I191" s="63"/>
      <c r="J191" s="63"/>
      <c r="K191" s="63"/>
      <c r="L191" s="63"/>
      <c r="M191" s="63"/>
    </row>
    <row r="192" spans="7:13" ht="12.75">
      <c r="G192" s="63"/>
      <c r="H192" s="63"/>
      <c r="I192" s="63"/>
      <c r="J192" s="63"/>
      <c r="K192" s="63"/>
      <c r="L192" s="63"/>
      <c r="M192" s="63"/>
    </row>
    <row r="193" spans="7:13" ht="12.75">
      <c r="G193" s="63"/>
      <c r="H193" s="63"/>
      <c r="I193" s="63"/>
      <c r="J193" s="63"/>
      <c r="K193" s="63"/>
      <c r="L193" s="63"/>
      <c r="M193" s="63"/>
    </row>
    <row r="194" spans="7:13" ht="12.75">
      <c r="G194" s="63"/>
      <c r="H194" s="63"/>
      <c r="I194" s="63"/>
      <c r="J194" s="63"/>
      <c r="K194" s="63"/>
      <c r="L194" s="63"/>
      <c r="M194" s="63"/>
    </row>
    <row r="195" spans="7:13" ht="12.75">
      <c r="G195" s="63"/>
      <c r="H195" s="63"/>
      <c r="I195" s="63"/>
      <c r="J195" s="63"/>
      <c r="K195" s="63"/>
      <c r="L195" s="63"/>
      <c r="M195" s="63"/>
    </row>
    <row r="196" spans="7:13" ht="12.75">
      <c r="G196" s="63"/>
      <c r="H196" s="63"/>
      <c r="I196" s="63"/>
      <c r="J196" s="63"/>
      <c r="K196" s="63"/>
      <c r="L196" s="63"/>
      <c r="M196" s="63"/>
    </row>
    <row r="197" spans="7:13" ht="12.75">
      <c r="G197" s="63"/>
      <c r="H197" s="63"/>
      <c r="I197" s="63"/>
      <c r="J197" s="63"/>
      <c r="K197" s="63"/>
      <c r="L197" s="63"/>
      <c r="M197" s="63"/>
    </row>
    <row r="198" spans="7:13" ht="12.75">
      <c r="G198" s="63"/>
      <c r="H198" s="63"/>
      <c r="I198" s="63"/>
      <c r="J198" s="63"/>
      <c r="K198" s="63"/>
      <c r="L198" s="63"/>
      <c r="M198" s="63"/>
    </row>
    <row r="199" spans="7:13" ht="12.75">
      <c r="G199" s="63"/>
      <c r="H199" s="63"/>
      <c r="I199" s="63"/>
      <c r="J199" s="63"/>
      <c r="K199" s="63"/>
      <c r="L199" s="63"/>
      <c r="M199" s="63"/>
    </row>
    <row r="200" spans="7:13" ht="12.75">
      <c r="G200" s="63"/>
      <c r="H200" s="63"/>
      <c r="I200" s="63"/>
      <c r="J200" s="63"/>
      <c r="K200" s="63"/>
      <c r="L200" s="63"/>
      <c r="M200" s="63"/>
    </row>
    <row r="201" spans="7:13" ht="12.75">
      <c r="G201" s="63"/>
      <c r="H201" s="63"/>
      <c r="I201" s="63"/>
      <c r="J201" s="63"/>
      <c r="K201" s="63"/>
      <c r="L201" s="63"/>
      <c r="M201" s="63"/>
    </row>
    <row r="202" spans="7:13" ht="12.75">
      <c r="G202" s="63"/>
      <c r="H202" s="63"/>
      <c r="I202" s="63"/>
      <c r="J202" s="63"/>
      <c r="K202" s="63"/>
      <c r="L202" s="63"/>
      <c r="M202" s="63"/>
    </row>
    <row r="203" spans="7:13" ht="12.75">
      <c r="G203" s="63"/>
      <c r="H203" s="63"/>
      <c r="I203" s="63"/>
      <c r="J203" s="63"/>
      <c r="K203" s="63"/>
      <c r="L203" s="63"/>
      <c r="M203" s="63"/>
    </row>
    <row r="204" spans="7:13" ht="12.75">
      <c r="G204" s="63"/>
      <c r="H204" s="63"/>
      <c r="I204" s="63"/>
      <c r="J204" s="63"/>
      <c r="K204" s="63"/>
      <c r="L204" s="63"/>
      <c r="M204" s="63"/>
    </row>
    <row r="205" spans="7:13" ht="12.75">
      <c r="G205" s="63"/>
      <c r="H205" s="63"/>
      <c r="I205" s="63"/>
      <c r="J205" s="63"/>
      <c r="K205" s="63"/>
      <c r="L205" s="63"/>
      <c r="M205" s="63"/>
    </row>
    <row r="206" spans="7:13" ht="12.75">
      <c r="G206" s="63"/>
      <c r="H206" s="63"/>
      <c r="I206" s="63"/>
      <c r="J206" s="63"/>
      <c r="K206" s="63"/>
      <c r="L206" s="63"/>
      <c r="M206" s="63"/>
    </row>
    <row r="207" spans="7:13" ht="12.75">
      <c r="G207" s="63"/>
      <c r="H207" s="63"/>
      <c r="I207" s="63"/>
      <c r="J207" s="63"/>
      <c r="K207" s="63"/>
      <c r="L207" s="63"/>
      <c r="M207" s="63"/>
    </row>
    <row r="208" spans="7:13" ht="12.75">
      <c r="G208" s="63"/>
      <c r="H208" s="63"/>
      <c r="I208" s="63"/>
      <c r="J208" s="63"/>
      <c r="K208" s="63"/>
      <c r="L208" s="63"/>
      <c r="M208" s="63"/>
    </row>
    <row r="209" spans="7:13" ht="12.75">
      <c r="G209" s="63"/>
      <c r="H209" s="63"/>
      <c r="I209" s="63"/>
      <c r="J209" s="63"/>
      <c r="K209" s="63"/>
      <c r="L209" s="63"/>
      <c r="M209" s="63"/>
    </row>
    <row r="210" spans="7:13" ht="12.75">
      <c r="G210" s="63"/>
      <c r="H210" s="63"/>
      <c r="I210" s="63"/>
      <c r="J210" s="63"/>
      <c r="K210" s="63"/>
      <c r="L210" s="63"/>
      <c r="M210" s="63"/>
    </row>
    <row r="211" spans="7:13" ht="12.75">
      <c r="G211" s="63"/>
      <c r="H211" s="63"/>
      <c r="I211" s="63"/>
      <c r="J211" s="63"/>
      <c r="K211" s="63"/>
      <c r="L211" s="63"/>
      <c r="M211" s="63"/>
    </row>
    <row r="212" spans="7:13" ht="12.75">
      <c r="G212" s="63"/>
      <c r="H212" s="63"/>
      <c r="I212" s="63"/>
      <c r="J212" s="63"/>
      <c r="K212" s="63"/>
      <c r="L212" s="63"/>
      <c r="M212" s="63"/>
    </row>
    <row r="213" spans="7:13" ht="12.75">
      <c r="G213" s="63"/>
      <c r="H213" s="63"/>
      <c r="I213" s="63"/>
      <c r="J213" s="63"/>
      <c r="K213" s="63"/>
      <c r="L213" s="63"/>
      <c r="M213" s="63"/>
    </row>
    <row r="214" spans="7:13" ht="12.75">
      <c r="G214" s="63"/>
      <c r="H214" s="63"/>
      <c r="I214" s="63"/>
      <c r="J214" s="63"/>
      <c r="K214" s="63"/>
      <c r="L214" s="63"/>
      <c r="M214" s="63"/>
    </row>
    <row r="215" spans="7:13" ht="12.75">
      <c r="G215" s="63"/>
      <c r="H215" s="63"/>
      <c r="I215" s="63"/>
      <c r="J215" s="63"/>
      <c r="K215" s="63"/>
      <c r="L215" s="63"/>
      <c r="M215" s="63"/>
    </row>
    <row r="216" spans="7:13" ht="12.75">
      <c r="G216" s="63"/>
      <c r="H216" s="63"/>
      <c r="I216" s="63"/>
      <c r="J216" s="63"/>
      <c r="K216" s="63"/>
      <c r="L216" s="63"/>
      <c r="M216" s="63"/>
    </row>
    <row r="217" spans="7:13" ht="12.75">
      <c r="G217" s="63"/>
      <c r="H217" s="63"/>
      <c r="I217" s="63"/>
      <c r="J217" s="63"/>
      <c r="K217" s="63"/>
      <c r="L217" s="63"/>
      <c r="M217" s="63"/>
    </row>
    <row r="218" spans="7:13" ht="12.75">
      <c r="G218" s="63"/>
      <c r="H218" s="63"/>
      <c r="I218" s="63"/>
      <c r="J218" s="63"/>
      <c r="K218" s="63"/>
      <c r="L218" s="63"/>
      <c r="M218" s="63"/>
    </row>
    <row r="219" spans="7:13" ht="12.75">
      <c r="G219" s="63"/>
      <c r="H219" s="63"/>
      <c r="I219" s="63"/>
      <c r="J219" s="63"/>
      <c r="K219" s="63"/>
      <c r="L219" s="63"/>
      <c r="M219" s="63"/>
    </row>
    <row r="220" spans="7:13" ht="12.75">
      <c r="G220" s="63"/>
      <c r="H220" s="63"/>
      <c r="I220" s="63"/>
      <c r="J220" s="63"/>
      <c r="K220" s="63"/>
      <c r="L220" s="63"/>
      <c r="M220" s="63"/>
    </row>
    <row r="221" spans="7:13" ht="12.75">
      <c r="G221" s="63"/>
      <c r="H221" s="63"/>
      <c r="I221" s="63"/>
      <c r="J221" s="63"/>
      <c r="K221" s="63"/>
      <c r="L221" s="63"/>
      <c r="M221" s="63"/>
    </row>
    <row r="222" spans="7:13" ht="12.75">
      <c r="G222" s="63"/>
      <c r="H222" s="63"/>
      <c r="I222" s="63"/>
      <c r="J222" s="63"/>
      <c r="K222" s="63"/>
      <c r="L222" s="63"/>
      <c r="M222" s="63"/>
    </row>
    <row r="223" spans="7:13" ht="12.75">
      <c r="G223" s="63"/>
      <c r="H223" s="63"/>
      <c r="I223" s="63"/>
      <c r="J223" s="63"/>
      <c r="K223" s="63"/>
      <c r="L223" s="63"/>
      <c r="M223" s="63"/>
    </row>
    <row r="224" spans="7:13" ht="12.75">
      <c r="G224" s="63"/>
      <c r="H224" s="63"/>
      <c r="I224" s="63"/>
      <c r="J224" s="63"/>
      <c r="K224" s="63"/>
      <c r="L224" s="63"/>
      <c r="M224" s="63"/>
    </row>
    <row r="225" spans="7:13" ht="12.75">
      <c r="G225" s="63"/>
      <c r="H225" s="63"/>
      <c r="I225" s="63"/>
      <c r="J225" s="63"/>
      <c r="K225" s="63"/>
      <c r="L225" s="63"/>
      <c r="M225" s="63"/>
    </row>
    <row r="226" spans="7:13" ht="12.75">
      <c r="G226" s="63"/>
      <c r="H226" s="63"/>
      <c r="I226" s="63"/>
      <c r="J226" s="63"/>
      <c r="K226" s="63"/>
      <c r="L226" s="63"/>
      <c r="M226" s="63"/>
    </row>
    <row r="227" spans="7:13" ht="12.75">
      <c r="G227" s="63"/>
      <c r="H227" s="63"/>
      <c r="I227" s="63"/>
      <c r="J227" s="63"/>
      <c r="K227" s="63"/>
      <c r="L227" s="63"/>
      <c r="M227" s="63"/>
    </row>
    <row r="228" spans="7:13" ht="12.75">
      <c r="G228" s="63"/>
      <c r="H228" s="63"/>
      <c r="I228" s="63"/>
      <c r="J228" s="63"/>
      <c r="K228" s="63"/>
      <c r="L228" s="63"/>
      <c r="M228" s="63"/>
    </row>
    <row r="229" spans="7:13" ht="12.75">
      <c r="G229" s="63"/>
      <c r="H229" s="63"/>
      <c r="I229" s="63"/>
      <c r="J229" s="63"/>
      <c r="K229" s="63"/>
      <c r="L229" s="63"/>
      <c r="M229" s="63"/>
    </row>
    <row r="230" spans="7:13" ht="12.75">
      <c r="G230" s="63"/>
      <c r="H230" s="63"/>
      <c r="I230" s="63"/>
      <c r="J230" s="63"/>
      <c r="K230" s="63"/>
      <c r="L230" s="63"/>
      <c r="M230" s="63"/>
    </row>
    <row r="231" spans="7:13" ht="12.75">
      <c r="G231" s="63"/>
      <c r="H231" s="63"/>
      <c r="I231" s="63"/>
      <c r="J231" s="63"/>
      <c r="K231" s="63"/>
      <c r="L231" s="63"/>
      <c r="M231" s="63"/>
    </row>
    <row r="232" spans="7:13" ht="12.75">
      <c r="G232" s="63"/>
      <c r="H232" s="63"/>
      <c r="I232" s="63"/>
      <c r="J232" s="63"/>
      <c r="K232" s="63"/>
      <c r="L232" s="63"/>
      <c r="M232" s="63"/>
    </row>
    <row r="233" spans="7:13" ht="12.75">
      <c r="G233" s="63"/>
      <c r="H233" s="63"/>
      <c r="I233" s="63"/>
      <c r="J233" s="63"/>
      <c r="K233" s="63"/>
      <c r="L233" s="63"/>
      <c r="M233" s="63"/>
    </row>
    <row r="234" spans="7:13" ht="12.75">
      <c r="G234" s="63"/>
      <c r="H234" s="63"/>
      <c r="I234" s="63"/>
      <c r="J234" s="63"/>
      <c r="K234" s="63"/>
      <c r="L234" s="63"/>
      <c r="M234" s="63"/>
    </row>
    <row r="235" spans="7:13" ht="12.75">
      <c r="G235" s="63"/>
      <c r="H235" s="63"/>
      <c r="I235" s="63"/>
      <c r="J235" s="63"/>
      <c r="K235" s="63"/>
      <c r="L235" s="63"/>
      <c r="M235" s="63"/>
    </row>
    <row r="236" spans="7:13" ht="12.75">
      <c r="G236" s="63"/>
      <c r="H236" s="63"/>
      <c r="I236" s="63"/>
      <c r="J236" s="63"/>
      <c r="K236" s="63"/>
      <c r="L236" s="63"/>
      <c r="M236" s="63"/>
    </row>
    <row r="237" spans="7:13" ht="12.75">
      <c r="G237" s="63"/>
      <c r="H237" s="63"/>
      <c r="I237" s="63"/>
      <c r="J237" s="63"/>
      <c r="K237" s="63"/>
      <c r="L237" s="63"/>
      <c r="M237" s="63"/>
    </row>
    <row r="238" spans="7:13" ht="12.75">
      <c r="G238" s="63"/>
      <c r="H238" s="63"/>
      <c r="I238" s="63"/>
      <c r="J238" s="63"/>
      <c r="K238" s="63"/>
      <c r="L238" s="63"/>
      <c r="M238" s="63"/>
    </row>
    <row r="239" spans="7:13" ht="12.75">
      <c r="G239" s="63"/>
      <c r="H239" s="63"/>
      <c r="I239" s="63"/>
      <c r="J239" s="63"/>
      <c r="K239" s="63"/>
      <c r="L239" s="63"/>
      <c r="M239" s="63"/>
    </row>
    <row r="240" spans="7:13" ht="12.75">
      <c r="G240" s="63"/>
      <c r="H240" s="63"/>
      <c r="I240" s="63"/>
      <c r="J240" s="63"/>
      <c r="K240" s="63"/>
      <c r="L240" s="63"/>
      <c r="M240" s="63"/>
    </row>
    <row r="241" spans="7:13" ht="12.75">
      <c r="G241" s="63"/>
      <c r="H241" s="63"/>
      <c r="I241" s="63"/>
      <c r="J241" s="63"/>
      <c r="K241" s="63"/>
      <c r="L241" s="63"/>
      <c r="M241" s="63"/>
    </row>
    <row r="242" spans="7:13" ht="12.75">
      <c r="G242" s="63"/>
      <c r="H242" s="63"/>
      <c r="I242" s="63"/>
      <c r="J242" s="63"/>
      <c r="K242" s="63"/>
      <c r="L242" s="63"/>
      <c r="M242" s="63"/>
    </row>
    <row r="243" spans="7:13" ht="12.75">
      <c r="G243" s="63"/>
      <c r="H243" s="63"/>
      <c r="I243" s="63"/>
      <c r="J243" s="63"/>
      <c r="K243" s="63"/>
      <c r="L243" s="63"/>
      <c r="M243" s="63"/>
    </row>
    <row r="244" spans="7:13" ht="12.75">
      <c r="G244" s="63"/>
      <c r="H244" s="63"/>
      <c r="I244" s="63"/>
      <c r="J244" s="63"/>
      <c r="K244" s="63"/>
      <c r="L244" s="63"/>
      <c r="M244" s="63"/>
    </row>
    <row r="245" spans="7:13" ht="12.75">
      <c r="G245" s="63"/>
      <c r="H245" s="63"/>
      <c r="I245" s="63"/>
      <c r="J245" s="63"/>
      <c r="K245" s="63"/>
      <c r="L245" s="63"/>
      <c r="M245" s="63"/>
    </row>
    <row r="246" spans="7:13" ht="12.75">
      <c r="G246" s="63"/>
      <c r="H246" s="63"/>
      <c r="I246" s="63"/>
      <c r="J246" s="63"/>
      <c r="K246" s="63"/>
      <c r="L246" s="63"/>
      <c r="M246" s="63"/>
    </row>
    <row r="247" spans="7:13" ht="12.75">
      <c r="G247" s="63"/>
      <c r="H247" s="63"/>
      <c r="I247" s="63"/>
      <c r="J247" s="63"/>
      <c r="K247" s="63"/>
      <c r="L247" s="63"/>
      <c r="M247" s="63"/>
    </row>
    <row r="248" spans="7:13" ht="12.75">
      <c r="G248" s="63"/>
      <c r="H248" s="63"/>
      <c r="I248" s="63"/>
      <c r="J248" s="63"/>
      <c r="K248" s="63"/>
      <c r="L248" s="63"/>
      <c r="M248" s="63"/>
    </row>
    <row r="249" spans="7:13" ht="12.75">
      <c r="G249" s="63"/>
      <c r="H249" s="63"/>
      <c r="I249" s="63"/>
      <c r="J249" s="63"/>
      <c r="K249" s="63"/>
      <c r="L249" s="63"/>
      <c r="M249" s="63"/>
    </row>
    <row r="250" spans="7:13" ht="12.75">
      <c r="G250" s="63"/>
      <c r="H250" s="63"/>
      <c r="I250" s="63"/>
      <c r="J250" s="63"/>
      <c r="K250" s="63"/>
      <c r="L250" s="63"/>
      <c r="M250" s="63"/>
    </row>
    <row r="251" spans="7:13" ht="12.75">
      <c r="G251" s="63"/>
      <c r="H251" s="63"/>
      <c r="I251" s="63"/>
      <c r="J251" s="63"/>
      <c r="K251" s="63"/>
      <c r="L251" s="63"/>
      <c r="M251" s="63"/>
    </row>
    <row r="252" spans="7:13" ht="12.75">
      <c r="G252" s="63"/>
      <c r="H252" s="63"/>
      <c r="I252" s="63"/>
      <c r="J252" s="63"/>
      <c r="K252" s="63"/>
      <c r="L252" s="63"/>
      <c r="M252" s="63"/>
    </row>
    <row r="253" spans="7:13" ht="12.75">
      <c r="G253" s="63"/>
      <c r="H253" s="63"/>
      <c r="I253" s="63"/>
      <c r="J253" s="63"/>
      <c r="K253" s="63"/>
      <c r="L253" s="63"/>
      <c r="M253" s="63"/>
    </row>
    <row r="254" spans="7:13" ht="12.75">
      <c r="G254" s="63"/>
      <c r="H254" s="63"/>
      <c r="I254" s="63"/>
      <c r="J254" s="63"/>
      <c r="K254" s="63"/>
      <c r="L254" s="63"/>
      <c r="M254" s="63"/>
    </row>
    <row r="255" spans="7:13" ht="12.75">
      <c r="G255" s="63"/>
      <c r="H255" s="63"/>
      <c r="I255" s="63"/>
      <c r="J255" s="63"/>
      <c r="K255" s="63"/>
      <c r="L255" s="63"/>
      <c r="M255" s="63"/>
    </row>
    <row r="256" spans="7:13" ht="12.75">
      <c r="G256" s="63"/>
      <c r="H256" s="63"/>
      <c r="I256" s="63"/>
      <c r="J256" s="63"/>
      <c r="K256" s="63"/>
      <c r="L256" s="63"/>
      <c r="M256" s="63"/>
    </row>
    <row r="257" spans="7:13" ht="12.75">
      <c r="G257" s="63"/>
      <c r="H257" s="63"/>
      <c r="I257" s="63"/>
      <c r="J257" s="63"/>
      <c r="K257" s="63"/>
      <c r="L257" s="63"/>
      <c r="M257" s="63"/>
    </row>
    <row r="258" spans="7:13" ht="12.75">
      <c r="G258" s="63"/>
      <c r="H258" s="63"/>
      <c r="I258" s="63"/>
      <c r="J258" s="63"/>
      <c r="K258" s="63"/>
      <c r="L258" s="63"/>
      <c r="M258" s="63"/>
    </row>
    <row r="259" spans="7:13" ht="12.75">
      <c r="G259" s="63"/>
      <c r="H259" s="63"/>
      <c r="I259" s="63"/>
      <c r="J259" s="63"/>
      <c r="K259" s="63"/>
      <c r="L259" s="63"/>
      <c r="M259" s="63"/>
    </row>
    <row r="260" spans="7:13" ht="12.75">
      <c r="G260" s="63"/>
      <c r="H260" s="63"/>
      <c r="I260" s="63"/>
      <c r="J260" s="63"/>
      <c r="K260" s="63"/>
      <c r="L260" s="63"/>
      <c r="M260" s="63"/>
    </row>
    <row r="261" spans="7:13" ht="12.75">
      <c r="G261" s="63"/>
      <c r="H261" s="63"/>
      <c r="I261" s="63"/>
      <c r="J261" s="63"/>
      <c r="K261" s="63"/>
      <c r="L261" s="63"/>
      <c r="M261" s="63"/>
    </row>
    <row r="262" spans="7:13" ht="12.75">
      <c r="G262" s="63"/>
      <c r="H262" s="63"/>
      <c r="I262" s="63"/>
      <c r="J262" s="63"/>
      <c r="K262" s="63"/>
      <c r="L262" s="63"/>
      <c r="M262" s="63"/>
    </row>
    <row r="263" spans="7:13" ht="12.75">
      <c r="G263" s="63"/>
      <c r="H263" s="63"/>
      <c r="I263" s="63"/>
      <c r="J263" s="63"/>
      <c r="K263" s="63"/>
      <c r="L263" s="63"/>
      <c r="M263" s="63"/>
    </row>
    <row r="264" spans="7:13" ht="12.75">
      <c r="G264" s="63"/>
      <c r="H264" s="63"/>
      <c r="I264" s="63"/>
      <c r="J264" s="63"/>
      <c r="K264" s="63"/>
      <c r="L264" s="63"/>
      <c r="M264" s="63"/>
    </row>
    <row r="265" spans="7:13" ht="12.75">
      <c r="G265" s="63"/>
      <c r="H265" s="63"/>
      <c r="I265" s="63"/>
      <c r="J265" s="63"/>
      <c r="K265" s="63"/>
      <c r="L265" s="63"/>
      <c r="M265" s="63"/>
    </row>
    <row r="266" spans="7:13" ht="12.75">
      <c r="G266" s="63"/>
      <c r="H266" s="63"/>
      <c r="I266" s="63"/>
      <c r="J266" s="63"/>
      <c r="K266" s="63"/>
      <c r="L266" s="63"/>
      <c r="M266" s="63"/>
    </row>
    <row r="267" spans="7:13" ht="12.75">
      <c r="G267" s="63"/>
      <c r="H267" s="63"/>
      <c r="I267" s="63"/>
      <c r="J267" s="63"/>
      <c r="K267" s="63"/>
      <c r="L267" s="63"/>
      <c r="M267" s="63"/>
    </row>
    <row r="268" spans="7:13" ht="12.75">
      <c r="G268" s="63"/>
      <c r="H268" s="63"/>
      <c r="I268" s="63"/>
      <c r="J268" s="63"/>
      <c r="K268" s="63"/>
      <c r="L268" s="63"/>
      <c r="M268" s="63"/>
    </row>
    <row r="269" spans="7:13" ht="12.75">
      <c r="G269" s="63"/>
      <c r="H269" s="63"/>
      <c r="I269" s="63"/>
      <c r="J269" s="63"/>
      <c r="K269" s="63"/>
      <c r="L269" s="63"/>
      <c r="M269" s="63"/>
    </row>
    <row r="270" spans="7:13" ht="12.75">
      <c r="G270" s="63"/>
      <c r="H270" s="63"/>
      <c r="I270" s="63"/>
      <c r="J270" s="63"/>
      <c r="K270" s="63"/>
      <c r="L270" s="63"/>
      <c r="M270" s="63"/>
    </row>
    <row r="271" spans="7:13" ht="12.75">
      <c r="G271" s="63"/>
      <c r="H271" s="63"/>
      <c r="I271" s="63"/>
      <c r="J271" s="63"/>
      <c r="K271" s="63"/>
      <c r="L271" s="63"/>
      <c r="M271" s="63"/>
    </row>
    <row r="272" spans="7:13" ht="12.75">
      <c r="G272" s="63"/>
      <c r="H272" s="63"/>
      <c r="I272" s="63"/>
      <c r="J272" s="63"/>
      <c r="K272" s="63"/>
      <c r="L272" s="63"/>
      <c r="M272" s="63"/>
    </row>
    <row r="273" spans="7:13" ht="12.75">
      <c r="G273" s="63"/>
      <c r="H273" s="63"/>
      <c r="I273" s="63"/>
      <c r="J273" s="63"/>
      <c r="K273" s="63"/>
      <c r="L273" s="63"/>
      <c r="M273" s="63"/>
    </row>
    <row r="274" spans="7:13" ht="12.75">
      <c r="G274" s="63"/>
      <c r="H274" s="63"/>
      <c r="I274" s="63"/>
      <c r="J274" s="63"/>
      <c r="K274" s="63"/>
      <c r="L274" s="63"/>
      <c r="M274" s="63"/>
    </row>
    <row r="275" spans="7:13" ht="12.75">
      <c r="G275" s="63"/>
      <c r="H275" s="63"/>
      <c r="I275" s="63"/>
      <c r="J275" s="63"/>
      <c r="K275" s="63"/>
      <c r="L275" s="63"/>
      <c r="M275" s="63"/>
    </row>
    <row r="276" spans="7:13" ht="12.75">
      <c r="G276" s="63"/>
      <c r="H276" s="63"/>
      <c r="I276" s="63"/>
      <c r="J276" s="63"/>
      <c r="K276" s="63"/>
      <c r="L276" s="63"/>
      <c r="M276" s="63"/>
    </row>
    <row r="277" spans="7:13" ht="12.75">
      <c r="G277" s="63"/>
      <c r="H277" s="63"/>
      <c r="I277" s="63"/>
      <c r="J277" s="63"/>
      <c r="K277" s="63"/>
      <c r="L277" s="63"/>
      <c r="M277" s="63"/>
    </row>
    <row r="278" spans="7:13" ht="12.75">
      <c r="G278" s="63"/>
      <c r="H278" s="63"/>
      <c r="I278" s="63"/>
      <c r="J278" s="63"/>
      <c r="K278" s="63"/>
      <c r="L278" s="63"/>
      <c r="M278" s="63"/>
    </row>
    <row r="279" spans="7:13" ht="12.75">
      <c r="G279" s="63"/>
      <c r="H279" s="63"/>
      <c r="I279" s="63"/>
      <c r="J279" s="63"/>
      <c r="K279" s="63"/>
      <c r="L279" s="63"/>
      <c r="M279" s="63"/>
    </row>
    <row r="280" spans="7:13" ht="12.75">
      <c r="G280" s="63"/>
      <c r="H280" s="63"/>
      <c r="I280" s="63"/>
      <c r="J280" s="63"/>
      <c r="K280" s="63"/>
      <c r="L280" s="63"/>
      <c r="M280" s="63"/>
    </row>
    <row r="281" spans="7:13" ht="12.75">
      <c r="G281" s="63"/>
      <c r="H281" s="63"/>
      <c r="I281" s="63"/>
      <c r="J281" s="63"/>
      <c r="K281" s="63"/>
      <c r="L281" s="63"/>
      <c r="M281" s="63"/>
    </row>
    <row r="282" spans="7:13" ht="12.75">
      <c r="G282" s="63"/>
      <c r="H282" s="63"/>
      <c r="I282" s="63"/>
      <c r="J282" s="63"/>
      <c r="K282" s="63"/>
      <c r="L282" s="63"/>
      <c r="M282" s="63"/>
    </row>
    <row r="283" spans="7:13" ht="12.75">
      <c r="G283" s="63"/>
      <c r="H283" s="63"/>
      <c r="I283" s="63"/>
      <c r="J283" s="63"/>
      <c r="K283" s="63"/>
      <c r="L283" s="63"/>
      <c r="M283" s="63"/>
    </row>
    <row r="284" spans="7:13" ht="12.75">
      <c r="G284" s="63"/>
      <c r="H284" s="63"/>
      <c r="I284" s="63"/>
      <c r="J284" s="63"/>
      <c r="K284" s="63"/>
      <c r="L284" s="63"/>
      <c r="M284" s="63"/>
    </row>
    <row r="285" spans="7:13" ht="12.75">
      <c r="G285" s="63"/>
      <c r="H285" s="63"/>
      <c r="I285" s="63"/>
      <c r="J285" s="63"/>
      <c r="K285" s="63"/>
      <c r="L285" s="63"/>
      <c r="M285" s="63"/>
    </row>
    <row r="286" spans="7:13" ht="12.75">
      <c r="G286" s="63"/>
      <c r="H286" s="63"/>
      <c r="I286" s="63"/>
      <c r="J286" s="63"/>
      <c r="K286" s="63"/>
      <c r="L286" s="63"/>
      <c r="M286" s="63"/>
    </row>
    <row r="287" spans="7:13" ht="12.75">
      <c r="G287" s="63"/>
      <c r="H287" s="63"/>
      <c r="I287" s="63"/>
      <c r="J287" s="63"/>
      <c r="K287" s="63"/>
      <c r="L287" s="63"/>
      <c r="M287" s="63"/>
    </row>
    <row r="288" spans="7:13" ht="12.75">
      <c r="G288" s="63"/>
      <c r="H288" s="63"/>
      <c r="I288" s="63"/>
      <c r="J288" s="63"/>
      <c r="K288" s="63"/>
      <c r="L288" s="63"/>
      <c r="M288" s="63"/>
    </row>
    <row r="289" spans="7:13" ht="12.75">
      <c r="G289" s="63"/>
      <c r="H289" s="63"/>
      <c r="I289" s="63"/>
      <c r="J289" s="63"/>
      <c r="K289" s="63"/>
      <c r="L289" s="63"/>
      <c r="M289" s="63"/>
    </row>
    <row r="290" spans="7:13" ht="12.75">
      <c r="G290" s="63"/>
      <c r="H290" s="63"/>
      <c r="I290" s="63"/>
      <c r="J290" s="63"/>
      <c r="K290" s="63"/>
      <c r="L290" s="63"/>
      <c r="M290" s="63"/>
    </row>
    <row r="291" spans="7:13" ht="12.75">
      <c r="G291" s="63"/>
      <c r="H291" s="63"/>
      <c r="I291" s="63"/>
      <c r="J291" s="63"/>
      <c r="K291" s="63"/>
      <c r="L291" s="63"/>
      <c r="M291" s="63"/>
    </row>
    <row r="292" spans="7:13" ht="12.75">
      <c r="G292" s="63"/>
      <c r="H292" s="63"/>
      <c r="I292" s="63"/>
      <c r="J292" s="63"/>
      <c r="K292" s="63"/>
      <c r="L292" s="63"/>
      <c r="M292" s="63"/>
    </row>
    <row r="293" spans="7:13" ht="12.75">
      <c r="G293" s="63"/>
      <c r="H293" s="63"/>
      <c r="I293" s="63"/>
      <c r="J293" s="63"/>
      <c r="K293" s="63"/>
      <c r="L293" s="63"/>
      <c r="M293" s="63"/>
    </row>
    <row r="294" spans="7:13" ht="12.75">
      <c r="G294" s="63"/>
      <c r="H294" s="63"/>
      <c r="I294" s="63"/>
      <c r="J294" s="63"/>
      <c r="K294" s="63"/>
      <c r="L294" s="63"/>
      <c r="M294" s="63"/>
    </row>
    <row r="295" spans="7:13" ht="12.75">
      <c r="G295" s="63"/>
      <c r="H295" s="63"/>
      <c r="I295" s="63"/>
      <c r="J295" s="63"/>
      <c r="K295" s="63"/>
      <c r="L295" s="63"/>
      <c r="M295" s="63"/>
    </row>
    <row r="296" spans="7:13" ht="12.75">
      <c r="G296" s="63"/>
      <c r="H296" s="63"/>
      <c r="I296" s="63"/>
      <c r="J296" s="63"/>
      <c r="K296" s="63"/>
      <c r="L296" s="63"/>
      <c r="M296" s="63"/>
    </row>
    <row r="297" spans="7:13" ht="12.75">
      <c r="G297" s="63"/>
      <c r="H297" s="63"/>
      <c r="I297" s="63"/>
      <c r="J297" s="63"/>
      <c r="K297" s="63"/>
      <c r="L297" s="63"/>
      <c r="M297" s="63"/>
    </row>
    <row r="298" spans="7:13" ht="12.75">
      <c r="G298" s="63"/>
      <c r="H298" s="63"/>
      <c r="I298" s="63"/>
      <c r="J298" s="63"/>
      <c r="K298" s="63"/>
      <c r="L298" s="63"/>
      <c r="M298" s="63"/>
    </row>
    <row r="299" spans="7:13" ht="12.75">
      <c r="G299" s="63"/>
      <c r="H299" s="63"/>
      <c r="I299" s="63"/>
      <c r="J299" s="63"/>
      <c r="K299" s="63"/>
      <c r="L299" s="63"/>
      <c r="M299" s="63"/>
    </row>
    <row r="300" spans="7:13" ht="12.75">
      <c r="G300" s="63"/>
      <c r="H300" s="63"/>
      <c r="I300" s="63"/>
      <c r="J300" s="63"/>
      <c r="K300" s="63"/>
      <c r="L300" s="63"/>
      <c r="M300" s="63"/>
    </row>
    <row r="301" spans="7:13" ht="12.75">
      <c r="G301" s="63"/>
      <c r="H301" s="63"/>
      <c r="I301" s="63"/>
      <c r="J301" s="63"/>
      <c r="K301" s="63"/>
      <c r="L301" s="63"/>
      <c r="M301" s="63"/>
    </row>
    <row r="302" spans="7:13" ht="12.75">
      <c r="G302" s="63"/>
      <c r="H302" s="63"/>
      <c r="I302" s="63"/>
      <c r="J302" s="63"/>
      <c r="K302" s="63"/>
      <c r="L302" s="63"/>
      <c r="M302" s="63"/>
    </row>
    <row r="303" spans="7:13" ht="12.75">
      <c r="G303" s="63"/>
      <c r="H303" s="63"/>
      <c r="I303" s="63"/>
      <c r="J303" s="63"/>
      <c r="K303" s="63"/>
      <c r="L303" s="63"/>
      <c r="M303" s="63"/>
    </row>
    <row r="304" spans="7:13" ht="12.75">
      <c r="G304" s="63"/>
      <c r="H304" s="63"/>
      <c r="I304" s="63"/>
      <c r="J304" s="63"/>
      <c r="K304" s="63"/>
      <c r="L304" s="63"/>
      <c r="M304" s="63"/>
    </row>
    <row r="305" spans="7:13" ht="12.75">
      <c r="G305" s="63"/>
      <c r="H305" s="63"/>
      <c r="I305" s="63"/>
      <c r="J305" s="63"/>
      <c r="K305" s="63"/>
      <c r="L305" s="63"/>
      <c r="M305" s="63"/>
    </row>
    <row r="306" spans="7:13" ht="12.75">
      <c r="G306" s="63"/>
      <c r="H306" s="63"/>
      <c r="I306" s="63"/>
      <c r="J306" s="63"/>
      <c r="K306" s="63"/>
      <c r="L306" s="63"/>
      <c r="M306" s="63"/>
    </row>
    <row r="307" spans="7:13" ht="12.75">
      <c r="G307" s="63"/>
      <c r="H307" s="63"/>
      <c r="I307" s="63"/>
      <c r="J307" s="63"/>
      <c r="K307" s="63"/>
      <c r="L307" s="63"/>
      <c r="M307" s="63"/>
    </row>
    <row r="308" spans="7:13" ht="12.75">
      <c r="G308" s="63"/>
      <c r="H308" s="63"/>
      <c r="I308" s="63"/>
      <c r="J308" s="63"/>
      <c r="K308" s="63"/>
      <c r="L308" s="63"/>
      <c r="M308" s="63"/>
    </row>
    <row r="309" spans="7:13" ht="12.75">
      <c r="G309" s="63"/>
      <c r="H309" s="63"/>
      <c r="I309" s="63"/>
      <c r="J309" s="63"/>
      <c r="K309" s="63"/>
      <c r="L309" s="63"/>
      <c r="M309" s="63"/>
    </row>
    <row r="310" spans="7:13" ht="12.75">
      <c r="G310" s="63"/>
      <c r="H310" s="63"/>
      <c r="I310" s="63"/>
      <c r="J310" s="63"/>
      <c r="K310" s="63"/>
      <c r="L310" s="63"/>
      <c r="M310" s="63"/>
    </row>
    <row r="311" spans="7:13" ht="12.75">
      <c r="G311" s="63"/>
      <c r="H311" s="63"/>
      <c r="I311" s="63"/>
      <c r="J311" s="63"/>
      <c r="K311" s="63"/>
      <c r="L311" s="63"/>
      <c r="M311" s="63"/>
    </row>
    <row r="312" spans="7:13" ht="12.75">
      <c r="G312" s="63"/>
      <c r="H312" s="63"/>
      <c r="I312" s="63"/>
      <c r="J312" s="63"/>
      <c r="K312" s="63"/>
      <c r="L312" s="63"/>
      <c r="M312" s="63"/>
    </row>
    <row r="313" spans="7:13" ht="12.75">
      <c r="G313" s="63"/>
      <c r="H313" s="63"/>
      <c r="I313" s="63"/>
      <c r="J313" s="63"/>
      <c r="K313" s="63"/>
      <c r="L313" s="63"/>
      <c r="M313" s="63"/>
    </row>
    <row r="314" spans="7:13" ht="12.75">
      <c r="G314" s="63"/>
      <c r="H314" s="63"/>
      <c r="I314" s="63"/>
      <c r="J314" s="63"/>
      <c r="K314" s="63"/>
      <c r="L314" s="63"/>
      <c r="M314" s="63"/>
    </row>
    <row r="315" spans="7:13" ht="12.75">
      <c r="G315" s="63"/>
      <c r="H315" s="63"/>
      <c r="I315" s="63"/>
      <c r="J315" s="63"/>
      <c r="K315" s="63"/>
      <c r="L315" s="63"/>
      <c r="M315" s="63"/>
    </row>
    <row r="316" spans="7:13" ht="12.75">
      <c r="G316" s="63"/>
      <c r="H316" s="63"/>
      <c r="I316" s="63"/>
      <c r="J316" s="63"/>
      <c r="K316" s="63"/>
      <c r="L316" s="63"/>
      <c r="M316" s="63"/>
    </row>
    <row r="317" spans="7:13" ht="12.75">
      <c r="G317" s="63"/>
      <c r="H317" s="63"/>
      <c r="I317" s="63"/>
      <c r="J317" s="63"/>
      <c r="K317" s="63"/>
      <c r="L317" s="63"/>
      <c r="M317" s="63"/>
    </row>
    <row r="318" spans="7:13" ht="12.75">
      <c r="G318" s="63"/>
      <c r="H318" s="63"/>
      <c r="I318" s="63"/>
      <c r="J318" s="63"/>
      <c r="K318" s="63"/>
      <c r="L318" s="63"/>
      <c r="M318" s="63"/>
    </row>
    <row r="319" spans="7:13" ht="12.75">
      <c r="G319" s="63"/>
      <c r="H319" s="63"/>
      <c r="I319" s="63"/>
      <c r="J319" s="63"/>
      <c r="K319" s="63"/>
      <c r="L319" s="63"/>
      <c r="M319" s="63"/>
    </row>
    <row r="320" spans="7:13" ht="12.75">
      <c r="G320" s="63"/>
      <c r="H320" s="63"/>
      <c r="I320" s="63"/>
      <c r="J320" s="63"/>
      <c r="K320" s="63"/>
      <c r="L320" s="63"/>
      <c r="M320" s="63"/>
    </row>
    <row r="321" spans="7:13" ht="12.75">
      <c r="G321" s="63"/>
      <c r="H321" s="63"/>
      <c r="I321" s="63"/>
      <c r="J321" s="63"/>
      <c r="K321" s="63"/>
      <c r="L321" s="63"/>
      <c r="M321" s="63"/>
    </row>
    <row r="322" spans="7:13" ht="12.75">
      <c r="G322" s="63"/>
      <c r="H322" s="63"/>
      <c r="I322" s="63"/>
      <c r="J322" s="63"/>
      <c r="K322" s="63"/>
      <c r="L322" s="63"/>
      <c r="M322" s="63"/>
    </row>
    <row r="323" spans="7:13" ht="12.75">
      <c r="G323" s="63"/>
      <c r="H323" s="63"/>
      <c r="I323" s="63"/>
      <c r="J323" s="63"/>
      <c r="K323" s="63"/>
      <c r="L323" s="63"/>
      <c r="M323" s="63"/>
    </row>
    <row r="324" spans="7:13" ht="12.75">
      <c r="G324" s="63"/>
      <c r="H324" s="63"/>
      <c r="I324" s="63"/>
      <c r="J324" s="63"/>
      <c r="K324" s="63"/>
      <c r="L324" s="63"/>
      <c r="M324" s="63"/>
    </row>
    <row r="325" spans="7:13" ht="12.75">
      <c r="G325" s="63"/>
      <c r="H325" s="63"/>
      <c r="I325" s="63"/>
      <c r="J325" s="63"/>
      <c r="K325" s="63"/>
      <c r="L325" s="63"/>
      <c r="M325" s="63"/>
    </row>
    <row r="326" spans="7:13" ht="12.75">
      <c r="G326" s="63"/>
      <c r="H326" s="63"/>
      <c r="I326" s="63"/>
      <c r="J326" s="63"/>
      <c r="K326" s="63"/>
      <c r="L326" s="63"/>
      <c r="M326" s="63"/>
    </row>
    <row r="327" spans="7:13" ht="12.75">
      <c r="G327" s="63"/>
      <c r="H327" s="63"/>
      <c r="I327" s="63"/>
      <c r="J327" s="63"/>
      <c r="K327" s="63"/>
      <c r="L327" s="63"/>
      <c r="M327" s="63"/>
    </row>
    <row r="328" spans="7:13" ht="12.75">
      <c r="G328" s="63"/>
      <c r="H328" s="63"/>
      <c r="I328" s="63"/>
      <c r="J328" s="63"/>
      <c r="K328" s="63"/>
      <c r="L328" s="63"/>
      <c r="M328" s="63"/>
    </row>
    <row r="329" spans="7:13" ht="12.75">
      <c r="G329" s="63"/>
      <c r="H329" s="63"/>
      <c r="I329" s="63"/>
      <c r="J329" s="63"/>
      <c r="K329" s="63"/>
      <c r="L329" s="63"/>
      <c r="M329" s="63"/>
    </row>
    <row r="330" spans="7:13" ht="12.75">
      <c r="G330" s="63"/>
      <c r="H330" s="63"/>
      <c r="I330" s="63"/>
      <c r="J330" s="63"/>
      <c r="K330" s="63"/>
      <c r="L330" s="63"/>
      <c r="M330" s="63"/>
    </row>
    <row r="331" spans="7:13" ht="12.75">
      <c r="G331" s="63"/>
      <c r="H331" s="63"/>
      <c r="I331" s="63"/>
      <c r="J331" s="63"/>
      <c r="K331" s="63"/>
      <c r="L331" s="63"/>
      <c r="M331" s="63"/>
    </row>
    <row r="332" spans="7:13" ht="12.75">
      <c r="G332" s="63"/>
      <c r="H332" s="63"/>
      <c r="I332" s="63"/>
      <c r="J332" s="63"/>
      <c r="K332" s="63"/>
      <c r="L332" s="63"/>
      <c r="M332" s="63"/>
    </row>
    <row r="333" spans="7:13" ht="12.75">
      <c r="G333" s="63"/>
      <c r="H333" s="63"/>
      <c r="I333" s="63"/>
      <c r="J333" s="63"/>
      <c r="K333" s="63"/>
      <c r="L333" s="63"/>
      <c r="M333" s="63"/>
    </row>
    <row r="334" spans="7:13" ht="12.75">
      <c r="G334" s="63"/>
      <c r="H334" s="63"/>
      <c r="I334" s="63"/>
      <c r="J334" s="63"/>
      <c r="K334" s="63"/>
      <c r="L334" s="63"/>
      <c r="M334" s="63"/>
    </row>
    <row r="335" spans="7:13" ht="12.75">
      <c r="G335" s="63"/>
      <c r="H335" s="63"/>
      <c r="I335" s="63"/>
      <c r="J335" s="63"/>
      <c r="K335" s="63"/>
      <c r="L335" s="63"/>
      <c r="M335" s="63"/>
    </row>
    <row r="336" spans="7:13" ht="12.75">
      <c r="G336" s="63"/>
      <c r="H336" s="63"/>
      <c r="I336" s="63"/>
      <c r="J336" s="63"/>
      <c r="K336" s="63"/>
      <c r="L336" s="63"/>
      <c r="M336" s="63"/>
    </row>
    <row r="337" spans="7:13" ht="12.75">
      <c r="G337" s="63"/>
      <c r="H337" s="63"/>
      <c r="I337" s="63"/>
      <c r="J337" s="63"/>
      <c r="K337" s="63"/>
      <c r="L337" s="63"/>
      <c r="M337" s="63"/>
    </row>
    <row r="338" spans="7:13" ht="12.75">
      <c r="G338" s="63"/>
      <c r="H338" s="63"/>
      <c r="I338" s="63"/>
      <c r="J338" s="63"/>
      <c r="K338" s="63"/>
      <c r="L338" s="63"/>
      <c r="M338" s="63"/>
    </row>
    <row r="339" spans="7:13" ht="12.75">
      <c r="G339" s="63"/>
      <c r="H339" s="63"/>
      <c r="I339" s="63"/>
      <c r="J339" s="63"/>
      <c r="K339" s="63"/>
      <c r="L339" s="63"/>
      <c r="M339" s="63"/>
    </row>
    <row r="340" spans="7:13" ht="12.75">
      <c r="G340" s="63"/>
      <c r="H340" s="63"/>
      <c r="I340" s="63"/>
      <c r="J340" s="63"/>
      <c r="K340" s="63"/>
      <c r="L340" s="63"/>
      <c r="M340" s="63"/>
    </row>
    <row r="341" spans="7:13" ht="12.75">
      <c r="G341" s="63"/>
      <c r="H341" s="63"/>
      <c r="I341" s="63"/>
      <c r="J341" s="63"/>
      <c r="K341" s="63"/>
      <c r="L341" s="63"/>
      <c r="M341" s="63"/>
    </row>
    <row r="342" spans="7:13" ht="12.75">
      <c r="G342" s="63"/>
      <c r="H342" s="63"/>
      <c r="I342" s="63"/>
      <c r="J342" s="63"/>
      <c r="K342" s="63"/>
      <c r="L342" s="63"/>
      <c r="M342" s="63"/>
    </row>
    <row r="343" spans="7:13" ht="12.75">
      <c r="G343" s="63"/>
      <c r="H343" s="63"/>
      <c r="I343" s="63"/>
      <c r="J343" s="63"/>
      <c r="K343" s="63"/>
      <c r="L343" s="63"/>
      <c r="M343" s="63"/>
    </row>
    <row r="344" spans="7:13" ht="12.75">
      <c r="G344" s="63"/>
      <c r="H344" s="63"/>
      <c r="I344" s="63"/>
      <c r="J344" s="63"/>
      <c r="K344" s="63"/>
      <c r="L344" s="63"/>
      <c r="M344" s="63"/>
    </row>
    <row r="345" spans="7:13" ht="12.75">
      <c r="G345" s="63"/>
      <c r="H345" s="63"/>
      <c r="I345" s="63"/>
      <c r="J345" s="63"/>
      <c r="K345" s="63"/>
      <c r="L345" s="63"/>
      <c r="M345" s="63"/>
    </row>
    <row r="346" spans="7:13" ht="12.75">
      <c r="G346" s="63"/>
      <c r="H346" s="63"/>
      <c r="I346" s="63"/>
      <c r="J346" s="63"/>
      <c r="K346" s="63"/>
      <c r="L346" s="63"/>
      <c r="M346" s="63"/>
    </row>
    <row r="347" spans="7:13" ht="12.75">
      <c r="G347" s="63"/>
      <c r="H347" s="63"/>
      <c r="I347" s="63"/>
      <c r="J347" s="63"/>
      <c r="K347" s="63"/>
      <c r="L347" s="63"/>
      <c r="M347" s="63"/>
    </row>
    <row r="348" spans="7:13" ht="12.75">
      <c r="G348" s="63"/>
      <c r="H348" s="63"/>
      <c r="I348" s="63"/>
      <c r="J348" s="63"/>
      <c r="K348" s="63"/>
      <c r="L348" s="63"/>
      <c r="M348" s="63"/>
    </row>
    <row r="349" spans="7:13" ht="12.75">
      <c r="G349" s="63"/>
      <c r="H349" s="63"/>
      <c r="I349" s="63"/>
      <c r="J349" s="63"/>
      <c r="K349" s="63"/>
      <c r="L349" s="63"/>
      <c r="M349" s="63"/>
    </row>
    <row r="350" spans="7:13" ht="12.75">
      <c r="G350" s="63"/>
      <c r="H350" s="63"/>
      <c r="I350" s="63"/>
      <c r="J350" s="63"/>
      <c r="K350" s="63"/>
      <c r="L350" s="63"/>
      <c r="M350" s="63"/>
    </row>
    <row r="351" spans="7:13" ht="12.75">
      <c r="G351" s="63"/>
      <c r="H351" s="63"/>
      <c r="I351" s="63"/>
      <c r="J351" s="63"/>
      <c r="K351" s="63"/>
      <c r="L351" s="63"/>
      <c r="M351" s="63"/>
    </row>
    <row r="352" spans="7:13" ht="12.75">
      <c r="G352" s="63"/>
      <c r="H352" s="63"/>
      <c r="I352" s="63"/>
      <c r="J352" s="63"/>
      <c r="K352" s="63"/>
      <c r="L352" s="63"/>
      <c r="M352" s="63"/>
    </row>
    <row r="353" spans="7:13" ht="12.75">
      <c r="G353" s="63"/>
      <c r="H353" s="63"/>
      <c r="I353" s="63"/>
      <c r="J353" s="63"/>
      <c r="K353" s="63"/>
      <c r="L353" s="63"/>
      <c r="M353" s="63"/>
    </row>
    <row r="354" spans="7:13" ht="12.75">
      <c r="G354" s="63"/>
      <c r="H354" s="63"/>
      <c r="I354" s="63"/>
      <c r="J354" s="63"/>
      <c r="K354" s="63"/>
      <c r="L354" s="63"/>
      <c r="M354" s="63"/>
    </row>
    <row r="355" spans="7:13" ht="12.75">
      <c r="G355" s="63"/>
      <c r="H355" s="63"/>
      <c r="I355" s="63"/>
      <c r="J355" s="63"/>
      <c r="K355" s="63"/>
      <c r="L355" s="63"/>
      <c r="M355" s="63"/>
    </row>
    <row r="356" spans="7:13" ht="12.75">
      <c r="G356" s="63"/>
      <c r="H356" s="63"/>
      <c r="I356" s="63"/>
      <c r="J356" s="63"/>
      <c r="K356" s="63"/>
      <c r="L356" s="63"/>
      <c r="M356" s="63"/>
    </row>
    <row r="357" spans="7:13" ht="12.75">
      <c r="G357" s="63"/>
      <c r="H357" s="63"/>
      <c r="I357" s="63"/>
      <c r="J357" s="63"/>
      <c r="K357" s="63"/>
      <c r="L357" s="63"/>
      <c r="M357" s="63"/>
    </row>
    <row r="358" spans="7:13" ht="12.75">
      <c r="G358" s="63"/>
      <c r="H358" s="63"/>
      <c r="I358" s="63"/>
      <c r="J358" s="63"/>
      <c r="K358" s="63"/>
      <c r="L358" s="63"/>
      <c r="M358" s="63"/>
    </row>
    <row r="359" spans="7:13" ht="12.75">
      <c r="G359" s="63"/>
      <c r="H359" s="63"/>
      <c r="I359" s="63"/>
      <c r="J359" s="63"/>
      <c r="K359" s="63"/>
      <c r="L359" s="63"/>
      <c r="M359" s="63"/>
    </row>
    <row r="360" spans="7:13" ht="12.75">
      <c r="G360" s="63"/>
      <c r="H360" s="63"/>
      <c r="I360" s="63"/>
      <c r="J360" s="63"/>
      <c r="K360" s="63"/>
      <c r="L360" s="63"/>
      <c r="M360" s="63"/>
    </row>
    <row r="361" spans="7:13" ht="12.75">
      <c r="G361" s="63"/>
      <c r="H361" s="63"/>
      <c r="I361" s="63"/>
      <c r="J361" s="63"/>
      <c r="K361" s="63"/>
      <c r="L361" s="63"/>
      <c r="M361" s="63"/>
    </row>
    <row r="362" spans="7:13" ht="12.75">
      <c r="G362" s="63"/>
      <c r="H362" s="63"/>
      <c r="I362" s="63"/>
      <c r="J362" s="63"/>
      <c r="K362" s="63"/>
      <c r="L362" s="63"/>
      <c r="M362" s="63"/>
    </row>
    <row r="363" spans="7:13" ht="12.75">
      <c r="G363" s="63"/>
      <c r="H363" s="63"/>
      <c r="I363" s="63"/>
      <c r="J363" s="63"/>
      <c r="K363" s="63"/>
      <c r="L363" s="63"/>
      <c r="M363" s="63"/>
    </row>
    <row r="364" spans="7:13" ht="12.75">
      <c r="G364" s="63"/>
      <c r="H364" s="63"/>
      <c r="I364" s="63"/>
      <c r="J364" s="63"/>
      <c r="K364" s="63"/>
      <c r="L364" s="63"/>
      <c r="M364" s="63"/>
    </row>
    <row r="365" spans="7:13" ht="12.75">
      <c r="G365" s="63"/>
      <c r="H365" s="63"/>
      <c r="I365" s="63"/>
      <c r="J365" s="63"/>
      <c r="K365" s="63"/>
      <c r="L365" s="63"/>
      <c r="M365" s="63"/>
    </row>
    <row r="366" spans="7:13" ht="12.75">
      <c r="G366" s="63"/>
      <c r="H366" s="63"/>
      <c r="I366" s="63"/>
      <c r="J366" s="63"/>
      <c r="K366" s="63"/>
      <c r="L366" s="63"/>
      <c r="M366" s="63"/>
    </row>
    <row r="367" spans="7:13" ht="12.75">
      <c r="G367" s="63"/>
      <c r="H367" s="63"/>
      <c r="I367" s="63"/>
      <c r="J367" s="63"/>
      <c r="K367" s="63"/>
      <c r="L367" s="63"/>
      <c r="M367" s="63"/>
    </row>
    <row r="368" spans="7:13" ht="12.75">
      <c r="G368" s="63"/>
      <c r="H368" s="63"/>
      <c r="I368" s="63"/>
      <c r="J368" s="63"/>
      <c r="K368" s="63"/>
      <c r="L368" s="63"/>
      <c r="M368" s="63"/>
    </row>
    <row r="369" spans="7:13" ht="12.75">
      <c r="G369" s="63"/>
      <c r="H369" s="63"/>
      <c r="I369" s="63"/>
      <c r="J369" s="63"/>
      <c r="K369" s="63"/>
      <c r="L369" s="63"/>
      <c r="M369" s="63"/>
    </row>
    <row r="370" spans="7:13" ht="12.75">
      <c r="G370" s="63"/>
      <c r="H370" s="63"/>
      <c r="I370" s="63"/>
      <c r="J370" s="63"/>
      <c r="K370" s="63"/>
      <c r="L370" s="63"/>
      <c r="M370" s="63"/>
    </row>
    <row r="371" spans="7:13" ht="12.75">
      <c r="G371" s="63"/>
      <c r="H371" s="63"/>
      <c r="I371" s="63"/>
      <c r="J371" s="63"/>
      <c r="K371" s="63"/>
      <c r="L371" s="63"/>
      <c r="M371" s="63"/>
    </row>
    <row r="372" spans="7:13" ht="12.75">
      <c r="G372" s="63"/>
      <c r="H372" s="63"/>
      <c r="I372" s="63"/>
      <c r="J372" s="63"/>
      <c r="K372" s="63"/>
      <c r="L372" s="63"/>
      <c r="M372" s="63"/>
    </row>
    <row r="373" spans="7:13" ht="12.75">
      <c r="G373" s="63"/>
      <c r="H373" s="63"/>
      <c r="I373" s="63"/>
      <c r="J373" s="63"/>
      <c r="K373" s="63"/>
      <c r="L373" s="63"/>
      <c r="M373" s="63"/>
    </row>
    <row r="374" spans="7:13" ht="12.75">
      <c r="G374" s="63"/>
      <c r="H374" s="63"/>
      <c r="I374" s="63"/>
      <c r="J374" s="63"/>
      <c r="K374" s="63"/>
      <c r="L374" s="63"/>
      <c r="M374" s="63"/>
    </row>
    <row r="375" spans="7:13" ht="12.75">
      <c r="G375" s="63"/>
      <c r="H375" s="63"/>
      <c r="I375" s="63"/>
      <c r="J375" s="63"/>
      <c r="K375" s="63"/>
      <c r="L375" s="63"/>
      <c r="M375" s="63"/>
    </row>
    <row r="376" spans="7:13" ht="12.75">
      <c r="G376" s="63"/>
      <c r="H376" s="63"/>
      <c r="I376" s="63"/>
      <c r="J376" s="63"/>
      <c r="K376" s="63"/>
      <c r="L376" s="63"/>
      <c r="M376" s="63"/>
    </row>
    <row r="377" spans="7:13" ht="12.75">
      <c r="G377" s="63"/>
      <c r="H377" s="63"/>
      <c r="I377" s="63"/>
      <c r="J377" s="63"/>
      <c r="K377" s="63"/>
      <c r="L377" s="63"/>
      <c r="M377" s="63"/>
    </row>
    <row r="378" spans="7:13" ht="12.75">
      <c r="G378" s="63"/>
      <c r="H378" s="63"/>
      <c r="I378" s="63"/>
      <c r="J378" s="63"/>
      <c r="K378" s="63"/>
      <c r="L378" s="63"/>
      <c r="M378" s="63"/>
    </row>
    <row r="379" spans="7:13" ht="12.75">
      <c r="G379" s="63"/>
      <c r="H379" s="63"/>
      <c r="I379" s="63"/>
      <c r="J379" s="63"/>
      <c r="K379" s="63"/>
      <c r="L379" s="63"/>
      <c r="M379" s="63"/>
    </row>
    <row r="380" spans="7:13" ht="12.75">
      <c r="G380" s="63"/>
      <c r="H380" s="63"/>
      <c r="I380" s="63"/>
      <c r="J380" s="63"/>
      <c r="K380" s="63"/>
      <c r="L380" s="63"/>
      <c r="M380" s="63"/>
    </row>
    <row r="381" spans="7:13" ht="12.75">
      <c r="G381" s="63"/>
      <c r="H381" s="63"/>
      <c r="I381" s="63"/>
      <c r="J381" s="63"/>
      <c r="K381" s="63"/>
      <c r="L381" s="63"/>
      <c r="M381" s="63"/>
    </row>
    <row r="382" spans="7:13" ht="12.75">
      <c r="G382" s="63"/>
      <c r="H382" s="63"/>
      <c r="I382" s="63"/>
      <c r="J382" s="63"/>
      <c r="K382" s="63"/>
      <c r="L382" s="63"/>
      <c r="M382" s="63"/>
    </row>
    <row r="383" spans="7:13" ht="12.75">
      <c r="G383" s="63"/>
      <c r="H383" s="63"/>
      <c r="I383" s="63"/>
      <c r="J383" s="63"/>
      <c r="K383" s="63"/>
      <c r="L383" s="63"/>
      <c r="M383" s="63"/>
    </row>
    <row r="384" spans="7:13" ht="12.75">
      <c r="G384" s="63"/>
      <c r="H384" s="63"/>
      <c r="I384" s="63"/>
      <c r="J384" s="63"/>
      <c r="K384" s="63"/>
      <c r="L384" s="63"/>
      <c r="M384" s="63"/>
    </row>
    <row r="385" spans="7:13" ht="12.75">
      <c r="G385" s="63"/>
      <c r="H385" s="63"/>
      <c r="I385" s="63"/>
      <c r="J385" s="63"/>
      <c r="K385" s="63"/>
      <c r="L385" s="63"/>
      <c r="M385" s="63"/>
    </row>
    <row r="386" spans="7:13" ht="12.75">
      <c r="G386" s="63"/>
      <c r="H386" s="63"/>
      <c r="I386" s="63"/>
      <c r="J386" s="63"/>
      <c r="K386" s="63"/>
      <c r="L386" s="63"/>
      <c r="M386" s="63"/>
    </row>
    <row r="387" spans="7:13" ht="12.75">
      <c r="G387" s="63"/>
      <c r="H387" s="63"/>
      <c r="I387" s="63"/>
      <c r="J387" s="63"/>
      <c r="K387" s="63"/>
      <c r="L387" s="63"/>
      <c r="M387" s="63"/>
    </row>
    <row r="388" spans="7:13" ht="12.75">
      <c r="G388" s="63"/>
      <c r="H388" s="63"/>
      <c r="I388" s="63"/>
      <c r="J388" s="63"/>
      <c r="K388" s="63"/>
      <c r="L388" s="63"/>
      <c r="M388" s="63"/>
    </row>
    <row r="389" spans="7:13" ht="12.75">
      <c r="G389" s="63"/>
      <c r="H389" s="63"/>
      <c r="I389" s="63"/>
      <c r="J389" s="63"/>
      <c r="K389" s="63"/>
      <c r="L389" s="63"/>
      <c r="M389" s="63"/>
    </row>
    <row r="390" spans="7:13" ht="12.75">
      <c r="G390" s="63"/>
      <c r="H390" s="63"/>
      <c r="I390" s="63"/>
      <c r="J390" s="63"/>
      <c r="K390" s="63"/>
      <c r="L390" s="63"/>
      <c r="M390" s="63"/>
    </row>
    <row r="391" spans="7:13" ht="12.75">
      <c r="G391" s="63"/>
      <c r="H391" s="63"/>
      <c r="I391" s="63"/>
      <c r="J391" s="63"/>
      <c r="K391" s="63"/>
      <c r="L391" s="63"/>
      <c r="M391" s="63"/>
    </row>
    <row r="392" spans="7:13" ht="12.75">
      <c r="G392" s="63"/>
      <c r="H392" s="63"/>
      <c r="I392" s="63"/>
      <c r="J392" s="63"/>
      <c r="K392" s="63"/>
      <c r="L392" s="63"/>
      <c r="M392" s="63"/>
    </row>
    <row r="393" spans="7:13" ht="12.75">
      <c r="G393" s="63"/>
      <c r="H393" s="63"/>
      <c r="I393" s="63"/>
      <c r="J393" s="63"/>
      <c r="K393" s="63"/>
      <c r="L393" s="63"/>
      <c r="M393" s="63"/>
    </row>
    <row r="394" spans="7:13" ht="12.75">
      <c r="G394" s="63"/>
      <c r="H394" s="63"/>
      <c r="I394" s="63"/>
      <c r="J394" s="63"/>
      <c r="K394" s="63"/>
      <c r="L394" s="63"/>
      <c r="M394" s="63"/>
    </row>
    <row r="395" spans="7:13" ht="12.75">
      <c r="G395" s="63"/>
      <c r="H395" s="63"/>
      <c r="I395" s="63"/>
      <c r="J395" s="63"/>
      <c r="K395" s="63"/>
      <c r="L395" s="63"/>
      <c r="M395" s="63"/>
    </row>
    <row r="396" spans="7:13" ht="12.75">
      <c r="G396" s="63"/>
      <c r="H396" s="63"/>
      <c r="I396" s="63"/>
      <c r="J396" s="63"/>
      <c r="K396" s="63"/>
      <c r="L396" s="63"/>
      <c r="M396" s="63"/>
    </row>
    <row r="397" spans="7:13" ht="12.75">
      <c r="G397" s="63"/>
      <c r="H397" s="63"/>
      <c r="I397" s="63"/>
      <c r="J397" s="63"/>
      <c r="K397" s="63"/>
      <c r="L397" s="63"/>
      <c r="M397" s="63"/>
    </row>
    <row r="398" spans="7:13" ht="12.75">
      <c r="G398" s="63"/>
      <c r="H398" s="63"/>
      <c r="I398" s="63"/>
      <c r="J398" s="63"/>
      <c r="K398" s="63"/>
      <c r="L398" s="63"/>
      <c r="M398" s="63"/>
    </row>
    <row r="399" spans="7:13" ht="12.75">
      <c r="G399" s="63"/>
      <c r="H399" s="63"/>
      <c r="I399" s="63"/>
      <c r="J399" s="63"/>
      <c r="K399" s="63"/>
      <c r="L399" s="63"/>
      <c r="M399" s="63"/>
    </row>
    <row r="400" spans="7:13" ht="12.75">
      <c r="G400" s="63"/>
      <c r="H400" s="63"/>
      <c r="I400" s="63"/>
      <c r="J400" s="63"/>
      <c r="K400" s="63"/>
      <c r="L400" s="63"/>
      <c r="M400" s="63"/>
    </row>
    <row r="401" spans="7:13" ht="12.75">
      <c r="G401" s="63"/>
      <c r="H401" s="63"/>
      <c r="I401" s="63"/>
      <c r="J401" s="63"/>
      <c r="K401" s="63"/>
      <c r="L401" s="63"/>
      <c r="M401" s="63"/>
    </row>
    <row r="402" spans="7:13" ht="12.75">
      <c r="G402" s="63"/>
      <c r="H402" s="63"/>
      <c r="I402" s="63"/>
      <c r="J402" s="63"/>
      <c r="K402" s="63"/>
      <c r="L402" s="63"/>
      <c r="M402" s="63"/>
    </row>
    <row r="403" spans="7:13" ht="12.75">
      <c r="G403" s="63"/>
      <c r="H403" s="63"/>
      <c r="I403" s="63"/>
      <c r="J403" s="63"/>
      <c r="K403" s="63"/>
      <c r="L403" s="63"/>
      <c r="M403" s="63"/>
    </row>
    <row r="404" spans="7:13" ht="12.75">
      <c r="G404" s="63"/>
      <c r="H404" s="63"/>
      <c r="I404" s="63"/>
      <c r="J404" s="63"/>
      <c r="K404" s="63"/>
      <c r="L404" s="63"/>
      <c r="M404" s="63"/>
    </row>
    <row r="405" spans="7:13" ht="12.75">
      <c r="G405" s="63"/>
      <c r="H405" s="63"/>
      <c r="I405" s="63"/>
      <c r="J405" s="63"/>
      <c r="K405" s="63"/>
      <c r="L405" s="63"/>
      <c r="M405" s="63"/>
    </row>
    <row r="406" spans="7:13" ht="12.75">
      <c r="G406" s="63"/>
      <c r="H406" s="63"/>
      <c r="I406" s="63"/>
      <c r="J406" s="63"/>
      <c r="K406" s="63"/>
      <c r="L406" s="63"/>
      <c r="M406" s="63"/>
    </row>
    <row r="407" spans="7:13" ht="12.75">
      <c r="G407" s="63"/>
      <c r="H407" s="63"/>
      <c r="I407" s="63"/>
      <c r="J407" s="63"/>
      <c r="K407" s="63"/>
      <c r="L407" s="63"/>
      <c r="M407" s="63"/>
    </row>
    <row r="408" spans="7:13" ht="12.75">
      <c r="G408" s="63"/>
      <c r="H408" s="63"/>
      <c r="I408" s="63"/>
      <c r="J408" s="63"/>
      <c r="K408" s="63"/>
      <c r="L408" s="63"/>
      <c r="M408" s="63"/>
    </row>
    <row r="409" spans="7:13" ht="12.75">
      <c r="G409" s="63"/>
      <c r="H409" s="63"/>
      <c r="I409" s="63"/>
      <c r="J409" s="63"/>
      <c r="K409" s="63"/>
      <c r="L409" s="63"/>
      <c r="M409" s="63"/>
    </row>
    <row r="410" spans="7:13" ht="12.75">
      <c r="G410" s="63"/>
      <c r="H410" s="63"/>
      <c r="I410" s="63"/>
      <c r="J410" s="63"/>
      <c r="K410" s="63"/>
      <c r="L410" s="63"/>
      <c r="M410" s="63"/>
    </row>
    <row r="411" spans="7:13" ht="12.75">
      <c r="G411" s="63"/>
      <c r="H411" s="63"/>
      <c r="I411" s="63"/>
      <c r="J411" s="63"/>
      <c r="K411" s="63"/>
      <c r="L411" s="63"/>
      <c r="M411" s="63"/>
    </row>
    <row r="412" spans="7:13" ht="12.75">
      <c r="G412" s="63"/>
      <c r="H412" s="63"/>
      <c r="I412" s="63"/>
      <c r="J412" s="63"/>
      <c r="K412" s="63"/>
      <c r="L412" s="63"/>
      <c r="M412" s="63"/>
    </row>
    <row r="413" spans="7:13" ht="12.75">
      <c r="G413" s="63"/>
      <c r="H413" s="63"/>
      <c r="I413" s="63"/>
      <c r="J413" s="63"/>
      <c r="K413" s="63"/>
      <c r="L413" s="63"/>
      <c r="M413" s="63"/>
    </row>
    <row r="414" spans="7:13" ht="12.75">
      <c r="G414" s="63"/>
      <c r="H414" s="63"/>
      <c r="I414" s="63"/>
      <c r="J414" s="63"/>
      <c r="K414" s="63"/>
      <c r="L414" s="63"/>
      <c r="M414" s="63"/>
    </row>
    <row r="415" spans="7:13" ht="12.75">
      <c r="G415" s="63"/>
      <c r="H415" s="63"/>
      <c r="I415" s="63"/>
      <c r="J415" s="63"/>
      <c r="K415" s="63"/>
      <c r="L415" s="63"/>
      <c r="M415" s="63"/>
    </row>
    <row r="416" spans="7:13" ht="12.75">
      <c r="G416" s="63"/>
      <c r="H416" s="63"/>
      <c r="I416" s="63"/>
      <c r="J416" s="63"/>
      <c r="K416" s="63"/>
      <c r="L416" s="63"/>
      <c r="M416" s="63"/>
    </row>
    <row r="417" spans="7:13" ht="12.75">
      <c r="G417" s="63"/>
      <c r="H417" s="63"/>
      <c r="I417" s="63"/>
      <c r="J417" s="63"/>
      <c r="K417" s="63"/>
      <c r="L417" s="63"/>
      <c r="M417" s="63"/>
    </row>
    <row r="418" spans="7:13" ht="12.75">
      <c r="G418" s="63"/>
      <c r="H418" s="63"/>
      <c r="I418" s="63"/>
      <c r="J418" s="63"/>
      <c r="K418" s="63"/>
      <c r="L418" s="63"/>
      <c r="M418" s="63"/>
    </row>
    <row r="419" spans="7:13" ht="12.75">
      <c r="G419" s="63"/>
      <c r="H419" s="63"/>
      <c r="I419" s="63"/>
      <c r="J419" s="63"/>
      <c r="K419" s="63"/>
      <c r="L419" s="63"/>
      <c r="M419" s="63"/>
    </row>
    <row r="420" spans="7:13" ht="12.75">
      <c r="G420" s="63"/>
      <c r="H420" s="63"/>
      <c r="I420" s="63"/>
      <c r="J420" s="63"/>
      <c r="K420" s="63"/>
      <c r="L420" s="63"/>
      <c r="M420" s="63"/>
    </row>
    <row r="421" spans="7:13" ht="12.75">
      <c r="G421" s="63"/>
      <c r="H421" s="63"/>
      <c r="I421" s="63"/>
      <c r="J421" s="63"/>
      <c r="K421" s="63"/>
      <c r="L421" s="63"/>
      <c r="M421" s="63"/>
    </row>
    <row r="422" spans="7:13" ht="12.75">
      <c r="G422" s="63"/>
      <c r="H422" s="63"/>
      <c r="I422" s="63"/>
      <c r="J422" s="63"/>
      <c r="K422" s="63"/>
      <c r="L422" s="63"/>
      <c r="M422" s="63"/>
    </row>
    <row r="423" spans="7:13" ht="12.75">
      <c r="G423" s="63"/>
      <c r="H423" s="63"/>
      <c r="I423" s="63"/>
      <c r="J423" s="63"/>
      <c r="K423" s="63"/>
      <c r="L423" s="63"/>
      <c r="M423" s="63"/>
    </row>
    <row r="424" spans="7:13" ht="12.75">
      <c r="G424" s="63"/>
      <c r="H424" s="63"/>
      <c r="I424" s="63"/>
      <c r="J424" s="63"/>
      <c r="K424" s="63"/>
      <c r="L424" s="63"/>
      <c r="M424" s="63"/>
    </row>
    <row r="425" spans="7:13" ht="12.75">
      <c r="G425" s="63"/>
      <c r="H425" s="63"/>
      <c r="I425" s="63"/>
      <c r="J425" s="63"/>
      <c r="K425" s="63"/>
      <c r="L425" s="63"/>
      <c r="M425" s="63"/>
    </row>
    <row r="426" spans="7:13" ht="12.75">
      <c r="G426" s="63"/>
      <c r="H426" s="63"/>
      <c r="I426" s="63"/>
      <c r="J426" s="63"/>
      <c r="K426" s="63"/>
      <c r="L426" s="63"/>
      <c r="M426" s="63"/>
    </row>
    <row r="427" spans="7:13" ht="12.75">
      <c r="G427" s="63"/>
      <c r="H427" s="63"/>
      <c r="I427" s="63"/>
      <c r="J427" s="63"/>
      <c r="K427" s="63"/>
      <c r="L427" s="63"/>
      <c r="M427" s="63"/>
    </row>
    <row r="428" spans="7:13" ht="12.75">
      <c r="G428" s="63"/>
      <c r="H428" s="63"/>
      <c r="I428" s="63"/>
      <c r="J428" s="63"/>
      <c r="K428" s="63"/>
      <c r="L428" s="63"/>
      <c r="M428" s="63"/>
    </row>
    <row r="429" spans="7:13" ht="12.75">
      <c r="G429" s="63"/>
      <c r="H429" s="63"/>
      <c r="I429" s="63"/>
      <c r="J429" s="63"/>
      <c r="K429" s="63"/>
      <c r="L429" s="63"/>
      <c r="M429" s="63"/>
    </row>
    <row r="430" spans="7:13" ht="12.75">
      <c r="G430" s="63"/>
      <c r="H430" s="63"/>
      <c r="I430" s="63"/>
      <c r="J430" s="63"/>
      <c r="K430" s="63"/>
      <c r="L430" s="63"/>
      <c r="M430" s="63"/>
    </row>
    <row r="431" spans="7:13" ht="12.75">
      <c r="G431" s="63"/>
      <c r="H431" s="63"/>
      <c r="I431" s="63"/>
      <c r="J431" s="63"/>
      <c r="K431" s="63"/>
      <c r="L431" s="63"/>
      <c r="M431" s="63"/>
    </row>
    <row r="432" spans="7:13" ht="12.75">
      <c r="G432" s="63"/>
      <c r="H432" s="63"/>
      <c r="I432" s="63"/>
      <c r="J432" s="63"/>
      <c r="K432" s="63"/>
      <c r="L432" s="63"/>
      <c r="M432" s="63"/>
    </row>
    <row r="433" spans="7:13" ht="12.75">
      <c r="G433" s="63"/>
      <c r="H433" s="63"/>
      <c r="I433" s="63"/>
      <c r="J433" s="63"/>
      <c r="K433" s="63"/>
      <c r="L433" s="63"/>
      <c r="M433" s="63"/>
    </row>
    <row r="434" spans="7:13" ht="12.75">
      <c r="G434" s="63"/>
      <c r="H434" s="63"/>
      <c r="I434" s="63"/>
      <c r="J434" s="63"/>
      <c r="K434" s="63"/>
      <c r="L434" s="63"/>
      <c r="M434" s="63"/>
    </row>
    <row r="435" spans="7:13" ht="12.75">
      <c r="G435" s="63"/>
      <c r="H435" s="63"/>
      <c r="I435" s="63"/>
      <c r="J435" s="63"/>
      <c r="K435" s="63"/>
      <c r="L435" s="63"/>
      <c r="M435" s="63"/>
    </row>
    <row r="436" spans="7:13" ht="12.75">
      <c r="G436" s="63"/>
      <c r="H436" s="63"/>
      <c r="I436" s="63"/>
      <c r="J436" s="63"/>
      <c r="K436" s="63"/>
      <c r="L436" s="63"/>
      <c r="M436" s="63"/>
    </row>
    <row r="437" spans="7:13" ht="12.75">
      <c r="G437" s="63"/>
      <c r="H437" s="63"/>
      <c r="I437" s="63"/>
      <c r="J437" s="63"/>
      <c r="K437" s="63"/>
      <c r="L437" s="63"/>
      <c r="M437" s="63"/>
    </row>
    <row r="438" spans="7:13" ht="12.75">
      <c r="G438" s="63"/>
      <c r="H438" s="63"/>
      <c r="I438" s="63"/>
      <c r="J438" s="63"/>
      <c r="K438" s="63"/>
      <c r="L438" s="63"/>
      <c r="M438" s="63"/>
    </row>
    <row r="439" spans="7:13" ht="12.75">
      <c r="G439" s="63"/>
      <c r="H439" s="63"/>
      <c r="I439" s="63"/>
      <c r="J439" s="63"/>
      <c r="K439" s="63"/>
      <c r="L439" s="63"/>
      <c r="M439" s="63"/>
    </row>
    <row r="440" spans="7:13" ht="12.75">
      <c r="G440" s="63"/>
      <c r="H440" s="63"/>
      <c r="I440" s="63"/>
      <c r="J440" s="63"/>
      <c r="K440" s="63"/>
      <c r="L440" s="63"/>
      <c r="M440" s="63"/>
    </row>
    <row r="441" spans="7:13" ht="12.75">
      <c r="G441" s="63"/>
      <c r="H441" s="63"/>
      <c r="I441" s="63"/>
      <c r="J441" s="63"/>
      <c r="K441" s="63"/>
      <c r="L441" s="63"/>
      <c r="M441" s="63"/>
    </row>
    <row r="442" spans="7:13" ht="12.75">
      <c r="G442" s="63"/>
      <c r="H442" s="63"/>
      <c r="I442" s="63"/>
      <c r="J442" s="63"/>
      <c r="K442" s="63"/>
      <c r="L442" s="63"/>
      <c r="M442" s="63"/>
    </row>
    <row r="443" spans="7:13" ht="12.75">
      <c r="G443" s="63"/>
      <c r="H443" s="63"/>
      <c r="I443" s="63"/>
      <c r="J443" s="63"/>
      <c r="K443" s="63"/>
      <c r="L443" s="63"/>
      <c r="M443" s="63"/>
    </row>
    <row r="444" spans="7:13" ht="12.75">
      <c r="G444" s="63"/>
      <c r="H444" s="63"/>
      <c r="I444" s="63"/>
      <c r="J444" s="63"/>
      <c r="K444" s="63"/>
      <c r="L444" s="63"/>
      <c r="M444" s="63"/>
    </row>
    <row r="445" spans="7:13" ht="12.75">
      <c r="G445" s="63"/>
      <c r="H445" s="63"/>
      <c r="I445" s="63"/>
      <c r="J445" s="63"/>
      <c r="K445" s="63"/>
      <c r="L445" s="63"/>
      <c r="M445" s="63"/>
    </row>
    <row r="446" spans="7:13" ht="12.75">
      <c r="G446" s="63"/>
      <c r="H446" s="63"/>
      <c r="I446" s="63"/>
      <c r="J446" s="63"/>
      <c r="K446" s="63"/>
      <c r="L446" s="63"/>
      <c r="M446" s="63"/>
    </row>
    <row r="447" spans="7:13" ht="12.75">
      <c r="G447" s="63"/>
      <c r="H447" s="63"/>
      <c r="I447" s="63"/>
      <c r="J447" s="63"/>
      <c r="K447" s="63"/>
      <c r="L447" s="63"/>
      <c r="M447" s="63"/>
    </row>
    <row r="448" spans="7:13" ht="12.75">
      <c r="G448" s="63"/>
      <c r="H448" s="63"/>
      <c r="I448" s="63"/>
      <c r="J448" s="63"/>
      <c r="K448" s="63"/>
      <c r="L448" s="63"/>
      <c r="M448" s="63"/>
    </row>
    <row r="449" spans="7:13" ht="12.75">
      <c r="G449" s="63"/>
      <c r="H449" s="63"/>
      <c r="I449" s="63"/>
      <c r="J449" s="63"/>
      <c r="K449" s="63"/>
      <c r="L449" s="63"/>
      <c r="M449" s="63"/>
    </row>
    <row r="450" spans="7:13" ht="12.75">
      <c r="G450" s="63"/>
      <c r="H450" s="63"/>
      <c r="I450" s="63"/>
      <c r="J450" s="63"/>
      <c r="K450" s="63"/>
      <c r="L450" s="63"/>
      <c r="M450" s="63"/>
    </row>
    <row r="451" spans="7:13" ht="12.75">
      <c r="G451" s="63"/>
      <c r="H451" s="63"/>
      <c r="I451" s="63"/>
      <c r="J451" s="63"/>
      <c r="K451" s="63"/>
      <c r="L451" s="63"/>
      <c r="M451" s="63"/>
    </row>
    <row r="452" spans="7:13" ht="12.75">
      <c r="G452" s="63"/>
      <c r="H452" s="63"/>
      <c r="I452" s="63"/>
      <c r="J452" s="63"/>
      <c r="K452" s="63"/>
      <c r="L452" s="63"/>
      <c r="M452" s="63"/>
    </row>
    <row r="453" spans="7:13" ht="12.75">
      <c r="G453" s="63"/>
      <c r="H453" s="63"/>
      <c r="I453" s="63"/>
      <c r="J453" s="63"/>
      <c r="K453" s="63"/>
      <c r="L453" s="63"/>
      <c r="M453" s="63"/>
    </row>
    <row r="454" spans="7:13" ht="12.75">
      <c r="G454" s="63"/>
      <c r="H454" s="63"/>
      <c r="I454" s="63"/>
      <c r="J454" s="63"/>
      <c r="K454" s="63"/>
      <c r="L454" s="63"/>
      <c r="M454" s="63"/>
    </row>
    <row r="455" spans="7:13" ht="12.75">
      <c r="G455" s="63"/>
      <c r="H455" s="63"/>
      <c r="I455" s="63"/>
      <c r="J455" s="63"/>
      <c r="K455" s="63"/>
      <c r="L455" s="63"/>
      <c r="M455" s="63"/>
    </row>
    <row r="456" spans="7:13" ht="12.75">
      <c r="G456" s="63"/>
      <c r="H456" s="63"/>
      <c r="I456" s="63"/>
      <c r="J456" s="63"/>
      <c r="K456" s="63"/>
      <c r="L456" s="63"/>
      <c r="M456" s="63"/>
    </row>
    <row r="457" spans="7:13" ht="12.75">
      <c r="G457" s="63"/>
      <c r="H457" s="63"/>
      <c r="I457" s="63"/>
      <c r="J457" s="63"/>
      <c r="K457" s="63"/>
      <c r="L457" s="63"/>
      <c r="M457" s="63"/>
    </row>
    <row r="458" spans="7:13" ht="12.75">
      <c r="G458" s="63"/>
      <c r="H458" s="63"/>
      <c r="I458" s="63"/>
      <c r="J458" s="63"/>
      <c r="K458" s="63"/>
      <c r="L458" s="63"/>
      <c r="M458" s="63"/>
    </row>
    <row r="459" spans="7:13" ht="12.75">
      <c r="G459" s="63"/>
      <c r="H459" s="63"/>
      <c r="I459" s="63"/>
      <c r="J459" s="63"/>
      <c r="K459" s="63"/>
      <c r="L459" s="63"/>
      <c r="M459" s="63"/>
    </row>
    <row r="460" spans="7:13" ht="12.75">
      <c r="G460" s="63"/>
      <c r="H460" s="63"/>
      <c r="I460" s="63"/>
      <c r="J460" s="63"/>
      <c r="K460" s="63"/>
      <c r="L460" s="63"/>
      <c r="M460" s="63"/>
    </row>
    <row r="461" spans="7:13" ht="12.75">
      <c r="G461" s="63"/>
      <c r="H461" s="63"/>
      <c r="I461" s="63"/>
      <c r="J461" s="63"/>
      <c r="K461" s="63"/>
      <c r="L461" s="63"/>
      <c r="M461" s="63"/>
    </row>
    <row r="462" spans="7:13" ht="12.75">
      <c r="G462" s="63"/>
      <c r="H462" s="63"/>
      <c r="I462" s="63"/>
      <c r="J462" s="63"/>
      <c r="K462" s="63"/>
      <c r="L462" s="63"/>
      <c r="M462" s="63"/>
    </row>
    <row r="463" spans="7:13" ht="12.75">
      <c r="G463" s="63"/>
      <c r="H463" s="63"/>
      <c r="I463" s="63"/>
      <c r="J463" s="63"/>
      <c r="K463" s="63"/>
      <c r="L463" s="63"/>
      <c r="M463" s="63"/>
    </row>
    <row r="464" spans="7:13" ht="12.75">
      <c r="G464" s="63"/>
      <c r="H464" s="63"/>
      <c r="I464" s="63"/>
      <c r="J464" s="63"/>
      <c r="K464" s="63"/>
      <c r="L464" s="63"/>
      <c r="M464" s="63"/>
    </row>
    <row r="465" spans="7:13" ht="12.75">
      <c r="G465" s="63"/>
      <c r="H465" s="63"/>
      <c r="I465" s="63"/>
      <c r="J465" s="63"/>
      <c r="K465" s="63"/>
      <c r="L465" s="63"/>
      <c r="M465" s="63"/>
    </row>
    <row r="466" spans="7:13" ht="12.75">
      <c r="G466" s="63"/>
      <c r="H466" s="63"/>
      <c r="I466" s="63"/>
      <c r="J466" s="63"/>
      <c r="K466" s="63"/>
      <c r="L466" s="63"/>
      <c r="M466" s="63"/>
    </row>
    <row r="467" spans="7:13" ht="12.75">
      <c r="G467" s="63"/>
      <c r="H467" s="63"/>
      <c r="I467" s="63"/>
      <c r="J467" s="63"/>
      <c r="K467" s="63"/>
      <c r="L467" s="63"/>
      <c r="M467" s="63"/>
    </row>
    <row r="468" spans="7:13" ht="12.75">
      <c r="G468" s="63"/>
      <c r="H468" s="63"/>
      <c r="I468" s="63"/>
      <c r="J468" s="63"/>
      <c r="K468" s="63"/>
      <c r="L468" s="63"/>
      <c r="M468" s="63"/>
    </row>
    <row r="469" spans="7:13" ht="12.75">
      <c r="G469" s="63"/>
      <c r="H469" s="63"/>
      <c r="I469" s="63"/>
      <c r="J469" s="63"/>
      <c r="K469" s="63"/>
      <c r="L469" s="63"/>
      <c r="M469" s="63"/>
    </row>
    <row r="470" spans="7:13" ht="12.75">
      <c r="G470" s="63"/>
      <c r="H470" s="63"/>
      <c r="I470" s="63"/>
      <c r="J470" s="63"/>
      <c r="K470" s="63"/>
      <c r="L470" s="63"/>
      <c r="M470" s="63"/>
    </row>
    <row r="471" spans="7:13" ht="12.75">
      <c r="G471" s="63"/>
      <c r="H471" s="63"/>
      <c r="I471" s="63"/>
      <c r="J471" s="63"/>
      <c r="K471" s="63"/>
      <c r="L471" s="63"/>
      <c r="M471" s="63"/>
    </row>
    <row r="472" spans="7:13" ht="12.75">
      <c r="G472" s="63"/>
      <c r="H472" s="63"/>
      <c r="I472" s="63"/>
      <c r="J472" s="63"/>
      <c r="K472" s="63"/>
      <c r="L472" s="63"/>
      <c r="M472" s="63"/>
    </row>
    <row r="473" spans="7:13" ht="12.75">
      <c r="G473" s="63"/>
      <c r="H473" s="63"/>
      <c r="I473" s="63"/>
      <c r="J473" s="63"/>
      <c r="K473" s="63"/>
      <c r="L473" s="63"/>
      <c r="M473" s="63"/>
    </row>
    <row r="474" spans="7:13" ht="12.75">
      <c r="G474" s="63"/>
      <c r="H474" s="63"/>
      <c r="I474" s="63"/>
      <c r="J474" s="63"/>
      <c r="K474" s="63"/>
      <c r="L474" s="63"/>
      <c r="M474" s="63"/>
    </row>
    <row r="475" spans="7:13" ht="12.75">
      <c r="G475" s="63"/>
      <c r="H475" s="63"/>
      <c r="I475" s="63"/>
      <c r="J475" s="63"/>
      <c r="K475" s="63"/>
      <c r="L475" s="63"/>
      <c r="M475" s="63"/>
    </row>
    <row r="476" spans="7:13" ht="12.75">
      <c r="G476" s="63"/>
      <c r="H476" s="63"/>
      <c r="I476" s="63"/>
      <c r="J476" s="63"/>
      <c r="K476" s="63"/>
      <c r="L476" s="63"/>
      <c r="M476" s="63"/>
    </row>
    <row r="477" spans="7:13" ht="12.75">
      <c r="G477" s="63"/>
      <c r="H477" s="63"/>
      <c r="I477" s="63"/>
      <c r="J477" s="63"/>
      <c r="K477" s="63"/>
      <c r="L477" s="63"/>
      <c r="M477" s="63"/>
    </row>
    <row r="478" spans="7:13" ht="12.75">
      <c r="G478" s="63"/>
      <c r="H478" s="63"/>
      <c r="I478" s="63"/>
      <c r="J478" s="63"/>
      <c r="K478" s="63"/>
      <c r="L478" s="63"/>
      <c r="M478" s="63"/>
    </row>
    <row r="479" spans="7:13" ht="12.75">
      <c r="G479" s="63"/>
      <c r="H479" s="63"/>
      <c r="I479" s="63"/>
      <c r="J479" s="63"/>
      <c r="K479" s="63"/>
      <c r="L479" s="63"/>
      <c r="M479" s="63"/>
    </row>
    <row r="480" spans="7:13" ht="12.75">
      <c r="G480" s="63"/>
      <c r="H480" s="63"/>
      <c r="I480" s="63"/>
      <c r="J480" s="63"/>
      <c r="K480" s="63"/>
      <c r="L480" s="63"/>
      <c r="M480" s="63"/>
    </row>
    <row r="481" spans="7:13" ht="12.75">
      <c r="G481" s="63"/>
      <c r="H481" s="63"/>
      <c r="I481" s="63"/>
      <c r="J481" s="63"/>
      <c r="K481" s="63"/>
      <c r="L481" s="63"/>
      <c r="M481" s="63"/>
    </row>
    <row r="482" spans="7:13" ht="12.75">
      <c r="G482" s="63"/>
      <c r="H482" s="63"/>
      <c r="I482" s="63"/>
      <c r="J482" s="63"/>
      <c r="K482" s="63"/>
      <c r="L482" s="63"/>
      <c r="M482" s="63"/>
    </row>
    <row r="483" spans="7:13" ht="12.75">
      <c r="G483" s="63"/>
      <c r="H483" s="63"/>
      <c r="I483" s="63"/>
      <c r="J483" s="63"/>
      <c r="K483" s="63"/>
      <c r="L483" s="63"/>
      <c r="M483" s="63"/>
    </row>
    <row r="484" spans="7:13" ht="12.75">
      <c r="G484" s="63"/>
      <c r="H484" s="63"/>
      <c r="I484" s="63"/>
      <c r="J484" s="63"/>
      <c r="K484" s="63"/>
      <c r="L484" s="63"/>
      <c r="M484" s="63"/>
    </row>
    <row r="485" spans="7:13" ht="12.75">
      <c r="G485" s="63"/>
      <c r="H485" s="63"/>
      <c r="I485" s="63"/>
      <c r="J485" s="63"/>
      <c r="K485" s="63"/>
      <c r="L485" s="63"/>
      <c r="M485" s="63"/>
    </row>
    <row r="486" spans="7:13" ht="12.75">
      <c r="G486" s="63"/>
      <c r="H486" s="63"/>
      <c r="I486" s="63"/>
      <c r="J486" s="63"/>
      <c r="K486" s="63"/>
      <c r="L486" s="63"/>
      <c r="M486" s="63"/>
    </row>
    <row r="487" spans="7:13" ht="12.75">
      <c r="G487" s="63"/>
      <c r="H487" s="63"/>
      <c r="I487" s="63"/>
      <c r="J487" s="63"/>
      <c r="K487" s="63"/>
      <c r="L487" s="63"/>
      <c r="M487" s="63"/>
    </row>
    <row r="488" spans="7:13" ht="12.75">
      <c r="G488" s="63"/>
      <c r="H488" s="63"/>
      <c r="I488" s="63"/>
      <c r="J488" s="63"/>
      <c r="K488" s="63"/>
      <c r="L488" s="63"/>
      <c r="M488" s="63"/>
    </row>
    <row r="489" spans="7:13" ht="12.75">
      <c r="G489" s="63"/>
      <c r="H489" s="63"/>
      <c r="I489" s="63"/>
      <c r="J489" s="63"/>
      <c r="K489" s="63"/>
      <c r="L489" s="63"/>
      <c r="M489" s="63"/>
    </row>
    <row r="490" spans="7:13" ht="12.75">
      <c r="G490" s="63"/>
      <c r="H490" s="63"/>
      <c r="I490" s="63"/>
      <c r="J490" s="63"/>
      <c r="K490" s="63"/>
      <c r="L490" s="63"/>
      <c r="M490" s="63"/>
    </row>
    <row r="491" spans="7:13" ht="12.75">
      <c r="G491" s="63"/>
      <c r="H491" s="63"/>
      <c r="I491" s="63"/>
      <c r="J491" s="63"/>
      <c r="K491" s="63"/>
      <c r="L491" s="63"/>
      <c r="M491" s="63"/>
    </row>
    <row r="492" spans="7:13" ht="12.75">
      <c r="G492" s="63"/>
      <c r="H492" s="63"/>
      <c r="I492" s="63"/>
      <c r="J492" s="63"/>
      <c r="K492" s="63"/>
      <c r="L492" s="63"/>
      <c r="M492" s="63"/>
    </row>
    <row r="493" spans="7:13" ht="12.75">
      <c r="G493" s="63"/>
      <c r="H493" s="63"/>
      <c r="I493" s="63"/>
      <c r="J493" s="63"/>
      <c r="K493" s="63"/>
      <c r="L493" s="63"/>
      <c r="M493" s="63"/>
    </row>
    <row r="494" spans="7:13" ht="12.75">
      <c r="G494" s="63"/>
      <c r="H494" s="63"/>
      <c r="I494" s="63"/>
      <c r="J494" s="63"/>
      <c r="K494" s="63"/>
      <c r="L494" s="63"/>
      <c r="M494" s="63"/>
    </row>
    <row r="495" spans="7:13" ht="12.75">
      <c r="G495" s="63"/>
      <c r="H495" s="63"/>
      <c r="I495" s="63"/>
      <c r="J495" s="63"/>
      <c r="K495" s="63"/>
      <c r="L495" s="63"/>
      <c r="M495" s="63"/>
    </row>
    <row r="496" spans="7:13" ht="12.75">
      <c r="G496" s="63"/>
      <c r="H496" s="63"/>
      <c r="I496" s="63"/>
      <c r="J496" s="63"/>
      <c r="K496" s="63"/>
      <c r="L496" s="63"/>
      <c r="M496" s="63"/>
    </row>
    <row r="497" spans="7:13" ht="12.75">
      <c r="G497" s="63"/>
      <c r="H497" s="63"/>
      <c r="I497" s="63"/>
      <c r="J497" s="63"/>
      <c r="K497" s="63"/>
      <c r="L497" s="63"/>
      <c r="M497" s="63"/>
    </row>
    <row r="498" spans="7:13" ht="12.75">
      <c r="G498" s="63"/>
      <c r="H498" s="63"/>
      <c r="I498" s="63"/>
      <c r="J498" s="63"/>
      <c r="K498" s="63"/>
      <c r="L498" s="63"/>
      <c r="M498" s="63"/>
    </row>
    <row r="499" spans="7:13" ht="12.75">
      <c r="G499" s="63"/>
      <c r="H499" s="63"/>
      <c r="I499" s="63"/>
      <c r="J499" s="63"/>
      <c r="K499" s="63"/>
      <c r="L499" s="63"/>
      <c r="M499" s="63"/>
    </row>
    <row r="500" spans="7:13" ht="12.75">
      <c r="G500" s="63"/>
      <c r="H500" s="63"/>
      <c r="I500" s="63"/>
      <c r="J500" s="63"/>
      <c r="K500" s="63"/>
      <c r="L500" s="63"/>
      <c r="M500" s="63"/>
    </row>
    <row r="501" spans="7:13" ht="12.75">
      <c r="G501" s="63"/>
      <c r="H501" s="63"/>
      <c r="I501" s="63"/>
      <c r="J501" s="63"/>
      <c r="K501" s="63"/>
      <c r="L501" s="63"/>
      <c r="M501" s="63"/>
    </row>
    <row r="502" spans="7:13" ht="12.75">
      <c r="G502" s="63"/>
      <c r="H502" s="63"/>
      <c r="I502" s="63"/>
      <c r="J502" s="63"/>
      <c r="K502" s="63"/>
      <c r="L502" s="63"/>
      <c r="M502" s="63"/>
    </row>
    <row r="503" spans="7:13" ht="12.75">
      <c r="G503" s="63"/>
      <c r="H503" s="63"/>
      <c r="I503" s="63"/>
      <c r="J503" s="63"/>
      <c r="K503" s="63"/>
      <c r="L503" s="63"/>
      <c r="M503" s="63"/>
    </row>
    <row r="504" spans="7:13" ht="12.75">
      <c r="G504" s="63"/>
      <c r="H504" s="63"/>
      <c r="I504" s="63"/>
      <c r="J504" s="63"/>
      <c r="K504" s="63"/>
      <c r="L504" s="63"/>
      <c r="M504" s="63"/>
    </row>
    <row r="505" spans="7:13" ht="12.75">
      <c r="G505" s="63"/>
      <c r="H505" s="63"/>
      <c r="I505" s="63"/>
      <c r="J505" s="63"/>
      <c r="K505" s="63"/>
      <c r="L505" s="63"/>
      <c r="M505" s="63"/>
    </row>
    <row r="506" spans="7:13" ht="12.75">
      <c r="G506" s="63"/>
      <c r="H506" s="63"/>
      <c r="I506" s="63"/>
      <c r="J506" s="63"/>
      <c r="K506" s="63"/>
      <c r="L506" s="63"/>
      <c r="M506" s="63"/>
    </row>
    <row r="507" spans="7:13" ht="12.75">
      <c r="G507" s="63"/>
      <c r="H507" s="63"/>
      <c r="I507" s="63"/>
      <c r="J507" s="63"/>
      <c r="K507" s="63"/>
      <c r="L507" s="63"/>
      <c r="M507" s="63"/>
    </row>
    <row r="508" spans="7:13" ht="12.75">
      <c r="G508" s="63"/>
      <c r="H508" s="63"/>
      <c r="I508" s="63"/>
      <c r="J508" s="63"/>
      <c r="K508" s="63"/>
      <c r="L508" s="63"/>
      <c r="M508" s="63"/>
    </row>
    <row r="509" spans="7:13" ht="12.75">
      <c r="G509" s="63"/>
      <c r="H509" s="63"/>
      <c r="I509" s="63"/>
      <c r="J509" s="63"/>
      <c r="K509" s="63"/>
      <c r="L509" s="63"/>
      <c r="M509" s="63"/>
    </row>
    <row r="510" spans="7:13" ht="12.75">
      <c r="G510" s="63"/>
      <c r="H510" s="63"/>
      <c r="I510" s="63"/>
      <c r="J510" s="63"/>
      <c r="K510" s="63"/>
      <c r="L510" s="63"/>
      <c r="M510" s="63"/>
    </row>
    <row r="511" spans="7:13" ht="12.75">
      <c r="G511" s="63"/>
      <c r="H511" s="63"/>
      <c r="I511" s="63"/>
      <c r="J511" s="63"/>
      <c r="K511" s="63"/>
      <c r="L511" s="63"/>
      <c r="M511" s="63"/>
    </row>
    <row r="512" spans="7:13" ht="12.75">
      <c r="G512" s="63"/>
      <c r="H512" s="63"/>
      <c r="I512" s="63"/>
      <c r="J512" s="63"/>
      <c r="K512" s="63"/>
      <c r="L512" s="63"/>
      <c r="M512" s="63"/>
    </row>
    <row r="513" spans="7:13" ht="12.75">
      <c r="G513" s="63"/>
      <c r="H513" s="63"/>
      <c r="I513" s="63"/>
      <c r="J513" s="63"/>
      <c r="K513" s="63"/>
      <c r="L513" s="63"/>
      <c r="M513" s="63"/>
    </row>
    <row r="514" spans="7:13" ht="12.75">
      <c r="G514" s="63"/>
      <c r="H514" s="63"/>
      <c r="I514" s="63"/>
      <c r="J514" s="63"/>
      <c r="K514" s="63"/>
      <c r="L514" s="63"/>
      <c r="M514" s="63"/>
    </row>
    <row r="515" spans="7:13" ht="12.75">
      <c r="G515" s="63"/>
      <c r="H515" s="63"/>
      <c r="I515" s="63"/>
      <c r="J515" s="63"/>
      <c r="K515" s="63"/>
      <c r="L515" s="63"/>
      <c r="M515" s="63"/>
    </row>
    <row r="516" spans="7:13" ht="12.75">
      <c r="G516" s="63"/>
      <c r="H516" s="63"/>
      <c r="I516" s="63"/>
      <c r="J516" s="63"/>
      <c r="K516" s="63"/>
      <c r="L516" s="63"/>
      <c r="M516" s="63"/>
    </row>
    <row r="517" spans="7:13" ht="12.75">
      <c r="G517" s="63"/>
      <c r="H517" s="63"/>
      <c r="I517" s="63"/>
      <c r="J517" s="63"/>
      <c r="K517" s="63"/>
      <c r="L517" s="63"/>
      <c r="M517" s="63"/>
    </row>
    <row r="518" spans="7:13" ht="12.75">
      <c r="G518" s="63"/>
      <c r="H518" s="63"/>
      <c r="I518" s="63"/>
      <c r="J518" s="63"/>
      <c r="K518" s="63"/>
      <c r="L518" s="63"/>
      <c r="M518" s="63"/>
    </row>
    <row r="519" spans="7:13" ht="12.75">
      <c r="G519" s="63"/>
      <c r="H519" s="63"/>
      <c r="I519" s="63"/>
      <c r="J519" s="63"/>
      <c r="K519" s="63"/>
      <c r="L519" s="63"/>
      <c r="M519" s="63"/>
    </row>
    <row r="520" spans="7:13" ht="12.75">
      <c r="G520" s="63"/>
      <c r="H520" s="63"/>
      <c r="I520" s="63"/>
      <c r="J520" s="63"/>
      <c r="K520" s="63"/>
      <c r="L520" s="63"/>
      <c r="M520" s="63"/>
    </row>
    <row r="521" spans="7:13" ht="12.75">
      <c r="G521" s="63"/>
      <c r="H521" s="63"/>
      <c r="I521" s="63"/>
      <c r="J521" s="63"/>
      <c r="K521" s="63"/>
      <c r="L521" s="63"/>
      <c r="M521" s="63"/>
    </row>
    <row r="522" spans="7:13" ht="12.75">
      <c r="G522" s="63"/>
      <c r="H522" s="63"/>
      <c r="I522" s="63"/>
      <c r="J522" s="63"/>
      <c r="K522" s="63"/>
      <c r="L522" s="63"/>
      <c r="M522" s="63"/>
    </row>
    <row r="523" spans="7:13" ht="12.75">
      <c r="G523" s="63"/>
      <c r="H523" s="63"/>
      <c r="I523" s="63"/>
      <c r="J523" s="63"/>
      <c r="K523" s="63"/>
      <c r="L523" s="63"/>
      <c r="M523" s="63"/>
    </row>
    <row r="524" spans="7:13" ht="12.75">
      <c r="G524" s="63"/>
      <c r="H524" s="63"/>
      <c r="I524" s="63"/>
      <c r="J524" s="63"/>
      <c r="K524" s="63"/>
      <c r="L524" s="63"/>
      <c r="M524" s="63"/>
    </row>
    <row r="525" spans="7:13" ht="12.75">
      <c r="G525" s="63"/>
      <c r="H525" s="63"/>
      <c r="I525" s="63"/>
      <c r="J525" s="63"/>
      <c r="K525" s="63"/>
      <c r="L525" s="63"/>
      <c r="M525" s="63"/>
    </row>
    <row r="526" spans="7:13" ht="12.75">
      <c r="G526" s="63"/>
      <c r="H526" s="63"/>
      <c r="I526" s="63"/>
      <c r="J526" s="63"/>
      <c r="K526" s="63"/>
      <c r="L526" s="63"/>
      <c r="M526" s="63"/>
    </row>
    <row r="527" spans="7:13" ht="12.75">
      <c r="G527" s="63"/>
      <c r="H527" s="63"/>
      <c r="I527" s="63"/>
      <c r="J527" s="63"/>
      <c r="K527" s="63"/>
      <c r="L527" s="63"/>
      <c r="M527" s="63"/>
    </row>
    <row r="528" spans="7:13" ht="12.75">
      <c r="G528" s="63"/>
      <c r="H528" s="63"/>
      <c r="I528" s="63"/>
      <c r="J528" s="63"/>
      <c r="K528" s="63"/>
      <c r="L528" s="63"/>
      <c r="M528" s="63"/>
    </row>
    <row r="529" spans="7:13" ht="12.75">
      <c r="G529" s="63"/>
      <c r="H529" s="63"/>
      <c r="I529" s="63"/>
      <c r="J529" s="63"/>
      <c r="K529" s="63"/>
      <c r="L529" s="63"/>
      <c r="M529" s="63"/>
    </row>
    <row r="530" spans="7:13" ht="12.75">
      <c r="G530" s="63"/>
      <c r="H530" s="63"/>
      <c r="I530" s="63"/>
      <c r="J530" s="63"/>
      <c r="K530" s="63"/>
      <c r="L530" s="63"/>
      <c r="M530" s="63"/>
    </row>
    <row r="531" spans="7:13" ht="12.75">
      <c r="G531" s="63"/>
      <c r="H531" s="63"/>
      <c r="I531" s="63"/>
      <c r="J531" s="63"/>
      <c r="K531" s="63"/>
      <c r="L531" s="63"/>
      <c r="M531" s="63"/>
    </row>
    <row r="532" spans="7:13" ht="12.75">
      <c r="G532" s="63"/>
      <c r="H532" s="63"/>
      <c r="I532" s="63"/>
      <c r="J532" s="63"/>
      <c r="K532" s="63"/>
      <c r="L532" s="63"/>
      <c r="M532" s="63"/>
    </row>
    <row r="533" spans="7:13" ht="12.75">
      <c r="G533" s="63"/>
      <c r="H533" s="63"/>
      <c r="I533" s="63"/>
      <c r="J533" s="63"/>
      <c r="K533" s="63"/>
      <c r="L533" s="63"/>
      <c r="M533" s="63"/>
    </row>
    <row r="534" spans="7:13" ht="12.75">
      <c r="G534" s="63"/>
      <c r="H534" s="63"/>
      <c r="I534" s="63"/>
      <c r="J534" s="63"/>
      <c r="K534" s="63"/>
      <c r="L534" s="63"/>
      <c r="M534" s="63"/>
    </row>
    <row r="535" spans="7:13" ht="12.75">
      <c r="G535" s="63"/>
      <c r="H535" s="63"/>
      <c r="I535" s="63"/>
      <c r="J535" s="63"/>
      <c r="K535" s="63"/>
      <c r="L535" s="63"/>
      <c r="M535" s="63"/>
    </row>
    <row r="536" spans="7:13" ht="12.75">
      <c r="G536" s="63"/>
      <c r="H536" s="63"/>
      <c r="I536" s="63"/>
      <c r="J536" s="63"/>
      <c r="K536" s="63"/>
      <c r="L536" s="63"/>
      <c r="M536" s="63"/>
    </row>
    <row r="537" spans="7:13" ht="12.75">
      <c r="G537" s="63"/>
      <c r="H537" s="63"/>
      <c r="I537" s="63"/>
      <c r="J537" s="63"/>
      <c r="K537" s="63"/>
      <c r="L537" s="63"/>
      <c r="M537" s="63"/>
    </row>
    <row r="538" spans="7:13" ht="12.75">
      <c r="G538" s="63"/>
      <c r="H538" s="63"/>
      <c r="I538" s="63"/>
      <c r="J538" s="63"/>
      <c r="K538" s="63"/>
      <c r="L538" s="63"/>
      <c r="M538" s="63"/>
    </row>
    <row r="539" spans="7:13" ht="12.75">
      <c r="G539" s="63"/>
      <c r="H539" s="63"/>
      <c r="I539" s="63"/>
      <c r="J539" s="63"/>
      <c r="K539" s="63"/>
      <c r="L539" s="63"/>
      <c r="M539" s="63"/>
    </row>
    <row r="540" spans="7:13" ht="12.75">
      <c r="G540" s="63"/>
      <c r="H540" s="63"/>
      <c r="I540" s="63"/>
      <c r="J540" s="63"/>
      <c r="K540" s="63"/>
      <c r="L540" s="63"/>
      <c r="M540" s="63"/>
    </row>
    <row r="541" spans="7:13" ht="12.75">
      <c r="G541" s="63"/>
      <c r="H541" s="63"/>
      <c r="I541" s="63"/>
      <c r="J541" s="63"/>
      <c r="K541" s="63"/>
      <c r="L541" s="63"/>
      <c r="M541" s="63"/>
    </row>
    <row r="542" spans="7:13" ht="12.75">
      <c r="G542" s="63"/>
      <c r="H542" s="63"/>
      <c r="I542" s="63"/>
      <c r="J542" s="63"/>
      <c r="K542" s="63"/>
      <c r="L542" s="63"/>
      <c r="M542" s="63"/>
    </row>
    <row r="543" spans="7:13" ht="12.75">
      <c r="G543" s="63"/>
      <c r="H543" s="63"/>
      <c r="I543" s="63"/>
      <c r="J543" s="63"/>
      <c r="K543" s="63"/>
      <c r="L543" s="63"/>
      <c r="M543" s="63"/>
    </row>
    <row r="544" spans="7:13" ht="12.75">
      <c r="G544" s="63"/>
      <c r="H544" s="63"/>
      <c r="I544" s="63"/>
      <c r="J544" s="63"/>
      <c r="K544" s="63"/>
      <c r="L544" s="63"/>
      <c r="M544" s="63"/>
    </row>
    <row r="545" spans="7:13" ht="12.75">
      <c r="G545" s="63"/>
      <c r="H545" s="63"/>
      <c r="I545" s="63"/>
      <c r="J545" s="63"/>
      <c r="K545" s="63"/>
      <c r="L545" s="63"/>
      <c r="M545" s="63"/>
    </row>
    <row r="546" spans="7:13" ht="12.75">
      <c r="G546" s="63"/>
      <c r="H546" s="63"/>
      <c r="I546" s="63"/>
      <c r="J546" s="63"/>
      <c r="K546" s="63"/>
      <c r="L546" s="63"/>
      <c r="M546" s="63"/>
    </row>
    <row r="547" spans="7:13" ht="12.75">
      <c r="G547" s="63"/>
      <c r="H547" s="63"/>
      <c r="I547" s="63"/>
      <c r="J547" s="63"/>
      <c r="K547" s="63"/>
      <c r="L547" s="63"/>
      <c r="M547" s="63"/>
    </row>
    <row r="548" spans="7:13" ht="12.75">
      <c r="G548" s="63"/>
      <c r="H548" s="63"/>
      <c r="I548" s="63"/>
      <c r="J548" s="63"/>
      <c r="K548" s="63"/>
      <c r="L548" s="63"/>
      <c r="M548" s="63"/>
    </row>
    <row r="549" spans="7:13" ht="12.75">
      <c r="G549" s="63"/>
      <c r="H549" s="63"/>
      <c r="I549" s="63"/>
      <c r="J549" s="63"/>
      <c r="K549" s="63"/>
      <c r="L549" s="63"/>
      <c r="M549" s="63"/>
    </row>
    <row r="550" spans="7:13" ht="12.75">
      <c r="G550" s="63"/>
      <c r="H550" s="63"/>
      <c r="I550" s="63"/>
      <c r="J550" s="63"/>
      <c r="K550" s="63"/>
      <c r="L550" s="63"/>
      <c r="M550" s="63"/>
    </row>
    <row r="551" spans="7:13" ht="12.75">
      <c r="G551" s="63"/>
      <c r="H551" s="63"/>
      <c r="I551" s="63"/>
      <c r="J551" s="63"/>
      <c r="K551" s="63"/>
      <c r="L551" s="63"/>
      <c r="M551" s="63"/>
    </row>
    <row r="552" spans="7:13" ht="12.75">
      <c r="G552" s="63"/>
      <c r="H552" s="63"/>
      <c r="I552" s="63"/>
      <c r="J552" s="63"/>
      <c r="K552" s="63"/>
      <c r="L552" s="63"/>
      <c r="M552" s="63"/>
    </row>
    <row r="553" spans="7:13" ht="12.75">
      <c r="G553" s="63"/>
      <c r="H553" s="63"/>
      <c r="I553" s="63"/>
      <c r="J553" s="63"/>
      <c r="K553" s="63"/>
      <c r="L553" s="63"/>
      <c r="M553" s="63"/>
    </row>
    <row r="554" spans="7:13" ht="12.75">
      <c r="G554" s="63"/>
      <c r="H554" s="63"/>
      <c r="I554" s="63"/>
      <c r="J554" s="63"/>
      <c r="K554" s="63"/>
      <c r="L554" s="63"/>
      <c r="M554" s="63"/>
    </row>
    <row r="555" spans="7:13" ht="12.75">
      <c r="G555" s="63"/>
      <c r="H555" s="63"/>
      <c r="I555" s="63"/>
      <c r="J555" s="63"/>
      <c r="K555" s="63"/>
      <c r="L555" s="63"/>
      <c r="M555" s="63"/>
    </row>
    <row r="556" spans="7:13" ht="12.75">
      <c r="G556" s="63"/>
      <c r="H556" s="63"/>
      <c r="I556" s="63"/>
      <c r="J556" s="63"/>
      <c r="K556" s="63"/>
      <c r="L556" s="63"/>
      <c r="M556" s="63"/>
    </row>
    <row r="557" spans="7:13" ht="12.75">
      <c r="G557" s="63"/>
      <c r="H557" s="63"/>
      <c r="I557" s="63"/>
      <c r="J557" s="63"/>
      <c r="K557" s="63"/>
      <c r="L557" s="63"/>
      <c r="M557" s="63"/>
    </row>
    <row r="558" spans="7:13" ht="12.75">
      <c r="G558" s="63"/>
      <c r="H558" s="63"/>
      <c r="I558" s="63"/>
      <c r="J558" s="63"/>
      <c r="K558" s="63"/>
      <c r="L558" s="63"/>
      <c r="M558" s="63"/>
    </row>
    <row r="559" spans="7:13" ht="12.75">
      <c r="G559" s="63"/>
      <c r="H559" s="63"/>
      <c r="I559" s="63"/>
      <c r="J559" s="63"/>
      <c r="K559" s="63"/>
      <c r="L559" s="63"/>
      <c r="M559" s="63"/>
    </row>
    <row r="560" spans="7:13" ht="12.75">
      <c r="G560" s="63"/>
      <c r="H560" s="63"/>
      <c r="I560" s="63"/>
      <c r="J560" s="63"/>
      <c r="K560" s="63"/>
      <c r="L560" s="63"/>
      <c r="M560" s="63"/>
    </row>
    <row r="561" spans="7:13" ht="12.75">
      <c r="G561" s="63"/>
      <c r="H561" s="63"/>
      <c r="I561" s="63"/>
      <c r="J561" s="63"/>
      <c r="K561" s="63"/>
      <c r="L561" s="63"/>
      <c r="M561" s="63"/>
    </row>
    <row r="562" spans="7:13" ht="12.75">
      <c r="G562" s="63"/>
      <c r="H562" s="63"/>
      <c r="I562" s="63"/>
      <c r="J562" s="63"/>
      <c r="K562" s="63"/>
      <c r="L562" s="63"/>
      <c r="M562" s="63"/>
    </row>
    <row r="563" spans="7:13" ht="12.75">
      <c r="G563" s="63"/>
      <c r="H563" s="63"/>
      <c r="I563" s="63"/>
      <c r="J563" s="63"/>
      <c r="K563" s="63"/>
      <c r="L563" s="63"/>
      <c r="M563" s="63"/>
    </row>
    <row r="564" spans="7:13" ht="12.75">
      <c r="G564" s="63"/>
      <c r="H564" s="63"/>
      <c r="I564" s="63"/>
      <c r="J564" s="63"/>
      <c r="K564" s="63"/>
      <c r="L564" s="63"/>
      <c r="M564" s="63"/>
    </row>
    <row r="565" spans="7:13" ht="12.75">
      <c r="G565" s="63"/>
      <c r="H565" s="63"/>
      <c r="I565" s="63"/>
      <c r="J565" s="63"/>
      <c r="K565" s="63"/>
      <c r="L565" s="63"/>
      <c r="M565" s="63"/>
    </row>
    <row r="566" spans="7:13" ht="12.75">
      <c r="G566" s="63"/>
      <c r="H566" s="63"/>
      <c r="I566" s="63"/>
      <c r="J566" s="63"/>
      <c r="K566" s="63"/>
      <c r="L566" s="63"/>
      <c r="M566" s="63"/>
    </row>
    <row r="567" spans="7:13" ht="12.75">
      <c r="G567" s="63"/>
      <c r="H567" s="63"/>
      <c r="I567" s="63"/>
      <c r="J567" s="63"/>
      <c r="K567" s="63"/>
      <c r="L567" s="63"/>
      <c r="M567" s="63"/>
    </row>
    <row r="568" spans="7:13" ht="12.75">
      <c r="G568" s="63"/>
      <c r="H568" s="63"/>
      <c r="I568" s="63"/>
      <c r="J568" s="63"/>
      <c r="K568" s="63"/>
      <c r="L568" s="63"/>
      <c r="M568" s="63"/>
    </row>
    <row r="569" spans="7:13" ht="12.75">
      <c r="G569" s="63"/>
      <c r="H569" s="63"/>
      <c r="I569" s="63"/>
      <c r="J569" s="63"/>
      <c r="K569" s="63"/>
      <c r="L569" s="63"/>
      <c r="M569" s="63"/>
    </row>
    <row r="570" spans="7:13" ht="12.75">
      <c r="G570" s="63"/>
      <c r="H570" s="63"/>
      <c r="I570" s="63"/>
      <c r="J570" s="63"/>
      <c r="K570" s="63"/>
      <c r="L570" s="63"/>
      <c r="M570" s="63"/>
    </row>
    <row r="571" spans="7:13" ht="12.75">
      <c r="G571" s="63"/>
      <c r="H571" s="63"/>
      <c r="I571" s="63"/>
      <c r="J571" s="63"/>
      <c r="K571" s="63"/>
      <c r="L571" s="63"/>
      <c r="M571" s="63"/>
    </row>
    <row r="572" spans="7:13" ht="12.75">
      <c r="G572" s="63"/>
      <c r="H572" s="63"/>
      <c r="I572" s="63"/>
      <c r="J572" s="63"/>
      <c r="K572" s="63"/>
      <c r="L572" s="63"/>
      <c r="M572" s="63"/>
    </row>
    <row r="573" spans="7:13" ht="12.75">
      <c r="G573" s="63"/>
      <c r="H573" s="63"/>
      <c r="I573" s="63"/>
      <c r="J573" s="63"/>
      <c r="K573" s="63"/>
      <c r="L573" s="63"/>
      <c r="M573" s="63"/>
    </row>
    <row r="574" spans="7:13" ht="12.75">
      <c r="G574" s="63"/>
      <c r="H574" s="63"/>
      <c r="I574" s="63"/>
      <c r="J574" s="63"/>
      <c r="K574" s="63"/>
      <c r="L574" s="63"/>
      <c r="M574" s="63"/>
    </row>
    <row r="575" spans="7:13" ht="12.75">
      <c r="G575" s="63"/>
      <c r="H575" s="63"/>
      <c r="I575" s="63"/>
      <c r="J575" s="63"/>
      <c r="K575" s="63"/>
      <c r="L575" s="63"/>
      <c r="M575" s="63"/>
    </row>
    <row r="576" spans="7:13" ht="12.75">
      <c r="G576" s="63"/>
      <c r="H576" s="63"/>
      <c r="I576" s="63"/>
      <c r="J576" s="63"/>
      <c r="K576" s="63"/>
      <c r="L576" s="63"/>
      <c r="M576" s="63"/>
    </row>
    <row r="577" spans="7:13" ht="12.75">
      <c r="G577" s="63"/>
      <c r="H577" s="63"/>
      <c r="I577" s="63"/>
      <c r="J577" s="63"/>
      <c r="K577" s="63"/>
      <c r="L577" s="63"/>
      <c r="M577" s="63"/>
    </row>
    <row r="578" spans="7:13" ht="12.75">
      <c r="G578" s="63"/>
      <c r="H578" s="63"/>
      <c r="I578" s="63"/>
      <c r="J578" s="63"/>
      <c r="K578" s="63"/>
      <c r="L578" s="63"/>
      <c r="M578" s="63"/>
    </row>
    <row r="579" spans="7:13" ht="12.75">
      <c r="G579" s="63"/>
      <c r="H579" s="63"/>
      <c r="I579" s="63"/>
      <c r="J579" s="63"/>
      <c r="K579" s="63"/>
      <c r="L579" s="63"/>
      <c r="M579" s="63"/>
    </row>
    <row r="580" spans="7:13" ht="12.75">
      <c r="G580" s="63"/>
      <c r="H580" s="63"/>
      <c r="I580" s="63"/>
      <c r="J580" s="63"/>
      <c r="K580" s="63"/>
      <c r="L580" s="63"/>
      <c r="M580" s="63"/>
    </row>
    <row r="581" spans="7:13" ht="12.75">
      <c r="G581" s="63"/>
      <c r="H581" s="63"/>
      <c r="I581" s="63"/>
      <c r="J581" s="63"/>
      <c r="K581" s="63"/>
      <c r="L581" s="63"/>
      <c r="M581" s="63"/>
    </row>
    <row r="582" spans="7:13" ht="12.75">
      <c r="G582" s="63"/>
      <c r="H582" s="63"/>
      <c r="I582" s="63"/>
      <c r="J582" s="63"/>
      <c r="K582" s="63"/>
      <c r="L582" s="63"/>
      <c r="M582" s="63"/>
    </row>
    <row r="583" spans="7:13" ht="12.75">
      <c r="G583" s="63"/>
      <c r="H583" s="63"/>
      <c r="I583" s="63"/>
      <c r="J583" s="63"/>
      <c r="K583" s="63"/>
      <c r="L583" s="63"/>
      <c r="M583" s="63"/>
    </row>
    <row r="584" spans="7:13" ht="12.75">
      <c r="G584" s="63"/>
      <c r="H584" s="63"/>
      <c r="I584" s="63"/>
      <c r="J584" s="63"/>
      <c r="K584" s="63"/>
      <c r="L584" s="63"/>
      <c r="M584" s="63"/>
    </row>
    <row r="585" spans="7:13" ht="12.75">
      <c r="G585" s="63"/>
      <c r="H585" s="63"/>
      <c r="I585" s="63"/>
      <c r="J585" s="63"/>
      <c r="K585" s="63"/>
      <c r="L585" s="63"/>
      <c r="M585" s="63"/>
    </row>
    <row r="586" spans="7:13" ht="12.75">
      <c r="G586" s="63"/>
      <c r="H586" s="63"/>
      <c r="I586" s="63"/>
      <c r="J586" s="63"/>
      <c r="K586" s="63"/>
      <c r="L586" s="63"/>
      <c r="M586" s="63"/>
    </row>
    <row r="587" spans="7:13" ht="12.75">
      <c r="G587" s="63"/>
      <c r="H587" s="63"/>
      <c r="I587" s="63"/>
      <c r="J587" s="63"/>
      <c r="K587" s="63"/>
      <c r="L587" s="63"/>
      <c r="M587" s="63"/>
    </row>
    <row r="588" spans="7:13" ht="12.75">
      <c r="G588" s="63"/>
      <c r="H588" s="63"/>
      <c r="I588" s="63"/>
      <c r="J588" s="63"/>
      <c r="K588" s="63"/>
      <c r="L588" s="63"/>
      <c r="M588" s="63"/>
    </row>
    <row r="589" spans="7:13" ht="12.75">
      <c r="G589" s="63"/>
      <c r="H589" s="63"/>
      <c r="I589" s="63"/>
      <c r="J589" s="63"/>
      <c r="K589" s="63"/>
      <c r="L589" s="63"/>
      <c r="M589" s="63"/>
    </row>
    <row r="590" spans="7:13" ht="12.75">
      <c r="G590" s="63"/>
      <c r="H590" s="63"/>
      <c r="I590" s="63"/>
      <c r="J590" s="63"/>
      <c r="K590" s="63"/>
      <c r="L590" s="63"/>
      <c r="M590" s="63"/>
    </row>
    <row r="591" spans="7:13" ht="12.75">
      <c r="G591" s="63"/>
      <c r="H591" s="63"/>
      <c r="I591" s="63"/>
      <c r="J591" s="63"/>
      <c r="K591" s="63"/>
      <c r="L591" s="63"/>
      <c r="M591" s="63"/>
    </row>
    <row r="592" spans="7:13" ht="12.75">
      <c r="G592" s="63"/>
      <c r="H592" s="63"/>
      <c r="I592" s="63"/>
      <c r="J592" s="63"/>
      <c r="K592" s="63"/>
      <c r="L592" s="63"/>
      <c r="M592" s="63"/>
    </row>
    <row r="593" spans="7:13" ht="12.75">
      <c r="G593" s="63"/>
      <c r="H593" s="63"/>
      <c r="I593" s="63"/>
      <c r="J593" s="63"/>
      <c r="K593" s="63"/>
      <c r="L593" s="63"/>
      <c r="M593" s="63"/>
    </row>
    <row r="594" spans="7:13" ht="12.75">
      <c r="G594" s="63"/>
      <c r="H594" s="63"/>
      <c r="I594" s="63"/>
      <c r="J594" s="63"/>
      <c r="K594" s="63"/>
      <c r="L594" s="63"/>
      <c r="M594" s="63"/>
    </row>
    <row r="595" spans="7:13" ht="12.75">
      <c r="G595" s="63"/>
      <c r="H595" s="63"/>
      <c r="I595" s="63"/>
      <c r="J595" s="63"/>
      <c r="K595" s="63"/>
      <c r="L595" s="63"/>
      <c r="M595" s="63"/>
    </row>
    <row r="596" spans="7:13" ht="12.75">
      <c r="G596" s="63"/>
      <c r="H596" s="63"/>
      <c r="I596" s="63"/>
      <c r="J596" s="63"/>
      <c r="K596" s="63"/>
      <c r="L596" s="63"/>
      <c r="M596" s="63"/>
    </row>
    <row r="597" spans="7:13" ht="12.75">
      <c r="G597" s="63"/>
      <c r="H597" s="63"/>
      <c r="I597" s="63"/>
      <c r="J597" s="63"/>
      <c r="K597" s="63"/>
      <c r="L597" s="63"/>
      <c r="M597" s="63"/>
    </row>
    <row r="598" spans="7:13" ht="12.75">
      <c r="G598" s="63"/>
      <c r="H598" s="63"/>
      <c r="I598" s="63"/>
      <c r="J598" s="63"/>
      <c r="K598" s="63"/>
      <c r="L598" s="63"/>
      <c r="M598" s="63"/>
    </row>
    <row r="599" spans="7:13" ht="12.75">
      <c r="G599" s="63"/>
      <c r="H599" s="63"/>
      <c r="I599" s="63"/>
      <c r="J599" s="63"/>
      <c r="K599" s="63"/>
      <c r="L599" s="63"/>
      <c r="M599" s="63"/>
    </row>
    <row r="600" spans="7:13" ht="12.75">
      <c r="G600" s="63"/>
      <c r="H600" s="63"/>
      <c r="I600" s="63"/>
      <c r="J600" s="63"/>
      <c r="K600" s="63"/>
      <c r="L600" s="63"/>
      <c r="M600" s="63"/>
    </row>
    <row r="601" spans="7:13" ht="12.75">
      <c r="G601" s="63"/>
      <c r="H601" s="63"/>
      <c r="I601" s="63"/>
      <c r="J601" s="63"/>
      <c r="K601" s="63"/>
      <c r="L601" s="63"/>
      <c r="M601" s="63"/>
    </row>
    <row r="602" spans="7:13" ht="12.75">
      <c r="G602" s="63"/>
      <c r="H602" s="63"/>
      <c r="I602" s="63"/>
      <c r="J602" s="63"/>
      <c r="K602" s="63"/>
      <c r="L602" s="63"/>
      <c r="M602" s="63"/>
    </row>
    <row r="603" spans="7:13" ht="12.75">
      <c r="G603" s="63"/>
      <c r="H603" s="63"/>
      <c r="I603" s="63"/>
      <c r="J603" s="63"/>
      <c r="K603" s="63"/>
      <c r="L603" s="63"/>
      <c r="M603" s="63"/>
    </row>
    <row r="604" spans="7:13" ht="12.75">
      <c r="G604" s="63"/>
      <c r="H604" s="63"/>
      <c r="I604" s="63"/>
      <c r="J604" s="63"/>
      <c r="K604" s="63"/>
      <c r="L604" s="63"/>
      <c r="M604" s="63"/>
    </row>
    <row r="605" spans="7:13" ht="12.75">
      <c r="G605" s="63"/>
      <c r="H605" s="63"/>
      <c r="I605" s="63"/>
      <c r="J605" s="63"/>
      <c r="K605" s="63"/>
      <c r="L605" s="63"/>
      <c r="M605" s="63"/>
    </row>
    <row r="606" spans="7:13" ht="12.75">
      <c r="G606" s="63"/>
      <c r="H606" s="63"/>
      <c r="I606" s="63"/>
      <c r="J606" s="63"/>
      <c r="K606" s="63"/>
      <c r="L606" s="63"/>
      <c r="M606" s="63"/>
    </row>
    <row r="607" spans="7:13" ht="12.75">
      <c r="G607" s="63"/>
      <c r="H607" s="63"/>
      <c r="I607" s="63"/>
      <c r="J607" s="63"/>
      <c r="K607" s="63"/>
      <c r="L607" s="63"/>
      <c r="M607" s="63"/>
    </row>
    <row r="608" spans="7:13" ht="12.75">
      <c r="G608" s="63"/>
      <c r="H608" s="63"/>
      <c r="I608" s="63"/>
      <c r="J608" s="63"/>
      <c r="K608" s="63"/>
      <c r="L608" s="63"/>
      <c r="M608" s="63"/>
    </row>
    <row r="609" spans="7:13" ht="12.75">
      <c r="G609" s="63"/>
      <c r="H609" s="63"/>
      <c r="I609" s="63"/>
      <c r="J609" s="63"/>
      <c r="K609" s="63"/>
      <c r="L609" s="63"/>
      <c r="M609" s="63"/>
    </row>
    <row r="610" spans="7:13" ht="12.75">
      <c r="G610" s="63"/>
      <c r="H610" s="63"/>
      <c r="I610" s="63"/>
      <c r="J610" s="63"/>
      <c r="K610" s="63"/>
      <c r="L610" s="63"/>
      <c r="M610" s="63"/>
    </row>
    <row r="611" spans="7:13" ht="12.75">
      <c r="G611" s="63"/>
      <c r="H611" s="63"/>
      <c r="I611" s="63"/>
      <c r="J611" s="63"/>
      <c r="K611" s="63"/>
      <c r="L611" s="63"/>
      <c r="M611" s="63"/>
    </row>
    <row r="612" spans="7:13" ht="12.75">
      <c r="G612" s="63"/>
      <c r="H612" s="63"/>
      <c r="I612" s="63"/>
      <c r="J612" s="63"/>
      <c r="K612" s="63"/>
      <c r="L612" s="63"/>
      <c r="M612" s="63"/>
    </row>
    <row r="613" spans="7:13" ht="12.75">
      <c r="G613" s="63"/>
      <c r="H613" s="63"/>
      <c r="I613" s="63"/>
      <c r="J613" s="63"/>
      <c r="K613" s="63"/>
      <c r="L613" s="63"/>
      <c r="M613" s="63"/>
    </row>
    <row r="614" spans="7:13" ht="12.75">
      <c r="G614" s="63"/>
      <c r="H614" s="63"/>
      <c r="I614" s="63"/>
      <c r="J614" s="63"/>
      <c r="K614" s="63"/>
      <c r="L614" s="63"/>
      <c r="M614" s="63"/>
    </row>
    <row r="615" spans="7:13" ht="12.75">
      <c r="G615" s="63"/>
      <c r="H615" s="63"/>
      <c r="I615" s="63"/>
      <c r="J615" s="63"/>
      <c r="K615" s="63"/>
      <c r="L615" s="63"/>
      <c r="M615" s="63"/>
    </row>
    <row r="616" spans="7:13" ht="12.75">
      <c r="G616" s="63"/>
      <c r="H616" s="63"/>
      <c r="I616" s="63"/>
      <c r="J616" s="63"/>
      <c r="K616" s="63"/>
      <c r="L616" s="63"/>
      <c r="M616" s="63"/>
    </row>
    <row r="617" spans="7:13" ht="12.75">
      <c r="G617" s="63"/>
      <c r="H617" s="63"/>
      <c r="I617" s="63"/>
      <c r="J617" s="63"/>
      <c r="K617" s="63"/>
      <c r="L617" s="63"/>
      <c r="M617" s="63"/>
    </row>
    <row r="618" spans="7:13" ht="12.75">
      <c r="G618" s="63"/>
      <c r="H618" s="63"/>
      <c r="I618" s="63"/>
      <c r="J618" s="63"/>
      <c r="K618" s="63"/>
      <c r="L618" s="63"/>
      <c r="M618" s="63"/>
    </row>
    <row r="619" spans="7:13" ht="12.75">
      <c r="G619" s="63"/>
      <c r="H619" s="63"/>
      <c r="I619" s="63"/>
      <c r="J619" s="63"/>
      <c r="K619" s="63"/>
      <c r="L619" s="63"/>
      <c r="M619" s="63"/>
    </row>
    <row r="620" spans="7:13" ht="12.75">
      <c r="G620" s="63"/>
      <c r="H620" s="63"/>
      <c r="I620" s="63"/>
      <c r="J620" s="63"/>
      <c r="K620" s="63"/>
      <c r="L620" s="63"/>
      <c r="M620" s="63"/>
    </row>
    <row r="621" spans="7:13" ht="12.75">
      <c r="G621" s="63"/>
      <c r="H621" s="63"/>
      <c r="I621" s="63"/>
      <c r="J621" s="63"/>
      <c r="K621" s="63"/>
      <c r="L621" s="63"/>
      <c r="M621" s="63"/>
    </row>
    <row r="622" spans="7:13" ht="12.75">
      <c r="G622" s="63"/>
      <c r="H622" s="63"/>
      <c r="I622" s="63"/>
      <c r="J622" s="63"/>
      <c r="K622" s="63"/>
      <c r="L622" s="63"/>
      <c r="M622" s="63"/>
    </row>
    <row r="623" spans="7:13" ht="12.75">
      <c r="G623" s="63"/>
      <c r="H623" s="63"/>
      <c r="I623" s="63"/>
      <c r="J623" s="63"/>
      <c r="K623" s="63"/>
      <c r="L623" s="63"/>
      <c r="M623" s="63"/>
    </row>
    <row r="624" spans="7:13" ht="12.75">
      <c r="G624" s="63"/>
      <c r="H624" s="63"/>
      <c r="I624" s="63"/>
      <c r="J624" s="63"/>
      <c r="K624" s="63"/>
      <c r="L624" s="63"/>
      <c r="M624" s="63"/>
    </row>
    <row r="625" spans="7:13" ht="12.75">
      <c r="G625" s="63"/>
      <c r="H625" s="63"/>
      <c r="I625" s="63"/>
      <c r="J625" s="63"/>
      <c r="K625" s="63"/>
      <c r="L625" s="63"/>
      <c r="M625" s="63"/>
    </row>
    <row r="626" spans="7:13" ht="12.75">
      <c r="G626" s="63"/>
      <c r="H626" s="63"/>
      <c r="I626" s="63"/>
      <c r="J626" s="63"/>
      <c r="K626" s="63"/>
      <c r="L626" s="63"/>
      <c r="M626" s="63"/>
    </row>
    <row r="627" spans="7:13" ht="12.75">
      <c r="G627" s="63"/>
      <c r="H627" s="63"/>
      <c r="I627" s="63"/>
      <c r="J627" s="63"/>
      <c r="K627" s="63"/>
      <c r="L627" s="63"/>
      <c r="M627" s="63"/>
    </row>
    <row r="628" spans="7:13" ht="12.75">
      <c r="G628" s="63"/>
      <c r="H628" s="63"/>
      <c r="I628" s="63"/>
      <c r="J628" s="63"/>
      <c r="K628" s="63"/>
      <c r="L628" s="63"/>
      <c r="M628" s="63"/>
    </row>
    <row r="629" spans="7:13" ht="12.75">
      <c r="G629" s="63"/>
      <c r="H629" s="63"/>
      <c r="I629" s="63"/>
      <c r="J629" s="63"/>
      <c r="K629" s="63"/>
      <c r="L629" s="63"/>
      <c r="M629" s="63"/>
    </row>
    <row r="630" spans="7:13" ht="12.75">
      <c r="G630" s="63"/>
      <c r="H630" s="63"/>
      <c r="I630" s="63"/>
      <c r="J630" s="63"/>
      <c r="K630" s="63"/>
      <c r="L630" s="63"/>
      <c r="M630" s="63"/>
    </row>
    <row r="631" spans="7:13" ht="12.75">
      <c r="G631" s="63"/>
      <c r="H631" s="63"/>
      <c r="I631" s="63"/>
      <c r="J631" s="63"/>
      <c r="K631" s="63"/>
      <c r="L631" s="63"/>
      <c r="M631" s="63"/>
    </row>
    <row r="632" spans="7:13" ht="12.75">
      <c r="G632" s="63"/>
      <c r="H632" s="63"/>
      <c r="I632" s="63"/>
      <c r="J632" s="63"/>
      <c r="K632" s="63"/>
      <c r="L632" s="63"/>
      <c r="M632" s="63"/>
    </row>
    <row r="633" spans="7:13" ht="12.75">
      <c r="G633" s="63"/>
      <c r="H633" s="63"/>
      <c r="I633" s="63"/>
      <c r="J633" s="63"/>
      <c r="K633" s="63"/>
      <c r="L633" s="63"/>
      <c r="M633" s="63"/>
    </row>
    <row r="634" spans="7:13" ht="12.75">
      <c r="G634" s="63"/>
      <c r="H634" s="63"/>
      <c r="I634" s="63"/>
      <c r="J634" s="63"/>
      <c r="K634" s="63"/>
      <c r="L634" s="63"/>
      <c r="M634" s="63"/>
    </row>
    <row r="635" spans="7:13" ht="12.75">
      <c r="G635" s="63"/>
      <c r="H635" s="63"/>
      <c r="I635" s="63"/>
      <c r="J635" s="63"/>
      <c r="K635" s="63"/>
      <c r="L635" s="63"/>
      <c r="M635" s="63"/>
    </row>
    <row r="636" spans="7:13" ht="12.75">
      <c r="G636" s="63"/>
      <c r="H636" s="63"/>
      <c r="I636" s="63"/>
      <c r="J636" s="63"/>
      <c r="K636" s="63"/>
      <c r="L636" s="63"/>
      <c r="M636" s="63"/>
    </row>
    <row r="637" spans="7:13" ht="12.75">
      <c r="G637" s="63"/>
      <c r="H637" s="63"/>
      <c r="I637" s="63"/>
      <c r="J637" s="63"/>
      <c r="K637" s="63"/>
      <c r="L637" s="63"/>
      <c r="M637" s="63"/>
    </row>
    <row r="638" spans="7:13" ht="12.75">
      <c r="G638" s="63"/>
      <c r="H638" s="63"/>
      <c r="I638" s="63"/>
      <c r="J638" s="63"/>
      <c r="K638" s="63"/>
      <c r="L638" s="63"/>
      <c r="M638" s="63"/>
    </row>
    <row r="639" spans="7:13" ht="12.75">
      <c r="G639" s="63"/>
      <c r="H639" s="63"/>
      <c r="I639" s="63"/>
      <c r="J639" s="63"/>
      <c r="K639" s="63"/>
      <c r="L639" s="63"/>
      <c r="M639" s="63"/>
    </row>
    <row r="640" spans="7:13" ht="12.75">
      <c r="G640" s="63"/>
      <c r="H640" s="63"/>
      <c r="I640" s="63"/>
      <c r="J640" s="63"/>
      <c r="K640" s="63"/>
      <c r="L640" s="63"/>
      <c r="M640" s="63"/>
    </row>
    <row r="641" spans="7:13" ht="12.75">
      <c r="G641" s="63"/>
      <c r="H641" s="63"/>
      <c r="I641" s="63"/>
      <c r="J641" s="63"/>
      <c r="K641" s="63"/>
      <c r="L641" s="63"/>
      <c r="M641" s="63"/>
    </row>
    <row r="642" spans="7:13" ht="12.75">
      <c r="G642" s="63"/>
      <c r="H642" s="63"/>
      <c r="I642" s="63"/>
      <c r="J642" s="63"/>
      <c r="K642" s="63"/>
      <c r="L642" s="63"/>
      <c r="M642" s="63"/>
    </row>
    <row r="643" spans="7:13" ht="12.75">
      <c r="G643" s="63"/>
      <c r="H643" s="63"/>
      <c r="I643" s="63"/>
      <c r="J643" s="63"/>
      <c r="K643" s="63"/>
      <c r="L643" s="63"/>
      <c r="M643" s="63"/>
    </row>
    <row r="644" spans="7:13" ht="12.75">
      <c r="G644" s="63"/>
      <c r="H644" s="63"/>
      <c r="I644" s="63"/>
      <c r="J644" s="63"/>
      <c r="K644" s="63"/>
      <c r="L644" s="63"/>
      <c r="M644" s="63"/>
    </row>
    <row r="645" spans="7:13" ht="12.75">
      <c r="G645" s="63"/>
      <c r="H645" s="63"/>
      <c r="I645" s="63"/>
      <c r="J645" s="63"/>
      <c r="K645" s="63"/>
      <c r="L645" s="63"/>
      <c r="M645" s="63"/>
    </row>
    <row r="646" spans="7:13" ht="12.75">
      <c r="G646" s="63"/>
      <c r="H646" s="63"/>
      <c r="I646" s="63"/>
      <c r="J646" s="63"/>
      <c r="K646" s="63"/>
      <c r="L646" s="63"/>
      <c r="M646" s="63"/>
    </row>
    <row r="647" spans="7:13" ht="12.75">
      <c r="G647" s="63"/>
      <c r="H647" s="63"/>
      <c r="I647" s="63"/>
      <c r="J647" s="63"/>
      <c r="K647" s="63"/>
      <c r="L647" s="63"/>
      <c r="M647" s="63"/>
    </row>
    <row r="648" spans="7:13" ht="12.75">
      <c r="G648" s="63"/>
      <c r="H648" s="63"/>
      <c r="I648" s="63"/>
      <c r="J648" s="63"/>
      <c r="K648" s="63"/>
      <c r="L648" s="63"/>
      <c r="M648" s="63"/>
    </row>
    <row r="649" spans="7:13" ht="12.75">
      <c r="G649" s="63"/>
      <c r="H649" s="63"/>
      <c r="I649" s="63"/>
      <c r="J649" s="63"/>
      <c r="K649" s="63"/>
      <c r="L649" s="63"/>
      <c r="M649" s="63"/>
    </row>
    <row r="650" spans="7:13" ht="12.75">
      <c r="G650" s="63"/>
      <c r="H650" s="63"/>
      <c r="I650" s="63"/>
      <c r="J650" s="63"/>
      <c r="K650" s="63"/>
      <c r="L650" s="63"/>
      <c r="M650" s="63"/>
    </row>
    <row r="651" spans="7:13" ht="12.75">
      <c r="G651" s="63"/>
      <c r="H651" s="63"/>
      <c r="I651" s="63"/>
      <c r="J651" s="63"/>
      <c r="K651" s="63"/>
      <c r="L651" s="63"/>
      <c r="M651" s="63"/>
    </row>
    <row r="652" spans="7:13" ht="12.75">
      <c r="G652" s="63"/>
      <c r="H652" s="63"/>
      <c r="I652" s="63"/>
      <c r="J652" s="63"/>
      <c r="K652" s="63"/>
      <c r="L652" s="63"/>
      <c r="M652" s="63"/>
    </row>
    <row r="653" spans="7:13" ht="12.75">
      <c r="G653" s="63"/>
      <c r="H653" s="63"/>
      <c r="I653" s="63"/>
      <c r="J653" s="63"/>
      <c r="K653" s="63"/>
      <c r="L653" s="63"/>
      <c r="M653" s="63"/>
    </row>
    <row r="654" spans="7:13" ht="12.75">
      <c r="G654" s="63"/>
      <c r="H654" s="63"/>
      <c r="I654" s="63"/>
      <c r="J654" s="63"/>
      <c r="K654" s="63"/>
      <c r="L654" s="63"/>
      <c r="M654" s="63"/>
    </row>
    <row r="655" spans="7:13" ht="12.75">
      <c r="G655" s="63"/>
      <c r="H655" s="63"/>
      <c r="I655" s="63"/>
      <c r="J655" s="63"/>
      <c r="K655" s="63"/>
      <c r="L655" s="63"/>
      <c r="M655" s="63"/>
    </row>
    <row r="656" spans="7:13" ht="12.75">
      <c r="G656" s="63"/>
      <c r="H656" s="63"/>
      <c r="I656" s="63"/>
      <c r="J656" s="63"/>
      <c r="K656" s="63"/>
      <c r="L656" s="63"/>
      <c r="M656" s="63"/>
    </row>
    <row r="657" spans="7:13" ht="12.75">
      <c r="G657" s="63"/>
      <c r="H657" s="63"/>
      <c r="I657" s="63"/>
      <c r="J657" s="63"/>
      <c r="K657" s="63"/>
      <c r="L657" s="63"/>
      <c r="M657" s="63"/>
    </row>
    <row r="658" spans="7:13" ht="12.75">
      <c r="G658" s="63"/>
      <c r="H658" s="63"/>
      <c r="I658" s="63"/>
      <c r="J658" s="63"/>
      <c r="K658" s="63"/>
      <c r="L658" s="63"/>
      <c r="M658" s="63"/>
    </row>
    <row r="659" spans="7:13" ht="12.75">
      <c r="G659" s="63"/>
      <c r="H659" s="63"/>
      <c r="I659" s="63"/>
      <c r="J659" s="63"/>
      <c r="K659" s="63"/>
      <c r="L659" s="63"/>
      <c r="M659" s="63"/>
    </row>
    <row r="660" spans="7:13" ht="12.75">
      <c r="G660" s="63"/>
      <c r="H660" s="63"/>
      <c r="I660" s="63"/>
      <c r="J660" s="63"/>
      <c r="K660" s="63"/>
      <c r="L660" s="63"/>
      <c r="M660" s="63"/>
    </row>
    <row r="661" spans="7:13" ht="12.75">
      <c r="G661" s="63"/>
      <c r="H661" s="63"/>
      <c r="I661" s="63"/>
      <c r="J661" s="63"/>
      <c r="K661" s="63"/>
      <c r="L661" s="63"/>
      <c r="M661" s="63"/>
    </row>
    <row r="662" spans="7:13" ht="12.75">
      <c r="G662" s="63"/>
      <c r="H662" s="63"/>
      <c r="I662" s="63"/>
      <c r="J662" s="63"/>
      <c r="K662" s="63"/>
      <c r="L662" s="63"/>
      <c r="M662" s="63"/>
    </row>
    <row r="663" spans="7:13" ht="12.75">
      <c r="G663" s="63"/>
      <c r="H663" s="63"/>
      <c r="I663" s="63"/>
      <c r="J663" s="63"/>
      <c r="K663" s="63"/>
      <c r="L663" s="63"/>
      <c r="M663" s="63"/>
    </row>
    <row r="664" spans="7:13" ht="12.75">
      <c r="G664" s="63"/>
      <c r="H664" s="63"/>
      <c r="I664" s="63"/>
      <c r="J664" s="63"/>
      <c r="K664" s="63"/>
      <c r="L664" s="63"/>
      <c r="M664" s="63"/>
    </row>
    <row r="665" spans="7:13" ht="12.75">
      <c r="G665" s="63"/>
      <c r="H665" s="63"/>
      <c r="I665" s="63"/>
      <c r="J665" s="63"/>
      <c r="K665" s="63"/>
      <c r="L665" s="63"/>
      <c r="M665" s="63"/>
    </row>
    <row r="666" spans="7:13" ht="12.75">
      <c r="G666" s="63"/>
      <c r="H666" s="63"/>
      <c r="I666" s="63"/>
      <c r="J666" s="63"/>
      <c r="K666" s="63"/>
      <c r="L666" s="63"/>
      <c r="M666" s="63"/>
    </row>
    <row r="667" spans="7:13" ht="12.75">
      <c r="G667" s="63"/>
      <c r="H667" s="63"/>
      <c r="I667" s="63"/>
      <c r="J667" s="63"/>
      <c r="K667" s="63"/>
      <c r="L667" s="63"/>
      <c r="M667" s="63"/>
    </row>
    <row r="668" spans="7:13" ht="12.75">
      <c r="G668" s="63"/>
      <c r="H668" s="63"/>
      <c r="I668" s="63"/>
      <c r="J668" s="63"/>
      <c r="K668" s="63"/>
      <c r="L668" s="63"/>
      <c r="M668" s="63"/>
    </row>
    <row r="669" spans="7:13" ht="12.75">
      <c r="G669" s="63"/>
      <c r="H669" s="63"/>
      <c r="I669" s="63"/>
      <c r="J669" s="63"/>
      <c r="K669" s="63"/>
      <c r="L669" s="63"/>
      <c r="M669" s="63"/>
    </row>
    <row r="670" spans="7:13" ht="12.75">
      <c r="G670" s="63"/>
      <c r="H670" s="63"/>
      <c r="I670" s="63"/>
      <c r="J670" s="63"/>
      <c r="K670" s="63"/>
      <c r="L670" s="63"/>
      <c r="M670" s="63"/>
    </row>
    <row r="671" spans="7:13" ht="12.75">
      <c r="G671" s="63"/>
      <c r="H671" s="63"/>
      <c r="I671" s="63"/>
      <c r="J671" s="63"/>
      <c r="K671" s="63"/>
      <c r="L671" s="63"/>
      <c r="M671" s="63"/>
    </row>
    <row r="672" spans="7:13" ht="12.75">
      <c r="G672" s="63"/>
      <c r="H672" s="63"/>
      <c r="I672" s="63"/>
      <c r="J672" s="63"/>
      <c r="K672" s="63"/>
      <c r="L672" s="63"/>
      <c r="M672" s="63"/>
    </row>
    <row r="673" spans="7:13" ht="12.75">
      <c r="G673" s="63"/>
      <c r="H673" s="63"/>
      <c r="I673" s="63"/>
      <c r="J673" s="63"/>
      <c r="K673" s="63"/>
      <c r="L673" s="63"/>
      <c r="M673" s="63"/>
    </row>
    <row r="674" spans="7:13" ht="12.75">
      <c r="G674" s="63"/>
      <c r="H674" s="63"/>
      <c r="I674" s="63"/>
      <c r="J674" s="63"/>
      <c r="K674" s="63"/>
      <c r="L674" s="63"/>
      <c r="M674" s="63"/>
    </row>
    <row r="675" spans="7:13" ht="12.75">
      <c r="G675" s="63"/>
      <c r="H675" s="63"/>
      <c r="I675" s="63"/>
      <c r="J675" s="63"/>
      <c r="K675" s="63"/>
      <c r="L675" s="63"/>
      <c r="M675" s="63"/>
    </row>
    <row r="676" spans="7:13" ht="12.75">
      <c r="G676" s="63"/>
      <c r="H676" s="63"/>
      <c r="I676" s="63"/>
      <c r="J676" s="63"/>
      <c r="K676" s="63"/>
      <c r="L676" s="63"/>
      <c r="M676" s="63"/>
    </row>
    <row r="677" spans="7:13" ht="12.75">
      <c r="G677" s="63"/>
      <c r="H677" s="63"/>
      <c r="I677" s="63"/>
      <c r="J677" s="63"/>
      <c r="K677" s="63"/>
      <c r="L677" s="63"/>
      <c r="M677" s="63"/>
    </row>
    <row r="678" spans="7:13" ht="12.75">
      <c r="G678" s="63"/>
      <c r="H678" s="63"/>
      <c r="I678" s="63"/>
      <c r="J678" s="63"/>
      <c r="K678" s="63"/>
      <c r="L678" s="63"/>
      <c r="M678" s="63"/>
    </row>
    <row r="679" spans="7:13" ht="12.75">
      <c r="G679" s="63"/>
      <c r="H679" s="63"/>
      <c r="I679" s="63"/>
      <c r="J679" s="63"/>
      <c r="K679" s="63"/>
      <c r="L679" s="63"/>
      <c r="M679" s="63"/>
    </row>
    <row r="680" spans="7:13" ht="12.75">
      <c r="G680" s="63"/>
      <c r="H680" s="63"/>
      <c r="I680" s="63"/>
      <c r="J680" s="63"/>
      <c r="K680" s="63"/>
      <c r="L680" s="63"/>
      <c r="M680" s="63"/>
    </row>
    <row r="681" spans="7:13" ht="12.75">
      <c r="G681" s="63"/>
      <c r="H681" s="63"/>
      <c r="I681" s="63"/>
      <c r="J681" s="63"/>
      <c r="K681" s="63"/>
      <c r="L681" s="63"/>
      <c r="M681" s="63"/>
    </row>
    <row r="682" spans="7:13" ht="12.75">
      <c r="G682" s="63"/>
      <c r="H682" s="63"/>
      <c r="I682" s="63"/>
      <c r="J682" s="63"/>
      <c r="K682" s="63"/>
      <c r="L682" s="63"/>
      <c r="M682" s="63"/>
    </row>
    <row r="683" spans="7:13" ht="12.75">
      <c r="G683" s="63"/>
      <c r="H683" s="63"/>
      <c r="I683" s="63"/>
      <c r="J683" s="63"/>
      <c r="K683" s="63"/>
      <c r="L683" s="63"/>
      <c r="M683" s="63"/>
    </row>
    <row r="684" spans="7:13" ht="12.75">
      <c r="G684" s="63"/>
      <c r="H684" s="63"/>
      <c r="I684" s="63"/>
      <c r="J684" s="63"/>
      <c r="K684" s="63"/>
      <c r="L684" s="63"/>
      <c r="M684" s="63"/>
    </row>
    <row r="685" spans="7:13" ht="12.75">
      <c r="G685" s="63"/>
      <c r="H685" s="63"/>
      <c r="I685" s="63"/>
      <c r="J685" s="63"/>
      <c r="K685" s="63"/>
      <c r="L685" s="63"/>
      <c r="M685" s="63"/>
    </row>
    <row r="686" spans="7:13" ht="12.75">
      <c r="G686" s="63"/>
      <c r="H686" s="63"/>
      <c r="I686" s="63"/>
      <c r="J686" s="63"/>
      <c r="K686" s="63"/>
      <c r="L686" s="63"/>
      <c r="M686" s="63"/>
    </row>
    <row r="687" spans="7:13" ht="12.75">
      <c r="G687" s="63"/>
      <c r="H687" s="63"/>
      <c r="I687" s="63"/>
      <c r="J687" s="63"/>
      <c r="K687" s="63"/>
      <c r="L687" s="63"/>
      <c r="M687" s="63"/>
    </row>
    <row r="688" spans="7:13" ht="12.75">
      <c r="G688" s="63"/>
      <c r="H688" s="63"/>
      <c r="I688" s="63"/>
      <c r="J688" s="63"/>
      <c r="K688" s="63"/>
      <c r="L688" s="63"/>
      <c r="M688" s="63"/>
    </row>
    <row r="689" spans="7:13" ht="12.75">
      <c r="G689" s="63"/>
      <c r="H689" s="63"/>
      <c r="I689" s="63"/>
      <c r="J689" s="63"/>
      <c r="K689" s="63"/>
      <c r="L689" s="63"/>
      <c r="M689" s="63"/>
    </row>
    <row r="690" spans="7:13" ht="12.75">
      <c r="G690" s="63"/>
      <c r="H690" s="63"/>
      <c r="I690" s="63"/>
      <c r="J690" s="63"/>
      <c r="K690" s="63"/>
      <c r="L690" s="63"/>
      <c r="M690" s="63"/>
    </row>
    <row r="691" spans="7:13" ht="12.75">
      <c r="G691" s="63"/>
      <c r="H691" s="63"/>
      <c r="I691" s="63"/>
      <c r="J691" s="63"/>
      <c r="K691" s="63"/>
      <c r="L691" s="63"/>
      <c r="M691" s="63"/>
    </row>
    <row r="692" spans="7:13" ht="12.75">
      <c r="G692" s="63"/>
      <c r="H692" s="63"/>
      <c r="I692" s="63"/>
      <c r="J692" s="63"/>
      <c r="K692" s="63"/>
      <c r="L692" s="63"/>
      <c r="M692" s="63"/>
    </row>
    <row r="693" spans="7:13" ht="12.75">
      <c r="G693" s="63"/>
      <c r="H693" s="63"/>
      <c r="I693" s="63"/>
      <c r="J693" s="63"/>
      <c r="K693" s="63"/>
      <c r="L693" s="63"/>
      <c r="M693" s="63"/>
    </row>
    <row r="694" spans="7:13" ht="12.75">
      <c r="G694" s="63"/>
      <c r="H694" s="63"/>
      <c r="I694" s="63"/>
      <c r="J694" s="63"/>
      <c r="K694" s="63"/>
      <c r="L694" s="63"/>
      <c r="M694" s="63"/>
    </row>
    <row r="695" spans="7:13" ht="12.75">
      <c r="G695" s="63"/>
      <c r="H695" s="63"/>
      <c r="I695" s="63"/>
      <c r="J695" s="63"/>
      <c r="K695" s="63"/>
      <c r="L695" s="63"/>
      <c r="M695" s="63"/>
    </row>
    <row r="696" spans="7:13" ht="12.75">
      <c r="G696" s="63"/>
      <c r="H696" s="63"/>
      <c r="I696" s="63"/>
      <c r="J696" s="63"/>
      <c r="K696" s="63"/>
      <c r="L696" s="63"/>
      <c r="M696" s="63"/>
    </row>
    <row r="697" spans="7:13" ht="12.75">
      <c r="G697" s="63"/>
      <c r="H697" s="63"/>
      <c r="I697" s="63"/>
      <c r="J697" s="63"/>
      <c r="K697" s="63"/>
      <c r="L697" s="63"/>
      <c r="M697" s="63"/>
    </row>
    <row r="698" spans="7:13" ht="12.75">
      <c r="G698" s="63"/>
      <c r="H698" s="63"/>
      <c r="I698" s="63"/>
      <c r="J698" s="63"/>
      <c r="K698" s="63"/>
      <c r="L698" s="63"/>
      <c r="M698" s="63"/>
    </row>
    <row r="699" spans="7:13" ht="12.75">
      <c r="G699" s="63"/>
      <c r="H699" s="63"/>
      <c r="I699" s="63"/>
      <c r="J699" s="63"/>
      <c r="K699" s="63"/>
      <c r="L699" s="63"/>
      <c r="M699" s="63"/>
    </row>
    <row r="700" spans="7:13" ht="12.75">
      <c r="G700" s="63"/>
      <c r="H700" s="63"/>
      <c r="I700" s="63"/>
      <c r="J700" s="63"/>
      <c r="K700" s="63"/>
      <c r="L700" s="63"/>
      <c r="M700" s="63"/>
    </row>
    <row r="701" spans="7:13" ht="12.75">
      <c r="G701" s="63"/>
      <c r="H701" s="63"/>
      <c r="I701" s="63"/>
      <c r="J701" s="63"/>
      <c r="K701" s="63"/>
      <c r="L701" s="63"/>
      <c r="M701" s="63"/>
    </row>
    <row r="702" spans="7:13" ht="12.75">
      <c r="G702" s="63"/>
      <c r="H702" s="63"/>
      <c r="I702" s="63"/>
      <c r="J702" s="63"/>
      <c r="K702" s="63"/>
      <c r="L702" s="63"/>
      <c r="M702" s="63"/>
    </row>
    <row r="703" spans="7:13" ht="12.75">
      <c r="G703" s="63"/>
      <c r="H703" s="63"/>
      <c r="I703" s="63"/>
      <c r="J703" s="63"/>
      <c r="K703" s="63"/>
      <c r="L703" s="63"/>
      <c r="M703" s="63"/>
    </row>
    <row r="704" spans="7:13" ht="12.75">
      <c r="G704" s="63"/>
      <c r="H704" s="63"/>
      <c r="I704" s="63"/>
      <c r="J704" s="63"/>
      <c r="K704" s="63"/>
      <c r="L704" s="63"/>
      <c r="M704" s="63"/>
    </row>
    <row r="705" spans="7:13" ht="12.75">
      <c r="G705" s="63"/>
      <c r="H705" s="63"/>
      <c r="I705" s="63"/>
      <c r="J705" s="63"/>
      <c r="K705" s="63"/>
      <c r="L705" s="63"/>
      <c r="M705" s="63"/>
    </row>
    <row r="706" spans="7:13" ht="12.75">
      <c r="G706" s="63"/>
      <c r="H706" s="63"/>
      <c r="I706" s="63"/>
      <c r="J706" s="63"/>
      <c r="K706" s="63"/>
      <c r="L706" s="63"/>
      <c r="M706" s="63"/>
    </row>
    <row r="707" spans="7:13" ht="12.75">
      <c r="G707" s="63"/>
      <c r="H707" s="63"/>
      <c r="I707" s="63"/>
      <c r="J707" s="63"/>
      <c r="K707" s="63"/>
      <c r="L707" s="63"/>
      <c r="M707" s="63"/>
    </row>
    <row r="708" spans="7:13" ht="12.75">
      <c r="G708" s="63"/>
      <c r="H708" s="63"/>
      <c r="I708" s="63"/>
      <c r="J708" s="63"/>
      <c r="K708" s="63"/>
      <c r="L708" s="63"/>
      <c r="M708" s="63"/>
    </row>
    <row r="709" spans="7:13" ht="12.75">
      <c r="G709" s="63"/>
      <c r="H709" s="63"/>
      <c r="I709" s="63"/>
      <c r="J709" s="63"/>
      <c r="K709" s="63"/>
      <c r="L709" s="63"/>
      <c r="M709" s="63"/>
    </row>
    <row r="710" spans="7:13" ht="12.75">
      <c r="G710" s="63"/>
      <c r="H710" s="63"/>
      <c r="I710" s="63"/>
      <c r="J710" s="63"/>
      <c r="K710" s="63"/>
      <c r="L710" s="63"/>
      <c r="M710" s="63"/>
    </row>
    <row r="711" spans="7:13" ht="12.75">
      <c r="G711" s="63"/>
      <c r="H711" s="63"/>
      <c r="I711" s="63"/>
      <c r="J711" s="63"/>
      <c r="K711" s="63"/>
      <c r="L711" s="63"/>
      <c r="M711" s="63"/>
    </row>
    <row r="712" spans="7:13" ht="12.75">
      <c r="G712" s="63"/>
      <c r="H712" s="63"/>
      <c r="I712" s="63"/>
      <c r="J712" s="63"/>
      <c r="K712" s="63"/>
      <c r="L712" s="63"/>
      <c r="M712" s="63"/>
    </row>
    <row r="713" spans="7:13" ht="12.75">
      <c r="G713" s="63"/>
      <c r="H713" s="63"/>
      <c r="I713" s="63"/>
      <c r="J713" s="63"/>
      <c r="K713" s="63"/>
      <c r="L713" s="63"/>
      <c r="M713" s="63"/>
    </row>
    <row r="714" spans="7:13" ht="12.75">
      <c r="G714" s="63"/>
      <c r="H714" s="63"/>
      <c r="I714" s="63"/>
      <c r="J714" s="63"/>
      <c r="K714" s="63"/>
      <c r="L714" s="63"/>
      <c r="M714" s="63"/>
    </row>
    <row r="715" spans="7:13" ht="12.75">
      <c r="G715" s="63"/>
      <c r="H715" s="63"/>
      <c r="I715" s="63"/>
      <c r="J715" s="63"/>
      <c r="K715" s="63"/>
      <c r="L715" s="63"/>
      <c r="M715" s="63"/>
    </row>
    <row r="716" spans="7:13" ht="12.75">
      <c r="G716" s="63"/>
      <c r="H716" s="63"/>
      <c r="I716" s="63"/>
      <c r="J716" s="63"/>
      <c r="K716" s="63"/>
      <c r="L716" s="63"/>
      <c r="M716" s="63"/>
    </row>
    <row r="717" spans="7:13" ht="12.75">
      <c r="G717" s="63"/>
      <c r="H717" s="63"/>
      <c r="I717" s="63"/>
      <c r="J717" s="63"/>
      <c r="K717" s="63"/>
      <c r="L717" s="63"/>
      <c r="M717" s="63"/>
    </row>
    <row r="718" spans="7:13" ht="12.75">
      <c r="G718" s="63"/>
      <c r="H718" s="63"/>
      <c r="I718" s="63"/>
      <c r="J718" s="63"/>
      <c r="K718" s="63"/>
      <c r="L718" s="63"/>
      <c r="M718" s="63"/>
    </row>
    <row r="719" spans="7:13" ht="12.75">
      <c r="G719" s="63"/>
      <c r="H719" s="63"/>
      <c r="I719" s="63"/>
      <c r="J719" s="63"/>
      <c r="K719" s="63"/>
      <c r="L719" s="63"/>
      <c r="M719" s="63"/>
    </row>
    <row r="720" spans="7:13" ht="12.75">
      <c r="G720" s="63"/>
      <c r="H720" s="63"/>
      <c r="I720" s="63"/>
      <c r="J720" s="63"/>
      <c r="K720" s="63"/>
      <c r="L720" s="63"/>
      <c r="M720" s="63"/>
    </row>
    <row r="721" spans="7:13" ht="12.75">
      <c r="G721" s="63"/>
      <c r="H721" s="63"/>
      <c r="I721" s="63"/>
      <c r="J721" s="63"/>
      <c r="K721" s="63"/>
      <c r="L721" s="63"/>
      <c r="M721" s="63"/>
    </row>
    <row r="722" spans="7:13" ht="12.75">
      <c r="G722" s="63"/>
      <c r="H722" s="63"/>
      <c r="I722" s="63"/>
      <c r="J722" s="63"/>
      <c r="K722" s="63"/>
      <c r="L722" s="63"/>
      <c r="M722" s="63"/>
    </row>
    <row r="723" spans="7:13" ht="12.75">
      <c r="G723" s="63"/>
      <c r="H723" s="63"/>
      <c r="I723" s="63"/>
      <c r="J723" s="63"/>
      <c r="K723" s="63"/>
      <c r="L723" s="63"/>
      <c r="M723" s="63"/>
    </row>
    <row r="724" spans="7:13" ht="12.75">
      <c r="G724" s="63"/>
      <c r="H724" s="63"/>
      <c r="I724" s="63"/>
      <c r="J724" s="63"/>
      <c r="K724" s="63"/>
      <c r="L724" s="63"/>
      <c r="M724" s="63"/>
    </row>
    <row r="725" spans="7:13" ht="12.75">
      <c r="G725" s="63"/>
      <c r="H725" s="63"/>
      <c r="I725" s="63"/>
      <c r="J725" s="63"/>
      <c r="K725" s="63"/>
      <c r="L725" s="63"/>
      <c r="M725" s="63"/>
    </row>
    <row r="726" spans="7:13" ht="12.75">
      <c r="G726" s="63"/>
      <c r="H726" s="63"/>
      <c r="I726" s="63"/>
      <c r="J726" s="63"/>
      <c r="K726" s="63"/>
      <c r="L726" s="63"/>
      <c r="M726" s="63"/>
    </row>
    <row r="727" spans="7:13" ht="12.75">
      <c r="G727" s="63"/>
      <c r="H727" s="63"/>
      <c r="I727" s="63"/>
      <c r="J727" s="63"/>
      <c r="K727" s="63"/>
      <c r="L727" s="63"/>
      <c r="M727" s="63"/>
    </row>
    <row r="728" spans="7:13" ht="12.75">
      <c r="G728" s="63"/>
      <c r="H728" s="63"/>
      <c r="I728" s="63"/>
      <c r="J728" s="63"/>
      <c r="K728" s="63"/>
      <c r="L728" s="63"/>
      <c r="M728" s="63"/>
    </row>
    <row r="729" spans="7:13" ht="12.75">
      <c r="G729" s="63"/>
      <c r="H729" s="63"/>
      <c r="I729" s="63"/>
      <c r="J729" s="63"/>
      <c r="K729" s="63"/>
      <c r="L729" s="63"/>
      <c r="M729" s="63"/>
    </row>
    <row r="730" spans="7:13" ht="12.75">
      <c r="G730" s="63"/>
      <c r="H730" s="63"/>
      <c r="I730" s="63"/>
      <c r="J730" s="63"/>
      <c r="K730" s="63"/>
      <c r="L730" s="63"/>
      <c r="M730" s="63"/>
    </row>
    <row r="731" spans="7:13" ht="12.75">
      <c r="G731" s="63"/>
      <c r="H731" s="63"/>
      <c r="I731" s="63"/>
      <c r="J731" s="63"/>
      <c r="K731" s="63"/>
      <c r="L731" s="63"/>
      <c r="M731" s="63"/>
    </row>
    <row r="732" spans="7:13" ht="12.75">
      <c r="G732" s="63"/>
      <c r="H732" s="63"/>
      <c r="I732" s="63"/>
      <c r="J732" s="63"/>
      <c r="K732" s="63"/>
      <c r="L732" s="63"/>
      <c r="M732" s="63"/>
    </row>
    <row r="733" spans="7:13" ht="12.75">
      <c r="G733" s="63"/>
      <c r="H733" s="63"/>
      <c r="I733" s="63"/>
      <c r="J733" s="63"/>
      <c r="K733" s="63"/>
      <c r="L733" s="63"/>
      <c r="M733" s="63"/>
    </row>
    <row r="734" spans="7:13" ht="12.75">
      <c r="G734" s="63"/>
      <c r="H734" s="63"/>
      <c r="I734" s="63"/>
      <c r="J734" s="63"/>
      <c r="K734" s="63"/>
      <c r="L734" s="63"/>
      <c r="M734" s="63"/>
    </row>
    <row r="735" spans="7:13" ht="12.75">
      <c r="G735" s="63"/>
      <c r="H735" s="63"/>
      <c r="I735" s="63"/>
      <c r="J735" s="63"/>
      <c r="K735" s="63"/>
      <c r="L735" s="63"/>
      <c r="M735" s="63"/>
    </row>
    <row r="736" spans="7:13" ht="12.75">
      <c r="G736" s="63"/>
      <c r="H736" s="63"/>
      <c r="I736" s="63"/>
      <c r="J736" s="63"/>
      <c r="K736" s="63"/>
      <c r="L736" s="63"/>
      <c r="M736" s="63"/>
    </row>
    <row r="737" spans="7:13" ht="12.75">
      <c r="G737" s="63"/>
      <c r="H737" s="63"/>
      <c r="I737" s="63"/>
      <c r="J737" s="63"/>
      <c r="K737" s="63"/>
      <c r="L737" s="63"/>
      <c r="M737" s="63"/>
    </row>
    <row r="738" spans="7:13" ht="12.75">
      <c r="G738" s="63"/>
      <c r="H738" s="63"/>
      <c r="I738" s="63"/>
      <c r="J738" s="63"/>
      <c r="K738" s="63"/>
      <c r="L738" s="63"/>
      <c r="M738" s="63"/>
    </row>
    <row r="739" spans="7:13" ht="12.75">
      <c r="G739" s="63"/>
      <c r="H739" s="63"/>
      <c r="I739" s="63"/>
      <c r="J739" s="63"/>
      <c r="K739" s="63"/>
      <c r="L739" s="63"/>
      <c r="M739" s="63"/>
    </row>
    <row r="740" spans="7:13" ht="12.75">
      <c r="G740" s="63"/>
      <c r="H740" s="63"/>
      <c r="I740" s="63"/>
      <c r="J740" s="63"/>
      <c r="K740" s="63"/>
      <c r="L740" s="63"/>
      <c r="M740" s="63"/>
    </row>
    <row r="741" spans="7:13" ht="12.75">
      <c r="G741" s="63"/>
      <c r="H741" s="63"/>
      <c r="I741" s="63"/>
      <c r="J741" s="63"/>
      <c r="K741" s="63"/>
      <c r="L741" s="63"/>
      <c r="M741" s="63"/>
    </row>
    <row r="742" spans="7:13" ht="12.75">
      <c r="G742" s="63"/>
      <c r="H742" s="63"/>
      <c r="I742" s="63"/>
      <c r="J742" s="63"/>
      <c r="K742" s="63"/>
      <c r="L742" s="63"/>
      <c r="M742" s="63"/>
    </row>
    <row r="743" spans="7:13" ht="12.75">
      <c r="G743" s="63"/>
      <c r="H743" s="63"/>
      <c r="I743" s="63"/>
      <c r="J743" s="63"/>
      <c r="K743" s="63"/>
      <c r="L743" s="63"/>
      <c r="M743" s="63"/>
    </row>
    <row r="744" spans="7:13" ht="12.75">
      <c r="G744" s="63"/>
      <c r="H744" s="63"/>
      <c r="I744" s="63"/>
      <c r="J744" s="63"/>
      <c r="K744" s="63"/>
      <c r="L744" s="63"/>
      <c r="M744" s="63"/>
    </row>
    <row r="745" spans="7:13" ht="12.75">
      <c r="G745" s="63"/>
      <c r="H745" s="63"/>
      <c r="I745" s="63"/>
      <c r="J745" s="63"/>
      <c r="K745" s="63"/>
      <c r="L745" s="63"/>
      <c r="M745" s="63"/>
    </row>
    <row r="746" spans="7:13" ht="12.75">
      <c r="G746" s="63"/>
      <c r="H746" s="63"/>
      <c r="I746" s="63"/>
      <c r="J746" s="63"/>
      <c r="K746" s="63"/>
      <c r="L746" s="63"/>
      <c r="M746" s="63"/>
    </row>
    <row r="747" spans="7:13" ht="12.75">
      <c r="G747" s="63"/>
      <c r="H747" s="63"/>
      <c r="I747" s="63"/>
      <c r="J747" s="63"/>
      <c r="K747" s="63"/>
      <c r="L747" s="63"/>
      <c r="M747" s="63"/>
    </row>
    <row r="748" spans="7:13" ht="12.75">
      <c r="G748" s="63"/>
      <c r="H748" s="63"/>
      <c r="I748" s="63"/>
      <c r="J748" s="63"/>
      <c r="K748" s="63"/>
      <c r="L748" s="63"/>
      <c r="M748" s="63"/>
    </row>
    <row r="749" spans="7:13" ht="12.75">
      <c r="G749" s="63"/>
      <c r="H749" s="63"/>
      <c r="I749" s="63"/>
      <c r="J749" s="63"/>
      <c r="K749" s="63"/>
      <c r="L749" s="63"/>
      <c r="M749" s="63"/>
    </row>
    <row r="750" spans="7:13" ht="12.75">
      <c r="G750" s="63"/>
      <c r="H750" s="63"/>
      <c r="I750" s="63"/>
      <c r="J750" s="63"/>
      <c r="K750" s="63"/>
      <c r="L750" s="63"/>
      <c r="M750" s="63"/>
    </row>
    <row r="751" spans="7:13" ht="12.75">
      <c r="G751" s="63"/>
      <c r="H751" s="63"/>
      <c r="I751" s="63"/>
      <c r="J751" s="63"/>
      <c r="K751" s="63"/>
      <c r="L751" s="63"/>
      <c r="M751" s="63"/>
    </row>
    <row r="752" spans="7:13" ht="12.75">
      <c r="G752" s="63"/>
      <c r="H752" s="63"/>
      <c r="I752" s="63"/>
      <c r="J752" s="63"/>
      <c r="K752" s="63"/>
      <c r="L752" s="63"/>
      <c r="M752" s="63"/>
    </row>
    <row r="753" spans="7:13" ht="12.75">
      <c r="G753" s="63"/>
      <c r="H753" s="63"/>
      <c r="I753" s="63"/>
      <c r="J753" s="63"/>
      <c r="K753" s="63"/>
      <c r="L753" s="63"/>
      <c r="M753" s="63"/>
    </row>
    <row r="754" spans="7:13" ht="12.75">
      <c r="G754" s="63"/>
      <c r="H754" s="63"/>
      <c r="I754" s="63"/>
      <c r="J754" s="63"/>
      <c r="K754" s="63"/>
      <c r="L754" s="63"/>
      <c r="M754" s="63"/>
    </row>
    <row r="755" spans="7:13" ht="12.75">
      <c r="G755" s="63"/>
      <c r="H755" s="63"/>
      <c r="I755" s="63"/>
      <c r="J755" s="63"/>
      <c r="K755" s="63"/>
      <c r="L755" s="63"/>
      <c r="M755" s="63"/>
    </row>
    <row r="756" spans="7:13" ht="12.75">
      <c r="G756" s="63"/>
      <c r="H756" s="63"/>
      <c r="I756" s="63"/>
      <c r="J756" s="63"/>
      <c r="K756" s="63"/>
      <c r="L756" s="63"/>
      <c r="M756" s="63"/>
    </row>
    <row r="757" spans="7:13" ht="12.75">
      <c r="G757" s="63"/>
      <c r="H757" s="63"/>
      <c r="I757" s="63"/>
      <c r="J757" s="63"/>
      <c r="K757" s="63"/>
      <c r="L757" s="63"/>
      <c r="M757" s="63"/>
    </row>
    <row r="758" spans="7:13" ht="12.75">
      <c r="G758" s="63"/>
      <c r="H758" s="63"/>
      <c r="I758" s="63"/>
      <c r="J758" s="63"/>
      <c r="K758" s="63"/>
      <c r="L758" s="63"/>
      <c r="M758" s="63"/>
    </row>
    <row r="759" spans="7:13" ht="12.75">
      <c r="G759" s="63"/>
      <c r="H759" s="63"/>
      <c r="I759" s="63"/>
      <c r="J759" s="63"/>
      <c r="K759" s="63"/>
      <c r="L759" s="63"/>
      <c r="M759" s="63"/>
    </row>
    <row r="760" spans="7:13" ht="12.75">
      <c r="G760" s="63"/>
      <c r="H760" s="63"/>
      <c r="I760" s="63"/>
      <c r="J760" s="63"/>
      <c r="K760" s="63"/>
      <c r="L760" s="63"/>
      <c r="M760" s="63"/>
    </row>
    <row r="761" spans="7:13" ht="12.75">
      <c r="G761" s="63"/>
      <c r="H761" s="63"/>
      <c r="I761" s="63"/>
      <c r="J761" s="63"/>
      <c r="K761" s="63"/>
      <c r="L761" s="63"/>
      <c r="M761" s="63"/>
    </row>
    <row r="762" spans="7:13" ht="12.75">
      <c r="G762" s="63"/>
      <c r="H762" s="63"/>
      <c r="I762" s="63"/>
      <c r="J762" s="63"/>
      <c r="K762" s="63"/>
      <c r="L762" s="63"/>
      <c r="M762" s="63"/>
    </row>
    <row r="763" spans="7:13" ht="12.75">
      <c r="G763" s="63"/>
      <c r="H763" s="63"/>
      <c r="I763" s="63"/>
      <c r="J763" s="63"/>
      <c r="K763" s="63"/>
      <c r="L763" s="63"/>
      <c r="M763" s="63"/>
    </row>
    <row r="764" spans="7:13" ht="12.75">
      <c r="G764" s="63"/>
      <c r="H764" s="63"/>
      <c r="I764" s="63"/>
      <c r="J764" s="63"/>
      <c r="K764" s="63"/>
      <c r="L764" s="63"/>
      <c r="M764" s="63"/>
    </row>
    <row r="765" spans="7:13" ht="12.75">
      <c r="G765" s="63"/>
      <c r="H765" s="63"/>
      <c r="I765" s="63"/>
      <c r="J765" s="63"/>
      <c r="K765" s="63"/>
      <c r="L765" s="63"/>
      <c r="M765" s="63"/>
    </row>
    <row r="766" spans="7:13" ht="12.75">
      <c r="G766" s="63"/>
      <c r="H766" s="63"/>
      <c r="I766" s="63"/>
      <c r="J766" s="63"/>
      <c r="K766" s="63"/>
      <c r="L766" s="63"/>
      <c r="M766" s="63"/>
    </row>
    <row r="767" spans="7:13" ht="12.75">
      <c r="G767" s="63"/>
      <c r="H767" s="63"/>
      <c r="I767" s="63"/>
      <c r="J767" s="63"/>
      <c r="K767" s="63"/>
      <c r="L767" s="63"/>
      <c r="M767" s="63"/>
    </row>
    <row r="768" spans="7:13" ht="12.75">
      <c r="G768" s="63"/>
      <c r="H768" s="63"/>
      <c r="I768" s="63"/>
      <c r="J768" s="63"/>
      <c r="K768" s="63"/>
      <c r="L768" s="63"/>
      <c r="M768" s="63"/>
    </row>
    <row r="769" spans="7:13" ht="12.75">
      <c r="G769" s="63"/>
      <c r="H769" s="63"/>
      <c r="I769" s="63"/>
      <c r="J769" s="63"/>
      <c r="K769" s="63"/>
      <c r="L769" s="63"/>
      <c r="M769" s="63"/>
    </row>
    <row r="770" spans="7:13" ht="12.75">
      <c r="G770" s="63"/>
      <c r="H770" s="63"/>
      <c r="I770" s="63"/>
      <c r="J770" s="63"/>
      <c r="K770" s="63"/>
      <c r="L770" s="63"/>
      <c r="M770" s="63"/>
    </row>
    <row r="771" spans="7:13" ht="12.75">
      <c r="G771" s="63"/>
      <c r="H771" s="63"/>
      <c r="I771" s="63"/>
      <c r="J771" s="63"/>
      <c r="K771" s="63"/>
      <c r="L771" s="63"/>
      <c r="M771" s="63"/>
    </row>
    <row r="772" spans="7:13" ht="12.75">
      <c r="G772" s="63"/>
      <c r="H772" s="63"/>
      <c r="I772" s="63"/>
      <c r="J772" s="63"/>
      <c r="K772" s="63"/>
      <c r="L772" s="63"/>
      <c r="M772" s="63"/>
    </row>
    <row r="773" spans="7:13" ht="12.75">
      <c r="G773" s="63"/>
      <c r="H773" s="63"/>
      <c r="I773" s="63"/>
      <c r="J773" s="63"/>
      <c r="K773" s="63"/>
      <c r="L773" s="63"/>
      <c r="M773" s="63"/>
    </row>
    <row r="774" spans="7:13" ht="12.75">
      <c r="G774" s="63"/>
      <c r="H774" s="63"/>
      <c r="I774" s="63"/>
      <c r="J774" s="63"/>
      <c r="K774" s="63"/>
      <c r="L774" s="63"/>
      <c r="M774" s="63"/>
    </row>
    <row r="775" spans="7:13" ht="12.75">
      <c r="G775" s="63"/>
      <c r="H775" s="63"/>
      <c r="I775" s="63"/>
      <c r="J775" s="63"/>
      <c r="K775" s="63"/>
      <c r="L775" s="63"/>
      <c r="M775" s="63"/>
    </row>
    <row r="776" spans="7:13" ht="12.75">
      <c r="G776" s="63"/>
      <c r="H776" s="63"/>
      <c r="I776" s="63"/>
      <c r="J776" s="63"/>
      <c r="K776" s="63"/>
      <c r="L776" s="63"/>
      <c r="M776" s="63"/>
    </row>
    <row r="777" spans="7:13" ht="12.75">
      <c r="G777" s="63"/>
      <c r="H777" s="63"/>
      <c r="I777" s="63"/>
      <c r="J777" s="63"/>
      <c r="K777" s="63"/>
      <c r="L777" s="63"/>
      <c r="M777" s="63"/>
    </row>
    <row r="778" spans="7:13" ht="12.75">
      <c r="G778" s="63"/>
      <c r="H778" s="63"/>
      <c r="I778" s="63"/>
      <c r="J778" s="63"/>
      <c r="K778" s="63"/>
      <c r="L778" s="63"/>
      <c r="M778" s="63"/>
    </row>
    <row r="779" spans="7:13" ht="12.75">
      <c r="G779" s="63"/>
      <c r="H779" s="63"/>
      <c r="I779" s="63"/>
      <c r="J779" s="63"/>
      <c r="K779" s="63"/>
      <c r="L779" s="63"/>
      <c r="M779" s="63"/>
    </row>
    <row r="780" spans="7:13" ht="12.75">
      <c r="G780" s="63"/>
      <c r="H780" s="63"/>
      <c r="I780" s="63"/>
      <c r="J780" s="63"/>
      <c r="K780" s="63"/>
      <c r="L780" s="63"/>
      <c r="M780" s="63"/>
    </row>
    <row r="781" spans="7:13" ht="12.75">
      <c r="G781" s="63"/>
      <c r="H781" s="63"/>
      <c r="I781" s="63"/>
      <c r="J781" s="63"/>
      <c r="K781" s="63"/>
      <c r="L781" s="63"/>
      <c r="M781" s="63"/>
    </row>
    <row r="782" spans="7:13" ht="12.75">
      <c r="G782" s="63"/>
      <c r="H782" s="63"/>
      <c r="I782" s="63"/>
      <c r="J782" s="63"/>
      <c r="K782" s="63"/>
      <c r="L782" s="63"/>
      <c r="M782" s="63"/>
    </row>
    <row r="783" spans="7:13" ht="12.75">
      <c r="G783" s="63"/>
      <c r="H783" s="63"/>
      <c r="I783" s="63"/>
      <c r="J783" s="63"/>
      <c r="K783" s="63"/>
      <c r="L783" s="63"/>
      <c r="M783" s="63"/>
    </row>
    <row r="784" spans="7:13" ht="12.75">
      <c r="G784" s="63"/>
      <c r="H784" s="63"/>
      <c r="I784" s="63"/>
      <c r="J784" s="63"/>
      <c r="K784" s="63"/>
      <c r="L784" s="63"/>
      <c r="M784" s="63"/>
    </row>
    <row r="785" spans="7:13" ht="12.75">
      <c r="G785" s="63"/>
      <c r="H785" s="63"/>
      <c r="I785" s="63"/>
      <c r="J785" s="63"/>
      <c r="K785" s="63"/>
      <c r="L785" s="63"/>
      <c r="M785" s="63"/>
    </row>
    <row r="786" spans="7:13" ht="12.75">
      <c r="G786" s="63"/>
      <c r="H786" s="63"/>
      <c r="I786" s="63"/>
      <c r="J786" s="63"/>
      <c r="K786" s="63"/>
      <c r="L786" s="63"/>
      <c r="M786" s="63"/>
    </row>
    <row r="787" spans="7:13" ht="12.75">
      <c r="G787" s="63"/>
      <c r="H787" s="63"/>
      <c r="I787" s="63"/>
      <c r="J787" s="63"/>
      <c r="K787" s="63"/>
      <c r="L787" s="63"/>
      <c r="M787" s="63"/>
    </row>
    <row r="788" spans="7:13" ht="12.75">
      <c r="G788" s="63"/>
      <c r="H788" s="63"/>
      <c r="I788" s="63"/>
      <c r="J788" s="63"/>
      <c r="K788" s="63"/>
      <c r="L788" s="63"/>
      <c r="M788" s="63"/>
    </row>
    <row r="789" spans="7:13" ht="12.75">
      <c r="G789" s="63"/>
      <c r="H789" s="63"/>
      <c r="I789" s="63"/>
      <c r="J789" s="63"/>
      <c r="K789" s="63"/>
      <c r="L789" s="63"/>
      <c r="M789" s="63"/>
    </row>
    <row r="790" spans="7:13" ht="12.75">
      <c r="G790" s="63"/>
      <c r="H790" s="63"/>
      <c r="I790" s="63"/>
      <c r="J790" s="63"/>
      <c r="K790" s="63"/>
      <c r="L790" s="63"/>
      <c r="M790" s="63"/>
    </row>
    <row r="791" spans="7:13" ht="12.75">
      <c r="G791" s="63"/>
      <c r="H791" s="63"/>
      <c r="I791" s="63"/>
      <c r="J791" s="63"/>
      <c r="K791" s="63"/>
      <c r="L791" s="63"/>
      <c r="M791" s="63"/>
    </row>
    <row r="792" spans="7:13" ht="12.75">
      <c r="G792" s="63"/>
      <c r="H792" s="63"/>
      <c r="I792" s="63"/>
      <c r="J792" s="63"/>
      <c r="K792" s="63"/>
      <c r="L792" s="63"/>
      <c r="M792" s="63"/>
    </row>
    <row r="793" spans="7:13" ht="12.75">
      <c r="G793" s="63"/>
      <c r="H793" s="63"/>
      <c r="I793" s="63"/>
      <c r="J793" s="63"/>
      <c r="K793" s="63"/>
      <c r="L793" s="63"/>
      <c r="M793" s="63"/>
    </row>
    <row r="794" spans="7:13" ht="12.75">
      <c r="G794" s="63"/>
      <c r="H794" s="63"/>
      <c r="I794" s="63"/>
      <c r="J794" s="63"/>
      <c r="K794" s="63"/>
      <c r="L794" s="63"/>
      <c r="M794" s="63"/>
    </row>
    <row r="795" spans="7:13" ht="12.75">
      <c r="G795" s="63"/>
      <c r="H795" s="63"/>
      <c r="I795" s="63"/>
      <c r="J795" s="63"/>
      <c r="K795" s="63"/>
      <c r="L795" s="63"/>
      <c r="M795" s="63"/>
    </row>
    <row r="796" spans="7:13" ht="12.75">
      <c r="G796" s="63"/>
      <c r="H796" s="63"/>
      <c r="I796" s="63"/>
      <c r="J796" s="63"/>
      <c r="K796" s="63"/>
      <c r="L796" s="63"/>
      <c r="M796" s="63"/>
    </row>
    <row r="797" spans="7:13" ht="12.75">
      <c r="G797" s="63"/>
      <c r="H797" s="63"/>
      <c r="I797" s="63"/>
      <c r="J797" s="63"/>
      <c r="K797" s="63"/>
      <c r="L797" s="63"/>
      <c r="M797" s="63"/>
    </row>
    <row r="798" spans="7:13" ht="12.75">
      <c r="G798" s="63"/>
      <c r="H798" s="63"/>
      <c r="I798" s="63"/>
      <c r="J798" s="63"/>
      <c r="K798" s="63"/>
      <c r="L798" s="63"/>
      <c r="M798" s="63"/>
    </row>
    <row r="799" spans="7:13" ht="12.75">
      <c r="G799" s="63"/>
      <c r="H799" s="63"/>
      <c r="I799" s="63"/>
      <c r="J799" s="63"/>
      <c r="K799" s="63"/>
      <c r="L799" s="63"/>
      <c r="M799" s="63"/>
    </row>
    <row r="800" spans="7:13" ht="12.75">
      <c r="G800" s="63"/>
      <c r="H800" s="63"/>
      <c r="I800" s="63"/>
      <c r="J800" s="63"/>
      <c r="K800" s="63"/>
      <c r="L800" s="63"/>
      <c r="M800" s="63"/>
    </row>
    <row r="801" spans="7:13" ht="12.75">
      <c r="G801" s="63"/>
      <c r="H801" s="63"/>
      <c r="I801" s="63"/>
      <c r="J801" s="63"/>
      <c r="K801" s="63"/>
      <c r="L801" s="63"/>
      <c r="M801" s="63"/>
    </row>
    <row r="802" spans="7:13" ht="12.75">
      <c r="G802" s="63"/>
      <c r="H802" s="63"/>
      <c r="I802" s="63"/>
      <c r="J802" s="63"/>
      <c r="K802" s="63"/>
      <c r="L802" s="63"/>
      <c r="M802" s="63"/>
    </row>
    <row r="803" spans="7:13" ht="12.75">
      <c r="G803" s="63"/>
      <c r="H803" s="63"/>
      <c r="I803" s="63"/>
      <c r="J803" s="63"/>
      <c r="K803" s="63"/>
      <c r="L803" s="63"/>
      <c r="M803" s="63"/>
    </row>
    <row r="804" spans="7:13" ht="12.75">
      <c r="G804" s="63"/>
      <c r="H804" s="63"/>
      <c r="I804" s="63"/>
      <c r="J804" s="63"/>
      <c r="K804" s="63"/>
      <c r="L804" s="63"/>
      <c r="M804" s="63"/>
    </row>
    <row r="805" spans="7:13" ht="12.75">
      <c r="G805" s="63"/>
      <c r="H805" s="63"/>
      <c r="I805" s="63"/>
      <c r="J805" s="63"/>
      <c r="K805" s="63"/>
      <c r="L805" s="63"/>
      <c r="M805" s="63"/>
    </row>
    <row r="806" spans="7:13" ht="12.75">
      <c r="G806" s="63"/>
      <c r="H806" s="63"/>
      <c r="I806" s="63"/>
      <c r="J806" s="63"/>
      <c r="K806" s="63"/>
      <c r="L806" s="63"/>
      <c r="M806" s="63"/>
    </row>
    <row r="807" spans="7:13" ht="12.75">
      <c r="G807" s="63"/>
      <c r="H807" s="63"/>
      <c r="I807" s="63"/>
      <c r="J807" s="63"/>
      <c r="K807" s="63"/>
      <c r="L807" s="63"/>
      <c r="M807" s="63"/>
    </row>
    <row r="808" spans="7:13" ht="12.75">
      <c r="G808" s="63"/>
      <c r="H808" s="63"/>
      <c r="I808" s="63"/>
      <c r="J808" s="63"/>
      <c r="K808" s="63"/>
      <c r="L808" s="63"/>
      <c r="M808" s="63"/>
    </row>
    <row r="809" spans="7:13" ht="12.75">
      <c r="G809" s="63"/>
      <c r="H809" s="63"/>
      <c r="I809" s="63"/>
      <c r="J809" s="63"/>
      <c r="K809" s="63"/>
      <c r="L809" s="63"/>
      <c r="M809" s="63"/>
    </row>
    <row r="810" spans="7:13" ht="12.75">
      <c r="G810" s="63"/>
      <c r="H810" s="63"/>
      <c r="I810" s="63"/>
      <c r="J810" s="63"/>
      <c r="K810" s="63"/>
      <c r="L810" s="63"/>
      <c r="M810" s="63"/>
    </row>
    <row r="811" spans="7:13" ht="12.75">
      <c r="G811" s="63"/>
      <c r="H811" s="63"/>
      <c r="I811" s="63"/>
      <c r="J811" s="63"/>
      <c r="K811" s="63"/>
      <c r="L811" s="63"/>
      <c r="M811" s="63"/>
    </row>
    <row r="812" spans="7:13" ht="12.75">
      <c r="G812" s="63"/>
      <c r="H812" s="63"/>
      <c r="I812" s="63"/>
      <c r="J812" s="63"/>
      <c r="K812" s="63"/>
      <c r="L812" s="63"/>
      <c r="M812" s="63"/>
    </row>
    <row r="813" spans="7:13" ht="12.75">
      <c r="G813" s="63"/>
      <c r="H813" s="63"/>
      <c r="I813" s="63"/>
      <c r="J813" s="63"/>
      <c r="K813" s="63"/>
      <c r="L813" s="63"/>
      <c r="M813" s="63"/>
    </row>
    <row r="814" spans="7:13" ht="12.75">
      <c r="G814" s="63"/>
      <c r="H814" s="63"/>
      <c r="I814" s="63"/>
      <c r="J814" s="63"/>
      <c r="K814" s="63"/>
      <c r="L814" s="63"/>
      <c r="M814" s="63"/>
    </row>
    <row r="815" spans="7:13" ht="12.75">
      <c r="G815" s="63"/>
      <c r="H815" s="63"/>
      <c r="I815" s="63"/>
      <c r="J815" s="63"/>
      <c r="K815" s="63"/>
      <c r="L815" s="63"/>
      <c r="M815" s="63"/>
    </row>
    <row r="816" spans="7:13" ht="12.75">
      <c r="G816" s="63"/>
      <c r="H816" s="63"/>
      <c r="I816" s="63"/>
      <c r="J816" s="63"/>
      <c r="K816" s="63"/>
      <c r="L816" s="63"/>
      <c r="M816" s="63"/>
    </row>
    <row r="817" spans="7:13" ht="12.75">
      <c r="G817" s="63"/>
      <c r="H817" s="63"/>
      <c r="I817" s="63"/>
      <c r="J817" s="63"/>
      <c r="K817" s="63"/>
      <c r="L817" s="63"/>
      <c r="M817" s="63"/>
    </row>
    <row r="818" spans="7:13" ht="12.75">
      <c r="G818" s="63"/>
      <c r="H818" s="63"/>
      <c r="I818" s="63"/>
      <c r="J818" s="63"/>
      <c r="K818" s="63"/>
      <c r="L818" s="63"/>
      <c r="M818" s="63"/>
    </row>
    <row r="819" spans="7:13" ht="12.75">
      <c r="G819" s="63"/>
      <c r="H819" s="63"/>
      <c r="I819" s="63"/>
      <c r="J819" s="63"/>
      <c r="K819" s="63"/>
      <c r="L819" s="63"/>
      <c r="M819" s="63"/>
    </row>
    <row r="820" spans="7:13" ht="12.75">
      <c r="G820" s="63"/>
      <c r="H820" s="63"/>
      <c r="I820" s="63"/>
      <c r="J820" s="63"/>
      <c r="K820" s="63"/>
      <c r="L820" s="63"/>
      <c r="M820" s="63"/>
    </row>
    <row r="821" spans="7:13" ht="12.75">
      <c r="G821" s="63"/>
      <c r="H821" s="63"/>
      <c r="I821" s="63"/>
      <c r="J821" s="63"/>
      <c r="K821" s="63"/>
      <c r="L821" s="63"/>
      <c r="M821" s="63"/>
    </row>
    <row r="822" spans="7:13" ht="12.75">
      <c r="G822" s="63"/>
      <c r="H822" s="63"/>
      <c r="I822" s="63"/>
      <c r="J822" s="63"/>
      <c r="K822" s="63"/>
      <c r="L822" s="63"/>
      <c r="M822" s="63"/>
    </row>
    <row r="823" spans="7:13" ht="12.75">
      <c r="G823" s="63"/>
      <c r="H823" s="63"/>
      <c r="I823" s="63"/>
      <c r="J823" s="63"/>
      <c r="K823" s="63"/>
      <c r="L823" s="63"/>
      <c r="M823" s="63"/>
    </row>
    <row r="824" spans="7:13" ht="12.75">
      <c r="G824" s="63"/>
      <c r="H824" s="63"/>
      <c r="I824" s="63"/>
      <c r="J824" s="63"/>
      <c r="K824" s="63"/>
      <c r="L824" s="63"/>
      <c r="M824" s="63"/>
    </row>
    <row r="825" spans="7:13" ht="12.75">
      <c r="G825" s="63"/>
      <c r="H825" s="63"/>
      <c r="I825" s="63"/>
      <c r="J825" s="63"/>
      <c r="K825" s="63"/>
      <c r="L825" s="63"/>
      <c r="M825" s="63"/>
    </row>
    <row r="826" spans="7:13" ht="12.75">
      <c r="G826" s="63"/>
      <c r="H826" s="63"/>
      <c r="I826" s="63"/>
      <c r="J826" s="63"/>
      <c r="K826" s="63"/>
      <c r="L826" s="63"/>
      <c r="M826" s="63"/>
    </row>
    <row r="827" spans="7:13" ht="12.75">
      <c r="G827" s="63"/>
      <c r="H827" s="63"/>
      <c r="I827" s="63"/>
      <c r="J827" s="63"/>
      <c r="K827" s="63"/>
      <c r="L827" s="63"/>
      <c r="M827" s="63"/>
    </row>
    <row r="828" spans="7:13" ht="12.75">
      <c r="G828" s="63"/>
      <c r="H828" s="63"/>
      <c r="I828" s="63"/>
      <c r="J828" s="63"/>
      <c r="K828" s="63"/>
      <c r="L828" s="63"/>
      <c r="M828" s="63"/>
    </row>
    <row r="829" spans="7:13" ht="12.75">
      <c r="G829" s="63"/>
      <c r="H829" s="63"/>
      <c r="I829" s="63"/>
      <c r="J829" s="63"/>
      <c r="K829" s="63"/>
      <c r="L829" s="63"/>
      <c r="M829" s="63"/>
    </row>
    <row r="830" spans="7:13" ht="12.75">
      <c r="G830" s="63"/>
      <c r="H830" s="63"/>
      <c r="I830" s="63"/>
      <c r="J830" s="63"/>
      <c r="K830" s="63"/>
      <c r="L830" s="63"/>
      <c r="M830" s="63"/>
    </row>
    <row r="831" spans="7:13" ht="12.75">
      <c r="G831" s="63"/>
      <c r="H831" s="63"/>
      <c r="I831" s="63"/>
      <c r="J831" s="63"/>
      <c r="K831" s="63"/>
      <c r="L831" s="63"/>
      <c r="M831" s="63"/>
    </row>
    <row r="832" spans="7:13" ht="12.75">
      <c r="G832" s="63"/>
      <c r="H832" s="63"/>
      <c r="I832" s="63"/>
      <c r="J832" s="63"/>
      <c r="K832" s="63"/>
      <c r="L832" s="63"/>
      <c r="M832" s="63"/>
    </row>
    <row r="833" spans="7:13" ht="12.75">
      <c r="G833" s="63"/>
      <c r="H833" s="63"/>
      <c r="I833" s="63"/>
      <c r="J833" s="63"/>
      <c r="K833" s="63"/>
      <c r="L833" s="63"/>
      <c r="M833" s="63"/>
    </row>
    <row r="834" spans="7:13" ht="12.75">
      <c r="G834" s="63"/>
      <c r="H834" s="63"/>
      <c r="I834" s="63"/>
      <c r="J834" s="63"/>
      <c r="K834" s="63"/>
      <c r="L834" s="63"/>
      <c r="M834" s="63"/>
    </row>
    <row r="835" spans="7:13" ht="12.75">
      <c r="G835" s="63"/>
      <c r="H835" s="63"/>
      <c r="I835" s="63"/>
      <c r="J835" s="63"/>
      <c r="K835" s="63"/>
      <c r="L835" s="63"/>
      <c r="M835" s="63"/>
    </row>
    <row r="836" spans="7:13" ht="12.75">
      <c r="G836" s="63"/>
      <c r="H836" s="63"/>
      <c r="I836" s="63"/>
      <c r="J836" s="63"/>
      <c r="K836" s="63"/>
      <c r="L836" s="63"/>
      <c r="M836" s="63"/>
    </row>
    <row r="837" spans="7:13" ht="12.75">
      <c r="G837" s="63"/>
      <c r="H837" s="63"/>
      <c r="I837" s="63"/>
      <c r="J837" s="63"/>
      <c r="K837" s="63"/>
      <c r="L837" s="63"/>
      <c r="M837" s="63"/>
    </row>
    <row r="838" spans="7:13" ht="12.75">
      <c r="G838" s="63"/>
      <c r="H838" s="63"/>
      <c r="I838" s="63"/>
      <c r="J838" s="63"/>
      <c r="K838" s="63"/>
      <c r="L838" s="63"/>
      <c r="M838" s="63"/>
    </row>
    <row r="839" spans="7:13" ht="12.75">
      <c r="G839" s="63"/>
      <c r="H839" s="63"/>
      <c r="I839" s="63"/>
      <c r="J839" s="63"/>
      <c r="K839" s="63"/>
      <c r="L839" s="63"/>
      <c r="M839" s="63"/>
    </row>
    <row r="840" spans="7:13" ht="12.75">
      <c r="G840" s="63"/>
      <c r="H840" s="63"/>
      <c r="I840" s="63"/>
      <c r="J840" s="63"/>
      <c r="K840" s="63"/>
      <c r="L840" s="63"/>
      <c r="M840" s="63"/>
    </row>
    <row r="841" spans="7:13" ht="12.75">
      <c r="G841" s="63"/>
      <c r="H841" s="63"/>
      <c r="I841" s="63"/>
      <c r="J841" s="63"/>
      <c r="K841" s="63"/>
      <c r="L841" s="63"/>
      <c r="M841" s="63"/>
    </row>
    <row r="842" spans="7:13" ht="12.75">
      <c r="G842" s="63"/>
      <c r="H842" s="63"/>
      <c r="I842" s="63"/>
      <c r="J842" s="63"/>
      <c r="K842" s="63"/>
      <c r="L842" s="63"/>
      <c r="M842" s="63"/>
    </row>
    <row r="843" spans="7:13" ht="12.75">
      <c r="G843" s="63"/>
      <c r="H843" s="63"/>
      <c r="I843" s="63"/>
      <c r="J843" s="63"/>
      <c r="K843" s="63"/>
      <c r="L843" s="63"/>
      <c r="M843" s="63"/>
    </row>
    <row r="844" spans="7:13" ht="12.75">
      <c r="G844" s="63"/>
      <c r="H844" s="63"/>
      <c r="I844" s="63"/>
      <c r="J844" s="63"/>
      <c r="K844" s="63"/>
      <c r="L844" s="63"/>
      <c r="M844" s="63"/>
    </row>
    <row r="845" spans="7:13" ht="12.75">
      <c r="G845" s="63"/>
      <c r="H845" s="63"/>
      <c r="I845" s="63"/>
      <c r="J845" s="63"/>
      <c r="K845" s="63"/>
      <c r="L845" s="63"/>
      <c r="M845" s="63"/>
    </row>
    <row r="846" spans="7:13" ht="12.75">
      <c r="G846" s="63"/>
      <c r="H846" s="63"/>
      <c r="I846" s="63"/>
      <c r="J846" s="63"/>
      <c r="K846" s="63"/>
      <c r="L846" s="63"/>
      <c r="M846" s="63"/>
    </row>
    <row r="847" spans="7:13" ht="12.75">
      <c r="G847" s="63"/>
      <c r="H847" s="63"/>
      <c r="I847" s="63"/>
      <c r="J847" s="63"/>
      <c r="K847" s="63"/>
      <c r="L847" s="63"/>
      <c r="M847" s="63"/>
    </row>
    <row r="848" spans="7:13" ht="12.75">
      <c r="G848" s="63"/>
      <c r="H848" s="63"/>
      <c r="I848" s="63"/>
      <c r="J848" s="63"/>
      <c r="K848" s="63"/>
      <c r="L848" s="63"/>
      <c r="M848" s="63"/>
    </row>
    <row r="849" spans="7:13" ht="12.75">
      <c r="G849" s="63"/>
      <c r="H849" s="63"/>
      <c r="I849" s="63"/>
      <c r="J849" s="63"/>
      <c r="K849" s="63"/>
      <c r="L849" s="63"/>
      <c r="M849" s="63"/>
    </row>
    <row r="850" spans="7:13" ht="12.75">
      <c r="G850" s="63"/>
      <c r="H850" s="63"/>
      <c r="I850" s="63"/>
      <c r="J850" s="63"/>
      <c r="K850" s="63"/>
      <c r="L850" s="63"/>
      <c r="M850" s="63"/>
    </row>
    <row r="851" spans="7:13" ht="12.75">
      <c r="G851" s="63"/>
      <c r="H851" s="63"/>
      <c r="I851" s="63"/>
      <c r="J851" s="63"/>
      <c r="K851" s="63"/>
      <c r="L851" s="63"/>
      <c r="M851" s="63"/>
    </row>
    <row r="852" spans="7:13" ht="12.75">
      <c r="G852" s="63"/>
      <c r="H852" s="63"/>
      <c r="I852" s="63"/>
      <c r="J852" s="63"/>
      <c r="K852" s="63"/>
      <c r="L852" s="63"/>
      <c r="M852" s="63"/>
    </row>
    <row r="853" spans="7:13" ht="12.75">
      <c r="G853" s="63"/>
      <c r="H853" s="63"/>
      <c r="I853" s="63"/>
      <c r="J853" s="63"/>
      <c r="K853" s="63"/>
      <c r="L853" s="63"/>
      <c r="M853" s="63"/>
    </row>
    <row r="854" spans="7:13" ht="12.75">
      <c r="G854" s="63"/>
      <c r="H854" s="63"/>
      <c r="I854" s="63"/>
      <c r="J854" s="63"/>
      <c r="K854" s="63"/>
      <c r="L854" s="63"/>
      <c r="M854" s="63"/>
    </row>
    <row r="855" spans="7:13" ht="12.75">
      <c r="G855" s="63"/>
      <c r="H855" s="63"/>
      <c r="I855" s="63"/>
      <c r="J855" s="63"/>
      <c r="K855" s="63"/>
      <c r="L855" s="63"/>
      <c r="M855" s="63"/>
    </row>
    <row r="856" spans="7:13" ht="12.75">
      <c r="G856" s="63"/>
      <c r="H856" s="63"/>
      <c r="I856" s="63"/>
      <c r="J856" s="63"/>
      <c r="K856" s="63"/>
      <c r="L856" s="63"/>
      <c r="M856" s="63"/>
    </row>
    <row r="857" spans="7:13" ht="12.75">
      <c r="G857" s="63"/>
      <c r="H857" s="63"/>
      <c r="I857" s="63"/>
      <c r="J857" s="63"/>
      <c r="K857" s="63"/>
      <c r="L857" s="63"/>
      <c r="M857" s="63"/>
    </row>
    <row r="858" spans="7:13" ht="12.75">
      <c r="G858" s="63"/>
      <c r="H858" s="63"/>
      <c r="I858" s="63"/>
      <c r="J858" s="63"/>
      <c r="K858" s="63"/>
      <c r="L858" s="63"/>
      <c r="M858" s="63"/>
    </row>
    <row r="859" spans="7:13" ht="12.75">
      <c r="G859" s="63"/>
      <c r="H859" s="63"/>
      <c r="I859" s="63"/>
      <c r="J859" s="63"/>
      <c r="K859" s="63"/>
      <c r="L859" s="63"/>
      <c r="M859" s="63"/>
    </row>
    <row r="860" spans="7:13" ht="12.75">
      <c r="G860" s="63"/>
      <c r="H860" s="63"/>
      <c r="I860" s="63"/>
      <c r="J860" s="63"/>
      <c r="K860" s="63"/>
      <c r="L860" s="63"/>
      <c r="M860" s="63"/>
    </row>
    <row r="861" spans="7:13" ht="12.75">
      <c r="G861" s="63"/>
      <c r="H861" s="63"/>
      <c r="I861" s="63"/>
      <c r="J861" s="63"/>
      <c r="K861" s="63"/>
      <c r="L861" s="63"/>
      <c r="M861" s="63"/>
    </row>
    <row r="862" spans="7:13" ht="12.75">
      <c r="G862" s="63"/>
      <c r="H862" s="63"/>
      <c r="I862" s="63"/>
      <c r="J862" s="63"/>
      <c r="K862" s="63"/>
      <c r="L862" s="63"/>
      <c r="M862" s="63"/>
    </row>
    <row r="863" spans="7:13" ht="12.75">
      <c r="G863" s="63"/>
      <c r="H863" s="63"/>
      <c r="I863" s="63"/>
      <c r="J863" s="63"/>
      <c r="K863" s="63"/>
      <c r="L863" s="63"/>
      <c r="M863" s="63"/>
    </row>
    <row r="864" spans="7:13" ht="12.75">
      <c r="G864" s="63"/>
      <c r="H864" s="63"/>
      <c r="I864" s="63"/>
      <c r="J864" s="63"/>
      <c r="K864" s="63"/>
      <c r="L864" s="63"/>
      <c r="M864" s="63"/>
    </row>
    <row r="865" spans="7:13" ht="12.75">
      <c r="G865" s="63"/>
      <c r="H865" s="63"/>
      <c r="I865" s="63"/>
      <c r="J865" s="63"/>
      <c r="K865" s="63"/>
      <c r="L865" s="63"/>
      <c r="M865" s="63"/>
    </row>
    <row r="866" spans="7:13" ht="12.75">
      <c r="G866" s="63"/>
      <c r="H866" s="63"/>
      <c r="I866" s="63"/>
      <c r="J866" s="63"/>
      <c r="K866" s="63"/>
      <c r="L866" s="63"/>
      <c r="M866" s="63"/>
    </row>
    <row r="867" spans="7:13" ht="12.75">
      <c r="G867" s="63"/>
      <c r="H867" s="63"/>
      <c r="I867" s="63"/>
      <c r="J867" s="63"/>
      <c r="K867" s="63"/>
      <c r="L867" s="63"/>
      <c r="M867" s="63"/>
    </row>
    <row r="868" spans="7:13" ht="12.75">
      <c r="G868" s="63"/>
      <c r="H868" s="63"/>
      <c r="I868" s="63"/>
      <c r="J868" s="63"/>
      <c r="K868" s="63"/>
      <c r="L868" s="63"/>
      <c r="M868" s="63"/>
    </row>
    <row r="869" spans="7:13" ht="12.75">
      <c r="G869" s="63"/>
      <c r="H869" s="63"/>
      <c r="I869" s="63"/>
      <c r="J869" s="63"/>
      <c r="K869" s="63"/>
      <c r="L869" s="63"/>
      <c r="M869" s="63"/>
    </row>
    <row r="870" spans="7:13" ht="12.75">
      <c r="G870" s="63"/>
      <c r="H870" s="63"/>
      <c r="I870" s="63"/>
      <c r="J870" s="63"/>
      <c r="K870" s="63"/>
      <c r="L870" s="63"/>
      <c r="M870" s="63"/>
    </row>
    <row r="871" spans="7:13" ht="12.75">
      <c r="G871" s="63"/>
      <c r="H871" s="63"/>
      <c r="I871" s="63"/>
      <c r="J871" s="63"/>
      <c r="K871" s="63"/>
      <c r="L871" s="63"/>
      <c r="M871" s="63"/>
    </row>
    <row r="872" spans="7:13" ht="12.75">
      <c r="G872" s="63"/>
      <c r="H872" s="63"/>
      <c r="I872" s="63"/>
      <c r="J872" s="63"/>
      <c r="K872" s="63"/>
      <c r="L872" s="63"/>
      <c r="M872" s="63"/>
    </row>
    <row r="873" spans="7:13" ht="12.75">
      <c r="G873" s="63"/>
      <c r="H873" s="63"/>
      <c r="I873" s="63"/>
      <c r="J873" s="63"/>
      <c r="K873" s="63"/>
      <c r="L873" s="63"/>
      <c r="M873" s="63"/>
    </row>
    <row r="874" spans="7:13" ht="12.75">
      <c r="G874" s="63"/>
      <c r="H874" s="63"/>
      <c r="I874" s="63"/>
      <c r="J874" s="63"/>
      <c r="K874" s="63"/>
      <c r="L874" s="63"/>
      <c r="M874" s="63"/>
    </row>
    <row r="875" spans="7:13" ht="12.75">
      <c r="G875" s="63"/>
      <c r="H875" s="63"/>
      <c r="I875" s="63"/>
      <c r="J875" s="63"/>
      <c r="K875" s="63"/>
      <c r="L875" s="63"/>
      <c r="M875" s="63"/>
    </row>
    <row r="876" spans="7:13" ht="12.75">
      <c r="G876" s="63"/>
      <c r="H876" s="63"/>
      <c r="I876" s="63"/>
      <c r="J876" s="63"/>
      <c r="K876" s="63"/>
      <c r="L876" s="63"/>
      <c r="M876" s="63"/>
    </row>
    <row r="877" spans="7:13" ht="12.75">
      <c r="G877" s="63"/>
      <c r="H877" s="63"/>
      <c r="I877" s="63"/>
      <c r="J877" s="63"/>
      <c r="K877" s="63"/>
      <c r="L877" s="63"/>
      <c r="M877" s="63"/>
    </row>
    <row r="878" spans="7:13" ht="12.75">
      <c r="G878" s="63"/>
      <c r="H878" s="63"/>
      <c r="I878" s="63"/>
      <c r="J878" s="63"/>
      <c r="K878" s="63"/>
      <c r="L878" s="63"/>
      <c r="M878" s="63"/>
    </row>
    <row r="879" spans="7:13" ht="12.75">
      <c r="G879" s="63"/>
      <c r="H879" s="63"/>
      <c r="I879" s="63"/>
      <c r="J879" s="63"/>
      <c r="K879" s="63"/>
      <c r="L879" s="63"/>
      <c r="M879" s="63"/>
    </row>
    <row r="880" spans="7:13" ht="12.75">
      <c r="G880" s="63"/>
      <c r="H880" s="63"/>
      <c r="I880" s="63"/>
      <c r="J880" s="63"/>
      <c r="K880" s="63"/>
      <c r="L880" s="63"/>
      <c r="M880" s="63"/>
    </row>
    <row r="881" spans="7:13" ht="12.75">
      <c r="G881" s="63"/>
      <c r="H881" s="63"/>
      <c r="I881" s="63"/>
      <c r="J881" s="63"/>
      <c r="K881" s="63"/>
      <c r="L881" s="63"/>
      <c r="M881" s="63"/>
    </row>
    <row r="882" spans="7:13" ht="12.75">
      <c r="G882" s="63"/>
      <c r="H882" s="63"/>
      <c r="I882" s="63"/>
      <c r="J882" s="63"/>
      <c r="K882" s="63"/>
      <c r="L882" s="63"/>
      <c r="M882" s="63"/>
    </row>
    <row r="883" spans="7:13" ht="12.75">
      <c r="G883" s="63"/>
      <c r="H883" s="63"/>
      <c r="I883" s="63"/>
      <c r="J883" s="63"/>
      <c r="K883" s="63"/>
      <c r="L883" s="63"/>
      <c r="M883" s="63"/>
    </row>
    <row r="884" spans="7:13" ht="12.75">
      <c r="G884" s="63"/>
      <c r="H884" s="63"/>
      <c r="I884" s="63"/>
      <c r="J884" s="63"/>
      <c r="K884" s="63"/>
      <c r="L884" s="63"/>
      <c r="M884" s="63"/>
    </row>
    <row r="885" spans="7:13" ht="12.75">
      <c r="G885" s="63"/>
      <c r="H885" s="63"/>
      <c r="I885" s="63"/>
      <c r="J885" s="63"/>
      <c r="K885" s="63"/>
      <c r="L885" s="63"/>
      <c r="M885" s="63"/>
    </row>
    <row r="886" spans="7:13" ht="12.75">
      <c r="G886" s="63"/>
      <c r="H886" s="63"/>
      <c r="I886" s="63"/>
      <c r="J886" s="63"/>
      <c r="K886" s="63"/>
      <c r="L886" s="63"/>
      <c r="M886" s="63"/>
    </row>
    <row r="887" spans="7:13" ht="12.75">
      <c r="G887" s="63"/>
      <c r="H887" s="63"/>
      <c r="I887" s="63"/>
      <c r="J887" s="63"/>
      <c r="K887" s="63"/>
      <c r="L887" s="63"/>
      <c r="M887" s="63"/>
    </row>
    <row r="888" spans="7:13" ht="12.75">
      <c r="G888" s="63"/>
      <c r="H888" s="63"/>
      <c r="I888" s="63"/>
      <c r="J888" s="63"/>
      <c r="K888" s="63"/>
      <c r="L888" s="63"/>
      <c r="M888" s="63"/>
    </row>
    <row r="889" spans="7:13" ht="12.75">
      <c r="G889" s="63"/>
      <c r="H889" s="63"/>
      <c r="I889" s="63"/>
      <c r="J889" s="63"/>
      <c r="K889" s="63"/>
      <c r="L889" s="63"/>
      <c r="M889" s="63"/>
    </row>
    <row r="890" spans="7:13" ht="12.75">
      <c r="G890" s="63"/>
      <c r="H890" s="63"/>
      <c r="I890" s="63"/>
      <c r="J890" s="63"/>
      <c r="K890" s="63"/>
      <c r="L890" s="63"/>
      <c r="M890" s="63"/>
    </row>
    <row r="891" spans="7:13" ht="12.75">
      <c r="G891" s="63"/>
      <c r="H891" s="63"/>
      <c r="I891" s="63"/>
      <c r="J891" s="63"/>
      <c r="K891" s="63"/>
      <c r="L891" s="63"/>
      <c r="M891" s="63"/>
    </row>
    <row r="892" spans="7:13" ht="12.75">
      <c r="G892" s="63"/>
      <c r="H892" s="63"/>
      <c r="I892" s="63"/>
      <c r="J892" s="63"/>
      <c r="K892" s="63"/>
      <c r="L892" s="63"/>
      <c r="M892" s="63"/>
    </row>
    <row r="893" spans="7:13" ht="12.75">
      <c r="G893" s="63"/>
      <c r="H893" s="63"/>
      <c r="I893" s="63"/>
      <c r="J893" s="63"/>
      <c r="K893" s="63"/>
      <c r="L893" s="63"/>
      <c r="M893" s="63"/>
    </row>
    <row r="894" spans="7:13" ht="12.75">
      <c r="G894" s="63"/>
      <c r="H894" s="63"/>
      <c r="I894" s="63"/>
      <c r="J894" s="63"/>
      <c r="K894" s="63"/>
      <c r="L894" s="63"/>
      <c r="M894" s="63"/>
    </row>
    <row r="895" spans="7:13" ht="12.75">
      <c r="G895" s="63"/>
      <c r="H895" s="63"/>
      <c r="I895" s="63"/>
      <c r="J895" s="63"/>
      <c r="K895" s="63"/>
      <c r="L895" s="63"/>
      <c r="M895" s="63"/>
    </row>
    <row r="896" spans="7:13" ht="12.75">
      <c r="G896" s="63"/>
      <c r="H896" s="63"/>
      <c r="I896" s="63"/>
      <c r="J896" s="63"/>
      <c r="K896" s="63"/>
      <c r="L896" s="63"/>
      <c r="M896" s="63"/>
    </row>
    <row r="897" spans="7:13" ht="12.75">
      <c r="G897" s="63"/>
      <c r="H897" s="63"/>
      <c r="I897" s="63"/>
      <c r="J897" s="63"/>
      <c r="K897" s="63"/>
      <c r="L897" s="63"/>
      <c r="M897" s="63"/>
    </row>
    <row r="898" spans="7:13" ht="12.75">
      <c r="G898" s="63"/>
      <c r="H898" s="63"/>
      <c r="I898" s="63"/>
      <c r="J898" s="63"/>
      <c r="K898" s="63"/>
      <c r="L898" s="63"/>
      <c r="M898" s="63"/>
    </row>
    <row r="899" spans="7:13" ht="12.75">
      <c r="G899" s="63"/>
      <c r="H899" s="63"/>
      <c r="I899" s="63"/>
      <c r="J899" s="63"/>
      <c r="K899" s="63"/>
      <c r="L899" s="63"/>
      <c r="M899" s="63"/>
    </row>
    <row r="900" spans="7:13" ht="12.75">
      <c r="G900" s="63"/>
      <c r="H900" s="63"/>
      <c r="I900" s="63"/>
      <c r="J900" s="63"/>
      <c r="K900" s="63"/>
      <c r="L900" s="63"/>
      <c r="M900" s="63"/>
    </row>
    <row r="901" spans="7:13" ht="12.75">
      <c r="G901" s="63"/>
      <c r="H901" s="63"/>
      <c r="I901" s="63"/>
      <c r="J901" s="63"/>
      <c r="K901" s="63"/>
      <c r="L901" s="63"/>
      <c r="M901" s="63"/>
    </row>
    <row r="902" spans="7:13" ht="12.75">
      <c r="G902" s="63"/>
      <c r="H902" s="63"/>
      <c r="I902" s="63"/>
      <c r="J902" s="63"/>
      <c r="K902" s="63"/>
      <c r="L902" s="63"/>
      <c r="M902" s="63"/>
    </row>
    <row r="903" spans="7:13" ht="12.75">
      <c r="G903" s="63"/>
      <c r="H903" s="63"/>
      <c r="I903" s="63"/>
      <c r="J903" s="63"/>
      <c r="K903" s="63"/>
      <c r="L903" s="63"/>
      <c r="M903" s="63"/>
    </row>
    <row r="904" spans="7:13" ht="12.75">
      <c r="G904" s="63"/>
      <c r="H904" s="63"/>
      <c r="I904" s="63"/>
      <c r="J904" s="63"/>
      <c r="K904" s="63"/>
      <c r="L904" s="63"/>
      <c r="M904" s="63"/>
    </row>
    <row r="905" spans="7:13" ht="12.75">
      <c r="G905" s="63"/>
      <c r="H905" s="63"/>
      <c r="I905" s="63"/>
      <c r="J905" s="63"/>
      <c r="K905" s="63"/>
      <c r="L905" s="63"/>
      <c r="M905" s="63"/>
    </row>
    <row r="906" spans="7:13" ht="12.75">
      <c r="G906" s="63"/>
      <c r="H906" s="63"/>
      <c r="I906" s="63"/>
      <c r="J906" s="63"/>
      <c r="K906" s="63"/>
      <c r="L906" s="63"/>
      <c r="M906" s="63"/>
    </row>
    <row r="907" spans="7:13" ht="12.75">
      <c r="G907" s="63"/>
      <c r="H907" s="63"/>
      <c r="I907" s="63"/>
      <c r="J907" s="63"/>
      <c r="K907" s="63"/>
      <c r="L907" s="63"/>
      <c r="M907" s="63"/>
    </row>
    <row r="908" spans="7:13" ht="12.75">
      <c r="G908" s="63"/>
      <c r="H908" s="63"/>
      <c r="I908" s="63"/>
      <c r="J908" s="63"/>
      <c r="K908" s="63"/>
      <c r="L908" s="63"/>
      <c r="M908" s="63"/>
    </row>
    <row r="909" spans="7:13" ht="12.75">
      <c r="G909" s="63"/>
      <c r="H909" s="63"/>
      <c r="I909" s="63"/>
      <c r="J909" s="63"/>
      <c r="K909" s="63"/>
      <c r="L909" s="63"/>
      <c r="M909" s="63"/>
    </row>
    <row r="910" spans="7:13" ht="12.75">
      <c r="G910" s="63"/>
      <c r="H910" s="63"/>
      <c r="I910" s="63"/>
      <c r="J910" s="63"/>
      <c r="K910" s="63"/>
      <c r="L910" s="63"/>
      <c r="M910" s="63"/>
    </row>
    <row r="911" spans="7:13" ht="12.75">
      <c r="G911" s="63"/>
      <c r="H911" s="63"/>
      <c r="I911" s="63"/>
      <c r="J911" s="63"/>
      <c r="K911" s="63"/>
      <c r="L911" s="63"/>
      <c r="M911" s="63"/>
    </row>
    <row r="912" spans="7:13" ht="12.75">
      <c r="G912" s="63"/>
      <c r="H912" s="63"/>
      <c r="I912" s="63"/>
      <c r="J912" s="63"/>
      <c r="K912" s="63"/>
      <c r="L912" s="63"/>
      <c r="M912" s="63"/>
    </row>
    <row r="913" spans="7:13" ht="12.75">
      <c r="G913" s="63"/>
      <c r="H913" s="63"/>
      <c r="I913" s="63"/>
      <c r="J913" s="63"/>
      <c r="K913" s="63"/>
      <c r="L913" s="63"/>
      <c r="M913" s="63"/>
    </row>
    <row r="914" spans="7:13" ht="12.75">
      <c r="G914" s="63"/>
      <c r="H914" s="63"/>
      <c r="I914" s="63"/>
      <c r="J914" s="63"/>
      <c r="K914" s="63"/>
      <c r="L914" s="63"/>
      <c r="M914" s="63"/>
    </row>
    <row r="915" spans="7:13" ht="12.75">
      <c r="G915" s="63"/>
      <c r="H915" s="63"/>
      <c r="I915" s="63"/>
      <c r="J915" s="63"/>
      <c r="K915" s="63"/>
      <c r="L915" s="63"/>
      <c r="M915" s="63"/>
    </row>
    <row r="916" spans="7:13" ht="12.75">
      <c r="G916" s="63"/>
      <c r="H916" s="63"/>
      <c r="I916" s="63"/>
      <c r="J916" s="63"/>
      <c r="K916" s="63"/>
      <c r="L916" s="63"/>
      <c r="M916" s="63"/>
    </row>
    <row r="917" spans="7:13" ht="12.75">
      <c r="G917" s="63"/>
      <c r="H917" s="63"/>
      <c r="I917" s="63"/>
      <c r="J917" s="63"/>
      <c r="K917" s="63"/>
      <c r="L917" s="63"/>
      <c r="M917" s="63"/>
    </row>
    <row r="918" spans="7:13" ht="12.75">
      <c r="G918" s="63"/>
      <c r="H918" s="63"/>
      <c r="I918" s="63"/>
      <c r="J918" s="63"/>
      <c r="K918" s="63"/>
      <c r="L918" s="63"/>
      <c r="M918" s="63"/>
    </row>
    <row r="919" spans="7:13" ht="12.75">
      <c r="G919" s="63"/>
      <c r="H919" s="63"/>
      <c r="I919" s="63"/>
      <c r="J919" s="63"/>
      <c r="K919" s="63"/>
      <c r="L919" s="63"/>
      <c r="M919" s="63"/>
    </row>
    <row r="920" spans="7:13" ht="12.75">
      <c r="G920" s="63"/>
      <c r="H920" s="63"/>
      <c r="I920" s="63"/>
      <c r="J920" s="63"/>
      <c r="K920" s="63"/>
      <c r="L920" s="63"/>
      <c r="M920" s="63"/>
    </row>
    <row r="921" spans="7:13" ht="12.75">
      <c r="G921" s="63"/>
      <c r="H921" s="63"/>
      <c r="I921" s="63"/>
      <c r="J921" s="63"/>
      <c r="K921" s="63"/>
      <c r="L921" s="63"/>
      <c r="M921" s="63"/>
    </row>
    <row r="922" spans="7:13" ht="12.75">
      <c r="G922" s="63"/>
      <c r="H922" s="63"/>
      <c r="I922" s="63"/>
      <c r="J922" s="63"/>
      <c r="K922" s="63"/>
      <c r="L922" s="63"/>
      <c r="M922" s="63"/>
    </row>
    <row r="923" spans="7:13" ht="12.75">
      <c r="G923" s="63"/>
      <c r="H923" s="63"/>
      <c r="I923" s="63"/>
      <c r="J923" s="63"/>
      <c r="K923" s="63"/>
      <c r="L923" s="63"/>
      <c r="M923" s="63"/>
    </row>
    <row r="924" spans="7:13" ht="12.75">
      <c r="G924" s="63"/>
      <c r="H924" s="63"/>
      <c r="I924" s="63"/>
      <c r="J924" s="63"/>
      <c r="K924" s="63"/>
      <c r="L924" s="63"/>
      <c r="M924" s="63"/>
    </row>
    <row r="925" spans="7:13" ht="12.75">
      <c r="G925" s="63"/>
      <c r="H925" s="63"/>
      <c r="I925" s="63"/>
      <c r="J925" s="63"/>
      <c r="K925" s="63"/>
      <c r="L925" s="63"/>
      <c r="M925" s="63"/>
    </row>
    <row r="926" spans="7:13" ht="12.75">
      <c r="G926" s="63"/>
      <c r="H926" s="63"/>
      <c r="I926" s="63"/>
      <c r="J926" s="63"/>
      <c r="K926" s="63"/>
      <c r="L926" s="63"/>
      <c r="M926" s="63"/>
    </row>
    <row r="927" spans="7:13" ht="12.75">
      <c r="G927" s="63"/>
      <c r="H927" s="63"/>
      <c r="I927" s="63"/>
      <c r="J927" s="63"/>
      <c r="K927" s="63"/>
      <c r="L927" s="63"/>
      <c r="M927" s="63"/>
    </row>
    <row r="928" spans="7:13" ht="12.75">
      <c r="G928" s="63"/>
      <c r="H928" s="63"/>
      <c r="I928" s="63"/>
      <c r="J928" s="63"/>
      <c r="K928" s="63"/>
      <c r="L928" s="63"/>
      <c r="M928" s="63"/>
    </row>
    <row r="929" spans="7:13" ht="12.75">
      <c r="G929" s="63"/>
      <c r="H929" s="63"/>
      <c r="I929" s="63"/>
      <c r="J929" s="63"/>
      <c r="K929" s="63"/>
      <c r="L929" s="63"/>
      <c r="M929" s="63"/>
    </row>
    <row r="930" spans="7:13" ht="12.75">
      <c r="G930" s="63"/>
      <c r="H930" s="63"/>
      <c r="I930" s="63"/>
      <c r="J930" s="63"/>
      <c r="K930" s="63"/>
      <c r="L930" s="63"/>
      <c r="M930" s="63"/>
    </row>
    <row r="931" spans="7:13" ht="12.75">
      <c r="G931" s="63"/>
      <c r="H931" s="63"/>
      <c r="I931" s="63"/>
      <c r="J931" s="63"/>
      <c r="K931" s="63"/>
      <c r="L931" s="63"/>
      <c r="M931" s="63"/>
    </row>
    <row r="932" spans="7:13" ht="12.75">
      <c r="G932" s="63"/>
      <c r="H932" s="63"/>
      <c r="I932" s="63"/>
      <c r="J932" s="63"/>
      <c r="K932" s="63"/>
      <c r="L932" s="63"/>
      <c r="M932" s="63"/>
    </row>
    <row r="933" spans="7:13" ht="12.75">
      <c r="G933" s="63"/>
      <c r="H933" s="63"/>
      <c r="I933" s="63"/>
      <c r="J933" s="63"/>
      <c r="K933" s="63"/>
      <c r="L933" s="63"/>
      <c r="M933" s="63"/>
    </row>
    <row r="934" spans="7:13" ht="12.75">
      <c r="G934" s="63"/>
      <c r="H934" s="63"/>
      <c r="I934" s="63"/>
      <c r="J934" s="63"/>
      <c r="K934" s="63"/>
      <c r="L934" s="63"/>
      <c r="M934" s="63"/>
    </row>
    <row r="935" spans="7:13" ht="12.75">
      <c r="G935" s="63"/>
      <c r="H935" s="63"/>
      <c r="I935" s="63"/>
      <c r="J935" s="63"/>
      <c r="K935" s="63"/>
      <c r="L935" s="63"/>
      <c r="M935" s="63"/>
    </row>
    <row r="936" spans="7:13" ht="12.75">
      <c r="G936" s="63"/>
      <c r="H936" s="63"/>
      <c r="I936" s="63"/>
      <c r="J936" s="63"/>
      <c r="K936" s="63"/>
      <c r="L936" s="63"/>
      <c r="M936" s="63"/>
    </row>
    <row r="937" spans="7:13" ht="12.75">
      <c r="G937" s="63"/>
      <c r="H937" s="63"/>
      <c r="I937" s="63"/>
      <c r="J937" s="63"/>
      <c r="K937" s="63"/>
      <c r="L937" s="63"/>
      <c r="M937" s="63"/>
    </row>
    <row r="938" spans="7:13" ht="12.75">
      <c r="G938" s="63"/>
      <c r="H938" s="63"/>
      <c r="I938" s="63"/>
      <c r="J938" s="63"/>
      <c r="K938" s="63"/>
      <c r="L938" s="63"/>
      <c r="M938" s="63"/>
    </row>
    <row r="939" spans="7:13" ht="12.75">
      <c r="G939" s="63"/>
      <c r="H939" s="63"/>
      <c r="I939" s="63"/>
      <c r="J939" s="63"/>
      <c r="K939" s="63"/>
      <c r="L939" s="63"/>
      <c r="M939" s="63"/>
    </row>
    <row r="940" spans="7:13" ht="12.75">
      <c r="G940" s="63"/>
      <c r="H940" s="63"/>
      <c r="I940" s="63"/>
      <c r="J940" s="63"/>
      <c r="K940" s="63"/>
      <c r="L940" s="63"/>
      <c r="M940" s="63"/>
    </row>
    <row r="941" spans="7:13" ht="12.75">
      <c r="G941" s="63"/>
      <c r="H941" s="63"/>
      <c r="I941" s="63"/>
      <c r="J941" s="63"/>
      <c r="K941" s="63"/>
      <c r="L941" s="63"/>
      <c r="M941" s="63"/>
    </row>
    <row r="942" spans="7:13" ht="12.75">
      <c r="G942" s="63"/>
      <c r="H942" s="63"/>
      <c r="I942" s="63"/>
      <c r="J942" s="63"/>
      <c r="K942" s="63"/>
      <c r="L942" s="63"/>
      <c r="M942" s="63"/>
    </row>
    <row r="943" spans="7:13" ht="12.75">
      <c r="G943" s="63"/>
      <c r="H943" s="63"/>
      <c r="I943" s="63"/>
      <c r="J943" s="63"/>
      <c r="K943" s="63"/>
      <c r="L943" s="63"/>
      <c r="M943" s="63"/>
    </row>
    <row r="944" spans="7:13" ht="12.75">
      <c r="G944" s="63"/>
      <c r="H944" s="63"/>
      <c r="I944" s="63"/>
      <c r="J944" s="63"/>
      <c r="K944" s="63"/>
      <c r="L944" s="63"/>
      <c r="M944" s="63"/>
    </row>
    <row r="945" spans="7:13" ht="12.75">
      <c r="G945" s="63"/>
      <c r="H945" s="63"/>
      <c r="I945" s="63"/>
      <c r="J945" s="63"/>
      <c r="K945" s="63"/>
      <c r="L945" s="63"/>
      <c r="M945" s="63"/>
    </row>
    <row r="946" spans="7:13" ht="12.75">
      <c r="G946" s="63"/>
      <c r="H946" s="63"/>
      <c r="I946" s="63"/>
      <c r="J946" s="63"/>
      <c r="K946" s="63"/>
      <c r="L946" s="63"/>
      <c r="M946" s="63"/>
    </row>
    <row r="947" spans="7:13" ht="12.75">
      <c r="G947" s="63"/>
      <c r="H947" s="63"/>
      <c r="I947" s="63"/>
      <c r="J947" s="63"/>
      <c r="K947" s="63"/>
      <c r="L947" s="63"/>
      <c r="M947" s="63"/>
    </row>
    <row r="948" spans="7:13" ht="12.75">
      <c r="G948" s="63"/>
      <c r="H948" s="63"/>
      <c r="I948" s="63"/>
      <c r="J948" s="63"/>
      <c r="K948" s="63"/>
      <c r="L948" s="63"/>
      <c r="M948" s="63"/>
    </row>
    <row r="949" spans="7:13" ht="12.75">
      <c r="G949" s="63"/>
      <c r="H949" s="63"/>
      <c r="I949" s="63"/>
      <c r="J949" s="63"/>
      <c r="K949" s="63"/>
      <c r="L949" s="63"/>
      <c r="M949" s="63"/>
    </row>
    <row r="950" spans="7:13" ht="12.75">
      <c r="G950" s="63"/>
      <c r="H950" s="63"/>
      <c r="I950" s="63"/>
      <c r="J950" s="63"/>
      <c r="K950" s="63"/>
      <c r="L950" s="63"/>
      <c r="M950" s="63"/>
    </row>
    <row r="951" spans="7:13" ht="12.75">
      <c r="G951" s="63"/>
      <c r="H951" s="63"/>
      <c r="I951" s="63"/>
      <c r="J951" s="63"/>
      <c r="K951" s="63"/>
      <c r="L951" s="63"/>
      <c r="M951" s="63"/>
    </row>
    <row r="952" spans="7:13" ht="12.75">
      <c r="G952" s="63"/>
      <c r="H952" s="63"/>
      <c r="I952" s="63"/>
      <c r="J952" s="63"/>
      <c r="K952" s="63"/>
      <c r="L952" s="63"/>
      <c r="M952" s="63"/>
    </row>
    <row r="953" spans="7:13" ht="12.75">
      <c r="G953" s="63"/>
      <c r="H953" s="63"/>
      <c r="I953" s="63"/>
      <c r="J953" s="63"/>
      <c r="K953" s="63"/>
      <c r="L953" s="63"/>
      <c r="M953" s="63"/>
    </row>
    <row r="954" spans="7:13" ht="12.75">
      <c r="G954" s="63"/>
      <c r="H954" s="63"/>
      <c r="I954" s="63"/>
      <c r="J954" s="63"/>
      <c r="K954" s="63"/>
      <c r="L954" s="63"/>
      <c r="M954" s="63"/>
    </row>
    <row r="955" spans="7:13" ht="12.75">
      <c r="G955" s="63"/>
      <c r="H955" s="63"/>
      <c r="I955" s="63"/>
      <c r="J955" s="63"/>
      <c r="K955" s="63"/>
      <c r="L955" s="63"/>
      <c r="M955" s="63"/>
    </row>
    <row r="956" spans="7:13" ht="12.75">
      <c r="G956" s="63"/>
      <c r="H956" s="63"/>
      <c r="I956" s="63"/>
      <c r="J956" s="63"/>
      <c r="K956" s="63"/>
      <c r="L956" s="63"/>
      <c r="M956" s="63"/>
    </row>
    <row r="957" spans="7:13" ht="12.75">
      <c r="G957" s="63"/>
      <c r="H957" s="63"/>
      <c r="I957" s="63"/>
      <c r="J957" s="63"/>
      <c r="K957" s="63"/>
      <c r="L957" s="63"/>
      <c r="M957" s="63"/>
    </row>
    <row r="958" spans="7:13" ht="12.75">
      <c r="G958" s="63"/>
      <c r="H958" s="63"/>
      <c r="I958" s="63"/>
      <c r="J958" s="63"/>
      <c r="K958" s="63"/>
      <c r="L958" s="63"/>
      <c r="M958" s="63"/>
    </row>
    <row r="959" spans="7:13" ht="12.75">
      <c r="G959" s="63"/>
      <c r="H959" s="63"/>
      <c r="I959" s="63"/>
      <c r="J959" s="63"/>
      <c r="K959" s="63"/>
      <c r="L959" s="63"/>
      <c r="M959" s="63"/>
    </row>
    <row r="960" spans="7:13" ht="12.75">
      <c r="G960" s="63"/>
      <c r="H960" s="63"/>
      <c r="I960" s="63"/>
      <c r="J960" s="63"/>
      <c r="K960" s="63"/>
      <c r="L960" s="63"/>
      <c r="M960" s="63"/>
    </row>
    <row r="961" spans="7:13" ht="12.75">
      <c r="G961" s="63"/>
      <c r="H961" s="63"/>
      <c r="I961" s="63"/>
      <c r="J961" s="63"/>
      <c r="K961" s="63"/>
      <c r="L961" s="63"/>
      <c r="M961" s="63"/>
    </row>
    <row r="962" spans="7:13" ht="12.75">
      <c r="G962" s="63"/>
      <c r="H962" s="63"/>
      <c r="I962" s="63"/>
      <c r="J962" s="63"/>
      <c r="K962" s="63"/>
      <c r="L962" s="63"/>
      <c r="M962" s="63"/>
    </row>
    <row r="963" spans="7:13" ht="12.75">
      <c r="G963" s="63"/>
      <c r="H963" s="63"/>
      <c r="I963" s="63"/>
      <c r="J963" s="63"/>
      <c r="K963" s="63"/>
      <c r="L963" s="63"/>
      <c r="M963" s="63"/>
    </row>
    <row r="964" spans="7:13" ht="12.75">
      <c r="G964" s="63"/>
      <c r="H964" s="63"/>
      <c r="I964" s="63"/>
      <c r="J964" s="63"/>
      <c r="K964" s="63"/>
      <c r="L964" s="63"/>
      <c r="M964" s="63"/>
    </row>
    <row r="965" spans="7:13" ht="12.75">
      <c r="G965" s="63"/>
      <c r="H965" s="63"/>
      <c r="I965" s="63"/>
      <c r="J965" s="63"/>
      <c r="K965" s="63"/>
      <c r="L965" s="63"/>
      <c r="M965" s="63"/>
    </row>
    <row r="966" spans="7:13" ht="12.75">
      <c r="G966" s="63"/>
      <c r="H966" s="63"/>
      <c r="I966" s="63"/>
      <c r="J966" s="63"/>
      <c r="K966" s="63"/>
      <c r="L966" s="63"/>
      <c r="M966" s="63"/>
    </row>
    <row r="967" spans="7:13" ht="12.75">
      <c r="G967" s="63"/>
      <c r="H967" s="63"/>
      <c r="I967" s="63"/>
      <c r="J967" s="63"/>
      <c r="K967" s="63"/>
      <c r="L967" s="63"/>
      <c r="M967" s="63"/>
    </row>
    <row r="968" spans="7:13" ht="12.75">
      <c r="G968" s="63"/>
      <c r="H968" s="63"/>
      <c r="I968" s="63"/>
      <c r="J968" s="63"/>
      <c r="K968" s="63"/>
      <c r="L968" s="63"/>
      <c r="M968" s="63"/>
    </row>
    <row r="969" spans="7:13" ht="12.75">
      <c r="G969" s="63"/>
      <c r="H969" s="63"/>
      <c r="I969" s="63"/>
      <c r="J969" s="63"/>
      <c r="K969" s="63"/>
      <c r="L969" s="63"/>
      <c r="M969" s="63"/>
    </row>
    <row r="970" spans="7:13" ht="12.75">
      <c r="G970" s="63"/>
      <c r="H970" s="63"/>
      <c r="I970" s="63"/>
      <c r="J970" s="63"/>
      <c r="K970" s="63"/>
      <c r="L970" s="63"/>
      <c r="M970" s="63"/>
    </row>
    <row r="971" spans="7:13" ht="12.75">
      <c r="G971" s="63"/>
      <c r="H971" s="63"/>
      <c r="I971" s="63"/>
      <c r="J971" s="63"/>
      <c r="K971" s="63"/>
      <c r="L971" s="63"/>
      <c r="M971" s="63"/>
    </row>
    <row r="972" spans="7:13" ht="12.75">
      <c r="G972" s="63"/>
      <c r="H972" s="63"/>
      <c r="I972" s="63"/>
      <c r="J972" s="63"/>
      <c r="K972" s="63"/>
      <c r="L972" s="63"/>
      <c r="M972" s="6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P97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8.28515625" customWidth="1"/>
    <col min="2" max="2" width="7.5703125" customWidth="1"/>
    <col min="3" max="3" width="6.85546875" customWidth="1"/>
    <col min="4" max="4" width="8.42578125" customWidth="1"/>
    <col min="5" max="6" width="16.42578125" customWidth="1"/>
    <col min="7" max="8" width="10.28515625" customWidth="1"/>
    <col min="9" max="9" width="7.7109375" customWidth="1"/>
    <col min="10" max="10" width="7.140625" customWidth="1"/>
    <col min="15" max="15" width="8.42578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655</v>
      </c>
      <c r="H1" s="59" t="s">
        <v>539</v>
      </c>
      <c r="I1" s="59" t="s">
        <v>642</v>
      </c>
      <c r="J1" s="59" t="s">
        <v>643</v>
      </c>
      <c r="K1" s="59" t="s">
        <v>644</v>
      </c>
      <c r="L1" s="59" t="s">
        <v>645</v>
      </c>
      <c r="M1" s="59" t="s">
        <v>646</v>
      </c>
      <c r="N1" s="59" t="s">
        <v>647</v>
      </c>
      <c r="P1" s="1" t="s">
        <v>8</v>
      </c>
    </row>
    <row r="2" spans="1:16" ht="15.75" customHeight="1">
      <c r="A2" s="3">
        <v>75</v>
      </c>
      <c r="B2" s="3">
        <v>225</v>
      </c>
      <c r="C2" s="3">
        <f t="shared" ref="C2:C3" si="0">B2/A2</f>
        <v>3</v>
      </c>
      <c r="D2" s="3">
        <v>183</v>
      </c>
      <c r="E2" s="3" t="s">
        <v>621</v>
      </c>
      <c r="F2" s="3" t="s">
        <v>622</v>
      </c>
      <c r="G2" s="3" t="s">
        <v>656</v>
      </c>
      <c r="H2" s="4">
        <v>3.4722222222222224E-2</v>
      </c>
      <c r="I2" s="4">
        <v>3.4837962962962965E-3</v>
      </c>
      <c r="J2" s="4">
        <v>6.0069444444444441E-3</v>
      </c>
      <c r="K2" s="4">
        <v>3.9351851851851848E-3</v>
      </c>
      <c r="L2" s="4">
        <v>2.3611111111111111E-3</v>
      </c>
      <c r="M2" s="4">
        <v>2.9282407407407408E-3</v>
      </c>
      <c r="N2" s="4">
        <v>1.0763888888888889E-3</v>
      </c>
      <c r="O2" s="28" t="str">
        <f>HYPERLINK("https://www.strava.com/activities/1894049351","Strava")</f>
        <v>Strava</v>
      </c>
    </row>
    <row r="3" spans="1:16" ht="15.75" customHeight="1">
      <c r="A3" s="3">
        <v>75</v>
      </c>
      <c r="B3" s="3">
        <v>225</v>
      </c>
      <c r="C3" s="3">
        <f t="shared" si="0"/>
        <v>3</v>
      </c>
      <c r="D3" s="3">
        <v>183</v>
      </c>
      <c r="E3" s="3" t="s">
        <v>657</v>
      </c>
      <c r="F3" s="3" t="s">
        <v>653</v>
      </c>
      <c r="G3" s="3" t="s">
        <v>656</v>
      </c>
      <c r="H3" s="4">
        <v>3.5833333333333335E-2</v>
      </c>
      <c r="I3" s="4">
        <v>3.6226851851851854E-3</v>
      </c>
      <c r="J3" s="4">
        <v>6.2615740740740739E-3</v>
      </c>
      <c r="K3" s="4">
        <v>3.8541666666666668E-3</v>
      </c>
      <c r="L3" s="4">
        <v>2.3148148148148147E-3</v>
      </c>
      <c r="M3" s="4">
        <v>3.0671296296296297E-3</v>
      </c>
      <c r="N3" s="4">
        <v>1.1458333333333333E-3</v>
      </c>
      <c r="O3" s="64" t="str">
        <f>HYPERLINK("https://www.strava.com/activities/1894999188","Strava")</f>
        <v>Strava</v>
      </c>
    </row>
    <row r="4" spans="1:16" ht="15.75" customHeight="1">
      <c r="A4" s="3">
        <v>75</v>
      </c>
      <c r="B4" s="3">
        <v>225</v>
      </c>
      <c r="C4" s="3">
        <v>3</v>
      </c>
      <c r="D4" s="3">
        <v>183</v>
      </c>
      <c r="E4" s="3" t="s">
        <v>658</v>
      </c>
      <c r="F4" s="3" t="s">
        <v>659</v>
      </c>
      <c r="G4" s="3" t="s">
        <v>656</v>
      </c>
      <c r="H4" s="4">
        <v>3.5648148148148151E-2</v>
      </c>
      <c r="I4" s="4">
        <v>3.5995370370370369E-3</v>
      </c>
      <c r="J4" s="4">
        <v>6.2152777777777779E-3</v>
      </c>
      <c r="K4" s="4">
        <v>3.9699074074074072E-3</v>
      </c>
      <c r="L4" s="4">
        <v>2.3148148148148147E-3</v>
      </c>
      <c r="M4" s="4">
        <v>3.0439814814814813E-3</v>
      </c>
      <c r="N4" s="15">
        <v>1.1342592592592593E-3</v>
      </c>
      <c r="O4" s="64" t="s">
        <v>660</v>
      </c>
      <c r="P4" s="62"/>
    </row>
    <row r="5" spans="1:16" ht="15.75" customHeight="1">
      <c r="A5" s="3">
        <v>75</v>
      </c>
      <c r="B5" s="3">
        <v>225</v>
      </c>
      <c r="C5" s="3">
        <v>3</v>
      </c>
      <c r="D5" s="3">
        <v>183</v>
      </c>
      <c r="E5" s="3" t="s">
        <v>56</v>
      </c>
      <c r="F5" s="3" t="s">
        <v>585</v>
      </c>
      <c r="G5" s="3" t="s">
        <v>656</v>
      </c>
      <c r="H5" s="4">
        <v>3.5300925925925923E-2</v>
      </c>
      <c r="I5" s="4">
        <v>3.5532407407407409E-3</v>
      </c>
      <c r="J5" s="4">
        <v>6.122685185185185E-3</v>
      </c>
      <c r="K5" s="4">
        <v>3.9930555555555552E-3</v>
      </c>
      <c r="L5" s="4">
        <v>2.3842592592592591E-3</v>
      </c>
      <c r="M5" s="4">
        <v>2.9861111111111113E-3</v>
      </c>
      <c r="N5" s="15">
        <v>1.0995370370370371E-3</v>
      </c>
      <c r="O5" s="64" t="s">
        <v>661</v>
      </c>
      <c r="P5" s="62"/>
    </row>
    <row r="6" spans="1:16" ht="15.75" customHeight="1">
      <c r="A6" s="3">
        <v>75</v>
      </c>
      <c r="B6" s="3">
        <v>300</v>
      </c>
      <c r="C6" s="3">
        <v>4</v>
      </c>
      <c r="D6" s="3">
        <v>183</v>
      </c>
      <c r="E6" s="3" t="s">
        <v>56</v>
      </c>
      <c r="F6" s="3" t="s">
        <v>91</v>
      </c>
      <c r="G6" s="3" t="s">
        <v>656</v>
      </c>
      <c r="H6" s="4">
        <v>3.0729166666666665E-2</v>
      </c>
      <c r="I6" s="4">
        <v>3.1365740740740742E-3</v>
      </c>
      <c r="J6" s="4">
        <v>5.4398148148148149E-3</v>
      </c>
      <c r="K6" s="4">
        <v>3.3217592592592591E-3</v>
      </c>
      <c r="L6" s="4">
        <v>1.8402777777777777E-3</v>
      </c>
      <c r="M6" s="4">
        <v>2.685185185185185E-3</v>
      </c>
      <c r="N6" s="4">
        <v>1.0185185185185184E-3</v>
      </c>
      <c r="O6" s="64" t="s">
        <v>662</v>
      </c>
    </row>
    <row r="7" spans="1:16" ht="15.75" customHeight="1">
      <c r="A7" s="3">
        <v>75</v>
      </c>
      <c r="B7" s="3">
        <v>300</v>
      </c>
      <c r="C7" s="3">
        <v>4</v>
      </c>
      <c r="D7" s="3">
        <v>183</v>
      </c>
      <c r="E7" s="3" t="s">
        <v>56</v>
      </c>
      <c r="F7" s="3" t="s">
        <v>91</v>
      </c>
      <c r="G7" s="3" t="s">
        <v>663</v>
      </c>
      <c r="H7" s="15">
        <v>3.0740740740740742E-2</v>
      </c>
      <c r="I7" s="15">
        <v>3.1250000000000002E-3</v>
      </c>
      <c r="J7" s="4">
        <v>5.4282407407407404E-3</v>
      </c>
      <c r="K7" s="15">
        <v>3.3333333333333335E-3</v>
      </c>
      <c r="L7" s="4">
        <v>1.8518518518518519E-3</v>
      </c>
      <c r="M7" s="4">
        <v>2.6967592592592594E-3</v>
      </c>
      <c r="N7" s="15">
        <v>1.0185185185185184E-3</v>
      </c>
      <c r="O7" s="64" t="s">
        <v>664</v>
      </c>
    </row>
    <row r="8" spans="1:16" ht="15.75" customHeight="1">
      <c r="A8" s="3">
        <v>75</v>
      </c>
      <c r="B8" s="3">
        <v>300</v>
      </c>
      <c r="C8" s="3">
        <v>4</v>
      </c>
      <c r="D8" s="3">
        <v>183</v>
      </c>
      <c r="E8" s="3" t="s">
        <v>56</v>
      </c>
      <c r="F8" s="3" t="s">
        <v>91</v>
      </c>
      <c r="G8" s="3" t="s">
        <v>665</v>
      </c>
      <c r="H8" s="4">
        <v>3.0729166666666665E-2</v>
      </c>
      <c r="I8" s="15">
        <v>3.1365740740740742E-3</v>
      </c>
      <c r="J8" s="4">
        <v>5.4282407407407404E-3</v>
      </c>
      <c r="K8" s="3" t="s">
        <v>666</v>
      </c>
      <c r="L8" s="4">
        <v>1.8402777777777777E-3</v>
      </c>
      <c r="M8" s="4">
        <v>2.6967592592592594E-3</v>
      </c>
      <c r="N8" s="15">
        <v>1.0300925925925926E-3</v>
      </c>
      <c r="O8" s="64" t="s">
        <v>667</v>
      </c>
    </row>
    <row r="9" spans="1:16" ht="15.75" customHeight="1">
      <c r="A9" s="3">
        <v>75</v>
      </c>
      <c r="B9" s="3">
        <v>300</v>
      </c>
      <c r="C9" s="3">
        <v>4</v>
      </c>
      <c r="D9" s="3">
        <v>183</v>
      </c>
      <c r="E9" s="3" t="s">
        <v>56</v>
      </c>
      <c r="F9" s="3" t="s">
        <v>91</v>
      </c>
      <c r="G9" s="3" t="s">
        <v>668</v>
      </c>
      <c r="H9" s="4">
        <v>3.0740740740740742E-2</v>
      </c>
      <c r="I9" s="15">
        <v>3.1250000000000002E-3</v>
      </c>
      <c r="J9" s="4">
        <v>5.4282407407407404E-3</v>
      </c>
      <c r="K9" s="15">
        <v>3.3333333333333335E-3</v>
      </c>
      <c r="L9" s="4">
        <v>1.8518518518518519E-3</v>
      </c>
      <c r="M9" s="4">
        <v>2.6967592592592594E-3</v>
      </c>
      <c r="N9" s="15">
        <v>1.0185185185185184E-3</v>
      </c>
      <c r="O9" s="64" t="s">
        <v>669</v>
      </c>
    </row>
    <row r="10" spans="1:16" ht="15.75" customHeight="1">
      <c r="A10" s="3">
        <v>75</v>
      </c>
      <c r="B10" s="3">
        <v>300</v>
      </c>
      <c r="C10" s="3">
        <v>4</v>
      </c>
      <c r="D10" s="3">
        <v>183</v>
      </c>
      <c r="E10" s="3" t="s">
        <v>56</v>
      </c>
      <c r="F10" s="3" t="s">
        <v>91</v>
      </c>
      <c r="G10" s="3" t="s">
        <v>670</v>
      </c>
      <c r="H10" s="4">
        <v>3.0729166666666665E-2</v>
      </c>
      <c r="I10" s="15">
        <v>3.1365740740740742E-3</v>
      </c>
      <c r="J10" s="4">
        <v>5.4282407407407404E-3</v>
      </c>
      <c r="K10" s="15">
        <v>3.3333333333333335E-3</v>
      </c>
      <c r="L10" s="4">
        <v>1.8518518518518519E-3</v>
      </c>
      <c r="M10" s="4">
        <v>2.6967592592592594E-3</v>
      </c>
      <c r="N10" s="15">
        <v>1.0185185185185184E-3</v>
      </c>
      <c r="O10" s="64" t="s">
        <v>671</v>
      </c>
    </row>
    <row r="11" spans="1:16" ht="15.75" customHeight="1">
      <c r="A11" s="3">
        <v>75</v>
      </c>
      <c r="B11" s="3">
        <v>300</v>
      </c>
      <c r="C11" s="3">
        <v>4</v>
      </c>
      <c r="D11" s="3">
        <v>183</v>
      </c>
      <c r="E11" s="3" t="s">
        <v>648</v>
      </c>
      <c r="F11" s="3" t="s">
        <v>351</v>
      </c>
      <c r="G11" s="3" t="s">
        <v>656</v>
      </c>
      <c r="H11" s="4">
        <v>3.1215277777777779E-2</v>
      </c>
      <c r="I11" s="15">
        <v>3.1944444444444446E-3</v>
      </c>
      <c r="J11" s="4">
        <v>5.5439814814814813E-3</v>
      </c>
      <c r="K11" s="15">
        <v>3.3449074074074076E-3</v>
      </c>
      <c r="L11" s="4">
        <v>1.8171296296296297E-3</v>
      </c>
      <c r="M11" s="4">
        <v>2.7546296296296294E-3</v>
      </c>
      <c r="N11" s="15">
        <v>1.0532407407407407E-3</v>
      </c>
      <c r="O11" s="64" t="s">
        <v>672</v>
      </c>
    </row>
    <row r="12" spans="1:16" ht="15.75" customHeight="1">
      <c r="A12" s="3">
        <v>75</v>
      </c>
      <c r="B12" s="3">
        <v>300</v>
      </c>
      <c r="C12" s="3">
        <v>4</v>
      </c>
      <c r="D12" s="3">
        <v>183</v>
      </c>
      <c r="E12" s="3" t="s">
        <v>648</v>
      </c>
      <c r="F12" s="3" t="s">
        <v>351</v>
      </c>
      <c r="G12" s="3" t="s">
        <v>668</v>
      </c>
      <c r="H12" s="4">
        <v>3.1203703703703702E-2</v>
      </c>
      <c r="I12" s="15">
        <v>3.1944444444444446E-3</v>
      </c>
      <c r="J12" s="4">
        <v>5.5439814814814813E-3</v>
      </c>
      <c r="K12" s="15">
        <v>3.3449074074074076E-3</v>
      </c>
      <c r="L12" s="4">
        <v>1.8171296296296297E-3</v>
      </c>
      <c r="M12" s="4">
        <v>2.7662037037037039E-3</v>
      </c>
      <c r="N12" s="15">
        <v>1.0532407407407407E-3</v>
      </c>
      <c r="O12" s="64" t="s">
        <v>673</v>
      </c>
    </row>
    <row r="13" spans="1:16" ht="15.75" customHeight="1">
      <c r="A13" s="3">
        <v>75</v>
      </c>
      <c r="B13" s="3">
        <v>300</v>
      </c>
      <c r="C13" s="3">
        <v>4</v>
      </c>
      <c r="D13" s="3">
        <v>183</v>
      </c>
      <c r="E13" s="3" t="s">
        <v>648</v>
      </c>
      <c r="F13" s="3" t="s">
        <v>351</v>
      </c>
      <c r="G13" s="3" t="s">
        <v>670</v>
      </c>
      <c r="H13" s="4">
        <v>3.1192129629629629E-2</v>
      </c>
      <c r="I13" s="15">
        <v>3.1944444444444446E-3</v>
      </c>
      <c r="J13" s="4">
        <v>5.5555555555555558E-3</v>
      </c>
      <c r="K13" s="15">
        <v>3.3449074074074076E-3</v>
      </c>
      <c r="L13" s="4">
        <v>1.8171296296296297E-3</v>
      </c>
      <c r="M13" s="4">
        <v>2.7546296296296294E-3</v>
      </c>
      <c r="N13" s="15">
        <v>1.0532407407407407E-3</v>
      </c>
      <c r="O13" s="64" t="s">
        <v>674</v>
      </c>
    </row>
    <row r="14" spans="1:16" ht="15.75" customHeight="1">
      <c r="A14" s="3">
        <v>75</v>
      </c>
      <c r="B14" s="3">
        <v>300</v>
      </c>
      <c r="C14" s="3">
        <v>4</v>
      </c>
      <c r="D14" s="3">
        <v>183</v>
      </c>
      <c r="E14" s="3" t="s">
        <v>648</v>
      </c>
      <c r="F14" s="3" t="s">
        <v>351</v>
      </c>
      <c r="G14" s="3" t="s">
        <v>675</v>
      </c>
      <c r="H14" s="4">
        <v>3.1215277777777779E-2</v>
      </c>
      <c r="I14" s="4">
        <v>3.1944444444444446E-3</v>
      </c>
      <c r="J14" s="4">
        <v>5.5439814814814813E-3</v>
      </c>
      <c r="K14" s="4">
        <v>3.3449074074074076E-3</v>
      </c>
      <c r="L14" s="4">
        <v>1.8055555555555555E-3</v>
      </c>
      <c r="M14" s="15">
        <v>2.7662037037037039E-3</v>
      </c>
      <c r="N14" s="4">
        <v>1.0532407407407407E-3</v>
      </c>
      <c r="O14" s="64" t="s">
        <v>676</v>
      </c>
    </row>
    <row r="15" spans="1:16" ht="15.75" customHeight="1">
      <c r="A15" s="3">
        <v>75</v>
      </c>
      <c r="B15" s="3">
        <v>300</v>
      </c>
      <c r="C15" s="3">
        <v>4</v>
      </c>
      <c r="D15" s="3">
        <v>183</v>
      </c>
      <c r="E15" s="3" t="s">
        <v>648</v>
      </c>
      <c r="F15" s="3" t="s">
        <v>351</v>
      </c>
      <c r="G15" s="3" t="s">
        <v>656</v>
      </c>
      <c r="H15" s="4">
        <v>3.1215277777777779E-2</v>
      </c>
      <c r="I15" s="4">
        <v>3.2060185185185186E-3</v>
      </c>
      <c r="J15" s="4">
        <v>5.5439814814814813E-3</v>
      </c>
      <c r="K15" s="4">
        <v>3.3449074074074076E-3</v>
      </c>
      <c r="L15" s="4">
        <v>1.8171296296296297E-3</v>
      </c>
      <c r="M15" s="4">
        <v>2.7546296296296294E-3</v>
      </c>
      <c r="N15" s="4">
        <v>1.0532407407407407E-3</v>
      </c>
      <c r="O15" s="64" t="s">
        <v>677</v>
      </c>
    </row>
    <row r="16" spans="1:16" ht="15.75" customHeight="1">
      <c r="A16" s="3">
        <v>75</v>
      </c>
      <c r="B16" s="3">
        <v>300</v>
      </c>
      <c r="C16" s="3">
        <v>4</v>
      </c>
      <c r="D16" s="3">
        <v>183</v>
      </c>
      <c r="E16" s="3" t="s">
        <v>648</v>
      </c>
      <c r="F16" s="3" t="s">
        <v>351</v>
      </c>
      <c r="G16" s="3" t="s">
        <v>665</v>
      </c>
      <c r="H16" s="4">
        <v>3.1215277777777779E-2</v>
      </c>
      <c r="I16" s="4">
        <v>3.1944444444444446E-3</v>
      </c>
      <c r="J16" s="4">
        <v>5.5439814814814813E-3</v>
      </c>
      <c r="K16" s="4">
        <v>3.3449074074074076E-3</v>
      </c>
      <c r="L16" s="4">
        <v>1.8171296296296297E-3</v>
      </c>
      <c r="M16" s="4">
        <v>2.7662037037037039E-3</v>
      </c>
      <c r="N16" s="4">
        <v>1.0532407407407407E-3</v>
      </c>
      <c r="O16" s="64" t="s">
        <v>678</v>
      </c>
    </row>
    <row r="17" spans="1:14" ht="15.75" customHeight="1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</row>
    <row r="18" spans="1:14" ht="15.75" customHeight="1">
      <c r="F18" s="3"/>
      <c r="G18" s="4"/>
      <c r="H18" s="4"/>
      <c r="I18" s="4"/>
      <c r="J18" s="4"/>
      <c r="K18" s="4"/>
      <c r="L18" s="4"/>
      <c r="M18" s="4"/>
      <c r="N18" s="4"/>
    </row>
    <row r="19" spans="1:14" ht="15.75" customHeight="1">
      <c r="G19" s="4"/>
      <c r="H19" s="4"/>
      <c r="I19" s="4"/>
      <c r="J19" s="4"/>
      <c r="K19" s="4"/>
      <c r="L19" s="4"/>
      <c r="M19" s="4"/>
      <c r="N19" s="4"/>
    </row>
    <row r="20" spans="1:14" ht="15.75" customHeight="1">
      <c r="G20" s="4"/>
      <c r="H20" s="4"/>
      <c r="I20" s="4"/>
      <c r="J20" s="4"/>
      <c r="K20" s="4"/>
      <c r="L20" s="4"/>
      <c r="M20" s="4"/>
      <c r="N20" s="4"/>
    </row>
    <row r="21" spans="1:14" ht="15.75" customHeight="1">
      <c r="G21" s="4"/>
      <c r="H21" s="4"/>
      <c r="I21" s="4"/>
      <c r="J21" s="4"/>
      <c r="K21" s="4"/>
      <c r="L21" s="4"/>
      <c r="M21" s="4"/>
      <c r="N21" s="4"/>
    </row>
    <row r="22" spans="1:14" ht="15.75" customHeight="1">
      <c r="G22" s="4"/>
      <c r="H22" s="4"/>
      <c r="I22" s="4"/>
      <c r="J22" s="4"/>
      <c r="K22" s="4"/>
      <c r="L22" s="4"/>
      <c r="M22" s="4"/>
      <c r="N22" s="4"/>
    </row>
    <row r="23" spans="1:14" ht="15.75" customHeight="1">
      <c r="G23" s="4"/>
      <c r="H23" s="4"/>
      <c r="I23" s="4"/>
      <c r="J23" s="4"/>
      <c r="K23" s="4"/>
      <c r="L23" s="4"/>
      <c r="M23" s="4"/>
      <c r="N23" s="4"/>
    </row>
    <row r="24" spans="1:14" ht="15.75" customHeight="1">
      <c r="G24" s="4"/>
      <c r="H24" s="4"/>
      <c r="I24" s="4"/>
      <c r="J24" s="4"/>
      <c r="K24" s="4"/>
      <c r="L24" s="4"/>
      <c r="M24" s="4"/>
      <c r="N24" s="4"/>
    </row>
    <row r="25" spans="1:14" ht="15.75" customHeight="1">
      <c r="G25" s="4"/>
      <c r="H25" s="4"/>
      <c r="I25" s="4"/>
      <c r="J25" s="4"/>
      <c r="K25" s="4"/>
      <c r="L25" s="4"/>
      <c r="M25" s="4"/>
      <c r="N25" s="4"/>
    </row>
    <row r="26" spans="1:14" ht="15.75" customHeight="1">
      <c r="G26" s="4"/>
      <c r="H26" s="4"/>
      <c r="I26" s="4"/>
      <c r="J26" s="4"/>
      <c r="K26" s="4"/>
      <c r="L26" s="4"/>
      <c r="M26" s="4"/>
      <c r="N26" s="4"/>
    </row>
    <row r="27" spans="1:14" ht="15.75" customHeight="1">
      <c r="G27" s="4"/>
      <c r="H27" s="4"/>
      <c r="I27" s="4"/>
      <c r="J27" s="4"/>
      <c r="K27" s="4"/>
      <c r="L27" s="4"/>
      <c r="M27" s="4"/>
      <c r="N27" s="4"/>
    </row>
    <row r="28" spans="1:14" ht="15.75" customHeight="1">
      <c r="G28" s="4"/>
      <c r="H28" s="4"/>
      <c r="I28" s="4"/>
      <c r="J28" s="4"/>
      <c r="K28" s="4"/>
      <c r="L28" s="4"/>
      <c r="M28" s="4"/>
      <c r="N28" s="4"/>
    </row>
    <row r="29" spans="1:14" ht="15.75" customHeight="1">
      <c r="G29" s="4"/>
      <c r="H29" s="4"/>
      <c r="I29" s="4"/>
      <c r="J29" s="4"/>
      <c r="K29" s="4"/>
      <c r="L29" s="4"/>
      <c r="M29" s="4"/>
      <c r="N29" s="4"/>
    </row>
    <row r="30" spans="1:14" ht="15.75" customHeight="1">
      <c r="G30" s="4"/>
      <c r="H30" s="4"/>
      <c r="I30" s="4"/>
      <c r="J30" s="4"/>
      <c r="K30" s="4"/>
      <c r="L30" s="4"/>
      <c r="M30" s="4"/>
      <c r="N30" s="4"/>
    </row>
    <row r="31" spans="1:14" ht="15.75" customHeight="1">
      <c r="G31" s="4"/>
      <c r="H31" s="4"/>
      <c r="I31" s="4"/>
      <c r="J31" s="4"/>
      <c r="K31" s="4"/>
      <c r="L31" s="4"/>
      <c r="M31" s="4"/>
      <c r="N31" s="4"/>
    </row>
    <row r="32" spans="1:14" ht="15.75" customHeight="1">
      <c r="G32" s="4"/>
      <c r="H32" s="4"/>
      <c r="I32" s="4"/>
      <c r="J32" s="4"/>
      <c r="K32" s="4"/>
      <c r="L32" s="4"/>
      <c r="M32" s="4"/>
      <c r="N32" s="4"/>
    </row>
    <row r="33" spans="7:14" ht="15.75" customHeight="1">
      <c r="G33" s="4"/>
      <c r="H33" s="4"/>
      <c r="I33" s="4"/>
      <c r="J33" s="4"/>
      <c r="K33" s="4"/>
      <c r="L33" s="4"/>
      <c r="M33" s="4"/>
      <c r="N33" s="4"/>
    </row>
    <row r="34" spans="7:14" ht="15.75" customHeight="1">
      <c r="G34" s="4"/>
      <c r="H34" s="4"/>
      <c r="I34" s="4"/>
      <c r="J34" s="4"/>
      <c r="K34" s="4"/>
      <c r="L34" s="4"/>
      <c r="M34" s="4"/>
      <c r="N34" s="4"/>
    </row>
    <row r="35" spans="7:14" ht="15.75" customHeight="1">
      <c r="G35" s="63"/>
      <c r="H35" s="63"/>
      <c r="I35" s="63"/>
      <c r="J35" s="63"/>
      <c r="K35" s="63"/>
      <c r="L35" s="63"/>
      <c r="M35" s="63"/>
      <c r="N35" s="63"/>
    </row>
    <row r="36" spans="7:14" ht="15.75" customHeight="1">
      <c r="G36" s="63"/>
      <c r="H36" s="63"/>
      <c r="I36" s="63"/>
      <c r="J36" s="63"/>
      <c r="K36" s="63"/>
      <c r="L36" s="63"/>
      <c r="M36" s="63"/>
      <c r="N36" s="63"/>
    </row>
    <row r="37" spans="7:14" ht="12.75">
      <c r="G37" s="63"/>
      <c r="H37" s="63"/>
      <c r="I37" s="63"/>
      <c r="J37" s="63"/>
      <c r="K37" s="63"/>
      <c r="L37" s="63"/>
      <c r="M37" s="63"/>
      <c r="N37" s="63"/>
    </row>
    <row r="38" spans="7:14" ht="12.75">
      <c r="G38" s="63"/>
      <c r="H38" s="63"/>
      <c r="I38" s="63"/>
      <c r="J38" s="63"/>
      <c r="K38" s="63"/>
      <c r="L38" s="63"/>
      <c r="M38" s="63"/>
      <c r="N38" s="63"/>
    </row>
    <row r="39" spans="7:14" ht="12.75">
      <c r="G39" s="63"/>
      <c r="H39" s="63"/>
      <c r="I39" s="63"/>
      <c r="J39" s="63"/>
      <c r="K39" s="63"/>
      <c r="L39" s="63"/>
      <c r="M39" s="63"/>
      <c r="N39" s="63"/>
    </row>
    <row r="40" spans="7:14" ht="12.75">
      <c r="G40" s="63"/>
      <c r="H40" s="63"/>
      <c r="I40" s="63"/>
      <c r="J40" s="63"/>
      <c r="K40" s="63"/>
      <c r="L40" s="63"/>
      <c r="M40" s="63"/>
      <c r="N40" s="63"/>
    </row>
    <row r="41" spans="7:14" ht="12.75">
      <c r="G41" s="63"/>
      <c r="H41" s="63"/>
      <c r="I41" s="63"/>
      <c r="J41" s="63"/>
      <c r="K41" s="63"/>
      <c r="L41" s="63"/>
      <c r="M41" s="63"/>
      <c r="N41" s="63"/>
    </row>
    <row r="42" spans="7:14" ht="12.75">
      <c r="G42" s="63"/>
      <c r="H42" s="63"/>
      <c r="I42" s="63"/>
      <c r="J42" s="63"/>
      <c r="K42" s="63"/>
      <c r="L42" s="63"/>
      <c r="M42" s="63"/>
      <c r="N42" s="63"/>
    </row>
    <row r="43" spans="7:14" ht="12.75">
      <c r="G43" s="63"/>
      <c r="H43" s="63"/>
      <c r="I43" s="63"/>
      <c r="J43" s="63"/>
      <c r="K43" s="63"/>
      <c r="L43" s="63"/>
      <c r="M43" s="63"/>
      <c r="N43" s="63"/>
    </row>
    <row r="44" spans="7:14" ht="12.75">
      <c r="G44" s="63"/>
      <c r="H44" s="63"/>
      <c r="I44" s="63"/>
      <c r="J44" s="63"/>
      <c r="K44" s="63"/>
      <c r="L44" s="63"/>
      <c r="M44" s="63"/>
      <c r="N44" s="63"/>
    </row>
    <row r="45" spans="7:14" ht="12.75">
      <c r="G45" s="63"/>
      <c r="H45" s="63"/>
      <c r="I45" s="63"/>
      <c r="J45" s="63"/>
      <c r="K45" s="63"/>
      <c r="L45" s="63"/>
      <c r="M45" s="63"/>
      <c r="N45" s="63"/>
    </row>
    <row r="46" spans="7:14" ht="12.75">
      <c r="G46" s="63"/>
      <c r="H46" s="63"/>
      <c r="I46" s="63"/>
      <c r="J46" s="63"/>
      <c r="K46" s="63"/>
      <c r="L46" s="63"/>
      <c r="M46" s="63"/>
      <c r="N46" s="63"/>
    </row>
    <row r="47" spans="7:14" ht="12.75">
      <c r="G47" s="63"/>
      <c r="H47" s="63"/>
      <c r="I47" s="63"/>
      <c r="J47" s="63"/>
      <c r="K47" s="63"/>
      <c r="L47" s="63"/>
      <c r="M47" s="63"/>
      <c r="N47" s="63"/>
    </row>
    <row r="48" spans="7:14" ht="12.75">
      <c r="G48" s="63"/>
      <c r="H48" s="63"/>
      <c r="I48" s="63"/>
      <c r="J48" s="63"/>
      <c r="K48" s="63"/>
      <c r="L48" s="63"/>
      <c r="M48" s="63"/>
      <c r="N48" s="63"/>
    </row>
    <row r="49" spans="7:14" ht="12.75">
      <c r="G49" s="63"/>
      <c r="H49" s="63"/>
      <c r="I49" s="63"/>
      <c r="J49" s="63"/>
      <c r="K49" s="63"/>
      <c r="L49" s="63"/>
      <c r="M49" s="63"/>
      <c r="N49" s="63"/>
    </row>
    <row r="50" spans="7:14" ht="12.75">
      <c r="G50" s="63"/>
      <c r="H50" s="63"/>
      <c r="I50" s="63"/>
      <c r="J50" s="63"/>
      <c r="K50" s="63"/>
      <c r="L50" s="63"/>
      <c r="M50" s="63"/>
      <c r="N50" s="63"/>
    </row>
    <row r="51" spans="7:14" ht="12.75">
      <c r="G51" s="63"/>
      <c r="H51" s="63"/>
      <c r="I51" s="63"/>
      <c r="J51" s="63"/>
      <c r="K51" s="63"/>
      <c r="L51" s="63"/>
      <c r="M51" s="63"/>
      <c r="N51" s="63"/>
    </row>
    <row r="52" spans="7:14" ht="12.75">
      <c r="G52" s="63"/>
      <c r="H52" s="63"/>
      <c r="I52" s="63"/>
      <c r="J52" s="63"/>
      <c r="K52" s="63"/>
      <c r="L52" s="63"/>
      <c r="M52" s="63"/>
      <c r="N52" s="63"/>
    </row>
    <row r="53" spans="7:14" ht="12.75">
      <c r="G53" s="63"/>
      <c r="H53" s="63"/>
      <c r="I53" s="63"/>
      <c r="J53" s="63"/>
      <c r="K53" s="63"/>
      <c r="L53" s="63"/>
      <c r="M53" s="63"/>
      <c r="N53" s="63"/>
    </row>
    <row r="54" spans="7:14" ht="12.75">
      <c r="G54" s="63"/>
      <c r="H54" s="63"/>
      <c r="I54" s="63"/>
      <c r="J54" s="63"/>
      <c r="K54" s="63"/>
      <c r="L54" s="63"/>
      <c r="M54" s="63"/>
      <c r="N54" s="63"/>
    </row>
    <row r="55" spans="7:14" ht="12.75">
      <c r="G55" s="63"/>
      <c r="H55" s="63"/>
      <c r="I55" s="63"/>
      <c r="J55" s="63"/>
      <c r="K55" s="63"/>
      <c r="L55" s="63"/>
      <c r="M55" s="63"/>
      <c r="N55" s="63"/>
    </row>
    <row r="56" spans="7:14" ht="12.75">
      <c r="G56" s="63"/>
      <c r="H56" s="63"/>
      <c r="I56" s="63"/>
      <c r="J56" s="63"/>
      <c r="K56" s="63"/>
      <c r="L56" s="63"/>
      <c r="M56" s="63"/>
      <c r="N56" s="63"/>
    </row>
    <row r="57" spans="7:14" ht="12.75">
      <c r="G57" s="63"/>
      <c r="H57" s="63"/>
      <c r="I57" s="63"/>
      <c r="J57" s="63"/>
      <c r="K57" s="63"/>
      <c r="L57" s="63"/>
      <c r="M57" s="63"/>
      <c r="N57" s="63"/>
    </row>
    <row r="58" spans="7:14" ht="12.75">
      <c r="G58" s="63"/>
      <c r="H58" s="63"/>
      <c r="I58" s="63"/>
      <c r="J58" s="63"/>
      <c r="K58" s="63"/>
      <c r="L58" s="63"/>
      <c r="M58" s="63"/>
      <c r="N58" s="63"/>
    </row>
    <row r="59" spans="7:14" ht="12.75">
      <c r="G59" s="63"/>
      <c r="H59" s="63"/>
      <c r="I59" s="63"/>
      <c r="J59" s="63"/>
      <c r="K59" s="63"/>
      <c r="L59" s="63"/>
      <c r="M59" s="63"/>
      <c r="N59" s="63"/>
    </row>
    <row r="60" spans="7:14" ht="12.75">
      <c r="G60" s="63"/>
      <c r="H60" s="63"/>
      <c r="I60" s="63"/>
      <c r="J60" s="63"/>
      <c r="K60" s="63"/>
      <c r="L60" s="63"/>
      <c r="M60" s="63"/>
      <c r="N60" s="63"/>
    </row>
    <row r="61" spans="7:14" ht="12.75">
      <c r="G61" s="63"/>
      <c r="H61" s="63"/>
      <c r="I61" s="63"/>
      <c r="J61" s="63"/>
      <c r="K61" s="63"/>
      <c r="L61" s="63"/>
      <c r="M61" s="63"/>
      <c r="N61" s="63"/>
    </row>
    <row r="62" spans="7:14" ht="12.75">
      <c r="G62" s="63"/>
      <c r="H62" s="63"/>
      <c r="I62" s="63"/>
      <c r="J62" s="63"/>
      <c r="K62" s="63"/>
      <c r="L62" s="63"/>
      <c r="M62" s="63"/>
      <c r="N62" s="63"/>
    </row>
    <row r="63" spans="7:14" ht="12.75">
      <c r="G63" s="63"/>
      <c r="H63" s="63"/>
      <c r="I63" s="63"/>
      <c r="J63" s="63"/>
      <c r="K63" s="63"/>
      <c r="L63" s="63"/>
      <c r="M63" s="63"/>
      <c r="N63" s="63"/>
    </row>
    <row r="64" spans="7:14" ht="12.75">
      <c r="G64" s="63"/>
      <c r="H64" s="63"/>
      <c r="I64" s="63"/>
      <c r="J64" s="63"/>
      <c r="K64" s="63"/>
      <c r="L64" s="63"/>
      <c r="M64" s="63"/>
      <c r="N64" s="63"/>
    </row>
    <row r="65" spans="7:14" ht="12.75">
      <c r="G65" s="63"/>
      <c r="H65" s="63"/>
      <c r="I65" s="63"/>
      <c r="J65" s="63"/>
      <c r="K65" s="63"/>
      <c r="L65" s="63"/>
      <c r="M65" s="63"/>
      <c r="N65" s="63"/>
    </row>
    <row r="66" spans="7:14" ht="12.75">
      <c r="G66" s="63"/>
      <c r="H66" s="63"/>
      <c r="I66" s="63"/>
      <c r="J66" s="63"/>
      <c r="K66" s="63"/>
      <c r="L66" s="63"/>
      <c r="M66" s="63"/>
      <c r="N66" s="63"/>
    </row>
    <row r="67" spans="7:14" ht="12.75">
      <c r="G67" s="63"/>
      <c r="H67" s="63"/>
      <c r="I67" s="63"/>
      <c r="J67" s="63"/>
      <c r="K67" s="63"/>
      <c r="L67" s="63"/>
      <c r="M67" s="63"/>
      <c r="N67" s="63"/>
    </row>
    <row r="68" spans="7:14" ht="12.75">
      <c r="G68" s="63"/>
      <c r="H68" s="63"/>
      <c r="I68" s="63"/>
      <c r="J68" s="63"/>
      <c r="K68" s="63"/>
      <c r="L68" s="63"/>
      <c r="M68" s="63"/>
      <c r="N68" s="63"/>
    </row>
    <row r="69" spans="7:14" ht="12.75">
      <c r="G69" s="63"/>
      <c r="H69" s="63"/>
      <c r="I69" s="63"/>
      <c r="J69" s="63"/>
      <c r="K69" s="63"/>
      <c r="L69" s="63"/>
      <c r="M69" s="63"/>
      <c r="N69" s="63"/>
    </row>
    <row r="70" spans="7:14" ht="12.75">
      <c r="G70" s="63"/>
      <c r="H70" s="63"/>
      <c r="I70" s="63"/>
      <c r="J70" s="63"/>
      <c r="K70" s="63"/>
      <c r="L70" s="63"/>
      <c r="M70" s="63"/>
      <c r="N70" s="63"/>
    </row>
    <row r="71" spans="7:14" ht="12.75">
      <c r="G71" s="63"/>
      <c r="H71" s="63"/>
      <c r="I71" s="63"/>
      <c r="J71" s="63"/>
      <c r="K71" s="63"/>
      <c r="L71" s="63"/>
      <c r="M71" s="63"/>
      <c r="N71" s="63"/>
    </row>
    <row r="72" spans="7:14" ht="12.75">
      <c r="G72" s="63"/>
      <c r="H72" s="63"/>
      <c r="I72" s="63"/>
      <c r="J72" s="63"/>
      <c r="K72" s="63"/>
      <c r="L72" s="63"/>
      <c r="M72" s="63"/>
      <c r="N72" s="63"/>
    </row>
    <row r="73" spans="7:14" ht="12.75">
      <c r="G73" s="63"/>
      <c r="H73" s="63"/>
      <c r="I73" s="63"/>
      <c r="J73" s="63"/>
      <c r="K73" s="63"/>
      <c r="L73" s="63"/>
      <c r="M73" s="63"/>
      <c r="N73" s="63"/>
    </row>
    <row r="74" spans="7:14" ht="12.75">
      <c r="G74" s="63"/>
      <c r="H74" s="63"/>
      <c r="I74" s="63"/>
      <c r="J74" s="63"/>
      <c r="K74" s="63"/>
      <c r="L74" s="63"/>
      <c r="M74" s="63"/>
      <c r="N74" s="63"/>
    </row>
    <row r="75" spans="7:14" ht="12.75">
      <c r="G75" s="63"/>
      <c r="H75" s="63"/>
      <c r="I75" s="63"/>
      <c r="J75" s="63"/>
      <c r="K75" s="63"/>
      <c r="L75" s="63"/>
      <c r="M75" s="63"/>
      <c r="N75" s="63"/>
    </row>
    <row r="76" spans="7:14" ht="12.75">
      <c r="G76" s="63"/>
      <c r="H76" s="63"/>
      <c r="I76" s="63"/>
      <c r="J76" s="63"/>
      <c r="K76" s="63"/>
      <c r="L76" s="63"/>
      <c r="M76" s="63"/>
      <c r="N76" s="63"/>
    </row>
    <row r="77" spans="7:14" ht="12.75">
      <c r="G77" s="63"/>
      <c r="H77" s="63"/>
      <c r="I77" s="63"/>
      <c r="J77" s="63"/>
      <c r="K77" s="63"/>
      <c r="L77" s="63"/>
      <c r="M77" s="63"/>
      <c r="N77" s="63"/>
    </row>
    <row r="78" spans="7:14" ht="12.75">
      <c r="G78" s="63"/>
      <c r="H78" s="63"/>
      <c r="I78" s="63"/>
      <c r="J78" s="63"/>
      <c r="K78" s="63"/>
      <c r="L78" s="63"/>
      <c r="M78" s="63"/>
      <c r="N78" s="63"/>
    </row>
    <row r="79" spans="7:14" ht="12.75">
      <c r="G79" s="63"/>
      <c r="H79" s="63"/>
      <c r="I79" s="63"/>
      <c r="J79" s="63"/>
      <c r="K79" s="63"/>
      <c r="L79" s="63"/>
      <c r="M79" s="63"/>
      <c r="N79" s="63"/>
    </row>
    <row r="80" spans="7:14" ht="12.75">
      <c r="G80" s="63"/>
      <c r="H80" s="63"/>
      <c r="I80" s="63"/>
      <c r="J80" s="63"/>
      <c r="K80" s="63"/>
      <c r="L80" s="63"/>
      <c r="M80" s="63"/>
      <c r="N80" s="63"/>
    </row>
    <row r="81" spans="7:14" ht="12.75">
      <c r="G81" s="63"/>
      <c r="H81" s="63"/>
      <c r="I81" s="63"/>
      <c r="J81" s="63"/>
      <c r="K81" s="63"/>
      <c r="L81" s="63"/>
      <c r="M81" s="63"/>
      <c r="N81" s="63"/>
    </row>
    <row r="82" spans="7:14" ht="12.75">
      <c r="G82" s="63"/>
      <c r="H82" s="63"/>
      <c r="I82" s="63"/>
      <c r="J82" s="63"/>
      <c r="K82" s="63"/>
      <c r="L82" s="63"/>
      <c r="M82" s="63"/>
      <c r="N82" s="63"/>
    </row>
    <row r="83" spans="7:14" ht="12.75">
      <c r="G83" s="63"/>
      <c r="H83" s="63"/>
      <c r="I83" s="63"/>
      <c r="J83" s="63"/>
      <c r="K83" s="63"/>
      <c r="L83" s="63"/>
      <c r="M83" s="63"/>
      <c r="N83" s="63"/>
    </row>
    <row r="84" spans="7:14" ht="12.75">
      <c r="G84" s="63"/>
      <c r="H84" s="63"/>
      <c r="I84" s="63"/>
      <c r="J84" s="63"/>
      <c r="K84" s="63"/>
      <c r="L84" s="63"/>
      <c r="M84" s="63"/>
      <c r="N84" s="63"/>
    </row>
    <row r="85" spans="7:14" ht="12.75">
      <c r="G85" s="63"/>
      <c r="H85" s="63"/>
      <c r="I85" s="63"/>
      <c r="J85" s="63"/>
      <c r="K85" s="63"/>
      <c r="L85" s="63"/>
      <c r="M85" s="63"/>
      <c r="N85" s="63"/>
    </row>
    <row r="86" spans="7:14" ht="12.75">
      <c r="G86" s="63"/>
      <c r="H86" s="63"/>
      <c r="I86" s="63"/>
      <c r="J86" s="63"/>
      <c r="K86" s="63"/>
      <c r="L86" s="63"/>
      <c r="M86" s="63"/>
      <c r="N86" s="63"/>
    </row>
    <row r="87" spans="7:14" ht="12.75">
      <c r="G87" s="63"/>
      <c r="H87" s="63"/>
      <c r="I87" s="63"/>
      <c r="J87" s="63"/>
      <c r="K87" s="63"/>
      <c r="L87" s="63"/>
      <c r="M87" s="63"/>
      <c r="N87" s="63"/>
    </row>
    <row r="88" spans="7:14" ht="12.75">
      <c r="G88" s="63"/>
      <c r="H88" s="63"/>
      <c r="I88" s="63"/>
      <c r="J88" s="63"/>
      <c r="K88" s="63"/>
      <c r="L88" s="63"/>
      <c r="M88" s="63"/>
      <c r="N88" s="63"/>
    </row>
    <row r="89" spans="7:14" ht="12.75">
      <c r="G89" s="63"/>
      <c r="H89" s="63"/>
      <c r="I89" s="63"/>
      <c r="J89" s="63"/>
      <c r="K89" s="63"/>
      <c r="L89" s="63"/>
      <c r="M89" s="63"/>
      <c r="N89" s="63"/>
    </row>
    <row r="90" spans="7:14" ht="12.75">
      <c r="G90" s="63"/>
      <c r="H90" s="63"/>
      <c r="I90" s="63"/>
      <c r="J90" s="63"/>
      <c r="K90" s="63"/>
      <c r="L90" s="63"/>
      <c r="M90" s="63"/>
      <c r="N90" s="63"/>
    </row>
    <row r="91" spans="7:14" ht="12.75">
      <c r="G91" s="63"/>
      <c r="H91" s="63"/>
      <c r="I91" s="63"/>
      <c r="J91" s="63"/>
      <c r="K91" s="63"/>
      <c r="L91" s="63"/>
      <c r="M91" s="63"/>
      <c r="N91" s="63"/>
    </row>
    <row r="92" spans="7:14" ht="12.75">
      <c r="G92" s="63"/>
      <c r="H92" s="63"/>
      <c r="I92" s="63"/>
      <c r="J92" s="63"/>
      <c r="K92" s="63"/>
      <c r="L92" s="63"/>
      <c r="M92" s="63"/>
      <c r="N92" s="63"/>
    </row>
    <row r="93" spans="7:14" ht="12.75">
      <c r="G93" s="63"/>
      <c r="H93" s="63"/>
      <c r="I93" s="63"/>
      <c r="J93" s="63"/>
      <c r="K93" s="63"/>
      <c r="L93" s="63"/>
      <c r="M93" s="63"/>
      <c r="N93" s="63"/>
    </row>
    <row r="94" spans="7:14" ht="12.75">
      <c r="G94" s="63"/>
      <c r="H94" s="63"/>
      <c r="I94" s="63"/>
      <c r="J94" s="63"/>
      <c r="K94" s="63"/>
      <c r="L94" s="63"/>
      <c r="M94" s="63"/>
      <c r="N94" s="63"/>
    </row>
    <row r="95" spans="7:14" ht="12.75">
      <c r="G95" s="63"/>
      <c r="H95" s="63"/>
      <c r="I95" s="63"/>
      <c r="J95" s="63"/>
      <c r="K95" s="63"/>
      <c r="L95" s="63"/>
      <c r="M95" s="63"/>
      <c r="N95" s="63"/>
    </row>
    <row r="96" spans="7:14" ht="12.75">
      <c r="G96" s="63"/>
      <c r="H96" s="63"/>
      <c r="I96" s="63"/>
      <c r="J96" s="63"/>
      <c r="K96" s="63"/>
      <c r="L96" s="63"/>
      <c r="M96" s="63"/>
      <c r="N96" s="63"/>
    </row>
    <row r="97" spans="7:14" ht="12.75">
      <c r="G97" s="63"/>
      <c r="H97" s="63"/>
      <c r="I97" s="63"/>
      <c r="J97" s="63"/>
      <c r="K97" s="63"/>
      <c r="L97" s="63"/>
      <c r="M97" s="63"/>
      <c r="N97" s="63"/>
    </row>
    <row r="98" spans="7:14" ht="12.75">
      <c r="G98" s="63"/>
      <c r="H98" s="63"/>
      <c r="I98" s="63"/>
      <c r="J98" s="63"/>
      <c r="K98" s="63"/>
      <c r="L98" s="63"/>
      <c r="M98" s="63"/>
      <c r="N98" s="63"/>
    </row>
    <row r="99" spans="7:14" ht="12.75">
      <c r="G99" s="63"/>
      <c r="H99" s="63"/>
      <c r="I99" s="63"/>
      <c r="J99" s="63"/>
      <c r="K99" s="63"/>
      <c r="L99" s="63"/>
      <c r="M99" s="63"/>
      <c r="N99" s="63"/>
    </row>
    <row r="100" spans="7:14" ht="12.75">
      <c r="G100" s="63"/>
      <c r="H100" s="63"/>
      <c r="I100" s="63"/>
      <c r="J100" s="63"/>
      <c r="K100" s="63"/>
      <c r="L100" s="63"/>
      <c r="M100" s="63"/>
      <c r="N100" s="63"/>
    </row>
    <row r="101" spans="7:14" ht="12.75">
      <c r="G101" s="63"/>
      <c r="H101" s="63"/>
      <c r="I101" s="63"/>
      <c r="J101" s="63"/>
      <c r="K101" s="63"/>
      <c r="L101" s="63"/>
      <c r="M101" s="63"/>
      <c r="N101" s="63"/>
    </row>
    <row r="102" spans="7:14" ht="12.75">
      <c r="G102" s="63"/>
      <c r="H102" s="63"/>
      <c r="I102" s="63"/>
      <c r="J102" s="63"/>
      <c r="K102" s="63"/>
      <c r="L102" s="63"/>
      <c r="M102" s="63"/>
      <c r="N102" s="63"/>
    </row>
    <row r="103" spans="7:14" ht="12.75">
      <c r="G103" s="63"/>
      <c r="H103" s="63"/>
      <c r="I103" s="63"/>
      <c r="J103" s="63"/>
      <c r="K103" s="63"/>
      <c r="L103" s="63"/>
      <c r="M103" s="63"/>
      <c r="N103" s="63"/>
    </row>
    <row r="104" spans="7:14" ht="12.75">
      <c r="G104" s="63"/>
      <c r="H104" s="63"/>
      <c r="I104" s="63"/>
      <c r="J104" s="63"/>
      <c r="K104" s="63"/>
      <c r="L104" s="63"/>
      <c r="M104" s="63"/>
      <c r="N104" s="63"/>
    </row>
    <row r="105" spans="7:14" ht="12.75">
      <c r="G105" s="63"/>
      <c r="H105" s="63"/>
      <c r="I105" s="63"/>
      <c r="J105" s="63"/>
      <c r="K105" s="63"/>
      <c r="L105" s="63"/>
      <c r="M105" s="63"/>
      <c r="N105" s="63"/>
    </row>
    <row r="106" spans="7:14" ht="12.75">
      <c r="G106" s="63"/>
      <c r="H106" s="63"/>
      <c r="I106" s="63"/>
      <c r="J106" s="63"/>
      <c r="K106" s="63"/>
      <c r="L106" s="63"/>
      <c r="M106" s="63"/>
      <c r="N106" s="63"/>
    </row>
    <row r="107" spans="7:14" ht="12.75">
      <c r="G107" s="63"/>
      <c r="H107" s="63"/>
      <c r="I107" s="63"/>
      <c r="J107" s="63"/>
      <c r="K107" s="63"/>
      <c r="L107" s="63"/>
      <c r="M107" s="63"/>
      <c r="N107" s="63"/>
    </row>
    <row r="108" spans="7:14" ht="12.75">
      <c r="G108" s="63"/>
      <c r="H108" s="63"/>
      <c r="I108" s="63"/>
      <c r="J108" s="63"/>
      <c r="K108" s="63"/>
      <c r="L108" s="63"/>
      <c r="M108" s="63"/>
      <c r="N108" s="63"/>
    </row>
    <row r="109" spans="7:14" ht="12.75">
      <c r="G109" s="63"/>
      <c r="H109" s="63"/>
      <c r="I109" s="63"/>
      <c r="J109" s="63"/>
      <c r="K109" s="63"/>
      <c r="L109" s="63"/>
      <c r="M109" s="63"/>
      <c r="N109" s="63"/>
    </row>
    <row r="110" spans="7:14" ht="12.75">
      <c r="G110" s="63"/>
      <c r="H110" s="63"/>
      <c r="I110" s="63"/>
      <c r="J110" s="63"/>
      <c r="K110" s="63"/>
      <c r="L110" s="63"/>
      <c r="M110" s="63"/>
      <c r="N110" s="63"/>
    </row>
    <row r="111" spans="7:14" ht="12.75">
      <c r="G111" s="63"/>
      <c r="H111" s="63"/>
      <c r="I111" s="63"/>
      <c r="J111" s="63"/>
      <c r="K111" s="63"/>
      <c r="L111" s="63"/>
      <c r="M111" s="63"/>
      <c r="N111" s="63"/>
    </row>
    <row r="112" spans="7:14" ht="12.75">
      <c r="G112" s="63"/>
      <c r="H112" s="63"/>
      <c r="I112" s="63"/>
      <c r="J112" s="63"/>
      <c r="K112" s="63"/>
      <c r="L112" s="63"/>
      <c r="M112" s="63"/>
      <c r="N112" s="63"/>
    </row>
    <row r="113" spans="7:14" ht="12.75">
      <c r="G113" s="63"/>
      <c r="H113" s="63"/>
      <c r="I113" s="63"/>
      <c r="J113" s="63"/>
      <c r="K113" s="63"/>
      <c r="L113" s="63"/>
      <c r="M113" s="63"/>
      <c r="N113" s="63"/>
    </row>
    <row r="114" spans="7:14" ht="12.75">
      <c r="G114" s="63"/>
      <c r="H114" s="63"/>
      <c r="I114" s="63"/>
      <c r="J114" s="63"/>
      <c r="K114" s="63"/>
      <c r="L114" s="63"/>
      <c r="M114" s="63"/>
      <c r="N114" s="63"/>
    </row>
    <row r="115" spans="7:14" ht="12.75">
      <c r="G115" s="63"/>
      <c r="H115" s="63"/>
      <c r="I115" s="63"/>
      <c r="J115" s="63"/>
      <c r="K115" s="63"/>
      <c r="L115" s="63"/>
      <c r="M115" s="63"/>
      <c r="N115" s="63"/>
    </row>
    <row r="116" spans="7:14" ht="12.75">
      <c r="G116" s="63"/>
      <c r="H116" s="63"/>
      <c r="I116" s="63"/>
      <c r="J116" s="63"/>
      <c r="K116" s="63"/>
      <c r="L116" s="63"/>
      <c r="M116" s="63"/>
      <c r="N116" s="63"/>
    </row>
    <row r="117" spans="7:14" ht="12.75">
      <c r="G117" s="63"/>
      <c r="H117" s="63"/>
      <c r="I117" s="63"/>
      <c r="J117" s="63"/>
      <c r="K117" s="63"/>
      <c r="L117" s="63"/>
      <c r="M117" s="63"/>
      <c r="N117" s="63"/>
    </row>
    <row r="118" spans="7:14" ht="12.75">
      <c r="G118" s="63"/>
      <c r="H118" s="63"/>
      <c r="I118" s="63"/>
      <c r="J118" s="63"/>
      <c r="K118" s="63"/>
      <c r="L118" s="63"/>
      <c r="M118" s="63"/>
      <c r="N118" s="63"/>
    </row>
    <row r="119" spans="7:14" ht="12.75">
      <c r="G119" s="63"/>
      <c r="H119" s="63"/>
      <c r="I119" s="63"/>
      <c r="J119" s="63"/>
      <c r="K119" s="63"/>
      <c r="L119" s="63"/>
      <c r="M119" s="63"/>
      <c r="N119" s="63"/>
    </row>
    <row r="120" spans="7:14" ht="12.75">
      <c r="G120" s="63"/>
      <c r="H120" s="63"/>
      <c r="I120" s="63"/>
      <c r="J120" s="63"/>
      <c r="K120" s="63"/>
      <c r="L120" s="63"/>
      <c r="M120" s="63"/>
      <c r="N120" s="63"/>
    </row>
    <row r="121" spans="7:14" ht="12.75">
      <c r="G121" s="63"/>
      <c r="H121" s="63"/>
      <c r="I121" s="63"/>
      <c r="J121" s="63"/>
      <c r="K121" s="63"/>
      <c r="L121" s="63"/>
      <c r="M121" s="63"/>
      <c r="N121" s="63"/>
    </row>
    <row r="122" spans="7:14" ht="12.75">
      <c r="G122" s="63"/>
      <c r="H122" s="63"/>
      <c r="I122" s="63"/>
      <c r="J122" s="63"/>
      <c r="K122" s="63"/>
      <c r="L122" s="63"/>
      <c r="M122" s="63"/>
      <c r="N122" s="63"/>
    </row>
    <row r="123" spans="7:14" ht="12.75">
      <c r="G123" s="63"/>
      <c r="H123" s="63"/>
      <c r="I123" s="63"/>
      <c r="J123" s="63"/>
      <c r="K123" s="63"/>
      <c r="L123" s="63"/>
      <c r="M123" s="63"/>
      <c r="N123" s="63"/>
    </row>
    <row r="124" spans="7:14" ht="12.75">
      <c r="G124" s="63"/>
      <c r="H124" s="63"/>
      <c r="I124" s="63"/>
      <c r="J124" s="63"/>
      <c r="K124" s="63"/>
      <c r="L124" s="63"/>
      <c r="M124" s="63"/>
      <c r="N124" s="63"/>
    </row>
    <row r="125" spans="7:14" ht="12.75">
      <c r="G125" s="63"/>
      <c r="H125" s="63"/>
      <c r="I125" s="63"/>
      <c r="J125" s="63"/>
      <c r="K125" s="63"/>
      <c r="L125" s="63"/>
      <c r="M125" s="63"/>
      <c r="N125" s="63"/>
    </row>
    <row r="126" spans="7:14" ht="12.75">
      <c r="G126" s="63"/>
      <c r="H126" s="63"/>
      <c r="I126" s="63"/>
      <c r="J126" s="63"/>
      <c r="K126" s="63"/>
      <c r="L126" s="63"/>
      <c r="M126" s="63"/>
      <c r="N126" s="63"/>
    </row>
    <row r="127" spans="7:14" ht="12.75">
      <c r="G127" s="63"/>
      <c r="H127" s="63"/>
      <c r="I127" s="63"/>
      <c r="J127" s="63"/>
      <c r="K127" s="63"/>
      <c r="L127" s="63"/>
      <c r="M127" s="63"/>
      <c r="N127" s="63"/>
    </row>
    <row r="128" spans="7:14" ht="12.75">
      <c r="G128" s="63"/>
      <c r="H128" s="63"/>
      <c r="I128" s="63"/>
      <c r="J128" s="63"/>
      <c r="K128" s="63"/>
      <c r="L128" s="63"/>
      <c r="M128" s="63"/>
      <c r="N128" s="63"/>
    </row>
    <row r="129" spans="7:14" ht="12.75">
      <c r="G129" s="63"/>
      <c r="H129" s="63"/>
      <c r="I129" s="63"/>
      <c r="J129" s="63"/>
      <c r="K129" s="63"/>
      <c r="L129" s="63"/>
      <c r="M129" s="63"/>
      <c r="N129" s="63"/>
    </row>
    <row r="130" spans="7:14" ht="12.75">
      <c r="G130" s="63"/>
      <c r="H130" s="63"/>
      <c r="I130" s="63"/>
      <c r="J130" s="63"/>
      <c r="K130" s="63"/>
      <c r="L130" s="63"/>
      <c r="M130" s="63"/>
      <c r="N130" s="63"/>
    </row>
    <row r="131" spans="7:14" ht="12.75">
      <c r="G131" s="63"/>
      <c r="H131" s="63"/>
      <c r="I131" s="63"/>
      <c r="J131" s="63"/>
      <c r="K131" s="63"/>
      <c r="L131" s="63"/>
      <c r="M131" s="63"/>
      <c r="N131" s="63"/>
    </row>
    <row r="132" spans="7:14" ht="12.75">
      <c r="G132" s="63"/>
      <c r="H132" s="63"/>
      <c r="I132" s="63"/>
      <c r="J132" s="63"/>
      <c r="K132" s="63"/>
      <c r="L132" s="63"/>
      <c r="M132" s="63"/>
      <c r="N132" s="63"/>
    </row>
    <row r="133" spans="7:14" ht="12.75">
      <c r="G133" s="63"/>
      <c r="H133" s="63"/>
      <c r="I133" s="63"/>
      <c r="J133" s="63"/>
      <c r="K133" s="63"/>
      <c r="L133" s="63"/>
      <c r="M133" s="63"/>
      <c r="N133" s="63"/>
    </row>
    <row r="134" spans="7:14" ht="12.75">
      <c r="G134" s="63"/>
      <c r="H134" s="63"/>
      <c r="I134" s="63"/>
      <c r="J134" s="63"/>
      <c r="K134" s="63"/>
      <c r="L134" s="63"/>
      <c r="M134" s="63"/>
      <c r="N134" s="63"/>
    </row>
    <row r="135" spans="7:14" ht="12.75">
      <c r="G135" s="63"/>
      <c r="H135" s="63"/>
      <c r="I135" s="63"/>
      <c r="J135" s="63"/>
      <c r="K135" s="63"/>
      <c r="L135" s="63"/>
      <c r="M135" s="63"/>
      <c r="N135" s="63"/>
    </row>
    <row r="136" spans="7:14" ht="12.75">
      <c r="G136" s="63"/>
      <c r="H136" s="63"/>
      <c r="I136" s="63"/>
      <c r="J136" s="63"/>
      <c r="K136" s="63"/>
      <c r="L136" s="63"/>
      <c r="M136" s="63"/>
      <c r="N136" s="63"/>
    </row>
    <row r="137" spans="7:14" ht="12.75">
      <c r="G137" s="63"/>
      <c r="H137" s="63"/>
      <c r="I137" s="63"/>
      <c r="J137" s="63"/>
      <c r="K137" s="63"/>
      <c r="L137" s="63"/>
      <c r="M137" s="63"/>
      <c r="N137" s="63"/>
    </row>
    <row r="138" spans="7:14" ht="12.75">
      <c r="G138" s="63"/>
      <c r="H138" s="63"/>
      <c r="I138" s="63"/>
      <c r="J138" s="63"/>
      <c r="K138" s="63"/>
      <c r="L138" s="63"/>
      <c r="M138" s="63"/>
      <c r="N138" s="63"/>
    </row>
    <row r="139" spans="7:14" ht="12.75">
      <c r="G139" s="63"/>
      <c r="H139" s="63"/>
      <c r="I139" s="63"/>
      <c r="J139" s="63"/>
      <c r="K139" s="63"/>
      <c r="L139" s="63"/>
      <c r="M139" s="63"/>
      <c r="N139" s="63"/>
    </row>
    <row r="140" spans="7:14" ht="12.75">
      <c r="G140" s="63"/>
      <c r="H140" s="63"/>
      <c r="I140" s="63"/>
      <c r="J140" s="63"/>
      <c r="K140" s="63"/>
      <c r="L140" s="63"/>
      <c r="M140" s="63"/>
      <c r="N140" s="63"/>
    </row>
    <row r="141" spans="7:14" ht="12.75">
      <c r="G141" s="63"/>
      <c r="H141" s="63"/>
      <c r="I141" s="63"/>
      <c r="J141" s="63"/>
      <c r="K141" s="63"/>
      <c r="L141" s="63"/>
      <c r="M141" s="63"/>
      <c r="N141" s="63"/>
    </row>
    <row r="142" spans="7:14" ht="12.75">
      <c r="G142" s="63"/>
      <c r="H142" s="63"/>
      <c r="I142" s="63"/>
      <c r="J142" s="63"/>
      <c r="K142" s="63"/>
      <c r="L142" s="63"/>
      <c r="M142" s="63"/>
      <c r="N142" s="63"/>
    </row>
    <row r="143" spans="7:14" ht="12.75">
      <c r="G143" s="63"/>
      <c r="H143" s="63"/>
      <c r="I143" s="63"/>
      <c r="J143" s="63"/>
      <c r="K143" s="63"/>
      <c r="L143" s="63"/>
      <c r="M143" s="63"/>
      <c r="N143" s="63"/>
    </row>
    <row r="144" spans="7:14" ht="12.75">
      <c r="G144" s="63"/>
      <c r="H144" s="63"/>
      <c r="I144" s="63"/>
      <c r="J144" s="63"/>
      <c r="K144" s="63"/>
      <c r="L144" s="63"/>
      <c r="M144" s="63"/>
      <c r="N144" s="63"/>
    </row>
    <row r="145" spans="7:14" ht="12.75">
      <c r="G145" s="63"/>
      <c r="H145" s="63"/>
      <c r="I145" s="63"/>
      <c r="J145" s="63"/>
      <c r="K145" s="63"/>
      <c r="L145" s="63"/>
      <c r="M145" s="63"/>
      <c r="N145" s="63"/>
    </row>
    <row r="146" spans="7:14" ht="12.75">
      <c r="G146" s="63"/>
      <c r="H146" s="63"/>
      <c r="I146" s="63"/>
      <c r="J146" s="63"/>
      <c r="K146" s="63"/>
      <c r="L146" s="63"/>
      <c r="M146" s="63"/>
      <c r="N146" s="63"/>
    </row>
    <row r="147" spans="7:14" ht="12.75">
      <c r="G147" s="63"/>
      <c r="H147" s="63"/>
      <c r="I147" s="63"/>
      <c r="J147" s="63"/>
      <c r="K147" s="63"/>
      <c r="L147" s="63"/>
      <c r="M147" s="63"/>
      <c r="N147" s="63"/>
    </row>
    <row r="148" spans="7:14" ht="12.75">
      <c r="G148" s="63"/>
      <c r="H148" s="63"/>
      <c r="I148" s="63"/>
      <c r="J148" s="63"/>
      <c r="K148" s="63"/>
      <c r="L148" s="63"/>
      <c r="M148" s="63"/>
      <c r="N148" s="63"/>
    </row>
    <row r="149" spans="7:14" ht="12.75">
      <c r="G149" s="63"/>
      <c r="H149" s="63"/>
      <c r="I149" s="63"/>
      <c r="J149" s="63"/>
      <c r="K149" s="63"/>
      <c r="L149" s="63"/>
      <c r="M149" s="63"/>
      <c r="N149" s="63"/>
    </row>
    <row r="150" spans="7:14" ht="12.75">
      <c r="G150" s="63"/>
      <c r="H150" s="63"/>
      <c r="I150" s="63"/>
      <c r="J150" s="63"/>
      <c r="K150" s="63"/>
      <c r="L150" s="63"/>
      <c r="M150" s="63"/>
      <c r="N150" s="63"/>
    </row>
    <row r="151" spans="7:14" ht="12.75">
      <c r="G151" s="63"/>
      <c r="H151" s="63"/>
      <c r="I151" s="63"/>
      <c r="J151" s="63"/>
      <c r="K151" s="63"/>
      <c r="L151" s="63"/>
      <c r="M151" s="63"/>
      <c r="N151" s="63"/>
    </row>
    <row r="152" spans="7:14" ht="12.75">
      <c r="G152" s="63"/>
      <c r="H152" s="63"/>
      <c r="I152" s="63"/>
      <c r="J152" s="63"/>
      <c r="K152" s="63"/>
      <c r="L152" s="63"/>
      <c r="M152" s="63"/>
      <c r="N152" s="63"/>
    </row>
    <row r="153" spans="7:14" ht="12.75">
      <c r="G153" s="63"/>
      <c r="H153" s="63"/>
      <c r="I153" s="63"/>
      <c r="J153" s="63"/>
      <c r="K153" s="63"/>
      <c r="L153" s="63"/>
      <c r="M153" s="63"/>
      <c r="N153" s="63"/>
    </row>
    <row r="154" spans="7:14" ht="12.75">
      <c r="G154" s="63"/>
      <c r="H154" s="63"/>
      <c r="I154" s="63"/>
      <c r="J154" s="63"/>
      <c r="K154" s="63"/>
      <c r="L154" s="63"/>
      <c r="M154" s="63"/>
      <c r="N154" s="63"/>
    </row>
    <row r="155" spans="7:14" ht="12.75">
      <c r="G155" s="63"/>
      <c r="H155" s="63"/>
      <c r="I155" s="63"/>
      <c r="J155" s="63"/>
      <c r="K155" s="63"/>
      <c r="L155" s="63"/>
      <c r="M155" s="63"/>
      <c r="N155" s="63"/>
    </row>
    <row r="156" spans="7:14" ht="12.75">
      <c r="G156" s="63"/>
      <c r="H156" s="63"/>
      <c r="I156" s="63"/>
      <c r="J156" s="63"/>
      <c r="K156" s="63"/>
      <c r="L156" s="63"/>
      <c r="M156" s="63"/>
      <c r="N156" s="63"/>
    </row>
    <row r="157" spans="7:14" ht="12.75">
      <c r="G157" s="63"/>
      <c r="H157" s="63"/>
      <c r="I157" s="63"/>
      <c r="J157" s="63"/>
      <c r="K157" s="63"/>
      <c r="L157" s="63"/>
      <c r="M157" s="63"/>
      <c r="N157" s="63"/>
    </row>
    <row r="158" spans="7:14" ht="12.75">
      <c r="G158" s="63"/>
      <c r="H158" s="63"/>
      <c r="I158" s="63"/>
      <c r="J158" s="63"/>
      <c r="K158" s="63"/>
      <c r="L158" s="63"/>
      <c r="M158" s="63"/>
      <c r="N158" s="63"/>
    </row>
    <row r="159" spans="7:14" ht="12.75">
      <c r="G159" s="63"/>
      <c r="H159" s="63"/>
      <c r="I159" s="63"/>
      <c r="J159" s="63"/>
      <c r="K159" s="63"/>
      <c r="L159" s="63"/>
      <c r="M159" s="63"/>
      <c r="N159" s="63"/>
    </row>
    <row r="160" spans="7:14" ht="12.75">
      <c r="G160" s="63"/>
      <c r="H160" s="63"/>
      <c r="I160" s="63"/>
      <c r="J160" s="63"/>
      <c r="K160" s="63"/>
      <c r="L160" s="63"/>
      <c r="M160" s="63"/>
      <c r="N160" s="63"/>
    </row>
    <row r="161" spans="7:14" ht="12.75">
      <c r="G161" s="63"/>
      <c r="H161" s="63"/>
      <c r="I161" s="63"/>
      <c r="J161" s="63"/>
      <c r="K161" s="63"/>
      <c r="L161" s="63"/>
      <c r="M161" s="63"/>
      <c r="N161" s="63"/>
    </row>
    <row r="162" spans="7:14" ht="12.75">
      <c r="G162" s="63"/>
      <c r="H162" s="63"/>
      <c r="I162" s="63"/>
      <c r="J162" s="63"/>
      <c r="K162" s="63"/>
      <c r="L162" s="63"/>
      <c r="M162" s="63"/>
      <c r="N162" s="63"/>
    </row>
    <row r="163" spans="7:14" ht="12.75">
      <c r="G163" s="63"/>
      <c r="H163" s="63"/>
      <c r="I163" s="63"/>
      <c r="J163" s="63"/>
      <c r="K163" s="63"/>
      <c r="L163" s="63"/>
      <c r="M163" s="63"/>
      <c r="N163" s="63"/>
    </row>
    <row r="164" spans="7:14" ht="12.75">
      <c r="G164" s="63"/>
      <c r="H164" s="63"/>
      <c r="I164" s="63"/>
      <c r="J164" s="63"/>
      <c r="K164" s="63"/>
      <c r="L164" s="63"/>
      <c r="M164" s="63"/>
      <c r="N164" s="63"/>
    </row>
    <row r="165" spans="7:14" ht="12.75">
      <c r="G165" s="63"/>
      <c r="H165" s="63"/>
      <c r="I165" s="63"/>
      <c r="J165" s="63"/>
      <c r="K165" s="63"/>
      <c r="L165" s="63"/>
      <c r="M165" s="63"/>
      <c r="N165" s="63"/>
    </row>
    <row r="166" spans="7:14" ht="12.75">
      <c r="G166" s="63"/>
      <c r="H166" s="63"/>
      <c r="I166" s="63"/>
      <c r="J166" s="63"/>
      <c r="K166" s="63"/>
      <c r="L166" s="63"/>
      <c r="M166" s="63"/>
      <c r="N166" s="63"/>
    </row>
    <row r="167" spans="7:14" ht="12.75">
      <c r="G167" s="63"/>
      <c r="H167" s="63"/>
      <c r="I167" s="63"/>
      <c r="J167" s="63"/>
      <c r="K167" s="63"/>
      <c r="L167" s="63"/>
      <c r="M167" s="63"/>
      <c r="N167" s="63"/>
    </row>
    <row r="168" spans="7:14" ht="12.75">
      <c r="G168" s="63"/>
      <c r="H168" s="63"/>
      <c r="I168" s="63"/>
      <c r="J168" s="63"/>
      <c r="K168" s="63"/>
      <c r="L168" s="63"/>
      <c r="M168" s="63"/>
      <c r="N168" s="63"/>
    </row>
    <row r="169" spans="7:14" ht="12.75">
      <c r="G169" s="63"/>
      <c r="H169" s="63"/>
      <c r="I169" s="63"/>
      <c r="J169" s="63"/>
      <c r="K169" s="63"/>
      <c r="L169" s="63"/>
      <c r="M169" s="63"/>
      <c r="N169" s="63"/>
    </row>
    <row r="170" spans="7:14" ht="12.75">
      <c r="G170" s="63"/>
      <c r="H170" s="63"/>
      <c r="I170" s="63"/>
      <c r="J170" s="63"/>
      <c r="K170" s="63"/>
      <c r="L170" s="63"/>
      <c r="M170" s="63"/>
      <c r="N170" s="63"/>
    </row>
    <row r="171" spans="7:14" ht="12.75">
      <c r="G171" s="63"/>
      <c r="H171" s="63"/>
      <c r="I171" s="63"/>
      <c r="J171" s="63"/>
      <c r="K171" s="63"/>
      <c r="L171" s="63"/>
      <c r="M171" s="63"/>
      <c r="N171" s="63"/>
    </row>
    <row r="172" spans="7:14" ht="12.75">
      <c r="G172" s="63"/>
      <c r="H172" s="63"/>
      <c r="I172" s="63"/>
      <c r="J172" s="63"/>
      <c r="K172" s="63"/>
      <c r="L172" s="63"/>
      <c r="M172" s="63"/>
      <c r="N172" s="63"/>
    </row>
    <row r="173" spans="7:14" ht="12.75">
      <c r="G173" s="63"/>
      <c r="H173" s="63"/>
      <c r="I173" s="63"/>
      <c r="J173" s="63"/>
      <c r="K173" s="63"/>
      <c r="L173" s="63"/>
      <c r="M173" s="63"/>
      <c r="N173" s="63"/>
    </row>
    <row r="174" spans="7:14" ht="12.75">
      <c r="G174" s="63"/>
      <c r="H174" s="63"/>
      <c r="I174" s="63"/>
      <c r="J174" s="63"/>
      <c r="K174" s="63"/>
      <c r="L174" s="63"/>
      <c r="M174" s="63"/>
      <c r="N174" s="63"/>
    </row>
    <row r="175" spans="7:14" ht="12.75">
      <c r="G175" s="63"/>
      <c r="H175" s="63"/>
      <c r="I175" s="63"/>
      <c r="J175" s="63"/>
      <c r="K175" s="63"/>
      <c r="L175" s="63"/>
      <c r="M175" s="63"/>
      <c r="N175" s="63"/>
    </row>
    <row r="176" spans="7:14" ht="12.75">
      <c r="G176" s="63"/>
      <c r="H176" s="63"/>
      <c r="I176" s="63"/>
      <c r="J176" s="63"/>
      <c r="K176" s="63"/>
      <c r="L176" s="63"/>
      <c r="M176" s="63"/>
      <c r="N176" s="63"/>
    </row>
    <row r="177" spans="7:14" ht="12.75">
      <c r="G177" s="63"/>
      <c r="H177" s="63"/>
      <c r="I177" s="63"/>
      <c r="J177" s="63"/>
      <c r="K177" s="63"/>
      <c r="L177" s="63"/>
      <c r="M177" s="63"/>
      <c r="N177" s="63"/>
    </row>
    <row r="178" spans="7:14" ht="12.75">
      <c r="G178" s="63"/>
      <c r="H178" s="63"/>
      <c r="I178" s="63"/>
      <c r="J178" s="63"/>
      <c r="K178" s="63"/>
      <c r="L178" s="63"/>
      <c r="M178" s="63"/>
      <c r="N178" s="63"/>
    </row>
    <row r="179" spans="7:14" ht="12.75">
      <c r="G179" s="63"/>
      <c r="H179" s="63"/>
      <c r="I179" s="63"/>
      <c r="J179" s="63"/>
      <c r="K179" s="63"/>
      <c r="L179" s="63"/>
      <c r="M179" s="63"/>
      <c r="N179" s="63"/>
    </row>
    <row r="180" spans="7:14" ht="12.75">
      <c r="G180" s="63"/>
      <c r="H180" s="63"/>
      <c r="I180" s="63"/>
      <c r="J180" s="63"/>
      <c r="K180" s="63"/>
      <c r="L180" s="63"/>
      <c r="M180" s="63"/>
      <c r="N180" s="63"/>
    </row>
    <row r="181" spans="7:14" ht="12.75">
      <c r="G181" s="63"/>
      <c r="H181" s="63"/>
      <c r="I181" s="63"/>
      <c r="J181" s="63"/>
      <c r="K181" s="63"/>
      <c r="L181" s="63"/>
      <c r="M181" s="63"/>
      <c r="N181" s="63"/>
    </row>
    <row r="182" spans="7:14" ht="12.75">
      <c r="G182" s="63"/>
      <c r="H182" s="63"/>
      <c r="I182" s="63"/>
      <c r="J182" s="63"/>
      <c r="K182" s="63"/>
      <c r="L182" s="63"/>
      <c r="M182" s="63"/>
      <c r="N182" s="63"/>
    </row>
    <row r="183" spans="7:14" ht="12.75">
      <c r="G183" s="63"/>
      <c r="H183" s="63"/>
      <c r="I183" s="63"/>
      <c r="J183" s="63"/>
      <c r="K183" s="63"/>
      <c r="L183" s="63"/>
      <c r="M183" s="63"/>
      <c r="N183" s="63"/>
    </row>
    <row r="184" spans="7:14" ht="12.75">
      <c r="G184" s="63"/>
      <c r="H184" s="63"/>
      <c r="I184" s="63"/>
      <c r="J184" s="63"/>
      <c r="K184" s="63"/>
      <c r="L184" s="63"/>
      <c r="M184" s="63"/>
      <c r="N184" s="63"/>
    </row>
    <row r="185" spans="7:14" ht="12.75">
      <c r="G185" s="63"/>
      <c r="H185" s="63"/>
      <c r="I185" s="63"/>
      <c r="J185" s="63"/>
      <c r="K185" s="63"/>
      <c r="L185" s="63"/>
      <c r="M185" s="63"/>
      <c r="N185" s="63"/>
    </row>
    <row r="186" spans="7:14" ht="12.75">
      <c r="G186" s="63"/>
      <c r="H186" s="63"/>
      <c r="I186" s="63"/>
      <c r="J186" s="63"/>
      <c r="K186" s="63"/>
      <c r="L186" s="63"/>
      <c r="M186" s="63"/>
      <c r="N186" s="63"/>
    </row>
    <row r="187" spans="7:14" ht="12.75">
      <c r="G187" s="63"/>
      <c r="H187" s="63"/>
      <c r="I187" s="63"/>
      <c r="J187" s="63"/>
      <c r="K187" s="63"/>
      <c r="L187" s="63"/>
      <c r="M187" s="63"/>
      <c r="N187" s="63"/>
    </row>
    <row r="188" spans="7:14" ht="12.75">
      <c r="G188" s="63"/>
      <c r="H188" s="63"/>
      <c r="I188" s="63"/>
      <c r="J188" s="63"/>
      <c r="K188" s="63"/>
      <c r="L188" s="63"/>
      <c r="M188" s="63"/>
      <c r="N188" s="63"/>
    </row>
    <row r="189" spans="7:14" ht="12.75">
      <c r="G189" s="63"/>
      <c r="H189" s="63"/>
      <c r="I189" s="63"/>
      <c r="J189" s="63"/>
      <c r="K189" s="63"/>
      <c r="L189" s="63"/>
      <c r="M189" s="63"/>
      <c r="N189" s="63"/>
    </row>
    <row r="190" spans="7:14" ht="12.75">
      <c r="G190" s="63"/>
      <c r="H190" s="63"/>
      <c r="I190" s="63"/>
      <c r="J190" s="63"/>
      <c r="K190" s="63"/>
      <c r="L190" s="63"/>
      <c r="M190" s="63"/>
      <c r="N190" s="63"/>
    </row>
    <row r="191" spans="7:14" ht="12.75">
      <c r="G191" s="63"/>
      <c r="H191" s="63"/>
      <c r="I191" s="63"/>
      <c r="J191" s="63"/>
      <c r="K191" s="63"/>
      <c r="L191" s="63"/>
      <c r="M191" s="63"/>
      <c r="N191" s="63"/>
    </row>
    <row r="192" spans="7:14" ht="12.75">
      <c r="G192" s="63"/>
      <c r="H192" s="63"/>
      <c r="I192" s="63"/>
      <c r="J192" s="63"/>
      <c r="K192" s="63"/>
      <c r="L192" s="63"/>
      <c r="M192" s="63"/>
      <c r="N192" s="63"/>
    </row>
    <row r="193" spans="7:14" ht="12.75">
      <c r="G193" s="63"/>
      <c r="H193" s="63"/>
      <c r="I193" s="63"/>
      <c r="J193" s="63"/>
      <c r="K193" s="63"/>
      <c r="L193" s="63"/>
      <c r="M193" s="63"/>
      <c r="N193" s="63"/>
    </row>
    <row r="194" spans="7:14" ht="12.75">
      <c r="G194" s="63"/>
      <c r="H194" s="63"/>
      <c r="I194" s="63"/>
      <c r="J194" s="63"/>
      <c r="K194" s="63"/>
      <c r="L194" s="63"/>
      <c r="M194" s="63"/>
      <c r="N194" s="63"/>
    </row>
    <row r="195" spans="7:14" ht="12.75">
      <c r="G195" s="63"/>
      <c r="H195" s="63"/>
      <c r="I195" s="63"/>
      <c r="J195" s="63"/>
      <c r="K195" s="63"/>
      <c r="L195" s="63"/>
      <c r="M195" s="63"/>
      <c r="N195" s="63"/>
    </row>
    <row r="196" spans="7:14" ht="12.75">
      <c r="G196" s="63"/>
      <c r="H196" s="63"/>
      <c r="I196" s="63"/>
      <c r="J196" s="63"/>
      <c r="K196" s="63"/>
      <c r="L196" s="63"/>
      <c r="M196" s="63"/>
      <c r="N196" s="63"/>
    </row>
    <row r="197" spans="7:14" ht="12.75">
      <c r="G197" s="63"/>
      <c r="H197" s="63"/>
      <c r="I197" s="63"/>
      <c r="J197" s="63"/>
      <c r="K197" s="63"/>
      <c r="L197" s="63"/>
      <c r="M197" s="63"/>
      <c r="N197" s="63"/>
    </row>
    <row r="198" spans="7:14" ht="12.75">
      <c r="G198" s="63"/>
      <c r="H198" s="63"/>
      <c r="I198" s="63"/>
      <c r="J198" s="63"/>
      <c r="K198" s="63"/>
      <c r="L198" s="63"/>
      <c r="M198" s="63"/>
      <c r="N198" s="63"/>
    </row>
    <row r="199" spans="7:14" ht="12.75">
      <c r="G199" s="63"/>
      <c r="H199" s="63"/>
      <c r="I199" s="63"/>
      <c r="J199" s="63"/>
      <c r="K199" s="63"/>
      <c r="L199" s="63"/>
      <c r="M199" s="63"/>
      <c r="N199" s="63"/>
    </row>
    <row r="200" spans="7:14" ht="12.75">
      <c r="G200" s="63"/>
      <c r="H200" s="63"/>
      <c r="I200" s="63"/>
      <c r="J200" s="63"/>
      <c r="K200" s="63"/>
      <c r="L200" s="63"/>
      <c r="M200" s="63"/>
      <c r="N200" s="63"/>
    </row>
    <row r="201" spans="7:14" ht="12.75">
      <c r="G201" s="63"/>
      <c r="H201" s="63"/>
      <c r="I201" s="63"/>
      <c r="J201" s="63"/>
      <c r="K201" s="63"/>
      <c r="L201" s="63"/>
      <c r="M201" s="63"/>
      <c r="N201" s="63"/>
    </row>
    <row r="202" spans="7:14" ht="12.75">
      <c r="G202" s="63"/>
      <c r="H202" s="63"/>
      <c r="I202" s="63"/>
      <c r="J202" s="63"/>
      <c r="K202" s="63"/>
      <c r="L202" s="63"/>
      <c r="M202" s="63"/>
      <c r="N202" s="63"/>
    </row>
    <row r="203" spans="7:14" ht="12.75">
      <c r="G203" s="63"/>
      <c r="H203" s="63"/>
      <c r="I203" s="63"/>
      <c r="J203" s="63"/>
      <c r="K203" s="63"/>
      <c r="L203" s="63"/>
      <c r="M203" s="63"/>
      <c r="N203" s="63"/>
    </row>
    <row r="204" spans="7:14" ht="12.75">
      <c r="G204" s="63"/>
      <c r="H204" s="63"/>
      <c r="I204" s="63"/>
      <c r="J204" s="63"/>
      <c r="K204" s="63"/>
      <c r="L204" s="63"/>
      <c r="M204" s="63"/>
      <c r="N204" s="63"/>
    </row>
    <row r="205" spans="7:14" ht="12.75">
      <c r="G205" s="63"/>
      <c r="H205" s="63"/>
      <c r="I205" s="63"/>
      <c r="J205" s="63"/>
      <c r="K205" s="63"/>
      <c r="L205" s="63"/>
      <c r="M205" s="63"/>
      <c r="N205" s="63"/>
    </row>
    <row r="206" spans="7:14" ht="12.75">
      <c r="G206" s="63"/>
      <c r="H206" s="63"/>
      <c r="I206" s="63"/>
      <c r="J206" s="63"/>
      <c r="K206" s="63"/>
      <c r="L206" s="63"/>
      <c r="M206" s="63"/>
      <c r="N206" s="63"/>
    </row>
    <row r="207" spans="7:14" ht="12.75">
      <c r="G207" s="63"/>
      <c r="H207" s="63"/>
      <c r="I207" s="63"/>
      <c r="J207" s="63"/>
      <c r="K207" s="63"/>
      <c r="L207" s="63"/>
      <c r="M207" s="63"/>
      <c r="N207" s="63"/>
    </row>
    <row r="208" spans="7:14" ht="12.75">
      <c r="G208" s="63"/>
      <c r="H208" s="63"/>
      <c r="I208" s="63"/>
      <c r="J208" s="63"/>
      <c r="K208" s="63"/>
      <c r="L208" s="63"/>
      <c r="M208" s="63"/>
      <c r="N208" s="63"/>
    </row>
    <row r="209" spans="7:14" ht="12.75">
      <c r="G209" s="63"/>
      <c r="H209" s="63"/>
      <c r="I209" s="63"/>
      <c r="J209" s="63"/>
      <c r="K209" s="63"/>
      <c r="L209" s="63"/>
      <c r="M209" s="63"/>
      <c r="N209" s="63"/>
    </row>
    <row r="210" spans="7:14" ht="12.75">
      <c r="G210" s="63"/>
      <c r="H210" s="63"/>
      <c r="I210" s="63"/>
      <c r="J210" s="63"/>
      <c r="K210" s="63"/>
      <c r="L210" s="63"/>
      <c r="M210" s="63"/>
      <c r="N210" s="63"/>
    </row>
    <row r="211" spans="7:14" ht="12.75">
      <c r="G211" s="63"/>
      <c r="H211" s="63"/>
      <c r="I211" s="63"/>
      <c r="J211" s="63"/>
      <c r="K211" s="63"/>
      <c r="L211" s="63"/>
      <c r="M211" s="63"/>
      <c r="N211" s="63"/>
    </row>
    <row r="212" spans="7:14" ht="12.75">
      <c r="G212" s="63"/>
      <c r="H212" s="63"/>
      <c r="I212" s="63"/>
      <c r="J212" s="63"/>
      <c r="K212" s="63"/>
      <c r="L212" s="63"/>
      <c r="M212" s="63"/>
      <c r="N212" s="63"/>
    </row>
    <row r="213" spans="7:14" ht="12.75">
      <c r="G213" s="63"/>
      <c r="H213" s="63"/>
      <c r="I213" s="63"/>
      <c r="J213" s="63"/>
      <c r="K213" s="63"/>
      <c r="L213" s="63"/>
      <c r="M213" s="63"/>
      <c r="N213" s="63"/>
    </row>
    <row r="214" spans="7:14" ht="12.75">
      <c r="G214" s="63"/>
      <c r="H214" s="63"/>
      <c r="I214" s="63"/>
      <c r="J214" s="63"/>
      <c r="K214" s="63"/>
      <c r="L214" s="63"/>
      <c r="M214" s="63"/>
      <c r="N214" s="63"/>
    </row>
    <row r="215" spans="7:14" ht="12.75">
      <c r="G215" s="63"/>
      <c r="H215" s="63"/>
      <c r="I215" s="63"/>
      <c r="J215" s="63"/>
      <c r="K215" s="63"/>
      <c r="L215" s="63"/>
      <c r="M215" s="63"/>
      <c r="N215" s="63"/>
    </row>
    <row r="216" spans="7:14" ht="12.75">
      <c r="G216" s="63"/>
      <c r="H216" s="63"/>
      <c r="I216" s="63"/>
      <c r="J216" s="63"/>
      <c r="K216" s="63"/>
      <c r="L216" s="63"/>
      <c r="M216" s="63"/>
      <c r="N216" s="63"/>
    </row>
    <row r="217" spans="7:14" ht="12.75">
      <c r="G217" s="63"/>
      <c r="H217" s="63"/>
      <c r="I217" s="63"/>
      <c r="J217" s="63"/>
      <c r="K217" s="63"/>
      <c r="L217" s="63"/>
      <c r="M217" s="63"/>
      <c r="N217" s="63"/>
    </row>
    <row r="218" spans="7:14" ht="12.75">
      <c r="G218" s="63"/>
      <c r="H218" s="63"/>
      <c r="I218" s="63"/>
      <c r="J218" s="63"/>
      <c r="K218" s="63"/>
      <c r="L218" s="63"/>
      <c r="M218" s="63"/>
      <c r="N218" s="63"/>
    </row>
    <row r="219" spans="7:14" ht="12.75">
      <c r="G219" s="63"/>
      <c r="H219" s="63"/>
      <c r="I219" s="63"/>
      <c r="J219" s="63"/>
      <c r="K219" s="63"/>
      <c r="L219" s="63"/>
      <c r="M219" s="63"/>
      <c r="N219" s="63"/>
    </row>
    <row r="220" spans="7:14" ht="12.75">
      <c r="G220" s="63"/>
      <c r="H220" s="63"/>
      <c r="I220" s="63"/>
      <c r="J220" s="63"/>
      <c r="K220" s="63"/>
      <c r="L220" s="63"/>
      <c r="M220" s="63"/>
      <c r="N220" s="63"/>
    </row>
    <row r="221" spans="7:14" ht="12.75">
      <c r="G221" s="63"/>
      <c r="H221" s="63"/>
      <c r="I221" s="63"/>
      <c r="J221" s="63"/>
      <c r="K221" s="63"/>
      <c r="L221" s="63"/>
      <c r="M221" s="63"/>
      <c r="N221" s="63"/>
    </row>
    <row r="222" spans="7:14" ht="12.75">
      <c r="G222" s="63"/>
      <c r="H222" s="63"/>
      <c r="I222" s="63"/>
      <c r="J222" s="63"/>
      <c r="K222" s="63"/>
      <c r="L222" s="63"/>
      <c r="M222" s="63"/>
      <c r="N222" s="63"/>
    </row>
    <row r="223" spans="7:14" ht="12.75">
      <c r="G223" s="63"/>
      <c r="H223" s="63"/>
      <c r="I223" s="63"/>
      <c r="J223" s="63"/>
      <c r="K223" s="63"/>
      <c r="L223" s="63"/>
      <c r="M223" s="63"/>
      <c r="N223" s="63"/>
    </row>
    <row r="224" spans="7:14" ht="12.75">
      <c r="G224" s="63"/>
      <c r="H224" s="63"/>
      <c r="I224" s="63"/>
      <c r="J224" s="63"/>
      <c r="K224" s="63"/>
      <c r="L224" s="63"/>
      <c r="M224" s="63"/>
      <c r="N224" s="63"/>
    </row>
    <row r="225" spans="7:14" ht="12.75">
      <c r="G225" s="63"/>
      <c r="H225" s="63"/>
      <c r="I225" s="63"/>
      <c r="J225" s="63"/>
      <c r="K225" s="63"/>
      <c r="L225" s="63"/>
      <c r="M225" s="63"/>
      <c r="N225" s="63"/>
    </row>
    <row r="226" spans="7:14" ht="12.75">
      <c r="G226" s="63"/>
      <c r="H226" s="63"/>
      <c r="I226" s="63"/>
      <c r="J226" s="63"/>
      <c r="K226" s="63"/>
      <c r="L226" s="63"/>
      <c r="M226" s="63"/>
      <c r="N226" s="63"/>
    </row>
    <row r="227" spans="7:14" ht="12.75">
      <c r="G227" s="63"/>
      <c r="H227" s="63"/>
      <c r="I227" s="63"/>
      <c r="J227" s="63"/>
      <c r="K227" s="63"/>
      <c r="L227" s="63"/>
      <c r="M227" s="63"/>
      <c r="N227" s="63"/>
    </row>
    <row r="228" spans="7:14" ht="12.75">
      <c r="G228" s="63"/>
      <c r="H228" s="63"/>
      <c r="I228" s="63"/>
      <c r="J228" s="63"/>
      <c r="K228" s="63"/>
      <c r="L228" s="63"/>
      <c r="M228" s="63"/>
      <c r="N228" s="63"/>
    </row>
    <row r="229" spans="7:14" ht="12.75">
      <c r="G229" s="63"/>
      <c r="H229" s="63"/>
      <c r="I229" s="63"/>
      <c r="J229" s="63"/>
      <c r="K229" s="63"/>
      <c r="L229" s="63"/>
      <c r="M229" s="63"/>
      <c r="N229" s="63"/>
    </row>
    <row r="230" spans="7:14" ht="12.75">
      <c r="G230" s="63"/>
      <c r="H230" s="63"/>
      <c r="I230" s="63"/>
      <c r="J230" s="63"/>
      <c r="K230" s="63"/>
      <c r="L230" s="63"/>
      <c r="M230" s="63"/>
      <c r="N230" s="63"/>
    </row>
    <row r="231" spans="7:14" ht="12.75">
      <c r="G231" s="63"/>
      <c r="H231" s="63"/>
      <c r="I231" s="63"/>
      <c r="J231" s="63"/>
      <c r="K231" s="63"/>
      <c r="L231" s="63"/>
      <c r="M231" s="63"/>
      <c r="N231" s="63"/>
    </row>
    <row r="232" spans="7:14" ht="12.75">
      <c r="G232" s="63"/>
      <c r="H232" s="63"/>
      <c r="I232" s="63"/>
      <c r="J232" s="63"/>
      <c r="K232" s="63"/>
      <c r="L232" s="63"/>
      <c r="M232" s="63"/>
      <c r="N232" s="63"/>
    </row>
    <row r="233" spans="7:14" ht="12.75">
      <c r="G233" s="63"/>
      <c r="H233" s="63"/>
      <c r="I233" s="63"/>
      <c r="J233" s="63"/>
      <c r="K233" s="63"/>
      <c r="L233" s="63"/>
      <c r="M233" s="63"/>
      <c r="N233" s="63"/>
    </row>
    <row r="234" spans="7:14" ht="12.75">
      <c r="G234" s="63"/>
      <c r="H234" s="63"/>
      <c r="I234" s="63"/>
      <c r="J234" s="63"/>
      <c r="K234" s="63"/>
      <c r="L234" s="63"/>
      <c r="M234" s="63"/>
      <c r="N234" s="63"/>
    </row>
    <row r="235" spans="7:14" ht="12.75">
      <c r="G235" s="63"/>
      <c r="H235" s="63"/>
      <c r="I235" s="63"/>
      <c r="J235" s="63"/>
      <c r="K235" s="63"/>
      <c r="L235" s="63"/>
      <c r="M235" s="63"/>
      <c r="N235" s="63"/>
    </row>
    <row r="236" spans="7:14" ht="12.75">
      <c r="G236" s="63"/>
      <c r="H236" s="63"/>
      <c r="I236" s="63"/>
      <c r="J236" s="63"/>
      <c r="K236" s="63"/>
      <c r="L236" s="63"/>
      <c r="M236" s="63"/>
      <c r="N236" s="63"/>
    </row>
    <row r="237" spans="7:14" ht="12.75">
      <c r="G237" s="63"/>
      <c r="H237" s="63"/>
      <c r="I237" s="63"/>
      <c r="J237" s="63"/>
      <c r="K237" s="63"/>
      <c r="L237" s="63"/>
      <c r="M237" s="63"/>
      <c r="N237" s="63"/>
    </row>
    <row r="238" spans="7:14" ht="12.75">
      <c r="G238" s="63"/>
      <c r="H238" s="63"/>
      <c r="I238" s="63"/>
      <c r="J238" s="63"/>
      <c r="K238" s="63"/>
      <c r="L238" s="63"/>
      <c r="M238" s="63"/>
      <c r="N238" s="63"/>
    </row>
    <row r="239" spans="7:14" ht="12.75">
      <c r="G239" s="63"/>
      <c r="H239" s="63"/>
      <c r="I239" s="63"/>
      <c r="J239" s="63"/>
      <c r="K239" s="63"/>
      <c r="L239" s="63"/>
      <c r="M239" s="63"/>
      <c r="N239" s="63"/>
    </row>
    <row r="240" spans="7:14" ht="12.75">
      <c r="G240" s="63"/>
      <c r="H240" s="63"/>
      <c r="I240" s="63"/>
      <c r="J240" s="63"/>
      <c r="K240" s="63"/>
      <c r="L240" s="63"/>
      <c r="M240" s="63"/>
      <c r="N240" s="63"/>
    </row>
    <row r="241" spans="7:14" ht="12.75">
      <c r="G241" s="63"/>
      <c r="H241" s="63"/>
      <c r="I241" s="63"/>
      <c r="J241" s="63"/>
      <c r="K241" s="63"/>
      <c r="L241" s="63"/>
      <c r="M241" s="63"/>
      <c r="N241" s="63"/>
    </row>
    <row r="242" spans="7:14" ht="12.75">
      <c r="G242" s="63"/>
      <c r="H242" s="63"/>
      <c r="I242" s="63"/>
      <c r="J242" s="63"/>
      <c r="K242" s="63"/>
      <c r="L242" s="63"/>
      <c r="M242" s="63"/>
      <c r="N242" s="63"/>
    </row>
    <row r="243" spans="7:14" ht="12.75">
      <c r="G243" s="63"/>
      <c r="H243" s="63"/>
      <c r="I243" s="63"/>
      <c r="J243" s="63"/>
      <c r="K243" s="63"/>
      <c r="L243" s="63"/>
      <c r="M243" s="63"/>
      <c r="N243" s="63"/>
    </row>
    <row r="244" spans="7:14" ht="12.75">
      <c r="G244" s="63"/>
      <c r="H244" s="63"/>
      <c r="I244" s="63"/>
      <c r="J244" s="63"/>
      <c r="K244" s="63"/>
      <c r="L244" s="63"/>
      <c r="M244" s="63"/>
      <c r="N244" s="63"/>
    </row>
    <row r="245" spans="7:14" ht="12.75">
      <c r="G245" s="63"/>
      <c r="H245" s="63"/>
      <c r="I245" s="63"/>
      <c r="J245" s="63"/>
      <c r="K245" s="63"/>
      <c r="L245" s="63"/>
      <c r="M245" s="63"/>
      <c r="N245" s="63"/>
    </row>
    <row r="246" spans="7:14" ht="12.75">
      <c r="G246" s="63"/>
      <c r="H246" s="63"/>
      <c r="I246" s="63"/>
      <c r="J246" s="63"/>
      <c r="K246" s="63"/>
      <c r="L246" s="63"/>
      <c r="M246" s="63"/>
      <c r="N246" s="63"/>
    </row>
    <row r="247" spans="7:14" ht="12.75">
      <c r="G247" s="63"/>
      <c r="H247" s="63"/>
      <c r="I247" s="63"/>
      <c r="J247" s="63"/>
      <c r="K247" s="63"/>
      <c r="L247" s="63"/>
      <c r="M247" s="63"/>
      <c r="N247" s="63"/>
    </row>
    <row r="248" spans="7:14" ht="12.75">
      <c r="G248" s="63"/>
      <c r="H248" s="63"/>
      <c r="I248" s="63"/>
      <c r="J248" s="63"/>
      <c r="K248" s="63"/>
      <c r="L248" s="63"/>
      <c r="M248" s="63"/>
      <c r="N248" s="63"/>
    </row>
    <row r="249" spans="7:14" ht="12.75">
      <c r="G249" s="63"/>
      <c r="H249" s="63"/>
      <c r="I249" s="63"/>
      <c r="J249" s="63"/>
      <c r="K249" s="63"/>
      <c r="L249" s="63"/>
      <c r="M249" s="63"/>
      <c r="N249" s="63"/>
    </row>
    <row r="250" spans="7:14" ht="12.75">
      <c r="G250" s="63"/>
      <c r="H250" s="63"/>
      <c r="I250" s="63"/>
      <c r="J250" s="63"/>
      <c r="K250" s="63"/>
      <c r="L250" s="63"/>
      <c r="M250" s="63"/>
      <c r="N250" s="63"/>
    </row>
    <row r="251" spans="7:14" ht="12.75">
      <c r="G251" s="63"/>
      <c r="H251" s="63"/>
      <c r="I251" s="63"/>
      <c r="J251" s="63"/>
      <c r="K251" s="63"/>
      <c r="L251" s="63"/>
      <c r="M251" s="63"/>
      <c r="N251" s="63"/>
    </row>
    <row r="252" spans="7:14" ht="12.75">
      <c r="G252" s="63"/>
      <c r="H252" s="63"/>
      <c r="I252" s="63"/>
      <c r="J252" s="63"/>
      <c r="K252" s="63"/>
      <c r="L252" s="63"/>
      <c r="M252" s="63"/>
      <c r="N252" s="63"/>
    </row>
    <row r="253" spans="7:14" ht="12.75">
      <c r="G253" s="63"/>
      <c r="H253" s="63"/>
      <c r="I253" s="63"/>
      <c r="J253" s="63"/>
      <c r="K253" s="63"/>
      <c r="L253" s="63"/>
      <c r="M253" s="63"/>
      <c r="N253" s="63"/>
    </row>
    <row r="254" spans="7:14" ht="12.75">
      <c r="G254" s="63"/>
      <c r="H254" s="63"/>
      <c r="I254" s="63"/>
      <c r="J254" s="63"/>
      <c r="K254" s="63"/>
      <c r="L254" s="63"/>
      <c r="M254" s="63"/>
      <c r="N254" s="63"/>
    </row>
    <row r="255" spans="7:14" ht="12.75">
      <c r="G255" s="63"/>
      <c r="H255" s="63"/>
      <c r="I255" s="63"/>
      <c r="J255" s="63"/>
      <c r="K255" s="63"/>
      <c r="L255" s="63"/>
      <c r="M255" s="63"/>
      <c r="N255" s="63"/>
    </row>
    <row r="256" spans="7:14" ht="12.75">
      <c r="G256" s="63"/>
      <c r="H256" s="63"/>
      <c r="I256" s="63"/>
      <c r="J256" s="63"/>
      <c r="K256" s="63"/>
      <c r="L256" s="63"/>
      <c r="M256" s="63"/>
      <c r="N256" s="63"/>
    </row>
    <row r="257" spans="7:14" ht="12.75">
      <c r="G257" s="63"/>
      <c r="H257" s="63"/>
      <c r="I257" s="63"/>
      <c r="J257" s="63"/>
      <c r="K257" s="63"/>
      <c r="L257" s="63"/>
      <c r="M257" s="63"/>
      <c r="N257" s="63"/>
    </row>
    <row r="258" spans="7:14" ht="12.75">
      <c r="G258" s="63"/>
      <c r="H258" s="63"/>
      <c r="I258" s="63"/>
      <c r="J258" s="63"/>
      <c r="K258" s="63"/>
      <c r="L258" s="63"/>
      <c r="M258" s="63"/>
      <c r="N258" s="63"/>
    </row>
    <row r="259" spans="7:14" ht="12.75">
      <c r="G259" s="63"/>
      <c r="H259" s="63"/>
      <c r="I259" s="63"/>
      <c r="J259" s="63"/>
      <c r="K259" s="63"/>
      <c r="L259" s="63"/>
      <c r="M259" s="63"/>
      <c r="N259" s="63"/>
    </row>
    <row r="260" spans="7:14" ht="12.75">
      <c r="G260" s="63"/>
      <c r="H260" s="63"/>
      <c r="I260" s="63"/>
      <c r="J260" s="63"/>
      <c r="K260" s="63"/>
      <c r="L260" s="63"/>
      <c r="M260" s="63"/>
      <c r="N260" s="63"/>
    </row>
    <row r="261" spans="7:14" ht="12.75">
      <c r="G261" s="63"/>
      <c r="H261" s="63"/>
      <c r="I261" s="63"/>
      <c r="J261" s="63"/>
      <c r="K261" s="63"/>
      <c r="L261" s="63"/>
      <c r="M261" s="63"/>
      <c r="N261" s="63"/>
    </row>
    <row r="262" spans="7:14" ht="12.75">
      <c r="G262" s="63"/>
      <c r="H262" s="63"/>
      <c r="I262" s="63"/>
      <c r="J262" s="63"/>
      <c r="K262" s="63"/>
      <c r="L262" s="63"/>
      <c r="M262" s="63"/>
      <c r="N262" s="63"/>
    </row>
    <row r="263" spans="7:14" ht="12.75">
      <c r="G263" s="63"/>
      <c r="H263" s="63"/>
      <c r="I263" s="63"/>
      <c r="J263" s="63"/>
      <c r="K263" s="63"/>
      <c r="L263" s="63"/>
      <c r="M263" s="63"/>
      <c r="N263" s="63"/>
    </row>
    <row r="264" spans="7:14" ht="12.75">
      <c r="G264" s="63"/>
      <c r="H264" s="63"/>
      <c r="I264" s="63"/>
      <c r="J264" s="63"/>
      <c r="K264" s="63"/>
      <c r="L264" s="63"/>
      <c r="M264" s="63"/>
      <c r="N264" s="63"/>
    </row>
    <row r="265" spans="7:14" ht="12.75">
      <c r="G265" s="63"/>
      <c r="H265" s="63"/>
      <c r="I265" s="63"/>
      <c r="J265" s="63"/>
      <c r="K265" s="63"/>
      <c r="L265" s="63"/>
      <c r="M265" s="63"/>
      <c r="N265" s="63"/>
    </row>
    <row r="266" spans="7:14" ht="12.75">
      <c r="G266" s="63"/>
      <c r="H266" s="63"/>
      <c r="I266" s="63"/>
      <c r="J266" s="63"/>
      <c r="K266" s="63"/>
      <c r="L266" s="63"/>
      <c r="M266" s="63"/>
      <c r="N266" s="63"/>
    </row>
    <row r="267" spans="7:14" ht="12.75">
      <c r="G267" s="63"/>
      <c r="H267" s="63"/>
      <c r="I267" s="63"/>
      <c r="J267" s="63"/>
      <c r="K267" s="63"/>
      <c r="L267" s="63"/>
      <c r="M267" s="63"/>
      <c r="N267" s="63"/>
    </row>
    <row r="268" spans="7:14" ht="12.75">
      <c r="G268" s="63"/>
      <c r="H268" s="63"/>
      <c r="I268" s="63"/>
      <c r="J268" s="63"/>
      <c r="K268" s="63"/>
      <c r="L268" s="63"/>
      <c r="M268" s="63"/>
      <c r="N268" s="63"/>
    </row>
    <row r="269" spans="7:14" ht="12.75">
      <c r="G269" s="63"/>
      <c r="H269" s="63"/>
      <c r="I269" s="63"/>
      <c r="J269" s="63"/>
      <c r="K269" s="63"/>
      <c r="L269" s="63"/>
      <c r="M269" s="63"/>
      <c r="N269" s="63"/>
    </row>
    <row r="270" spans="7:14" ht="12.75">
      <c r="G270" s="63"/>
      <c r="H270" s="63"/>
      <c r="I270" s="63"/>
      <c r="J270" s="63"/>
      <c r="K270" s="63"/>
      <c r="L270" s="63"/>
      <c r="M270" s="63"/>
      <c r="N270" s="63"/>
    </row>
    <row r="271" spans="7:14" ht="12.75">
      <c r="G271" s="63"/>
      <c r="H271" s="63"/>
      <c r="I271" s="63"/>
      <c r="J271" s="63"/>
      <c r="K271" s="63"/>
      <c r="L271" s="63"/>
      <c r="M271" s="63"/>
      <c r="N271" s="63"/>
    </row>
    <row r="272" spans="7:14" ht="12.75">
      <c r="G272" s="63"/>
      <c r="H272" s="63"/>
      <c r="I272" s="63"/>
      <c r="J272" s="63"/>
      <c r="K272" s="63"/>
      <c r="L272" s="63"/>
      <c r="M272" s="63"/>
      <c r="N272" s="63"/>
    </row>
    <row r="273" spans="7:14" ht="12.75">
      <c r="G273" s="63"/>
      <c r="H273" s="63"/>
      <c r="I273" s="63"/>
      <c r="J273" s="63"/>
      <c r="K273" s="63"/>
      <c r="L273" s="63"/>
      <c r="M273" s="63"/>
      <c r="N273" s="63"/>
    </row>
    <row r="274" spans="7:14" ht="12.75">
      <c r="G274" s="63"/>
      <c r="H274" s="63"/>
      <c r="I274" s="63"/>
      <c r="J274" s="63"/>
      <c r="K274" s="63"/>
      <c r="L274" s="63"/>
      <c r="M274" s="63"/>
      <c r="N274" s="63"/>
    </row>
    <row r="275" spans="7:14" ht="12.75">
      <c r="G275" s="63"/>
      <c r="H275" s="63"/>
      <c r="I275" s="63"/>
      <c r="J275" s="63"/>
      <c r="K275" s="63"/>
      <c r="L275" s="63"/>
      <c r="M275" s="63"/>
      <c r="N275" s="63"/>
    </row>
    <row r="276" spans="7:14" ht="12.75">
      <c r="G276" s="63"/>
      <c r="H276" s="63"/>
      <c r="I276" s="63"/>
      <c r="J276" s="63"/>
      <c r="K276" s="63"/>
      <c r="L276" s="63"/>
      <c r="M276" s="63"/>
      <c r="N276" s="63"/>
    </row>
    <row r="277" spans="7:14" ht="12.75">
      <c r="G277" s="63"/>
      <c r="H277" s="63"/>
      <c r="I277" s="63"/>
      <c r="J277" s="63"/>
      <c r="K277" s="63"/>
      <c r="L277" s="63"/>
      <c r="M277" s="63"/>
      <c r="N277" s="63"/>
    </row>
    <row r="278" spans="7:14" ht="12.75">
      <c r="G278" s="63"/>
      <c r="H278" s="63"/>
      <c r="I278" s="63"/>
      <c r="J278" s="63"/>
      <c r="K278" s="63"/>
      <c r="L278" s="63"/>
      <c r="M278" s="63"/>
      <c r="N278" s="63"/>
    </row>
    <row r="279" spans="7:14" ht="12.75">
      <c r="G279" s="63"/>
      <c r="H279" s="63"/>
      <c r="I279" s="63"/>
      <c r="J279" s="63"/>
      <c r="K279" s="63"/>
      <c r="L279" s="63"/>
      <c r="M279" s="63"/>
      <c r="N279" s="63"/>
    </row>
    <row r="280" spans="7:14" ht="12.75">
      <c r="G280" s="63"/>
      <c r="H280" s="63"/>
      <c r="I280" s="63"/>
      <c r="J280" s="63"/>
      <c r="K280" s="63"/>
      <c r="L280" s="63"/>
      <c r="M280" s="63"/>
      <c r="N280" s="63"/>
    </row>
    <row r="281" spans="7:14" ht="12.75">
      <c r="G281" s="63"/>
      <c r="H281" s="63"/>
      <c r="I281" s="63"/>
      <c r="J281" s="63"/>
      <c r="K281" s="63"/>
      <c r="L281" s="63"/>
      <c r="M281" s="63"/>
      <c r="N281" s="63"/>
    </row>
    <row r="282" spans="7:14" ht="12.75">
      <c r="G282" s="63"/>
      <c r="H282" s="63"/>
      <c r="I282" s="63"/>
      <c r="J282" s="63"/>
      <c r="K282" s="63"/>
      <c r="L282" s="63"/>
      <c r="M282" s="63"/>
      <c r="N282" s="63"/>
    </row>
    <row r="283" spans="7:14" ht="12.75">
      <c r="G283" s="63"/>
      <c r="H283" s="63"/>
      <c r="I283" s="63"/>
      <c r="J283" s="63"/>
      <c r="K283" s="63"/>
      <c r="L283" s="63"/>
      <c r="M283" s="63"/>
      <c r="N283" s="63"/>
    </row>
    <row r="284" spans="7:14" ht="12.75">
      <c r="G284" s="63"/>
      <c r="H284" s="63"/>
      <c r="I284" s="63"/>
      <c r="J284" s="63"/>
      <c r="K284" s="63"/>
      <c r="L284" s="63"/>
      <c r="M284" s="63"/>
      <c r="N284" s="63"/>
    </row>
    <row r="285" spans="7:14" ht="12.75">
      <c r="G285" s="63"/>
      <c r="H285" s="63"/>
      <c r="I285" s="63"/>
      <c r="J285" s="63"/>
      <c r="K285" s="63"/>
      <c r="L285" s="63"/>
      <c r="M285" s="63"/>
      <c r="N285" s="63"/>
    </row>
    <row r="286" spans="7:14" ht="12.75">
      <c r="G286" s="63"/>
      <c r="H286" s="63"/>
      <c r="I286" s="63"/>
      <c r="J286" s="63"/>
      <c r="K286" s="63"/>
      <c r="L286" s="63"/>
      <c r="M286" s="63"/>
      <c r="N286" s="63"/>
    </row>
    <row r="287" spans="7:14" ht="12.75">
      <c r="G287" s="63"/>
      <c r="H287" s="63"/>
      <c r="I287" s="63"/>
      <c r="J287" s="63"/>
      <c r="K287" s="63"/>
      <c r="L287" s="63"/>
      <c r="M287" s="63"/>
      <c r="N287" s="63"/>
    </row>
    <row r="288" spans="7:14" ht="12.75">
      <c r="G288" s="63"/>
      <c r="H288" s="63"/>
      <c r="I288" s="63"/>
      <c r="J288" s="63"/>
      <c r="K288" s="63"/>
      <c r="L288" s="63"/>
      <c r="M288" s="63"/>
      <c r="N288" s="63"/>
    </row>
    <row r="289" spans="7:14" ht="12.75">
      <c r="G289" s="63"/>
      <c r="H289" s="63"/>
      <c r="I289" s="63"/>
      <c r="J289" s="63"/>
      <c r="K289" s="63"/>
      <c r="L289" s="63"/>
      <c r="M289" s="63"/>
      <c r="N289" s="63"/>
    </row>
    <row r="290" spans="7:14" ht="12.75">
      <c r="G290" s="63"/>
      <c r="H290" s="63"/>
      <c r="I290" s="63"/>
      <c r="J290" s="63"/>
      <c r="K290" s="63"/>
      <c r="L290" s="63"/>
      <c r="M290" s="63"/>
      <c r="N290" s="63"/>
    </row>
    <row r="291" spans="7:14" ht="12.75">
      <c r="G291" s="63"/>
      <c r="H291" s="63"/>
      <c r="I291" s="63"/>
      <c r="J291" s="63"/>
      <c r="K291" s="63"/>
      <c r="L291" s="63"/>
      <c r="M291" s="63"/>
      <c r="N291" s="63"/>
    </row>
    <row r="292" spans="7:14" ht="12.75">
      <c r="G292" s="63"/>
      <c r="H292" s="63"/>
      <c r="I292" s="63"/>
      <c r="J292" s="63"/>
      <c r="K292" s="63"/>
      <c r="L292" s="63"/>
      <c r="M292" s="63"/>
      <c r="N292" s="63"/>
    </row>
    <row r="293" spans="7:14" ht="12.75">
      <c r="G293" s="63"/>
      <c r="H293" s="63"/>
      <c r="I293" s="63"/>
      <c r="J293" s="63"/>
      <c r="K293" s="63"/>
      <c r="L293" s="63"/>
      <c r="M293" s="63"/>
      <c r="N293" s="63"/>
    </row>
    <row r="294" spans="7:14" ht="12.75">
      <c r="G294" s="63"/>
      <c r="H294" s="63"/>
      <c r="I294" s="63"/>
      <c r="J294" s="63"/>
      <c r="K294" s="63"/>
      <c r="L294" s="63"/>
      <c r="M294" s="63"/>
      <c r="N294" s="63"/>
    </row>
    <row r="295" spans="7:14" ht="12.75">
      <c r="G295" s="63"/>
      <c r="H295" s="63"/>
      <c r="I295" s="63"/>
      <c r="J295" s="63"/>
      <c r="K295" s="63"/>
      <c r="L295" s="63"/>
      <c r="M295" s="63"/>
      <c r="N295" s="63"/>
    </row>
    <row r="296" spans="7:14" ht="12.75">
      <c r="G296" s="63"/>
      <c r="H296" s="63"/>
      <c r="I296" s="63"/>
      <c r="J296" s="63"/>
      <c r="K296" s="63"/>
      <c r="L296" s="63"/>
      <c r="M296" s="63"/>
      <c r="N296" s="63"/>
    </row>
    <row r="297" spans="7:14" ht="12.75">
      <c r="G297" s="63"/>
      <c r="H297" s="63"/>
      <c r="I297" s="63"/>
      <c r="J297" s="63"/>
      <c r="K297" s="63"/>
      <c r="L297" s="63"/>
      <c r="M297" s="63"/>
      <c r="N297" s="63"/>
    </row>
    <row r="298" spans="7:14" ht="12.75">
      <c r="G298" s="63"/>
      <c r="H298" s="63"/>
      <c r="I298" s="63"/>
      <c r="J298" s="63"/>
      <c r="K298" s="63"/>
      <c r="L298" s="63"/>
      <c r="M298" s="63"/>
      <c r="N298" s="63"/>
    </row>
    <row r="299" spans="7:14" ht="12.75">
      <c r="G299" s="63"/>
      <c r="H299" s="63"/>
      <c r="I299" s="63"/>
      <c r="J299" s="63"/>
      <c r="K299" s="63"/>
      <c r="L299" s="63"/>
      <c r="M299" s="63"/>
      <c r="N299" s="63"/>
    </row>
    <row r="300" spans="7:14" ht="12.75">
      <c r="G300" s="63"/>
      <c r="H300" s="63"/>
      <c r="I300" s="63"/>
      <c r="J300" s="63"/>
      <c r="K300" s="63"/>
      <c r="L300" s="63"/>
      <c r="M300" s="63"/>
      <c r="N300" s="63"/>
    </row>
    <row r="301" spans="7:14" ht="12.75">
      <c r="G301" s="63"/>
      <c r="H301" s="63"/>
      <c r="I301" s="63"/>
      <c r="J301" s="63"/>
      <c r="K301" s="63"/>
      <c r="L301" s="63"/>
      <c r="M301" s="63"/>
      <c r="N301" s="63"/>
    </row>
    <row r="302" spans="7:14" ht="12.75">
      <c r="G302" s="63"/>
      <c r="H302" s="63"/>
      <c r="I302" s="63"/>
      <c r="J302" s="63"/>
      <c r="K302" s="63"/>
      <c r="L302" s="63"/>
      <c r="M302" s="63"/>
      <c r="N302" s="63"/>
    </row>
    <row r="303" spans="7:14" ht="12.75">
      <c r="G303" s="63"/>
      <c r="H303" s="63"/>
      <c r="I303" s="63"/>
      <c r="J303" s="63"/>
      <c r="K303" s="63"/>
      <c r="L303" s="63"/>
      <c r="M303" s="63"/>
      <c r="N303" s="63"/>
    </row>
    <row r="304" spans="7:14" ht="12.75">
      <c r="G304" s="63"/>
      <c r="H304" s="63"/>
      <c r="I304" s="63"/>
      <c r="J304" s="63"/>
      <c r="K304" s="63"/>
      <c r="L304" s="63"/>
      <c r="M304" s="63"/>
      <c r="N304" s="63"/>
    </row>
    <row r="305" spans="7:14" ht="12.75">
      <c r="G305" s="63"/>
      <c r="H305" s="63"/>
      <c r="I305" s="63"/>
      <c r="J305" s="63"/>
      <c r="K305" s="63"/>
      <c r="L305" s="63"/>
      <c r="M305" s="63"/>
      <c r="N305" s="63"/>
    </row>
    <row r="306" spans="7:14" ht="12.75">
      <c r="G306" s="63"/>
      <c r="H306" s="63"/>
      <c r="I306" s="63"/>
      <c r="J306" s="63"/>
      <c r="K306" s="63"/>
      <c r="L306" s="63"/>
      <c r="M306" s="63"/>
      <c r="N306" s="63"/>
    </row>
    <row r="307" spans="7:14" ht="12.75">
      <c r="G307" s="63"/>
      <c r="H307" s="63"/>
      <c r="I307" s="63"/>
      <c r="J307" s="63"/>
      <c r="K307" s="63"/>
      <c r="L307" s="63"/>
      <c r="M307" s="63"/>
      <c r="N307" s="63"/>
    </row>
    <row r="308" spans="7:14" ht="12.75">
      <c r="G308" s="63"/>
      <c r="H308" s="63"/>
      <c r="I308" s="63"/>
      <c r="J308" s="63"/>
      <c r="K308" s="63"/>
      <c r="L308" s="63"/>
      <c r="M308" s="63"/>
      <c r="N308" s="63"/>
    </row>
    <row r="309" spans="7:14" ht="12.75">
      <c r="G309" s="63"/>
      <c r="H309" s="63"/>
      <c r="I309" s="63"/>
      <c r="J309" s="63"/>
      <c r="K309" s="63"/>
      <c r="L309" s="63"/>
      <c r="M309" s="63"/>
      <c r="N309" s="63"/>
    </row>
    <row r="310" spans="7:14" ht="12.75">
      <c r="G310" s="63"/>
      <c r="H310" s="63"/>
      <c r="I310" s="63"/>
      <c r="J310" s="63"/>
      <c r="K310" s="63"/>
      <c r="L310" s="63"/>
      <c r="M310" s="63"/>
      <c r="N310" s="63"/>
    </row>
    <row r="311" spans="7:14" ht="12.75">
      <c r="G311" s="63"/>
      <c r="H311" s="63"/>
      <c r="I311" s="63"/>
      <c r="J311" s="63"/>
      <c r="K311" s="63"/>
      <c r="L311" s="63"/>
      <c r="M311" s="63"/>
      <c r="N311" s="63"/>
    </row>
    <row r="312" spans="7:14" ht="12.75">
      <c r="G312" s="63"/>
      <c r="H312" s="63"/>
      <c r="I312" s="63"/>
      <c r="J312" s="63"/>
      <c r="K312" s="63"/>
      <c r="L312" s="63"/>
      <c r="M312" s="63"/>
      <c r="N312" s="63"/>
    </row>
    <row r="313" spans="7:14" ht="12.75">
      <c r="G313" s="63"/>
      <c r="H313" s="63"/>
      <c r="I313" s="63"/>
      <c r="J313" s="63"/>
      <c r="K313" s="63"/>
      <c r="L313" s="63"/>
      <c r="M313" s="63"/>
      <c r="N313" s="63"/>
    </row>
    <row r="314" spans="7:14" ht="12.75">
      <c r="G314" s="63"/>
      <c r="H314" s="63"/>
      <c r="I314" s="63"/>
      <c r="J314" s="63"/>
      <c r="K314" s="63"/>
      <c r="L314" s="63"/>
      <c r="M314" s="63"/>
      <c r="N314" s="63"/>
    </row>
    <row r="315" spans="7:14" ht="12.75">
      <c r="G315" s="63"/>
      <c r="H315" s="63"/>
      <c r="I315" s="63"/>
      <c r="J315" s="63"/>
      <c r="K315" s="63"/>
      <c r="L315" s="63"/>
      <c r="M315" s="63"/>
      <c r="N315" s="63"/>
    </row>
    <row r="316" spans="7:14" ht="12.75">
      <c r="G316" s="63"/>
      <c r="H316" s="63"/>
      <c r="I316" s="63"/>
      <c r="J316" s="63"/>
      <c r="K316" s="63"/>
      <c r="L316" s="63"/>
      <c r="M316" s="63"/>
      <c r="N316" s="63"/>
    </row>
    <row r="317" spans="7:14" ht="12.75">
      <c r="G317" s="63"/>
      <c r="H317" s="63"/>
      <c r="I317" s="63"/>
      <c r="J317" s="63"/>
      <c r="K317" s="63"/>
      <c r="L317" s="63"/>
      <c r="M317" s="63"/>
      <c r="N317" s="63"/>
    </row>
    <row r="318" spans="7:14" ht="12.75">
      <c r="G318" s="63"/>
      <c r="H318" s="63"/>
      <c r="I318" s="63"/>
      <c r="J318" s="63"/>
      <c r="K318" s="63"/>
      <c r="L318" s="63"/>
      <c r="M318" s="63"/>
      <c r="N318" s="63"/>
    </row>
    <row r="319" spans="7:14" ht="12.75">
      <c r="G319" s="63"/>
      <c r="H319" s="63"/>
      <c r="I319" s="63"/>
      <c r="J319" s="63"/>
      <c r="K319" s="63"/>
      <c r="L319" s="63"/>
      <c r="M319" s="63"/>
      <c r="N319" s="63"/>
    </row>
    <row r="320" spans="7:14" ht="12.75">
      <c r="G320" s="63"/>
      <c r="H320" s="63"/>
      <c r="I320" s="63"/>
      <c r="J320" s="63"/>
      <c r="K320" s="63"/>
      <c r="L320" s="63"/>
      <c r="M320" s="63"/>
      <c r="N320" s="63"/>
    </row>
    <row r="321" spans="7:14" ht="12.75">
      <c r="G321" s="63"/>
      <c r="H321" s="63"/>
      <c r="I321" s="63"/>
      <c r="J321" s="63"/>
      <c r="K321" s="63"/>
      <c r="L321" s="63"/>
      <c r="M321" s="63"/>
      <c r="N321" s="63"/>
    </row>
    <row r="322" spans="7:14" ht="12.75">
      <c r="G322" s="63"/>
      <c r="H322" s="63"/>
      <c r="I322" s="63"/>
      <c r="J322" s="63"/>
      <c r="K322" s="63"/>
      <c r="L322" s="63"/>
      <c r="M322" s="63"/>
      <c r="N322" s="63"/>
    </row>
    <row r="323" spans="7:14" ht="12.75">
      <c r="G323" s="63"/>
      <c r="H323" s="63"/>
      <c r="I323" s="63"/>
      <c r="J323" s="63"/>
      <c r="K323" s="63"/>
      <c r="L323" s="63"/>
      <c r="M323" s="63"/>
      <c r="N323" s="63"/>
    </row>
    <row r="324" spans="7:14" ht="12.75">
      <c r="G324" s="63"/>
      <c r="H324" s="63"/>
      <c r="I324" s="63"/>
      <c r="J324" s="63"/>
      <c r="K324" s="63"/>
      <c r="L324" s="63"/>
      <c r="M324" s="63"/>
      <c r="N324" s="63"/>
    </row>
    <row r="325" spans="7:14" ht="12.75">
      <c r="G325" s="63"/>
      <c r="H325" s="63"/>
      <c r="I325" s="63"/>
      <c r="J325" s="63"/>
      <c r="K325" s="63"/>
      <c r="L325" s="63"/>
      <c r="M325" s="63"/>
      <c r="N325" s="63"/>
    </row>
    <row r="326" spans="7:14" ht="12.75">
      <c r="G326" s="63"/>
      <c r="H326" s="63"/>
      <c r="I326" s="63"/>
      <c r="J326" s="63"/>
      <c r="K326" s="63"/>
      <c r="L326" s="63"/>
      <c r="M326" s="63"/>
      <c r="N326" s="63"/>
    </row>
    <row r="327" spans="7:14" ht="12.75">
      <c r="G327" s="63"/>
      <c r="H327" s="63"/>
      <c r="I327" s="63"/>
      <c r="J327" s="63"/>
      <c r="K327" s="63"/>
      <c r="L327" s="63"/>
      <c r="M327" s="63"/>
      <c r="N327" s="63"/>
    </row>
    <row r="328" spans="7:14" ht="12.75">
      <c r="G328" s="63"/>
      <c r="H328" s="63"/>
      <c r="I328" s="63"/>
      <c r="J328" s="63"/>
      <c r="K328" s="63"/>
      <c r="L328" s="63"/>
      <c r="M328" s="63"/>
      <c r="N328" s="63"/>
    </row>
    <row r="329" spans="7:14" ht="12.75">
      <c r="G329" s="63"/>
      <c r="H329" s="63"/>
      <c r="I329" s="63"/>
      <c r="J329" s="63"/>
      <c r="K329" s="63"/>
      <c r="L329" s="63"/>
      <c r="M329" s="63"/>
      <c r="N329" s="63"/>
    </row>
    <row r="330" spans="7:14" ht="12.75">
      <c r="G330" s="63"/>
      <c r="H330" s="63"/>
      <c r="I330" s="63"/>
      <c r="J330" s="63"/>
      <c r="K330" s="63"/>
      <c r="L330" s="63"/>
      <c r="M330" s="63"/>
      <c r="N330" s="63"/>
    </row>
    <row r="331" spans="7:14" ht="12.75">
      <c r="G331" s="63"/>
      <c r="H331" s="63"/>
      <c r="I331" s="63"/>
      <c r="J331" s="63"/>
      <c r="K331" s="63"/>
      <c r="L331" s="63"/>
      <c r="M331" s="63"/>
      <c r="N331" s="63"/>
    </row>
    <row r="332" spans="7:14" ht="12.75">
      <c r="G332" s="63"/>
      <c r="H332" s="63"/>
      <c r="I332" s="63"/>
      <c r="J332" s="63"/>
      <c r="K332" s="63"/>
      <c r="L332" s="63"/>
      <c r="M332" s="63"/>
      <c r="N332" s="63"/>
    </row>
    <row r="333" spans="7:14" ht="12.75">
      <c r="G333" s="63"/>
      <c r="H333" s="63"/>
      <c r="I333" s="63"/>
      <c r="J333" s="63"/>
      <c r="K333" s="63"/>
      <c r="L333" s="63"/>
      <c r="M333" s="63"/>
      <c r="N333" s="63"/>
    </row>
    <row r="334" spans="7:14" ht="12.75">
      <c r="G334" s="63"/>
      <c r="H334" s="63"/>
      <c r="I334" s="63"/>
      <c r="J334" s="63"/>
      <c r="K334" s="63"/>
      <c r="L334" s="63"/>
      <c r="M334" s="63"/>
      <c r="N334" s="63"/>
    </row>
    <row r="335" spans="7:14" ht="12.75">
      <c r="G335" s="63"/>
      <c r="H335" s="63"/>
      <c r="I335" s="63"/>
      <c r="J335" s="63"/>
      <c r="K335" s="63"/>
      <c r="L335" s="63"/>
      <c r="M335" s="63"/>
      <c r="N335" s="63"/>
    </row>
    <row r="336" spans="7:14" ht="12.75">
      <c r="G336" s="63"/>
      <c r="H336" s="63"/>
      <c r="I336" s="63"/>
      <c r="J336" s="63"/>
      <c r="K336" s="63"/>
      <c r="L336" s="63"/>
      <c r="M336" s="63"/>
      <c r="N336" s="63"/>
    </row>
    <row r="337" spans="7:14" ht="12.75">
      <c r="G337" s="63"/>
      <c r="H337" s="63"/>
      <c r="I337" s="63"/>
      <c r="J337" s="63"/>
      <c r="K337" s="63"/>
      <c r="L337" s="63"/>
      <c r="M337" s="63"/>
      <c r="N337" s="63"/>
    </row>
    <row r="338" spans="7:14" ht="12.75">
      <c r="G338" s="63"/>
      <c r="H338" s="63"/>
      <c r="I338" s="63"/>
      <c r="J338" s="63"/>
      <c r="K338" s="63"/>
      <c r="L338" s="63"/>
      <c r="M338" s="63"/>
      <c r="N338" s="63"/>
    </row>
    <row r="339" spans="7:14" ht="12.75">
      <c r="G339" s="63"/>
      <c r="H339" s="63"/>
      <c r="I339" s="63"/>
      <c r="J339" s="63"/>
      <c r="K339" s="63"/>
      <c r="L339" s="63"/>
      <c r="M339" s="63"/>
      <c r="N339" s="63"/>
    </row>
    <row r="340" spans="7:14" ht="12.75">
      <c r="G340" s="63"/>
      <c r="H340" s="63"/>
      <c r="I340" s="63"/>
      <c r="J340" s="63"/>
      <c r="K340" s="63"/>
      <c r="L340" s="63"/>
      <c r="M340" s="63"/>
      <c r="N340" s="63"/>
    </row>
    <row r="341" spans="7:14" ht="12.75">
      <c r="G341" s="63"/>
      <c r="H341" s="63"/>
      <c r="I341" s="63"/>
      <c r="J341" s="63"/>
      <c r="K341" s="63"/>
      <c r="L341" s="63"/>
      <c r="M341" s="63"/>
      <c r="N341" s="63"/>
    </row>
    <row r="342" spans="7:14" ht="12.75">
      <c r="G342" s="63"/>
      <c r="H342" s="63"/>
      <c r="I342" s="63"/>
      <c r="J342" s="63"/>
      <c r="K342" s="63"/>
      <c r="L342" s="63"/>
      <c r="M342" s="63"/>
      <c r="N342" s="63"/>
    </row>
    <row r="343" spans="7:14" ht="12.75">
      <c r="G343" s="63"/>
      <c r="H343" s="63"/>
      <c r="I343" s="63"/>
      <c r="J343" s="63"/>
      <c r="K343" s="63"/>
      <c r="L343" s="63"/>
      <c r="M343" s="63"/>
      <c r="N343" s="63"/>
    </row>
    <row r="344" spans="7:14" ht="12.75">
      <c r="G344" s="63"/>
      <c r="H344" s="63"/>
      <c r="I344" s="63"/>
      <c r="J344" s="63"/>
      <c r="K344" s="63"/>
      <c r="L344" s="63"/>
      <c r="M344" s="63"/>
      <c r="N344" s="63"/>
    </row>
    <row r="345" spans="7:14" ht="12.75">
      <c r="G345" s="63"/>
      <c r="H345" s="63"/>
      <c r="I345" s="63"/>
      <c r="J345" s="63"/>
      <c r="K345" s="63"/>
      <c r="L345" s="63"/>
      <c r="M345" s="63"/>
      <c r="N345" s="63"/>
    </row>
    <row r="346" spans="7:14" ht="12.75">
      <c r="G346" s="63"/>
      <c r="H346" s="63"/>
      <c r="I346" s="63"/>
      <c r="J346" s="63"/>
      <c r="K346" s="63"/>
      <c r="L346" s="63"/>
      <c r="M346" s="63"/>
      <c r="N346" s="63"/>
    </row>
    <row r="347" spans="7:14" ht="12.75">
      <c r="G347" s="63"/>
      <c r="H347" s="63"/>
      <c r="I347" s="63"/>
      <c r="J347" s="63"/>
      <c r="K347" s="63"/>
      <c r="L347" s="63"/>
      <c r="M347" s="63"/>
      <c r="N347" s="63"/>
    </row>
    <row r="348" spans="7:14" ht="12.75">
      <c r="G348" s="63"/>
      <c r="H348" s="63"/>
      <c r="I348" s="63"/>
      <c r="J348" s="63"/>
      <c r="K348" s="63"/>
      <c r="L348" s="63"/>
      <c r="M348" s="63"/>
      <c r="N348" s="63"/>
    </row>
    <row r="349" spans="7:14" ht="12.75">
      <c r="G349" s="63"/>
      <c r="H349" s="63"/>
      <c r="I349" s="63"/>
      <c r="J349" s="63"/>
      <c r="K349" s="63"/>
      <c r="L349" s="63"/>
      <c r="M349" s="63"/>
      <c r="N349" s="63"/>
    </row>
    <row r="350" spans="7:14" ht="12.75">
      <c r="G350" s="63"/>
      <c r="H350" s="63"/>
      <c r="I350" s="63"/>
      <c r="J350" s="63"/>
      <c r="K350" s="63"/>
      <c r="L350" s="63"/>
      <c r="M350" s="63"/>
      <c r="N350" s="63"/>
    </row>
    <row r="351" spans="7:14" ht="12.75">
      <c r="G351" s="63"/>
      <c r="H351" s="63"/>
      <c r="I351" s="63"/>
      <c r="J351" s="63"/>
      <c r="K351" s="63"/>
      <c r="L351" s="63"/>
      <c r="M351" s="63"/>
      <c r="N351" s="63"/>
    </row>
    <row r="352" spans="7:14" ht="12.75">
      <c r="G352" s="63"/>
      <c r="H352" s="63"/>
      <c r="I352" s="63"/>
      <c r="J352" s="63"/>
      <c r="K352" s="63"/>
      <c r="L352" s="63"/>
      <c r="M352" s="63"/>
      <c r="N352" s="63"/>
    </row>
    <row r="353" spans="7:14" ht="12.75">
      <c r="G353" s="63"/>
      <c r="H353" s="63"/>
      <c r="I353" s="63"/>
      <c r="J353" s="63"/>
      <c r="K353" s="63"/>
      <c r="L353" s="63"/>
      <c r="M353" s="63"/>
      <c r="N353" s="63"/>
    </row>
    <row r="354" spans="7:14" ht="12.75">
      <c r="G354" s="63"/>
      <c r="H354" s="63"/>
      <c r="I354" s="63"/>
      <c r="J354" s="63"/>
      <c r="K354" s="63"/>
      <c r="L354" s="63"/>
      <c r="M354" s="63"/>
      <c r="N354" s="63"/>
    </row>
    <row r="355" spans="7:14" ht="12.75">
      <c r="G355" s="63"/>
      <c r="H355" s="63"/>
      <c r="I355" s="63"/>
      <c r="J355" s="63"/>
      <c r="K355" s="63"/>
      <c r="L355" s="63"/>
      <c r="M355" s="63"/>
      <c r="N355" s="63"/>
    </row>
    <row r="356" spans="7:14" ht="12.75">
      <c r="G356" s="63"/>
      <c r="H356" s="63"/>
      <c r="I356" s="63"/>
      <c r="J356" s="63"/>
      <c r="K356" s="63"/>
      <c r="L356" s="63"/>
      <c r="M356" s="63"/>
      <c r="N356" s="63"/>
    </row>
    <row r="357" spans="7:14" ht="12.75">
      <c r="G357" s="63"/>
      <c r="H357" s="63"/>
      <c r="I357" s="63"/>
      <c r="J357" s="63"/>
      <c r="K357" s="63"/>
      <c r="L357" s="63"/>
      <c r="M357" s="63"/>
      <c r="N357" s="63"/>
    </row>
    <row r="358" spans="7:14" ht="12.75">
      <c r="G358" s="63"/>
      <c r="H358" s="63"/>
      <c r="I358" s="63"/>
      <c r="J358" s="63"/>
      <c r="K358" s="63"/>
      <c r="L358" s="63"/>
      <c r="M358" s="63"/>
      <c r="N358" s="63"/>
    </row>
    <row r="359" spans="7:14" ht="12.75">
      <c r="G359" s="63"/>
      <c r="H359" s="63"/>
      <c r="I359" s="63"/>
      <c r="J359" s="63"/>
      <c r="K359" s="63"/>
      <c r="L359" s="63"/>
      <c r="M359" s="63"/>
      <c r="N359" s="63"/>
    </row>
    <row r="360" spans="7:14" ht="12.75">
      <c r="G360" s="63"/>
      <c r="H360" s="63"/>
      <c r="I360" s="63"/>
      <c r="J360" s="63"/>
      <c r="K360" s="63"/>
      <c r="L360" s="63"/>
      <c r="M360" s="63"/>
      <c r="N360" s="63"/>
    </row>
    <row r="361" spans="7:14" ht="12.75">
      <c r="G361" s="63"/>
      <c r="H361" s="63"/>
      <c r="I361" s="63"/>
      <c r="J361" s="63"/>
      <c r="K361" s="63"/>
      <c r="L361" s="63"/>
      <c r="M361" s="63"/>
      <c r="N361" s="63"/>
    </row>
    <row r="362" spans="7:14" ht="12.75">
      <c r="G362" s="63"/>
      <c r="H362" s="63"/>
      <c r="I362" s="63"/>
      <c r="J362" s="63"/>
      <c r="K362" s="63"/>
      <c r="L362" s="63"/>
      <c r="M362" s="63"/>
      <c r="N362" s="63"/>
    </row>
    <row r="363" spans="7:14" ht="12.75">
      <c r="G363" s="63"/>
      <c r="H363" s="63"/>
      <c r="I363" s="63"/>
      <c r="J363" s="63"/>
      <c r="K363" s="63"/>
      <c r="L363" s="63"/>
      <c r="M363" s="63"/>
      <c r="N363" s="63"/>
    </row>
    <row r="364" spans="7:14" ht="12.75">
      <c r="G364" s="63"/>
      <c r="H364" s="63"/>
      <c r="I364" s="63"/>
      <c r="J364" s="63"/>
      <c r="K364" s="63"/>
      <c r="L364" s="63"/>
      <c r="M364" s="63"/>
      <c r="N364" s="63"/>
    </row>
    <row r="365" spans="7:14" ht="12.75">
      <c r="G365" s="63"/>
      <c r="H365" s="63"/>
      <c r="I365" s="63"/>
      <c r="J365" s="63"/>
      <c r="K365" s="63"/>
      <c r="L365" s="63"/>
      <c r="M365" s="63"/>
      <c r="N365" s="63"/>
    </row>
    <row r="366" spans="7:14" ht="12.75">
      <c r="G366" s="63"/>
      <c r="H366" s="63"/>
      <c r="I366" s="63"/>
      <c r="J366" s="63"/>
      <c r="K366" s="63"/>
      <c r="L366" s="63"/>
      <c r="M366" s="63"/>
      <c r="N366" s="63"/>
    </row>
    <row r="367" spans="7:14" ht="12.75">
      <c r="G367" s="63"/>
      <c r="H367" s="63"/>
      <c r="I367" s="63"/>
      <c r="J367" s="63"/>
      <c r="K367" s="63"/>
      <c r="L367" s="63"/>
      <c r="M367" s="63"/>
      <c r="N367" s="63"/>
    </row>
    <row r="368" spans="7:14" ht="12.75">
      <c r="G368" s="63"/>
      <c r="H368" s="63"/>
      <c r="I368" s="63"/>
      <c r="J368" s="63"/>
      <c r="K368" s="63"/>
      <c r="L368" s="63"/>
      <c r="M368" s="63"/>
      <c r="N368" s="63"/>
    </row>
    <row r="369" spans="7:14" ht="12.75">
      <c r="G369" s="63"/>
      <c r="H369" s="63"/>
      <c r="I369" s="63"/>
      <c r="J369" s="63"/>
      <c r="K369" s="63"/>
      <c r="L369" s="63"/>
      <c r="M369" s="63"/>
      <c r="N369" s="63"/>
    </row>
    <row r="370" spans="7:14" ht="12.75">
      <c r="G370" s="63"/>
      <c r="H370" s="63"/>
      <c r="I370" s="63"/>
      <c r="J370" s="63"/>
      <c r="K370" s="63"/>
      <c r="L370" s="63"/>
      <c r="M370" s="63"/>
      <c r="N370" s="63"/>
    </row>
    <row r="371" spans="7:14" ht="12.75">
      <c r="G371" s="63"/>
      <c r="H371" s="63"/>
      <c r="I371" s="63"/>
      <c r="J371" s="63"/>
      <c r="K371" s="63"/>
      <c r="L371" s="63"/>
      <c r="M371" s="63"/>
      <c r="N371" s="63"/>
    </row>
    <row r="372" spans="7:14" ht="12.75">
      <c r="G372" s="63"/>
      <c r="H372" s="63"/>
      <c r="I372" s="63"/>
      <c r="J372" s="63"/>
      <c r="K372" s="63"/>
      <c r="L372" s="63"/>
      <c r="M372" s="63"/>
      <c r="N372" s="63"/>
    </row>
    <row r="373" spans="7:14" ht="12.75">
      <c r="G373" s="63"/>
      <c r="H373" s="63"/>
      <c r="I373" s="63"/>
      <c r="J373" s="63"/>
      <c r="K373" s="63"/>
      <c r="L373" s="63"/>
      <c r="M373" s="63"/>
      <c r="N373" s="63"/>
    </row>
    <row r="374" spans="7:14" ht="12.75">
      <c r="G374" s="63"/>
      <c r="H374" s="63"/>
      <c r="I374" s="63"/>
      <c r="J374" s="63"/>
      <c r="K374" s="63"/>
      <c r="L374" s="63"/>
      <c r="M374" s="63"/>
      <c r="N374" s="63"/>
    </row>
    <row r="375" spans="7:14" ht="12.75">
      <c r="G375" s="63"/>
      <c r="H375" s="63"/>
      <c r="I375" s="63"/>
      <c r="J375" s="63"/>
      <c r="K375" s="63"/>
      <c r="L375" s="63"/>
      <c r="M375" s="63"/>
      <c r="N375" s="63"/>
    </row>
    <row r="376" spans="7:14" ht="12.75">
      <c r="G376" s="63"/>
      <c r="H376" s="63"/>
      <c r="I376" s="63"/>
      <c r="J376" s="63"/>
      <c r="K376" s="63"/>
      <c r="L376" s="63"/>
      <c r="M376" s="63"/>
      <c r="N376" s="63"/>
    </row>
    <row r="377" spans="7:14" ht="12.75">
      <c r="G377" s="63"/>
      <c r="H377" s="63"/>
      <c r="I377" s="63"/>
      <c r="J377" s="63"/>
      <c r="K377" s="63"/>
      <c r="L377" s="63"/>
      <c r="M377" s="63"/>
      <c r="N377" s="63"/>
    </row>
    <row r="378" spans="7:14" ht="12.75">
      <c r="G378" s="63"/>
      <c r="H378" s="63"/>
      <c r="I378" s="63"/>
      <c r="J378" s="63"/>
      <c r="K378" s="63"/>
      <c r="L378" s="63"/>
      <c r="M378" s="63"/>
      <c r="N378" s="63"/>
    </row>
    <row r="379" spans="7:14" ht="12.75">
      <c r="G379" s="63"/>
      <c r="H379" s="63"/>
      <c r="I379" s="63"/>
      <c r="J379" s="63"/>
      <c r="K379" s="63"/>
      <c r="L379" s="63"/>
      <c r="M379" s="63"/>
      <c r="N379" s="63"/>
    </row>
    <row r="380" spans="7:14" ht="12.75">
      <c r="G380" s="63"/>
      <c r="H380" s="63"/>
      <c r="I380" s="63"/>
      <c r="J380" s="63"/>
      <c r="K380" s="63"/>
      <c r="L380" s="63"/>
      <c r="M380" s="63"/>
      <c r="N380" s="63"/>
    </row>
    <row r="381" spans="7:14" ht="12.75">
      <c r="G381" s="63"/>
      <c r="H381" s="63"/>
      <c r="I381" s="63"/>
      <c r="J381" s="63"/>
      <c r="K381" s="63"/>
      <c r="L381" s="63"/>
      <c r="M381" s="63"/>
      <c r="N381" s="63"/>
    </row>
    <row r="382" spans="7:14" ht="12.75">
      <c r="G382" s="63"/>
      <c r="H382" s="63"/>
      <c r="I382" s="63"/>
      <c r="J382" s="63"/>
      <c r="K382" s="63"/>
      <c r="L382" s="63"/>
      <c r="M382" s="63"/>
      <c r="N382" s="63"/>
    </row>
    <row r="383" spans="7:14" ht="12.75">
      <c r="G383" s="63"/>
      <c r="H383" s="63"/>
      <c r="I383" s="63"/>
      <c r="J383" s="63"/>
      <c r="K383" s="63"/>
      <c r="L383" s="63"/>
      <c r="M383" s="63"/>
      <c r="N383" s="63"/>
    </row>
    <row r="384" spans="7:14" ht="12.75">
      <c r="G384" s="63"/>
      <c r="H384" s="63"/>
      <c r="I384" s="63"/>
      <c r="J384" s="63"/>
      <c r="K384" s="63"/>
      <c r="L384" s="63"/>
      <c r="M384" s="63"/>
      <c r="N384" s="63"/>
    </row>
    <row r="385" spans="7:14" ht="12.75">
      <c r="G385" s="63"/>
      <c r="H385" s="63"/>
      <c r="I385" s="63"/>
      <c r="J385" s="63"/>
      <c r="K385" s="63"/>
      <c r="L385" s="63"/>
      <c r="M385" s="63"/>
      <c r="N385" s="63"/>
    </row>
    <row r="386" spans="7:14" ht="12.75">
      <c r="G386" s="63"/>
      <c r="H386" s="63"/>
      <c r="I386" s="63"/>
      <c r="J386" s="63"/>
      <c r="K386" s="63"/>
      <c r="L386" s="63"/>
      <c r="M386" s="63"/>
      <c r="N386" s="63"/>
    </row>
    <row r="387" spans="7:14" ht="12.75">
      <c r="G387" s="63"/>
      <c r="H387" s="63"/>
      <c r="I387" s="63"/>
      <c r="J387" s="63"/>
      <c r="K387" s="63"/>
      <c r="L387" s="63"/>
      <c r="M387" s="63"/>
      <c r="N387" s="63"/>
    </row>
    <row r="388" spans="7:14" ht="12.75">
      <c r="G388" s="63"/>
      <c r="H388" s="63"/>
      <c r="I388" s="63"/>
      <c r="J388" s="63"/>
      <c r="K388" s="63"/>
      <c r="L388" s="63"/>
      <c r="M388" s="63"/>
      <c r="N388" s="63"/>
    </row>
    <row r="389" spans="7:14" ht="12.75">
      <c r="G389" s="63"/>
      <c r="H389" s="63"/>
      <c r="I389" s="63"/>
      <c r="J389" s="63"/>
      <c r="K389" s="63"/>
      <c r="L389" s="63"/>
      <c r="M389" s="63"/>
      <c r="N389" s="63"/>
    </row>
    <row r="390" spans="7:14" ht="12.75">
      <c r="G390" s="63"/>
      <c r="H390" s="63"/>
      <c r="I390" s="63"/>
      <c r="J390" s="63"/>
      <c r="K390" s="63"/>
      <c r="L390" s="63"/>
      <c r="M390" s="63"/>
      <c r="N390" s="63"/>
    </row>
    <row r="391" spans="7:14" ht="12.75">
      <c r="G391" s="63"/>
      <c r="H391" s="63"/>
      <c r="I391" s="63"/>
      <c r="J391" s="63"/>
      <c r="K391" s="63"/>
      <c r="L391" s="63"/>
      <c r="M391" s="63"/>
      <c r="N391" s="63"/>
    </row>
    <row r="392" spans="7:14" ht="12.75">
      <c r="G392" s="63"/>
      <c r="H392" s="63"/>
      <c r="I392" s="63"/>
      <c r="J392" s="63"/>
      <c r="K392" s="63"/>
      <c r="L392" s="63"/>
      <c r="M392" s="63"/>
      <c r="N392" s="63"/>
    </row>
    <row r="393" spans="7:14" ht="12.75">
      <c r="G393" s="63"/>
      <c r="H393" s="63"/>
      <c r="I393" s="63"/>
      <c r="J393" s="63"/>
      <c r="K393" s="63"/>
      <c r="L393" s="63"/>
      <c r="M393" s="63"/>
      <c r="N393" s="63"/>
    </row>
    <row r="394" spans="7:14" ht="12.75">
      <c r="G394" s="63"/>
      <c r="H394" s="63"/>
      <c r="I394" s="63"/>
      <c r="J394" s="63"/>
      <c r="K394" s="63"/>
      <c r="L394" s="63"/>
      <c r="M394" s="63"/>
      <c r="N394" s="63"/>
    </row>
    <row r="395" spans="7:14" ht="12.75">
      <c r="G395" s="63"/>
      <c r="H395" s="63"/>
      <c r="I395" s="63"/>
      <c r="J395" s="63"/>
      <c r="K395" s="63"/>
      <c r="L395" s="63"/>
      <c r="M395" s="63"/>
      <c r="N395" s="63"/>
    </row>
    <row r="396" spans="7:14" ht="12.75">
      <c r="G396" s="63"/>
      <c r="H396" s="63"/>
      <c r="I396" s="63"/>
      <c r="J396" s="63"/>
      <c r="K396" s="63"/>
      <c r="L396" s="63"/>
      <c r="M396" s="63"/>
      <c r="N396" s="63"/>
    </row>
    <row r="397" spans="7:14" ht="12.75">
      <c r="G397" s="63"/>
      <c r="H397" s="63"/>
      <c r="I397" s="63"/>
      <c r="J397" s="63"/>
      <c r="K397" s="63"/>
      <c r="L397" s="63"/>
      <c r="M397" s="63"/>
      <c r="N397" s="63"/>
    </row>
    <row r="398" spans="7:14" ht="12.75">
      <c r="G398" s="63"/>
      <c r="H398" s="63"/>
      <c r="I398" s="63"/>
      <c r="J398" s="63"/>
      <c r="K398" s="63"/>
      <c r="L398" s="63"/>
      <c r="M398" s="63"/>
      <c r="N398" s="63"/>
    </row>
    <row r="399" spans="7:14" ht="12.75">
      <c r="G399" s="63"/>
      <c r="H399" s="63"/>
      <c r="I399" s="63"/>
      <c r="J399" s="63"/>
      <c r="K399" s="63"/>
      <c r="L399" s="63"/>
      <c r="M399" s="63"/>
      <c r="N399" s="63"/>
    </row>
    <row r="400" spans="7:14" ht="12.75">
      <c r="G400" s="63"/>
      <c r="H400" s="63"/>
      <c r="I400" s="63"/>
      <c r="J400" s="63"/>
      <c r="K400" s="63"/>
      <c r="L400" s="63"/>
      <c r="M400" s="63"/>
      <c r="N400" s="63"/>
    </row>
    <row r="401" spans="7:14" ht="12.75">
      <c r="G401" s="63"/>
      <c r="H401" s="63"/>
      <c r="I401" s="63"/>
      <c r="J401" s="63"/>
      <c r="K401" s="63"/>
      <c r="L401" s="63"/>
      <c r="M401" s="63"/>
      <c r="N401" s="63"/>
    </row>
    <row r="402" spans="7:14" ht="12.75">
      <c r="G402" s="63"/>
      <c r="H402" s="63"/>
      <c r="I402" s="63"/>
      <c r="J402" s="63"/>
      <c r="K402" s="63"/>
      <c r="L402" s="63"/>
      <c r="M402" s="63"/>
      <c r="N402" s="63"/>
    </row>
    <row r="403" spans="7:14" ht="12.75">
      <c r="G403" s="63"/>
      <c r="H403" s="63"/>
      <c r="I403" s="63"/>
      <c r="J403" s="63"/>
      <c r="K403" s="63"/>
      <c r="L403" s="63"/>
      <c r="M403" s="63"/>
      <c r="N403" s="63"/>
    </row>
    <row r="404" spans="7:14" ht="12.75">
      <c r="G404" s="63"/>
      <c r="H404" s="63"/>
      <c r="I404" s="63"/>
      <c r="J404" s="63"/>
      <c r="K404" s="63"/>
      <c r="L404" s="63"/>
      <c r="M404" s="63"/>
      <c r="N404" s="63"/>
    </row>
    <row r="405" spans="7:14" ht="12.75">
      <c r="G405" s="63"/>
      <c r="H405" s="63"/>
      <c r="I405" s="63"/>
      <c r="J405" s="63"/>
      <c r="K405" s="63"/>
      <c r="L405" s="63"/>
      <c r="M405" s="63"/>
      <c r="N405" s="63"/>
    </row>
    <row r="406" spans="7:14" ht="12.75">
      <c r="G406" s="63"/>
      <c r="H406" s="63"/>
      <c r="I406" s="63"/>
      <c r="J406" s="63"/>
      <c r="K406" s="63"/>
      <c r="L406" s="63"/>
      <c r="M406" s="63"/>
      <c r="N406" s="63"/>
    </row>
    <row r="407" spans="7:14" ht="12.75">
      <c r="G407" s="63"/>
      <c r="H407" s="63"/>
      <c r="I407" s="63"/>
      <c r="J407" s="63"/>
      <c r="K407" s="63"/>
      <c r="L407" s="63"/>
      <c r="M407" s="63"/>
      <c r="N407" s="63"/>
    </row>
    <row r="408" spans="7:14" ht="12.75">
      <c r="G408" s="63"/>
      <c r="H408" s="63"/>
      <c r="I408" s="63"/>
      <c r="J408" s="63"/>
      <c r="K408" s="63"/>
      <c r="L408" s="63"/>
      <c r="M408" s="63"/>
      <c r="N408" s="63"/>
    </row>
    <row r="409" spans="7:14" ht="12.75">
      <c r="G409" s="63"/>
      <c r="H409" s="63"/>
      <c r="I409" s="63"/>
      <c r="J409" s="63"/>
      <c r="K409" s="63"/>
      <c r="L409" s="63"/>
      <c r="M409" s="63"/>
      <c r="N409" s="63"/>
    </row>
    <row r="410" spans="7:14" ht="12.75">
      <c r="G410" s="63"/>
      <c r="H410" s="63"/>
      <c r="I410" s="63"/>
      <c r="J410" s="63"/>
      <c r="K410" s="63"/>
      <c r="L410" s="63"/>
      <c r="M410" s="63"/>
      <c r="N410" s="63"/>
    </row>
    <row r="411" spans="7:14" ht="12.75">
      <c r="G411" s="63"/>
      <c r="H411" s="63"/>
      <c r="I411" s="63"/>
      <c r="J411" s="63"/>
      <c r="K411" s="63"/>
      <c r="L411" s="63"/>
      <c r="M411" s="63"/>
      <c r="N411" s="63"/>
    </row>
    <row r="412" spans="7:14" ht="12.75">
      <c r="G412" s="63"/>
      <c r="H412" s="63"/>
      <c r="I412" s="63"/>
      <c r="J412" s="63"/>
      <c r="K412" s="63"/>
      <c r="L412" s="63"/>
      <c r="M412" s="63"/>
      <c r="N412" s="63"/>
    </row>
    <row r="413" spans="7:14" ht="12.75">
      <c r="G413" s="63"/>
      <c r="H413" s="63"/>
      <c r="I413" s="63"/>
      <c r="J413" s="63"/>
      <c r="K413" s="63"/>
      <c r="L413" s="63"/>
      <c r="M413" s="63"/>
      <c r="N413" s="63"/>
    </row>
    <row r="414" spans="7:14" ht="12.75">
      <c r="G414" s="63"/>
      <c r="H414" s="63"/>
      <c r="I414" s="63"/>
      <c r="J414" s="63"/>
      <c r="K414" s="63"/>
      <c r="L414" s="63"/>
      <c r="M414" s="63"/>
      <c r="N414" s="63"/>
    </row>
    <row r="415" spans="7:14" ht="12.75">
      <c r="G415" s="63"/>
      <c r="H415" s="63"/>
      <c r="I415" s="63"/>
      <c r="J415" s="63"/>
      <c r="K415" s="63"/>
      <c r="L415" s="63"/>
      <c r="M415" s="63"/>
      <c r="N415" s="63"/>
    </row>
    <row r="416" spans="7:14" ht="12.75">
      <c r="G416" s="63"/>
      <c r="H416" s="63"/>
      <c r="I416" s="63"/>
      <c r="J416" s="63"/>
      <c r="K416" s="63"/>
      <c r="L416" s="63"/>
      <c r="M416" s="63"/>
      <c r="N416" s="63"/>
    </row>
    <row r="417" spans="7:14" ht="12.75">
      <c r="G417" s="63"/>
      <c r="H417" s="63"/>
      <c r="I417" s="63"/>
      <c r="J417" s="63"/>
      <c r="K417" s="63"/>
      <c r="L417" s="63"/>
      <c r="M417" s="63"/>
      <c r="N417" s="63"/>
    </row>
    <row r="418" spans="7:14" ht="12.75">
      <c r="G418" s="63"/>
      <c r="H418" s="63"/>
      <c r="I418" s="63"/>
      <c r="J418" s="63"/>
      <c r="K418" s="63"/>
      <c r="L418" s="63"/>
      <c r="M418" s="63"/>
      <c r="N418" s="63"/>
    </row>
    <row r="419" spans="7:14" ht="12.75">
      <c r="G419" s="63"/>
      <c r="H419" s="63"/>
      <c r="I419" s="63"/>
      <c r="J419" s="63"/>
      <c r="K419" s="63"/>
      <c r="L419" s="63"/>
      <c r="M419" s="63"/>
      <c r="N419" s="63"/>
    </row>
    <row r="420" spans="7:14" ht="12.75">
      <c r="G420" s="63"/>
      <c r="H420" s="63"/>
      <c r="I420" s="63"/>
      <c r="J420" s="63"/>
      <c r="K420" s="63"/>
      <c r="L420" s="63"/>
      <c r="M420" s="63"/>
      <c r="N420" s="63"/>
    </row>
    <row r="421" spans="7:14" ht="12.75">
      <c r="G421" s="63"/>
      <c r="H421" s="63"/>
      <c r="I421" s="63"/>
      <c r="J421" s="63"/>
      <c r="K421" s="63"/>
      <c r="L421" s="63"/>
      <c r="M421" s="63"/>
      <c r="N421" s="63"/>
    </row>
    <row r="422" spans="7:14" ht="12.75">
      <c r="G422" s="63"/>
      <c r="H422" s="63"/>
      <c r="I422" s="63"/>
      <c r="J422" s="63"/>
      <c r="K422" s="63"/>
      <c r="L422" s="63"/>
      <c r="M422" s="63"/>
      <c r="N422" s="63"/>
    </row>
    <row r="423" spans="7:14" ht="12.75">
      <c r="G423" s="63"/>
      <c r="H423" s="63"/>
      <c r="I423" s="63"/>
      <c r="J423" s="63"/>
      <c r="K423" s="63"/>
      <c r="L423" s="63"/>
      <c r="M423" s="63"/>
      <c r="N423" s="63"/>
    </row>
    <row r="424" spans="7:14" ht="12.75">
      <c r="G424" s="63"/>
      <c r="H424" s="63"/>
      <c r="I424" s="63"/>
      <c r="J424" s="63"/>
      <c r="K424" s="63"/>
      <c r="L424" s="63"/>
      <c r="M424" s="63"/>
      <c r="N424" s="63"/>
    </row>
    <row r="425" spans="7:14" ht="12.75">
      <c r="G425" s="63"/>
      <c r="H425" s="63"/>
      <c r="I425" s="63"/>
      <c r="J425" s="63"/>
      <c r="K425" s="63"/>
      <c r="L425" s="63"/>
      <c r="M425" s="63"/>
      <c r="N425" s="63"/>
    </row>
    <row r="426" spans="7:14" ht="12.75">
      <c r="G426" s="63"/>
      <c r="H426" s="63"/>
      <c r="I426" s="63"/>
      <c r="J426" s="63"/>
      <c r="K426" s="63"/>
      <c r="L426" s="63"/>
      <c r="M426" s="63"/>
      <c r="N426" s="63"/>
    </row>
    <row r="427" spans="7:14" ht="12.75">
      <c r="G427" s="63"/>
      <c r="H427" s="63"/>
      <c r="I427" s="63"/>
      <c r="J427" s="63"/>
      <c r="K427" s="63"/>
      <c r="L427" s="63"/>
      <c r="M427" s="63"/>
      <c r="N427" s="63"/>
    </row>
    <row r="428" spans="7:14" ht="12.75">
      <c r="G428" s="63"/>
      <c r="H428" s="63"/>
      <c r="I428" s="63"/>
      <c r="J428" s="63"/>
      <c r="K428" s="63"/>
      <c r="L428" s="63"/>
      <c r="M428" s="63"/>
      <c r="N428" s="63"/>
    </row>
    <row r="429" spans="7:14" ht="12.75">
      <c r="G429" s="63"/>
      <c r="H429" s="63"/>
      <c r="I429" s="63"/>
      <c r="J429" s="63"/>
      <c r="K429" s="63"/>
      <c r="L429" s="63"/>
      <c r="M429" s="63"/>
      <c r="N429" s="63"/>
    </row>
    <row r="430" spans="7:14" ht="12.75">
      <c r="G430" s="63"/>
      <c r="H430" s="63"/>
      <c r="I430" s="63"/>
      <c r="J430" s="63"/>
      <c r="K430" s="63"/>
      <c r="L430" s="63"/>
      <c r="M430" s="63"/>
      <c r="N430" s="63"/>
    </row>
    <row r="431" spans="7:14" ht="12.75">
      <c r="G431" s="63"/>
      <c r="H431" s="63"/>
      <c r="I431" s="63"/>
      <c r="J431" s="63"/>
      <c r="K431" s="63"/>
      <c r="L431" s="63"/>
      <c r="M431" s="63"/>
      <c r="N431" s="63"/>
    </row>
    <row r="432" spans="7:14" ht="12.75">
      <c r="G432" s="63"/>
      <c r="H432" s="63"/>
      <c r="I432" s="63"/>
      <c r="J432" s="63"/>
      <c r="K432" s="63"/>
      <c r="L432" s="63"/>
      <c r="M432" s="63"/>
      <c r="N432" s="63"/>
    </row>
    <row r="433" spans="7:14" ht="12.75">
      <c r="G433" s="63"/>
      <c r="H433" s="63"/>
      <c r="I433" s="63"/>
      <c r="J433" s="63"/>
      <c r="K433" s="63"/>
      <c r="L433" s="63"/>
      <c r="M433" s="63"/>
      <c r="N433" s="63"/>
    </row>
    <row r="434" spans="7:14" ht="12.75">
      <c r="G434" s="63"/>
      <c r="H434" s="63"/>
      <c r="I434" s="63"/>
      <c r="J434" s="63"/>
      <c r="K434" s="63"/>
      <c r="L434" s="63"/>
      <c r="M434" s="63"/>
      <c r="N434" s="63"/>
    </row>
    <row r="435" spans="7:14" ht="12.75">
      <c r="G435" s="63"/>
      <c r="H435" s="63"/>
      <c r="I435" s="63"/>
      <c r="J435" s="63"/>
      <c r="K435" s="63"/>
      <c r="L435" s="63"/>
      <c r="M435" s="63"/>
      <c r="N435" s="63"/>
    </row>
    <row r="436" spans="7:14" ht="12.75">
      <c r="G436" s="63"/>
      <c r="H436" s="63"/>
      <c r="I436" s="63"/>
      <c r="J436" s="63"/>
      <c r="K436" s="63"/>
      <c r="L436" s="63"/>
      <c r="M436" s="63"/>
      <c r="N436" s="63"/>
    </row>
    <row r="437" spans="7:14" ht="12.75">
      <c r="G437" s="63"/>
      <c r="H437" s="63"/>
      <c r="I437" s="63"/>
      <c r="J437" s="63"/>
      <c r="K437" s="63"/>
      <c r="L437" s="63"/>
      <c r="M437" s="63"/>
      <c r="N437" s="63"/>
    </row>
    <row r="438" spans="7:14" ht="12.75">
      <c r="G438" s="63"/>
      <c r="H438" s="63"/>
      <c r="I438" s="63"/>
      <c r="J438" s="63"/>
      <c r="K438" s="63"/>
      <c r="L438" s="63"/>
      <c r="M438" s="63"/>
      <c r="N438" s="63"/>
    </row>
    <row r="439" spans="7:14" ht="12.75">
      <c r="G439" s="63"/>
      <c r="H439" s="63"/>
      <c r="I439" s="63"/>
      <c r="J439" s="63"/>
      <c r="K439" s="63"/>
      <c r="L439" s="63"/>
      <c r="M439" s="63"/>
      <c r="N439" s="63"/>
    </row>
    <row r="440" spans="7:14" ht="12.75">
      <c r="G440" s="63"/>
      <c r="H440" s="63"/>
      <c r="I440" s="63"/>
      <c r="J440" s="63"/>
      <c r="K440" s="63"/>
      <c r="L440" s="63"/>
      <c r="M440" s="63"/>
      <c r="N440" s="63"/>
    </row>
    <row r="441" spans="7:14" ht="12.75">
      <c r="G441" s="63"/>
      <c r="H441" s="63"/>
      <c r="I441" s="63"/>
      <c r="J441" s="63"/>
      <c r="K441" s="63"/>
      <c r="L441" s="63"/>
      <c r="M441" s="63"/>
      <c r="N441" s="63"/>
    </row>
    <row r="442" spans="7:14" ht="12.75">
      <c r="G442" s="63"/>
      <c r="H442" s="63"/>
      <c r="I442" s="63"/>
      <c r="J442" s="63"/>
      <c r="K442" s="63"/>
      <c r="L442" s="63"/>
      <c r="M442" s="63"/>
      <c r="N442" s="63"/>
    </row>
    <row r="443" spans="7:14" ht="12.75">
      <c r="G443" s="63"/>
      <c r="H443" s="63"/>
      <c r="I443" s="63"/>
      <c r="J443" s="63"/>
      <c r="K443" s="63"/>
      <c r="L443" s="63"/>
      <c r="M443" s="63"/>
      <c r="N443" s="63"/>
    </row>
    <row r="444" spans="7:14" ht="12.75">
      <c r="G444" s="63"/>
      <c r="H444" s="63"/>
      <c r="I444" s="63"/>
      <c r="J444" s="63"/>
      <c r="K444" s="63"/>
      <c r="L444" s="63"/>
      <c r="M444" s="63"/>
      <c r="N444" s="63"/>
    </row>
    <row r="445" spans="7:14" ht="12.75">
      <c r="G445" s="63"/>
      <c r="H445" s="63"/>
      <c r="I445" s="63"/>
      <c r="J445" s="63"/>
      <c r="K445" s="63"/>
      <c r="L445" s="63"/>
      <c r="M445" s="63"/>
      <c r="N445" s="63"/>
    </row>
    <row r="446" spans="7:14" ht="12.75">
      <c r="G446" s="63"/>
      <c r="H446" s="63"/>
      <c r="I446" s="63"/>
      <c r="J446" s="63"/>
      <c r="K446" s="63"/>
      <c r="L446" s="63"/>
      <c r="M446" s="63"/>
      <c r="N446" s="63"/>
    </row>
    <row r="447" spans="7:14" ht="12.75">
      <c r="G447" s="63"/>
      <c r="H447" s="63"/>
      <c r="I447" s="63"/>
      <c r="J447" s="63"/>
      <c r="K447" s="63"/>
      <c r="L447" s="63"/>
      <c r="M447" s="63"/>
      <c r="N447" s="63"/>
    </row>
    <row r="448" spans="7:14" ht="12.75">
      <c r="G448" s="63"/>
      <c r="H448" s="63"/>
      <c r="I448" s="63"/>
      <c r="J448" s="63"/>
      <c r="K448" s="63"/>
      <c r="L448" s="63"/>
      <c r="M448" s="63"/>
      <c r="N448" s="63"/>
    </row>
    <row r="449" spans="7:14" ht="12.75">
      <c r="G449" s="63"/>
      <c r="H449" s="63"/>
      <c r="I449" s="63"/>
      <c r="J449" s="63"/>
      <c r="K449" s="63"/>
      <c r="L449" s="63"/>
      <c r="M449" s="63"/>
      <c r="N449" s="63"/>
    </row>
    <row r="450" spans="7:14" ht="12.75">
      <c r="G450" s="63"/>
      <c r="H450" s="63"/>
      <c r="I450" s="63"/>
      <c r="J450" s="63"/>
      <c r="K450" s="63"/>
      <c r="L450" s="63"/>
      <c r="M450" s="63"/>
      <c r="N450" s="63"/>
    </row>
    <row r="451" spans="7:14" ht="12.75">
      <c r="G451" s="63"/>
      <c r="H451" s="63"/>
      <c r="I451" s="63"/>
      <c r="J451" s="63"/>
      <c r="K451" s="63"/>
      <c r="L451" s="63"/>
      <c r="M451" s="63"/>
      <c r="N451" s="63"/>
    </row>
    <row r="452" spans="7:14" ht="12.75">
      <c r="G452" s="63"/>
      <c r="H452" s="63"/>
      <c r="I452" s="63"/>
      <c r="J452" s="63"/>
      <c r="K452" s="63"/>
      <c r="L452" s="63"/>
      <c r="M452" s="63"/>
      <c r="N452" s="63"/>
    </row>
    <row r="453" spans="7:14" ht="12.75">
      <c r="G453" s="63"/>
      <c r="H453" s="63"/>
      <c r="I453" s="63"/>
      <c r="J453" s="63"/>
      <c r="K453" s="63"/>
      <c r="L453" s="63"/>
      <c r="M453" s="63"/>
      <c r="N453" s="63"/>
    </row>
    <row r="454" spans="7:14" ht="12.75">
      <c r="G454" s="63"/>
      <c r="H454" s="63"/>
      <c r="I454" s="63"/>
      <c r="J454" s="63"/>
      <c r="K454" s="63"/>
      <c r="L454" s="63"/>
      <c r="M454" s="63"/>
      <c r="N454" s="63"/>
    </row>
    <row r="455" spans="7:14" ht="12.75">
      <c r="G455" s="63"/>
      <c r="H455" s="63"/>
      <c r="I455" s="63"/>
      <c r="J455" s="63"/>
      <c r="K455" s="63"/>
      <c r="L455" s="63"/>
      <c r="M455" s="63"/>
      <c r="N455" s="63"/>
    </row>
    <row r="456" spans="7:14" ht="12.75">
      <c r="G456" s="63"/>
      <c r="H456" s="63"/>
      <c r="I456" s="63"/>
      <c r="J456" s="63"/>
      <c r="K456" s="63"/>
      <c r="L456" s="63"/>
      <c r="M456" s="63"/>
      <c r="N456" s="63"/>
    </row>
    <row r="457" spans="7:14" ht="12.75">
      <c r="G457" s="63"/>
      <c r="H457" s="63"/>
      <c r="I457" s="63"/>
      <c r="J457" s="63"/>
      <c r="K457" s="63"/>
      <c r="L457" s="63"/>
      <c r="M457" s="63"/>
      <c r="N457" s="63"/>
    </row>
    <row r="458" spans="7:14" ht="12.75">
      <c r="G458" s="63"/>
      <c r="H458" s="63"/>
      <c r="I458" s="63"/>
      <c r="J458" s="63"/>
      <c r="K458" s="63"/>
      <c r="L458" s="63"/>
      <c r="M458" s="63"/>
      <c r="N458" s="63"/>
    </row>
    <row r="459" spans="7:14" ht="12.75">
      <c r="G459" s="63"/>
      <c r="H459" s="63"/>
      <c r="I459" s="63"/>
      <c r="J459" s="63"/>
      <c r="K459" s="63"/>
      <c r="L459" s="63"/>
      <c r="M459" s="63"/>
      <c r="N459" s="63"/>
    </row>
    <row r="460" spans="7:14" ht="12.75">
      <c r="G460" s="63"/>
      <c r="H460" s="63"/>
      <c r="I460" s="63"/>
      <c r="J460" s="63"/>
      <c r="K460" s="63"/>
      <c r="L460" s="63"/>
      <c r="M460" s="63"/>
      <c r="N460" s="63"/>
    </row>
    <row r="461" spans="7:14" ht="12.75">
      <c r="G461" s="63"/>
      <c r="H461" s="63"/>
      <c r="I461" s="63"/>
      <c r="J461" s="63"/>
      <c r="K461" s="63"/>
      <c r="L461" s="63"/>
      <c r="M461" s="63"/>
      <c r="N461" s="63"/>
    </row>
    <row r="462" spans="7:14" ht="12.75">
      <c r="G462" s="63"/>
      <c r="H462" s="63"/>
      <c r="I462" s="63"/>
      <c r="J462" s="63"/>
      <c r="K462" s="63"/>
      <c r="L462" s="63"/>
      <c r="M462" s="63"/>
      <c r="N462" s="63"/>
    </row>
    <row r="463" spans="7:14" ht="12.75">
      <c r="G463" s="63"/>
      <c r="H463" s="63"/>
      <c r="I463" s="63"/>
      <c r="J463" s="63"/>
      <c r="K463" s="63"/>
      <c r="L463" s="63"/>
      <c r="M463" s="63"/>
      <c r="N463" s="63"/>
    </row>
    <row r="464" spans="7:14" ht="12.75">
      <c r="G464" s="63"/>
      <c r="H464" s="63"/>
      <c r="I464" s="63"/>
      <c r="J464" s="63"/>
      <c r="K464" s="63"/>
      <c r="L464" s="63"/>
      <c r="M464" s="63"/>
      <c r="N464" s="63"/>
    </row>
    <row r="465" spans="7:14" ht="12.75">
      <c r="G465" s="63"/>
      <c r="H465" s="63"/>
      <c r="I465" s="63"/>
      <c r="J465" s="63"/>
      <c r="K465" s="63"/>
      <c r="L465" s="63"/>
      <c r="M465" s="63"/>
      <c r="N465" s="63"/>
    </row>
    <row r="466" spans="7:14" ht="12.75">
      <c r="G466" s="63"/>
      <c r="H466" s="63"/>
      <c r="I466" s="63"/>
      <c r="J466" s="63"/>
      <c r="K466" s="63"/>
      <c r="L466" s="63"/>
      <c r="M466" s="63"/>
      <c r="N466" s="63"/>
    </row>
    <row r="467" spans="7:14" ht="12.75">
      <c r="G467" s="63"/>
      <c r="H467" s="63"/>
      <c r="I467" s="63"/>
      <c r="J467" s="63"/>
      <c r="K467" s="63"/>
      <c r="L467" s="63"/>
      <c r="M467" s="63"/>
      <c r="N467" s="63"/>
    </row>
    <row r="468" spans="7:14" ht="12.75">
      <c r="G468" s="63"/>
      <c r="H468" s="63"/>
      <c r="I468" s="63"/>
      <c r="J468" s="63"/>
      <c r="K468" s="63"/>
      <c r="L468" s="63"/>
      <c r="M468" s="63"/>
      <c r="N468" s="63"/>
    </row>
    <row r="469" spans="7:14" ht="12.75">
      <c r="G469" s="63"/>
      <c r="H469" s="63"/>
      <c r="I469" s="63"/>
      <c r="J469" s="63"/>
      <c r="K469" s="63"/>
      <c r="L469" s="63"/>
      <c r="M469" s="63"/>
      <c r="N469" s="63"/>
    </row>
    <row r="470" spans="7:14" ht="12.75">
      <c r="G470" s="63"/>
      <c r="H470" s="63"/>
      <c r="I470" s="63"/>
      <c r="J470" s="63"/>
      <c r="K470" s="63"/>
      <c r="L470" s="63"/>
      <c r="M470" s="63"/>
      <c r="N470" s="63"/>
    </row>
    <row r="471" spans="7:14" ht="12.75">
      <c r="G471" s="63"/>
      <c r="H471" s="63"/>
      <c r="I471" s="63"/>
      <c r="J471" s="63"/>
      <c r="K471" s="63"/>
      <c r="L471" s="63"/>
      <c r="M471" s="63"/>
      <c r="N471" s="63"/>
    </row>
    <row r="472" spans="7:14" ht="12.75">
      <c r="G472" s="63"/>
      <c r="H472" s="63"/>
      <c r="I472" s="63"/>
      <c r="J472" s="63"/>
      <c r="K472" s="63"/>
      <c r="L472" s="63"/>
      <c r="M472" s="63"/>
      <c r="N472" s="63"/>
    </row>
    <row r="473" spans="7:14" ht="12.75">
      <c r="G473" s="63"/>
      <c r="H473" s="63"/>
      <c r="I473" s="63"/>
      <c r="J473" s="63"/>
      <c r="K473" s="63"/>
      <c r="L473" s="63"/>
      <c r="M473" s="63"/>
      <c r="N473" s="63"/>
    </row>
    <row r="474" spans="7:14" ht="12.75">
      <c r="G474" s="63"/>
      <c r="H474" s="63"/>
      <c r="I474" s="63"/>
      <c r="J474" s="63"/>
      <c r="K474" s="63"/>
      <c r="L474" s="63"/>
      <c r="M474" s="63"/>
      <c r="N474" s="63"/>
    </row>
    <row r="475" spans="7:14" ht="12.75">
      <c r="G475" s="63"/>
      <c r="H475" s="63"/>
      <c r="I475" s="63"/>
      <c r="J475" s="63"/>
      <c r="K475" s="63"/>
      <c r="L475" s="63"/>
      <c r="M475" s="63"/>
      <c r="N475" s="63"/>
    </row>
    <row r="476" spans="7:14" ht="12.75">
      <c r="G476" s="63"/>
      <c r="H476" s="63"/>
      <c r="I476" s="63"/>
      <c r="J476" s="63"/>
      <c r="K476" s="63"/>
      <c r="L476" s="63"/>
      <c r="M476" s="63"/>
      <c r="N476" s="63"/>
    </row>
    <row r="477" spans="7:14" ht="12.75">
      <c r="G477" s="63"/>
      <c r="H477" s="63"/>
      <c r="I477" s="63"/>
      <c r="J477" s="63"/>
      <c r="K477" s="63"/>
      <c r="L477" s="63"/>
      <c r="M477" s="63"/>
      <c r="N477" s="63"/>
    </row>
    <row r="478" spans="7:14" ht="12.75">
      <c r="G478" s="63"/>
      <c r="H478" s="63"/>
      <c r="I478" s="63"/>
      <c r="J478" s="63"/>
      <c r="K478" s="63"/>
      <c r="L478" s="63"/>
      <c r="M478" s="63"/>
      <c r="N478" s="63"/>
    </row>
    <row r="479" spans="7:14" ht="12.75">
      <c r="G479" s="63"/>
      <c r="H479" s="63"/>
      <c r="I479" s="63"/>
      <c r="J479" s="63"/>
      <c r="K479" s="63"/>
      <c r="L479" s="63"/>
      <c r="M479" s="63"/>
      <c r="N479" s="63"/>
    </row>
    <row r="480" spans="7:14" ht="12.75">
      <c r="G480" s="63"/>
      <c r="H480" s="63"/>
      <c r="I480" s="63"/>
      <c r="J480" s="63"/>
      <c r="K480" s="63"/>
      <c r="L480" s="63"/>
      <c r="M480" s="63"/>
      <c r="N480" s="63"/>
    </row>
    <row r="481" spans="7:14" ht="12.75">
      <c r="G481" s="63"/>
      <c r="H481" s="63"/>
      <c r="I481" s="63"/>
      <c r="J481" s="63"/>
      <c r="K481" s="63"/>
      <c r="L481" s="63"/>
      <c r="M481" s="63"/>
      <c r="N481" s="63"/>
    </row>
    <row r="482" spans="7:14" ht="12.75">
      <c r="G482" s="63"/>
      <c r="H482" s="63"/>
      <c r="I482" s="63"/>
      <c r="J482" s="63"/>
      <c r="K482" s="63"/>
      <c r="L482" s="63"/>
      <c r="M482" s="63"/>
      <c r="N482" s="63"/>
    </row>
    <row r="483" spans="7:14" ht="12.75">
      <c r="G483" s="63"/>
      <c r="H483" s="63"/>
      <c r="I483" s="63"/>
      <c r="J483" s="63"/>
      <c r="K483" s="63"/>
      <c r="L483" s="63"/>
      <c r="M483" s="63"/>
      <c r="N483" s="63"/>
    </row>
    <row r="484" spans="7:14" ht="12.75">
      <c r="G484" s="63"/>
      <c r="H484" s="63"/>
      <c r="I484" s="63"/>
      <c r="J484" s="63"/>
      <c r="K484" s="63"/>
      <c r="L484" s="63"/>
      <c r="M484" s="63"/>
      <c r="N484" s="63"/>
    </row>
    <row r="485" spans="7:14" ht="12.75">
      <c r="G485" s="63"/>
      <c r="H485" s="63"/>
      <c r="I485" s="63"/>
      <c r="J485" s="63"/>
      <c r="K485" s="63"/>
      <c r="L485" s="63"/>
      <c r="M485" s="63"/>
      <c r="N485" s="63"/>
    </row>
    <row r="486" spans="7:14" ht="12.75">
      <c r="G486" s="63"/>
      <c r="H486" s="63"/>
      <c r="I486" s="63"/>
      <c r="J486" s="63"/>
      <c r="K486" s="63"/>
      <c r="L486" s="63"/>
      <c r="M486" s="63"/>
      <c r="N486" s="63"/>
    </row>
    <row r="487" spans="7:14" ht="12.75">
      <c r="G487" s="63"/>
      <c r="H487" s="63"/>
      <c r="I487" s="63"/>
      <c r="J487" s="63"/>
      <c r="K487" s="63"/>
      <c r="L487" s="63"/>
      <c r="M487" s="63"/>
      <c r="N487" s="63"/>
    </row>
    <row r="488" spans="7:14" ht="12.75">
      <c r="G488" s="63"/>
      <c r="H488" s="63"/>
      <c r="I488" s="63"/>
      <c r="J488" s="63"/>
      <c r="K488" s="63"/>
      <c r="L488" s="63"/>
      <c r="M488" s="63"/>
      <c r="N488" s="63"/>
    </row>
    <row r="489" spans="7:14" ht="12.75">
      <c r="G489" s="63"/>
      <c r="H489" s="63"/>
      <c r="I489" s="63"/>
      <c r="J489" s="63"/>
      <c r="K489" s="63"/>
      <c r="L489" s="63"/>
      <c r="M489" s="63"/>
      <c r="N489" s="63"/>
    </row>
    <row r="490" spans="7:14" ht="12.75">
      <c r="G490" s="63"/>
      <c r="H490" s="63"/>
      <c r="I490" s="63"/>
      <c r="J490" s="63"/>
      <c r="K490" s="63"/>
      <c r="L490" s="63"/>
      <c r="M490" s="63"/>
      <c r="N490" s="63"/>
    </row>
    <row r="491" spans="7:14" ht="12.75">
      <c r="G491" s="63"/>
      <c r="H491" s="63"/>
      <c r="I491" s="63"/>
      <c r="J491" s="63"/>
      <c r="K491" s="63"/>
      <c r="L491" s="63"/>
      <c r="M491" s="63"/>
      <c r="N491" s="63"/>
    </row>
    <row r="492" spans="7:14" ht="12.75">
      <c r="G492" s="63"/>
      <c r="H492" s="63"/>
      <c r="I492" s="63"/>
      <c r="J492" s="63"/>
      <c r="K492" s="63"/>
      <c r="L492" s="63"/>
      <c r="M492" s="63"/>
      <c r="N492" s="63"/>
    </row>
    <row r="493" spans="7:14" ht="12.75">
      <c r="G493" s="63"/>
      <c r="H493" s="63"/>
      <c r="I493" s="63"/>
      <c r="J493" s="63"/>
      <c r="K493" s="63"/>
      <c r="L493" s="63"/>
      <c r="M493" s="63"/>
      <c r="N493" s="63"/>
    </row>
    <row r="494" spans="7:14" ht="12.75">
      <c r="G494" s="63"/>
      <c r="H494" s="63"/>
      <c r="I494" s="63"/>
      <c r="J494" s="63"/>
      <c r="K494" s="63"/>
      <c r="L494" s="63"/>
      <c r="M494" s="63"/>
      <c r="N494" s="63"/>
    </row>
    <row r="495" spans="7:14" ht="12.75">
      <c r="G495" s="63"/>
      <c r="H495" s="63"/>
      <c r="I495" s="63"/>
      <c r="J495" s="63"/>
      <c r="K495" s="63"/>
      <c r="L495" s="63"/>
      <c r="M495" s="63"/>
      <c r="N495" s="63"/>
    </row>
    <row r="496" spans="7:14" ht="12.75">
      <c r="G496" s="63"/>
      <c r="H496" s="63"/>
      <c r="I496" s="63"/>
      <c r="J496" s="63"/>
      <c r="K496" s="63"/>
      <c r="L496" s="63"/>
      <c r="M496" s="63"/>
      <c r="N496" s="63"/>
    </row>
    <row r="497" spans="7:14" ht="12.75">
      <c r="G497" s="63"/>
      <c r="H497" s="63"/>
      <c r="I497" s="63"/>
      <c r="J497" s="63"/>
      <c r="K497" s="63"/>
      <c r="L497" s="63"/>
      <c r="M497" s="63"/>
      <c r="N497" s="63"/>
    </row>
    <row r="498" spans="7:14" ht="12.75">
      <c r="G498" s="63"/>
      <c r="H498" s="63"/>
      <c r="I498" s="63"/>
      <c r="J498" s="63"/>
      <c r="K498" s="63"/>
      <c r="L498" s="63"/>
      <c r="M498" s="63"/>
      <c r="N498" s="63"/>
    </row>
    <row r="499" spans="7:14" ht="12.75">
      <c r="G499" s="63"/>
      <c r="H499" s="63"/>
      <c r="I499" s="63"/>
      <c r="J499" s="63"/>
      <c r="K499" s="63"/>
      <c r="L499" s="63"/>
      <c r="M499" s="63"/>
      <c r="N499" s="63"/>
    </row>
    <row r="500" spans="7:14" ht="12.75">
      <c r="G500" s="63"/>
      <c r="H500" s="63"/>
      <c r="I500" s="63"/>
      <c r="J500" s="63"/>
      <c r="K500" s="63"/>
      <c r="L500" s="63"/>
      <c r="M500" s="63"/>
      <c r="N500" s="63"/>
    </row>
    <row r="501" spans="7:14" ht="12.75">
      <c r="G501" s="63"/>
      <c r="H501" s="63"/>
      <c r="I501" s="63"/>
      <c r="J501" s="63"/>
      <c r="K501" s="63"/>
      <c r="L501" s="63"/>
      <c r="M501" s="63"/>
      <c r="N501" s="63"/>
    </row>
    <row r="502" spans="7:14" ht="12.75">
      <c r="G502" s="63"/>
      <c r="H502" s="63"/>
      <c r="I502" s="63"/>
      <c r="J502" s="63"/>
      <c r="K502" s="63"/>
      <c r="L502" s="63"/>
      <c r="M502" s="63"/>
      <c r="N502" s="63"/>
    </row>
    <row r="503" spans="7:14" ht="12.75">
      <c r="G503" s="63"/>
      <c r="H503" s="63"/>
      <c r="I503" s="63"/>
      <c r="J503" s="63"/>
      <c r="K503" s="63"/>
      <c r="L503" s="63"/>
      <c r="M503" s="63"/>
      <c r="N503" s="63"/>
    </row>
    <row r="504" spans="7:14" ht="12.75">
      <c r="G504" s="63"/>
      <c r="H504" s="63"/>
      <c r="I504" s="63"/>
      <c r="J504" s="63"/>
      <c r="K504" s="63"/>
      <c r="L504" s="63"/>
      <c r="M504" s="63"/>
      <c r="N504" s="63"/>
    </row>
    <row r="505" spans="7:14" ht="12.75">
      <c r="G505" s="63"/>
      <c r="H505" s="63"/>
      <c r="I505" s="63"/>
      <c r="J505" s="63"/>
      <c r="K505" s="63"/>
      <c r="L505" s="63"/>
      <c r="M505" s="63"/>
      <c r="N505" s="63"/>
    </row>
    <row r="506" spans="7:14" ht="12.75">
      <c r="G506" s="63"/>
      <c r="H506" s="63"/>
      <c r="I506" s="63"/>
      <c r="J506" s="63"/>
      <c r="K506" s="63"/>
      <c r="L506" s="63"/>
      <c r="M506" s="63"/>
      <c r="N506" s="63"/>
    </row>
    <row r="507" spans="7:14" ht="12.75">
      <c r="G507" s="63"/>
      <c r="H507" s="63"/>
      <c r="I507" s="63"/>
      <c r="J507" s="63"/>
      <c r="K507" s="63"/>
      <c r="L507" s="63"/>
      <c r="M507" s="63"/>
      <c r="N507" s="63"/>
    </row>
    <row r="508" spans="7:14" ht="12.75">
      <c r="G508" s="63"/>
      <c r="H508" s="63"/>
      <c r="I508" s="63"/>
      <c r="J508" s="63"/>
      <c r="K508" s="63"/>
      <c r="L508" s="63"/>
      <c r="M508" s="63"/>
      <c r="N508" s="63"/>
    </row>
    <row r="509" spans="7:14" ht="12.75">
      <c r="G509" s="63"/>
      <c r="H509" s="63"/>
      <c r="I509" s="63"/>
      <c r="J509" s="63"/>
      <c r="K509" s="63"/>
      <c r="L509" s="63"/>
      <c r="M509" s="63"/>
      <c r="N509" s="63"/>
    </row>
    <row r="510" spans="7:14" ht="12.75">
      <c r="G510" s="63"/>
      <c r="H510" s="63"/>
      <c r="I510" s="63"/>
      <c r="J510" s="63"/>
      <c r="K510" s="63"/>
      <c r="L510" s="63"/>
      <c r="M510" s="63"/>
      <c r="N510" s="63"/>
    </row>
    <row r="511" spans="7:14" ht="12.75">
      <c r="G511" s="63"/>
      <c r="H511" s="63"/>
      <c r="I511" s="63"/>
      <c r="J511" s="63"/>
      <c r="K511" s="63"/>
      <c r="L511" s="63"/>
      <c r="M511" s="63"/>
      <c r="N511" s="63"/>
    </row>
    <row r="512" spans="7:14" ht="12.75">
      <c r="G512" s="63"/>
      <c r="H512" s="63"/>
      <c r="I512" s="63"/>
      <c r="J512" s="63"/>
      <c r="K512" s="63"/>
      <c r="L512" s="63"/>
      <c r="M512" s="63"/>
      <c r="N512" s="63"/>
    </row>
    <row r="513" spans="7:14" ht="12.75">
      <c r="G513" s="63"/>
      <c r="H513" s="63"/>
      <c r="I513" s="63"/>
      <c r="J513" s="63"/>
      <c r="K513" s="63"/>
      <c r="L513" s="63"/>
      <c r="M513" s="63"/>
      <c r="N513" s="63"/>
    </row>
    <row r="514" spans="7:14" ht="12.75">
      <c r="G514" s="63"/>
      <c r="H514" s="63"/>
      <c r="I514" s="63"/>
      <c r="J514" s="63"/>
      <c r="K514" s="63"/>
      <c r="L514" s="63"/>
      <c r="M514" s="63"/>
      <c r="N514" s="63"/>
    </row>
    <row r="515" spans="7:14" ht="12.75">
      <c r="G515" s="63"/>
      <c r="H515" s="63"/>
      <c r="I515" s="63"/>
      <c r="J515" s="63"/>
      <c r="K515" s="63"/>
      <c r="L515" s="63"/>
      <c r="M515" s="63"/>
      <c r="N515" s="63"/>
    </row>
    <row r="516" spans="7:14" ht="12.75">
      <c r="G516" s="63"/>
      <c r="H516" s="63"/>
      <c r="I516" s="63"/>
      <c r="J516" s="63"/>
      <c r="K516" s="63"/>
      <c r="L516" s="63"/>
      <c r="M516" s="63"/>
      <c r="N516" s="63"/>
    </row>
    <row r="517" spans="7:14" ht="12.75">
      <c r="G517" s="63"/>
      <c r="H517" s="63"/>
      <c r="I517" s="63"/>
      <c r="J517" s="63"/>
      <c r="K517" s="63"/>
      <c r="L517" s="63"/>
      <c r="M517" s="63"/>
      <c r="N517" s="63"/>
    </row>
    <row r="518" spans="7:14" ht="12.75">
      <c r="G518" s="63"/>
      <c r="H518" s="63"/>
      <c r="I518" s="63"/>
      <c r="J518" s="63"/>
      <c r="K518" s="63"/>
      <c r="L518" s="63"/>
      <c r="M518" s="63"/>
      <c r="N518" s="63"/>
    </row>
    <row r="519" spans="7:14" ht="12.75">
      <c r="G519" s="63"/>
      <c r="H519" s="63"/>
      <c r="I519" s="63"/>
      <c r="J519" s="63"/>
      <c r="K519" s="63"/>
      <c r="L519" s="63"/>
      <c r="M519" s="63"/>
      <c r="N519" s="63"/>
    </row>
    <row r="520" spans="7:14" ht="12.75">
      <c r="G520" s="63"/>
      <c r="H520" s="63"/>
      <c r="I520" s="63"/>
      <c r="J520" s="63"/>
      <c r="K520" s="63"/>
      <c r="L520" s="63"/>
      <c r="M520" s="63"/>
      <c r="N520" s="63"/>
    </row>
    <row r="521" spans="7:14" ht="12.75">
      <c r="G521" s="63"/>
      <c r="H521" s="63"/>
      <c r="I521" s="63"/>
      <c r="J521" s="63"/>
      <c r="K521" s="63"/>
      <c r="L521" s="63"/>
      <c r="M521" s="63"/>
      <c r="N521" s="63"/>
    </row>
    <row r="522" spans="7:14" ht="12.75">
      <c r="G522" s="63"/>
      <c r="H522" s="63"/>
      <c r="I522" s="63"/>
      <c r="J522" s="63"/>
      <c r="K522" s="63"/>
      <c r="L522" s="63"/>
      <c r="M522" s="63"/>
      <c r="N522" s="63"/>
    </row>
    <row r="523" spans="7:14" ht="12.75">
      <c r="G523" s="63"/>
      <c r="H523" s="63"/>
      <c r="I523" s="63"/>
      <c r="J523" s="63"/>
      <c r="K523" s="63"/>
      <c r="L523" s="63"/>
      <c r="M523" s="63"/>
      <c r="N523" s="63"/>
    </row>
    <row r="524" spans="7:14" ht="12.75">
      <c r="G524" s="63"/>
      <c r="H524" s="63"/>
      <c r="I524" s="63"/>
      <c r="J524" s="63"/>
      <c r="K524" s="63"/>
      <c r="L524" s="63"/>
      <c r="M524" s="63"/>
      <c r="N524" s="63"/>
    </row>
    <row r="525" spans="7:14" ht="12.75">
      <c r="G525" s="63"/>
      <c r="H525" s="63"/>
      <c r="I525" s="63"/>
      <c r="J525" s="63"/>
      <c r="K525" s="63"/>
      <c r="L525" s="63"/>
      <c r="M525" s="63"/>
      <c r="N525" s="63"/>
    </row>
    <row r="526" spans="7:14" ht="12.75">
      <c r="G526" s="63"/>
      <c r="H526" s="63"/>
      <c r="I526" s="63"/>
      <c r="J526" s="63"/>
      <c r="K526" s="63"/>
      <c r="L526" s="63"/>
      <c r="M526" s="63"/>
      <c r="N526" s="63"/>
    </row>
    <row r="527" spans="7:14" ht="12.75">
      <c r="G527" s="63"/>
      <c r="H527" s="63"/>
      <c r="I527" s="63"/>
      <c r="J527" s="63"/>
      <c r="K527" s="63"/>
      <c r="L527" s="63"/>
      <c r="M527" s="63"/>
      <c r="N527" s="63"/>
    </row>
    <row r="528" spans="7:14" ht="12.75">
      <c r="G528" s="63"/>
      <c r="H528" s="63"/>
      <c r="I528" s="63"/>
      <c r="J528" s="63"/>
      <c r="K528" s="63"/>
      <c r="L528" s="63"/>
      <c r="M528" s="63"/>
      <c r="N528" s="63"/>
    </row>
    <row r="529" spans="7:14" ht="12.75">
      <c r="G529" s="63"/>
      <c r="H529" s="63"/>
      <c r="I529" s="63"/>
      <c r="J529" s="63"/>
      <c r="K529" s="63"/>
      <c r="L529" s="63"/>
      <c r="M529" s="63"/>
      <c r="N529" s="63"/>
    </row>
    <row r="530" spans="7:14" ht="12.75">
      <c r="G530" s="63"/>
      <c r="H530" s="63"/>
      <c r="I530" s="63"/>
      <c r="J530" s="63"/>
      <c r="K530" s="63"/>
      <c r="L530" s="63"/>
      <c r="M530" s="63"/>
      <c r="N530" s="63"/>
    </row>
    <row r="531" spans="7:14" ht="12.75">
      <c r="G531" s="63"/>
      <c r="H531" s="63"/>
      <c r="I531" s="63"/>
      <c r="J531" s="63"/>
      <c r="K531" s="63"/>
      <c r="L531" s="63"/>
      <c r="M531" s="63"/>
      <c r="N531" s="63"/>
    </row>
    <row r="532" spans="7:14" ht="12.75">
      <c r="G532" s="63"/>
      <c r="H532" s="63"/>
      <c r="I532" s="63"/>
      <c r="J532" s="63"/>
      <c r="K532" s="63"/>
      <c r="L532" s="63"/>
      <c r="M532" s="63"/>
      <c r="N532" s="63"/>
    </row>
    <row r="533" spans="7:14" ht="12.75">
      <c r="G533" s="63"/>
      <c r="H533" s="63"/>
      <c r="I533" s="63"/>
      <c r="J533" s="63"/>
      <c r="K533" s="63"/>
      <c r="L533" s="63"/>
      <c r="M533" s="63"/>
      <c r="N533" s="63"/>
    </row>
    <row r="534" spans="7:14" ht="12.75">
      <c r="G534" s="63"/>
      <c r="H534" s="63"/>
      <c r="I534" s="63"/>
      <c r="J534" s="63"/>
      <c r="K534" s="63"/>
      <c r="L534" s="63"/>
      <c r="M534" s="63"/>
      <c r="N534" s="63"/>
    </row>
    <row r="535" spans="7:14" ht="12.75">
      <c r="G535" s="63"/>
      <c r="H535" s="63"/>
      <c r="I535" s="63"/>
      <c r="J535" s="63"/>
      <c r="K535" s="63"/>
      <c r="L535" s="63"/>
      <c r="M535" s="63"/>
      <c r="N535" s="63"/>
    </row>
    <row r="536" spans="7:14" ht="12.75">
      <c r="G536" s="63"/>
      <c r="H536" s="63"/>
      <c r="I536" s="63"/>
      <c r="J536" s="63"/>
      <c r="K536" s="63"/>
      <c r="L536" s="63"/>
      <c r="M536" s="63"/>
      <c r="N536" s="63"/>
    </row>
    <row r="537" spans="7:14" ht="12.75">
      <c r="G537" s="63"/>
      <c r="H537" s="63"/>
      <c r="I537" s="63"/>
      <c r="J537" s="63"/>
      <c r="K537" s="63"/>
      <c r="L537" s="63"/>
      <c r="M537" s="63"/>
      <c r="N537" s="63"/>
    </row>
    <row r="538" spans="7:14" ht="12.75">
      <c r="G538" s="63"/>
      <c r="H538" s="63"/>
      <c r="I538" s="63"/>
      <c r="J538" s="63"/>
      <c r="K538" s="63"/>
      <c r="L538" s="63"/>
      <c r="M538" s="63"/>
      <c r="N538" s="63"/>
    </row>
    <row r="539" spans="7:14" ht="12.75">
      <c r="G539" s="63"/>
      <c r="H539" s="63"/>
      <c r="I539" s="63"/>
      <c r="J539" s="63"/>
      <c r="K539" s="63"/>
      <c r="L539" s="63"/>
      <c r="M539" s="63"/>
      <c r="N539" s="63"/>
    </row>
    <row r="540" spans="7:14" ht="12.75">
      <c r="G540" s="63"/>
      <c r="H540" s="63"/>
      <c r="I540" s="63"/>
      <c r="J540" s="63"/>
      <c r="K540" s="63"/>
      <c r="L540" s="63"/>
      <c r="M540" s="63"/>
      <c r="N540" s="63"/>
    </row>
    <row r="541" spans="7:14" ht="12.75">
      <c r="G541" s="63"/>
      <c r="H541" s="63"/>
      <c r="I541" s="63"/>
      <c r="J541" s="63"/>
      <c r="K541" s="63"/>
      <c r="L541" s="63"/>
      <c r="M541" s="63"/>
      <c r="N541" s="63"/>
    </row>
    <row r="542" spans="7:14" ht="12.75">
      <c r="G542" s="63"/>
      <c r="H542" s="63"/>
      <c r="I542" s="63"/>
      <c r="J542" s="63"/>
      <c r="K542" s="63"/>
      <c r="L542" s="63"/>
      <c r="M542" s="63"/>
      <c r="N542" s="63"/>
    </row>
    <row r="543" spans="7:14" ht="12.75">
      <c r="G543" s="63"/>
      <c r="H543" s="63"/>
      <c r="I543" s="63"/>
      <c r="J543" s="63"/>
      <c r="K543" s="63"/>
      <c r="L543" s="63"/>
      <c r="M543" s="63"/>
      <c r="N543" s="63"/>
    </row>
    <row r="544" spans="7:14" ht="12.75">
      <c r="G544" s="63"/>
      <c r="H544" s="63"/>
      <c r="I544" s="63"/>
      <c r="J544" s="63"/>
      <c r="K544" s="63"/>
      <c r="L544" s="63"/>
      <c r="M544" s="63"/>
      <c r="N544" s="63"/>
    </row>
    <row r="545" spans="7:14" ht="12.75">
      <c r="G545" s="63"/>
      <c r="H545" s="63"/>
      <c r="I545" s="63"/>
      <c r="J545" s="63"/>
      <c r="K545" s="63"/>
      <c r="L545" s="63"/>
      <c r="M545" s="63"/>
      <c r="N545" s="63"/>
    </row>
    <row r="546" spans="7:14" ht="12.75">
      <c r="G546" s="63"/>
      <c r="H546" s="63"/>
      <c r="I546" s="63"/>
      <c r="J546" s="63"/>
      <c r="K546" s="63"/>
      <c r="L546" s="63"/>
      <c r="M546" s="63"/>
      <c r="N546" s="63"/>
    </row>
    <row r="547" spans="7:14" ht="12.75">
      <c r="G547" s="63"/>
      <c r="H547" s="63"/>
      <c r="I547" s="63"/>
      <c r="J547" s="63"/>
      <c r="K547" s="63"/>
      <c r="L547" s="63"/>
      <c r="M547" s="63"/>
      <c r="N547" s="63"/>
    </row>
    <row r="548" spans="7:14" ht="12.75">
      <c r="G548" s="63"/>
      <c r="H548" s="63"/>
      <c r="I548" s="63"/>
      <c r="J548" s="63"/>
      <c r="K548" s="63"/>
      <c r="L548" s="63"/>
      <c r="M548" s="63"/>
      <c r="N548" s="63"/>
    </row>
    <row r="549" spans="7:14" ht="12.75">
      <c r="G549" s="63"/>
      <c r="H549" s="63"/>
      <c r="I549" s="63"/>
      <c r="J549" s="63"/>
      <c r="K549" s="63"/>
      <c r="L549" s="63"/>
      <c r="M549" s="63"/>
      <c r="N549" s="63"/>
    </row>
    <row r="550" spans="7:14" ht="12.75">
      <c r="G550" s="63"/>
      <c r="H550" s="63"/>
      <c r="I550" s="63"/>
      <c r="J550" s="63"/>
      <c r="K550" s="63"/>
      <c r="L550" s="63"/>
      <c r="M550" s="63"/>
      <c r="N550" s="63"/>
    </row>
    <row r="551" spans="7:14" ht="12.75">
      <c r="G551" s="63"/>
      <c r="H551" s="63"/>
      <c r="I551" s="63"/>
      <c r="J551" s="63"/>
      <c r="K551" s="63"/>
      <c r="L551" s="63"/>
      <c r="M551" s="63"/>
      <c r="N551" s="63"/>
    </row>
    <row r="552" spans="7:14" ht="12.75">
      <c r="G552" s="63"/>
      <c r="H552" s="63"/>
      <c r="I552" s="63"/>
      <c r="J552" s="63"/>
      <c r="K552" s="63"/>
      <c r="L552" s="63"/>
      <c r="M552" s="63"/>
      <c r="N552" s="63"/>
    </row>
    <row r="553" spans="7:14" ht="12.75">
      <c r="G553" s="63"/>
      <c r="H553" s="63"/>
      <c r="I553" s="63"/>
      <c r="J553" s="63"/>
      <c r="K553" s="63"/>
      <c r="L553" s="63"/>
      <c r="M553" s="63"/>
      <c r="N553" s="63"/>
    </row>
    <row r="554" spans="7:14" ht="12.75">
      <c r="G554" s="63"/>
      <c r="H554" s="63"/>
      <c r="I554" s="63"/>
      <c r="J554" s="63"/>
      <c r="K554" s="63"/>
      <c r="L554" s="63"/>
      <c r="M554" s="63"/>
      <c r="N554" s="63"/>
    </row>
    <row r="555" spans="7:14" ht="12.75">
      <c r="G555" s="63"/>
      <c r="H555" s="63"/>
      <c r="I555" s="63"/>
      <c r="J555" s="63"/>
      <c r="K555" s="63"/>
      <c r="L555" s="63"/>
      <c r="M555" s="63"/>
      <c r="N555" s="63"/>
    </row>
    <row r="556" spans="7:14" ht="12.75">
      <c r="G556" s="63"/>
      <c r="H556" s="63"/>
      <c r="I556" s="63"/>
      <c r="J556" s="63"/>
      <c r="K556" s="63"/>
      <c r="L556" s="63"/>
      <c r="M556" s="63"/>
      <c r="N556" s="63"/>
    </row>
    <row r="557" spans="7:14" ht="12.75">
      <c r="G557" s="63"/>
      <c r="H557" s="63"/>
      <c r="I557" s="63"/>
      <c r="J557" s="63"/>
      <c r="K557" s="63"/>
      <c r="L557" s="63"/>
      <c r="M557" s="63"/>
      <c r="N557" s="63"/>
    </row>
    <row r="558" spans="7:14" ht="12.75">
      <c r="G558" s="63"/>
      <c r="H558" s="63"/>
      <c r="I558" s="63"/>
      <c r="J558" s="63"/>
      <c r="K558" s="63"/>
      <c r="L558" s="63"/>
      <c r="M558" s="63"/>
      <c r="N558" s="63"/>
    </row>
    <row r="559" spans="7:14" ht="12.75">
      <c r="G559" s="63"/>
      <c r="H559" s="63"/>
      <c r="I559" s="63"/>
      <c r="J559" s="63"/>
      <c r="K559" s="63"/>
      <c r="L559" s="63"/>
      <c r="M559" s="63"/>
      <c r="N559" s="63"/>
    </row>
    <row r="560" spans="7:14" ht="12.75">
      <c r="G560" s="63"/>
      <c r="H560" s="63"/>
      <c r="I560" s="63"/>
      <c r="J560" s="63"/>
      <c r="K560" s="63"/>
      <c r="L560" s="63"/>
      <c r="M560" s="63"/>
      <c r="N560" s="63"/>
    </row>
    <row r="561" spans="7:14" ht="12.75">
      <c r="G561" s="63"/>
      <c r="H561" s="63"/>
      <c r="I561" s="63"/>
      <c r="J561" s="63"/>
      <c r="K561" s="63"/>
      <c r="L561" s="63"/>
      <c r="M561" s="63"/>
      <c r="N561" s="63"/>
    </row>
    <row r="562" spans="7:14" ht="12.75">
      <c r="G562" s="63"/>
      <c r="H562" s="63"/>
      <c r="I562" s="63"/>
      <c r="J562" s="63"/>
      <c r="K562" s="63"/>
      <c r="L562" s="63"/>
      <c r="M562" s="63"/>
      <c r="N562" s="63"/>
    </row>
    <row r="563" spans="7:14" ht="12.75">
      <c r="G563" s="63"/>
      <c r="H563" s="63"/>
      <c r="I563" s="63"/>
      <c r="J563" s="63"/>
      <c r="K563" s="63"/>
      <c r="L563" s="63"/>
      <c r="M563" s="63"/>
      <c r="N563" s="63"/>
    </row>
    <row r="564" spans="7:14" ht="12.75">
      <c r="G564" s="63"/>
      <c r="H564" s="63"/>
      <c r="I564" s="63"/>
      <c r="J564" s="63"/>
      <c r="K564" s="63"/>
      <c r="L564" s="63"/>
      <c r="M564" s="63"/>
      <c r="N564" s="63"/>
    </row>
    <row r="565" spans="7:14" ht="12.75">
      <c r="G565" s="63"/>
      <c r="H565" s="63"/>
      <c r="I565" s="63"/>
      <c r="J565" s="63"/>
      <c r="K565" s="63"/>
      <c r="L565" s="63"/>
      <c r="M565" s="63"/>
      <c r="N565" s="63"/>
    </row>
    <row r="566" spans="7:14" ht="12.75">
      <c r="G566" s="63"/>
      <c r="H566" s="63"/>
      <c r="I566" s="63"/>
      <c r="J566" s="63"/>
      <c r="K566" s="63"/>
      <c r="L566" s="63"/>
      <c r="M566" s="63"/>
      <c r="N566" s="63"/>
    </row>
    <row r="567" spans="7:14" ht="12.75">
      <c r="G567" s="63"/>
      <c r="H567" s="63"/>
      <c r="I567" s="63"/>
      <c r="J567" s="63"/>
      <c r="K567" s="63"/>
      <c r="L567" s="63"/>
      <c r="M567" s="63"/>
      <c r="N567" s="63"/>
    </row>
    <row r="568" spans="7:14" ht="12.75">
      <c r="G568" s="63"/>
      <c r="H568" s="63"/>
      <c r="I568" s="63"/>
      <c r="J568" s="63"/>
      <c r="K568" s="63"/>
      <c r="L568" s="63"/>
      <c r="M568" s="63"/>
      <c r="N568" s="63"/>
    </row>
    <row r="569" spans="7:14" ht="12.75">
      <c r="G569" s="63"/>
      <c r="H569" s="63"/>
      <c r="I569" s="63"/>
      <c r="J569" s="63"/>
      <c r="K569" s="63"/>
      <c r="L569" s="63"/>
      <c r="M569" s="63"/>
      <c r="N569" s="63"/>
    </row>
    <row r="570" spans="7:14" ht="12.75">
      <c r="G570" s="63"/>
      <c r="H570" s="63"/>
      <c r="I570" s="63"/>
      <c r="J570" s="63"/>
      <c r="K570" s="63"/>
      <c r="L570" s="63"/>
      <c r="M570" s="63"/>
      <c r="N570" s="63"/>
    </row>
    <row r="571" spans="7:14" ht="12.75">
      <c r="G571" s="63"/>
      <c r="H571" s="63"/>
      <c r="I571" s="63"/>
      <c r="J571" s="63"/>
      <c r="K571" s="63"/>
      <c r="L571" s="63"/>
      <c r="M571" s="63"/>
      <c r="N571" s="63"/>
    </row>
    <row r="572" spans="7:14" ht="12.75">
      <c r="G572" s="63"/>
      <c r="H572" s="63"/>
      <c r="I572" s="63"/>
      <c r="J572" s="63"/>
      <c r="K572" s="63"/>
      <c r="L572" s="63"/>
      <c r="M572" s="63"/>
      <c r="N572" s="63"/>
    </row>
    <row r="573" spans="7:14" ht="12.75">
      <c r="G573" s="63"/>
      <c r="H573" s="63"/>
      <c r="I573" s="63"/>
      <c r="J573" s="63"/>
      <c r="K573" s="63"/>
      <c r="L573" s="63"/>
      <c r="M573" s="63"/>
      <c r="N573" s="63"/>
    </row>
    <row r="574" spans="7:14" ht="12.75">
      <c r="G574" s="63"/>
      <c r="H574" s="63"/>
      <c r="I574" s="63"/>
      <c r="J574" s="63"/>
      <c r="K574" s="63"/>
      <c r="L574" s="63"/>
      <c r="M574" s="63"/>
      <c r="N574" s="63"/>
    </row>
    <row r="575" spans="7:14" ht="12.75">
      <c r="G575" s="63"/>
      <c r="H575" s="63"/>
      <c r="I575" s="63"/>
      <c r="J575" s="63"/>
      <c r="K575" s="63"/>
      <c r="L575" s="63"/>
      <c r="M575" s="63"/>
      <c r="N575" s="63"/>
    </row>
    <row r="576" spans="7:14" ht="12.75">
      <c r="G576" s="63"/>
      <c r="H576" s="63"/>
      <c r="I576" s="63"/>
      <c r="J576" s="63"/>
      <c r="K576" s="63"/>
      <c r="L576" s="63"/>
      <c r="M576" s="63"/>
      <c r="N576" s="63"/>
    </row>
    <row r="577" spans="7:14" ht="12.75">
      <c r="G577" s="63"/>
      <c r="H577" s="63"/>
      <c r="I577" s="63"/>
      <c r="J577" s="63"/>
      <c r="K577" s="63"/>
      <c r="L577" s="63"/>
      <c r="M577" s="63"/>
      <c r="N577" s="63"/>
    </row>
    <row r="578" spans="7:14" ht="12.75">
      <c r="G578" s="63"/>
      <c r="H578" s="63"/>
      <c r="I578" s="63"/>
      <c r="J578" s="63"/>
      <c r="K578" s="63"/>
      <c r="L578" s="63"/>
      <c r="M578" s="63"/>
      <c r="N578" s="63"/>
    </row>
    <row r="579" spans="7:14" ht="12.75">
      <c r="G579" s="63"/>
      <c r="H579" s="63"/>
      <c r="I579" s="63"/>
      <c r="J579" s="63"/>
      <c r="K579" s="63"/>
      <c r="L579" s="63"/>
      <c r="M579" s="63"/>
      <c r="N579" s="63"/>
    </row>
    <row r="580" spans="7:14" ht="12.75">
      <c r="G580" s="63"/>
      <c r="H580" s="63"/>
      <c r="I580" s="63"/>
      <c r="J580" s="63"/>
      <c r="K580" s="63"/>
      <c r="L580" s="63"/>
      <c r="M580" s="63"/>
      <c r="N580" s="63"/>
    </row>
    <row r="581" spans="7:14" ht="12.75">
      <c r="G581" s="63"/>
      <c r="H581" s="63"/>
      <c r="I581" s="63"/>
      <c r="J581" s="63"/>
      <c r="K581" s="63"/>
      <c r="L581" s="63"/>
      <c r="M581" s="63"/>
      <c r="N581" s="63"/>
    </row>
    <row r="582" spans="7:14" ht="12.75">
      <c r="G582" s="63"/>
      <c r="H582" s="63"/>
      <c r="I582" s="63"/>
      <c r="J582" s="63"/>
      <c r="K582" s="63"/>
      <c r="L582" s="63"/>
      <c r="M582" s="63"/>
      <c r="N582" s="63"/>
    </row>
    <row r="583" spans="7:14" ht="12.75">
      <c r="G583" s="63"/>
      <c r="H583" s="63"/>
      <c r="I583" s="63"/>
      <c r="J583" s="63"/>
      <c r="K583" s="63"/>
      <c r="L583" s="63"/>
      <c r="M583" s="63"/>
      <c r="N583" s="63"/>
    </row>
    <row r="584" spans="7:14" ht="12.75">
      <c r="G584" s="63"/>
      <c r="H584" s="63"/>
      <c r="I584" s="63"/>
      <c r="J584" s="63"/>
      <c r="K584" s="63"/>
      <c r="L584" s="63"/>
      <c r="M584" s="63"/>
      <c r="N584" s="63"/>
    </row>
    <row r="585" spans="7:14" ht="12.75">
      <c r="G585" s="63"/>
      <c r="H585" s="63"/>
      <c r="I585" s="63"/>
      <c r="J585" s="63"/>
      <c r="K585" s="63"/>
      <c r="L585" s="63"/>
      <c r="M585" s="63"/>
      <c r="N585" s="63"/>
    </row>
    <row r="586" spans="7:14" ht="12.75">
      <c r="G586" s="63"/>
      <c r="H586" s="63"/>
      <c r="I586" s="63"/>
      <c r="J586" s="63"/>
      <c r="K586" s="63"/>
      <c r="L586" s="63"/>
      <c r="M586" s="63"/>
      <c r="N586" s="63"/>
    </row>
    <row r="587" spans="7:14" ht="12.75">
      <c r="G587" s="63"/>
      <c r="H587" s="63"/>
      <c r="I587" s="63"/>
      <c r="J587" s="63"/>
      <c r="K587" s="63"/>
      <c r="L587" s="63"/>
      <c r="M587" s="63"/>
      <c r="N587" s="63"/>
    </row>
    <row r="588" spans="7:14" ht="12.75">
      <c r="G588" s="63"/>
      <c r="H588" s="63"/>
      <c r="I588" s="63"/>
      <c r="J588" s="63"/>
      <c r="K588" s="63"/>
      <c r="L588" s="63"/>
      <c r="M588" s="63"/>
      <c r="N588" s="63"/>
    </row>
    <row r="589" spans="7:14" ht="12.75">
      <c r="G589" s="63"/>
      <c r="H589" s="63"/>
      <c r="I589" s="63"/>
      <c r="J589" s="63"/>
      <c r="K589" s="63"/>
      <c r="L589" s="63"/>
      <c r="M589" s="63"/>
      <c r="N589" s="63"/>
    </row>
    <row r="590" spans="7:14" ht="12.75">
      <c r="G590" s="63"/>
      <c r="H590" s="63"/>
      <c r="I590" s="63"/>
      <c r="J590" s="63"/>
      <c r="K590" s="63"/>
      <c r="L590" s="63"/>
      <c r="M590" s="63"/>
      <c r="N590" s="63"/>
    </row>
    <row r="591" spans="7:14" ht="12.75">
      <c r="G591" s="63"/>
      <c r="H591" s="63"/>
      <c r="I591" s="63"/>
      <c r="J591" s="63"/>
      <c r="K591" s="63"/>
      <c r="L591" s="63"/>
      <c r="M591" s="63"/>
      <c r="N591" s="63"/>
    </row>
    <row r="592" spans="7:14" ht="12.75">
      <c r="G592" s="63"/>
      <c r="H592" s="63"/>
      <c r="I592" s="63"/>
      <c r="J592" s="63"/>
      <c r="K592" s="63"/>
      <c r="L592" s="63"/>
      <c r="M592" s="63"/>
      <c r="N592" s="63"/>
    </row>
    <row r="593" spans="7:14" ht="12.75">
      <c r="G593" s="63"/>
      <c r="H593" s="63"/>
      <c r="I593" s="63"/>
      <c r="J593" s="63"/>
      <c r="K593" s="63"/>
      <c r="L593" s="63"/>
      <c r="M593" s="63"/>
      <c r="N593" s="63"/>
    </row>
    <row r="594" spans="7:14" ht="12.75">
      <c r="G594" s="63"/>
      <c r="H594" s="63"/>
      <c r="I594" s="63"/>
      <c r="J594" s="63"/>
      <c r="K594" s="63"/>
      <c r="L594" s="63"/>
      <c r="M594" s="63"/>
      <c r="N594" s="63"/>
    </row>
    <row r="595" spans="7:14" ht="12.75">
      <c r="G595" s="63"/>
      <c r="H595" s="63"/>
      <c r="I595" s="63"/>
      <c r="J595" s="63"/>
      <c r="K595" s="63"/>
      <c r="L595" s="63"/>
      <c r="M595" s="63"/>
      <c r="N595" s="63"/>
    </row>
    <row r="596" spans="7:14" ht="12.75">
      <c r="G596" s="63"/>
      <c r="H596" s="63"/>
      <c r="I596" s="63"/>
      <c r="J596" s="63"/>
      <c r="K596" s="63"/>
      <c r="L596" s="63"/>
      <c r="M596" s="63"/>
      <c r="N596" s="63"/>
    </row>
    <row r="597" spans="7:14" ht="12.75">
      <c r="G597" s="63"/>
      <c r="H597" s="63"/>
      <c r="I597" s="63"/>
      <c r="J597" s="63"/>
      <c r="K597" s="63"/>
      <c r="L597" s="63"/>
      <c r="M597" s="63"/>
      <c r="N597" s="63"/>
    </row>
    <row r="598" spans="7:14" ht="12.75">
      <c r="G598" s="63"/>
      <c r="H598" s="63"/>
      <c r="I598" s="63"/>
      <c r="J598" s="63"/>
      <c r="K598" s="63"/>
      <c r="L598" s="63"/>
      <c r="M598" s="63"/>
      <c r="N598" s="63"/>
    </row>
    <row r="599" spans="7:14" ht="12.75">
      <c r="G599" s="63"/>
      <c r="H599" s="63"/>
      <c r="I599" s="63"/>
      <c r="J599" s="63"/>
      <c r="K599" s="63"/>
      <c r="L599" s="63"/>
      <c r="M599" s="63"/>
      <c r="N599" s="63"/>
    </row>
    <row r="600" spans="7:14" ht="12.75">
      <c r="G600" s="63"/>
      <c r="H600" s="63"/>
      <c r="I600" s="63"/>
      <c r="J600" s="63"/>
      <c r="K600" s="63"/>
      <c r="L600" s="63"/>
      <c r="M600" s="63"/>
      <c r="N600" s="63"/>
    </row>
    <row r="601" spans="7:14" ht="12.75">
      <c r="G601" s="63"/>
      <c r="H601" s="63"/>
      <c r="I601" s="63"/>
      <c r="J601" s="63"/>
      <c r="K601" s="63"/>
      <c r="L601" s="63"/>
      <c r="M601" s="63"/>
      <c r="N601" s="63"/>
    </row>
    <row r="602" spans="7:14" ht="12.75">
      <c r="G602" s="63"/>
      <c r="H602" s="63"/>
      <c r="I602" s="63"/>
      <c r="J602" s="63"/>
      <c r="K602" s="63"/>
      <c r="L602" s="63"/>
      <c r="M602" s="63"/>
      <c r="N602" s="63"/>
    </row>
    <row r="603" spans="7:14" ht="12.75">
      <c r="G603" s="63"/>
      <c r="H603" s="63"/>
      <c r="I603" s="63"/>
      <c r="J603" s="63"/>
      <c r="K603" s="63"/>
      <c r="L603" s="63"/>
      <c r="M603" s="63"/>
      <c r="N603" s="63"/>
    </row>
    <row r="604" spans="7:14" ht="12.75">
      <c r="G604" s="63"/>
      <c r="H604" s="63"/>
      <c r="I604" s="63"/>
      <c r="J604" s="63"/>
      <c r="K604" s="63"/>
      <c r="L604" s="63"/>
      <c r="M604" s="63"/>
      <c r="N604" s="63"/>
    </row>
    <row r="605" spans="7:14" ht="12.75">
      <c r="G605" s="63"/>
      <c r="H605" s="63"/>
      <c r="I605" s="63"/>
      <c r="J605" s="63"/>
      <c r="K605" s="63"/>
      <c r="L605" s="63"/>
      <c r="M605" s="63"/>
      <c r="N605" s="63"/>
    </row>
    <row r="606" spans="7:14" ht="12.75">
      <c r="G606" s="63"/>
      <c r="H606" s="63"/>
      <c r="I606" s="63"/>
      <c r="J606" s="63"/>
      <c r="K606" s="63"/>
      <c r="L606" s="63"/>
      <c r="M606" s="63"/>
      <c r="N606" s="63"/>
    </row>
    <row r="607" spans="7:14" ht="12.75">
      <c r="G607" s="63"/>
      <c r="H607" s="63"/>
      <c r="I607" s="63"/>
      <c r="J607" s="63"/>
      <c r="K607" s="63"/>
      <c r="L607" s="63"/>
      <c r="M607" s="63"/>
      <c r="N607" s="63"/>
    </row>
    <row r="608" spans="7:14" ht="12.75">
      <c r="G608" s="63"/>
      <c r="H608" s="63"/>
      <c r="I608" s="63"/>
      <c r="J608" s="63"/>
      <c r="K608" s="63"/>
      <c r="L608" s="63"/>
      <c r="M608" s="63"/>
      <c r="N608" s="63"/>
    </row>
    <row r="609" spans="7:14" ht="12.75">
      <c r="G609" s="63"/>
      <c r="H609" s="63"/>
      <c r="I609" s="63"/>
      <c r="J609" s="63"/>
      <c r="K609" s="63"/>
      <c r="L609" s="63"/>
      <c r="M609" s="63"/>
      <c r="N609" s="63"/>
    </row>
    <row r="610" spans="7:14" ht="12.75">
      <c r="G610" s="63"/>
      <c r="H610" s="63"/>
      <c r="I610" s="63"/>
      <c r="J610" s="63"/>
      <c r="K610" s="63"/>
      <c r="L610" s="63"/>
      <c r="M610" s="63"/>
      <c r="N610" s="63"/>
    </row>
    <row r="611" spans="7:14" ht="12.75">
      <c r="G611" s="63"/>
      <c r="H611" s="63"/>
      <c r="I611" s="63"/>
      <c r="J611" s="63"/>
      <c r="K611" s="63"/>
      <c r="L611" s="63"/>
      <c r="M611" s="63"/>
      <c r="N611" s="63"/>
    </row>
    <row r="612" spans="7:14" ht="12.75">
      <c r="G612" s="63"/>
      <c r="H612" s="63"/>
      <c r="I612" s="63"/>
      <c r="J612" s="63"/>
      <c r="K612" s="63"/>
      <c r="L612" s="63"/>
      <c r="M612" s="63"/>
      <c r="N612" s="63"/>
    </row>
    <row r="613" spans="7:14" ht="12.75">
      <c r="G613" s="63"/>
      <c r="H613" s="63"/>
      <c r="I613" s="63"/>
      <c r="J613" s="63"/>
      <c r="K613" s="63"/>
      <c r="L613" s="63"/>
      <c r="M613" s="63"/>
      <c r="N613" s="63"/>
    </row>
    <row r="614" spans="7:14" ht="12.75">
      <c r="G614" s="63"/>
      <c r="H614" s="63"/>
      <c r="I614" s="63"/>
      <c r="J614" s="63"/>
      <c r="K614" s="63"/>
      <c r="L614" s="63"/>
      <c r="M614" s="63"/>
      <c r="N614" s="63"/>
    </row>
    <row r="615" spans="7:14" ht="12.75">
      <c r="G615" s="63"/>
      <c r="H615" s="63"/>
      <c r="I615" s="63"/>
      <c r="J615" s="63"/>
      <c r="K615" s="63"/>
      <c r="L615" s="63"/>
      <c r="M615" s="63"/>
      <c r="N615" s="63"/>
    </row>
    <row r="616" spans="7:14" ht="12.75">
      <c r="G616" s="63"/>
      <c r="H616" s="63"/>
      <c r="I616" s="63"/>
      <c r="J616" s="63"/>
      <c r="K616" s="63"/>
      <c r="L616" s="63"/>
      <c r="M616" s="63"/>
      <c r="N616" s="63"/>
    </row>
    <row r="617" spans="7:14" ht="12.75">
      <c r="G617" s="63"/>
      <c r="H617" s="63"/>
      <c r="I617" s="63"/>
      <c r="J617" s="63"/>
      <c r="K617" s="63"/>
      <c r="L617" s="63"/>
      <c r="M617" s="63"/>
      <c r="N617" s="63"/>
    </row>
    <row r="618" spans="7:14" ht="12.75">
      <c r="G618" s="63"/>
      <c r="H618" s="63"/>
      <c r="I618" s="63"/>
      <c r="J618" s="63"/>
      <c r="K618" s="63"/>
      <c r="L618" s="63"/>
      <c r="M618" s="63"/>
      <c r="N618" s="63"/>
    </row>
    <row r="619" spans="7:14" ht="12.75">
      <c r="G619" s="63"/>
      <c r="H619" s="63"/>
      <c r="I619" s="63"/>
      <c r="J619" s="63"/>
      <c r="K619" s="63"/>
      <c r="L619" s="63"/>
      <c r="M619" s="63"/>
      <c r="N619" s="63"/>
    </row>
    <row r="620" spans="7:14" ht="12.75">
      <c r="G620" s="63"/>
      <c r="H620" s="63"/>
      <c r="I620" s="63"/>
      <c r="J620" s="63"/>
      <c r="K620" s="63"/>
      <c r="L620" s="63"/>
      <c r="M620" s="63"/>
      <c r="N620" s="63"/>
    </row>
    <row r="621" spans="7:14" ht="12.75">
      <c r="G621" s="63"/>
      <c r="H621" s="63"/>
      <c r="I621" s="63"/>
      <c r="J621" s="63"/>
      <c r="K621" s="63"/>
      <c r="L621" s="63"/>
      <c r="M621" s="63"/>
      <c r="N621" s="63"/>
    </row>
    <row r="622" spans="7:14" ht="12.75">
      <c r="G622" s="63"/>
      <c r="H622" s="63"/>
      <c r="I622" s="63"/>
      <c r="J622" s="63"/>
      <c r="K622" s="63"/>
      <c r="L622" s="63"/>
      <c r="M622" s="63"/>
      <c r="N622" s="63"/>
    </row>
    <row r="623" spans="7:14" ht="12.75">
      <c r="G623" s="63"/>
      <c r="H623" s="63"/>
      <c r="I623" s="63"/>
      <c r="J623" s="63"/>
      <c r="K623" s="63"/>
      <c r="L623" s="63"/>
      <c r="M623" s="63"/>
      <c r="N623" s="63"/>
    </row>
    <row r="624" spans="7:14" ht="12.75">
      <c r="G624" s="63"/>
      <c r="H624" s="63"/>
      <c r="I624" s="63"/>
      <c r="J624" s="63"/>
      <c r="K624" s="63"/>
      <c r="L624" s="63"/>
      <c r="M624" s="63"/>
      <c r="N624" s="63"/>
    </row>
    <row r="625" spans="7:14" ht="12.75">
      <c r="G625" s="63"/>
      <c r="H625" s="63"/>
      <c r="I625" s="63"/>
      <c r="J625" s="63"/>
      <c r="K625" s="63"/>
      <c r="L625" s="63"/>
      <c r="M625" s="63"/>
      <c r="N625" s="63"/>
    </row>
    <row r="626" spans="7:14" ht="12.75">
      <c r="G626" s="63"/>
      <c r="H626" s="63"/>
      <c r="I626" s="63"/>
      <c r="J626" s="63"/>
      <c r="K626" s="63"/>
      <c r="L626" s="63"/>
      <c r="M626" s="63"/>
      <c r="N626" s="63"/>
    </row>
    <row r="627" spans="7:14" ht="12.75">
      <c r="G627" s="63"/>
      <c r="H627" s="63"/>
      <c r="I627" s="63"/>
      <c r="J627" s="63"/>
      <c r="K627" s="63"/>
      <c r="L627" s="63"/>
      <c r="M627" s="63"/>
      <c r="N627" s="63"/>
    </row>
    <row r="628" spans="7:14" ht="12.75">
      <c r="G628" s="63"/>
      <c r="H628" s="63"/>
      <c r="I628" s="63"/>
      <c r="J628" s="63"/>
      <c r="K628" s="63"/>
      <c r="L628" s="63"/>
      <c r="M628" s="63"/>
      <c r="N628" s="63"/>
    </row>
    <row r="629" spans="7:14" ht="12.75">
      <c r="G629" s="63"/>
      <c r="H629" s="63"/>
      <c r="I629" s="63"/>
      <c r="J629" s="63"/>
      <c r="K629" s="63"/>
      <c r="L629" s="63"/>
      <c r="M629" s="63"/>
      <c r="N629" s="63"/>
    </row>
    <row r="630" spans="7:14" ht="12.75">
      <c r="G630" s="63"/>
      <c r="H630" s="63"/>
      <c r="I630" s="63"/>
      <c r="J630" s="63"/>
      <c r="K630" s="63"/>
      <c r="L630" s="63"/>
      <c r="M630" s="63"/>
      <c r="N630" s="63"/>
    </row>
    <row r="631" spans="7:14" ht="12.75">
      <c r="G631" s="63"/>
      <c r="H631" s="63"/>
      <c r="I631" s="63"/>
      <c r="J631" s="63"/>
      <c r="K631" s="63"/>
      <c r="L631" s="63"/>
      <c r="M631" s="63"/>
      <c r="N631" s="63"/>
    </row>
    <row r="632" spans="7:14" ht="12.75">
      <c r="G632" s="63"/>
      <c r="H632" s="63"/>
      <c r="I632" s="63"/>
      <c r="J632" s="63"/>
      <c r="K632" s="63"/>
      <c r="L632" s="63"/>
      <c r="M632" s="63"/>
      <c r="N632" s="63"/>
    </row>
    <row r="633" spans="7:14" ht="12.75">
      <c r="G633" s="63"/>
      <c r="H633" s="63"/>
      <c r="I633" s="63"/>
      <c r="J633" s="63"/>
      <c r="K633" s="63"/>
      <c r="L633" s="63"/>
      <c r="M633" s="63"/>
      <c r="N633" s="63"/>
    </row>
    <row r="634" spans="7:14" ht="12.75">
      <c r="G634" s="63"/>
      <c r="H634" s="63"/>
      <c r="I634" s="63"/>
      <c r="J634" s="63"/>
      <c r="K634" s="63"/>
      <c r="L634" s="63"/>
      <c r="M634" s="63"/>
      <c r="N634" s="63"/>
    </row>
    <row r="635" spans="7:14" ht="12.75">
      <c r="G635" s="63"/>
      <c r="H635" s="63"/>
      <c r="I635" s="63"/>
      <c r="J635" s="63"/>
      <c r="K635" s="63"/>
      <c r="L635" s="63"/>
      <c r="M635" s="63"/>
      <c r="N635" s="63"/>
    </row>
    <row r="636" spans="7:14" ht="12.75">
      <c r="G636" s="63"/>
      <c r="H636" s="63"/>
      <c r="I636" s="63"/>
      <c r="J636" s="63"/>
      <c r="K636" s="63"/>
      <c r="L636" s="63"/>
      <c r="M636" s="63"/>
      <c r="N636" s="63"/>
    </row>
    <row r="637" spans="7:14" ht="12.75">
      <c r="G637" s="63"/>
      <c r="H637" s="63"/>
      <c r="I637" s="63"/>
      <c r="J637" s="63"/>
      <c r="K637" s="63"/>
      <c r="L637" s="63"/>
      <c r="M637" s="63"/>
      <c r="N637" s="63"/>
    </row>
    <row r="638" spans="7:14" ht="12.75">
      <c r="G638" s="63"/>
      <c r="H638" s="63"/>
      <c r="I638" s="63"/>
      <c r="J638" s="63"/>
      <c r="K638" s="63"/>
      <c r="L638" s="63"/>
      <c r="M638" s="63"/>
      <c r="N638" s="63"/>
    </row>
    <row r="639" spans="7:14" ht="12.75">
      <c r="G639" s="63"/>
      <c r="H639" s="63"/>
      <c r="I639" s="63"/>
      <c r="J639" s="63"/>
      <c r="K639" s="63"/>
      <c r="L639" s="63"/>
      <c r="M639" s="63"/>
      <c r="N639" s="63"/>
    </row>
    <row r="640" spans="7:14" ht="12.75">
      <c r="G640" s="63"/>
      <c r="H640" s="63"/>
      <c r="I640" s="63"/>
      <c r="J640" s="63"/>
      <c r="K640" s="63"/>
      <c r="L640" s="63"/>
      <c r="M640" s="63"/>
      <c r="N640" s="63"/>
    </row>
    <row r="641" spans="7:14" ht="12.75">
      <c r="G641" s="63"/>
      <c r="H641" s="63"/>
      <c r="I641" s="63"/>
      <c r="J641" s="63"/>
      <c r="K641" s="63"/>
      <c r="L641" s="63"/>
      <c r="M641" s="63"/>
      <c r="N641" s="63"/>
    </row>
    <row r="642" spans="7:14" ht="12.75">
      <c r="G642" s="63"/>
      <c r="H642" s="63"/>
      <c r="I642" s="63"/>
      <c r="J642" s="63"/>
      <c r="K642" s="63"/>
      <c r="L642" s="63"/>
      <c r="M642" s="63"/>
      <c r="N642" s="63"/>
    </row>
    <row r="643" spans="7:14" ht="12.75">
      <c r="G643" s="63"/>
      <c r="H643" s="63"/>
      <c r="I643" s="63"/>
      <c r="J643" s="63"/>
      <c r="K643" s="63"/>
      <c r="L643" s="63"/>
      <c r="M643" s="63"/>
      <c r="N643" s="63"/>
    </row>
    <row r="644" spans="7:14" ht="12.75">
      <c r="G644" s="63"/>
      <c r="H644" s="63"/>
      <c r="I644" s="63"/>
      <c r="J644" s="63"/>
      <c r="K644" s="63"/>
      <c r="L644" s="63"/>
      <c r="M644" s="63"/>
      <c r="N644" s="63"/>
    </row>
    <row r="645" spans="7:14" ht="12.75">
      <c r="G645" s="63"/>
      <c r="H645" s="63"/>
      <c r="I645" s="63"/>
      <c r="J645" s="63"/>
      <c r="K645" s="63"/>
      <c r="L645" s="63"/>
      <c r="M645" s="63"/>
      <c r="N645" s="63"/>
    </row>
    <row r="646" spans="7:14" ht="12.75">
      <c r="G646" s="63"/>
      <c r="H646" s="63"/>
      <c r="I646" s="63"/>
      <c r="J646" s="63"/>
      <c r="K646" s="63"/>
      <c r="L646" s="63"/>
      <c r="M646" s="63"/>
      <c r="N646" s="63"/>
    </row>
    <row r="647" spans="7:14" ht="12.75">
      <c r="G647" s="63"/>
      <c r="H647" s="63"/>
      <c r="I647" s="63"/>
      <c r="J647" s="63"/>
      <c r="K647" s="63"/>
      <c r="L647" s="63"/>
      <c r="M647" s="63"/>
      <c r="N647" s="63"/>
    </row>
    <row r="648" spans="7:14" ht="12.75">
      <c r="G648" s="63"/>
      <c r="H648" s="63"/>
      <c r="I648" s="63"/>
      <c r="J648" s="63"/>
      <c r="K648" s="63"/>
      <c r="L648" s="63"/>
      <c r="M648" s="63"/>
      <c r="N648" s="63"/>
    </row>
    <row r="649" spans="7:14" ht="12.75">
      <c r="G649" s="63"/>
      <c r="H649" s="63"/>
      <c r="I649" s="63"/>
      <c r="J649" s="63"/>
      <c r="K649" s="63"/>
      <c r="L649" s="63"/>
      <c r="M649" s="63"/>
      <c r="N649" s="63"/>
    </row>
    <row r="650" spans="7:14" ht="12.75">
      <c r="G650" s="63"/>
      <c r="H650" s="63"/>
      <c r="I650" s="63"/>
      <c r="J650" s="63"/>
      <c r="K650" s="63"/>
      <c r="L650" s="63"/>
      <c r="M650" s="63"/>
      <c r="N650" s="63"/>
    </row>
    <row r="651" spans="7:14" ht="12.75">
      <c r="G651" s="63"/>
      <c r="H651" s="63"/>
      <c r="I651" s="63"/>
      <c r="J651" s="63"/>
      <c r="K651" s="63"/>
      <c r="L651" s="63"/>
      <c r="M651" s="63"/>
      <c r="N651" s="63"/>
    </row>
    <row r="652" spans="7:14" ht="12.75">
      <c r="G652" s="63"/>
      <c r="H652" s="63"/>
      <c r="I652" s="63"/>
      <c r="J652" s="63"/>
      <c r="K652" s="63"/>
      <c r="L652" s="63"/>
      <c r="M652" s="63"/>
      <c r="N652" s="63"/>
    </row>
    <row r="653" spans="7:14" ht="12.75">
      <c r="G653" s="63"/>
      <c r="H653" s="63"/>
      <c r="I653" s="63"/>
      <c r="J653" s="63"/>
      <c r="K653" s="63"/>
      <c r="L653" s="63"/>
      <c r="M653" s="63"/>
      <c r="N653" s="63"/>
    </row>
    <row r="654" spans="7:14" ht="12.75">
      <c r="G654" s="63"/>
      <c r="H654" s="63"/>
      <c r="I654" s="63"/>
      <c r="J654" s="63"/>
      <c r="K654" s="63"/>
      <c r="L654" s="63"/>
      <c r="M654" s="63"/>
      <c r="N654" s="63"/>
    </row>
    <row r="655" spans="7:14" ht="12.75">
      <c r="G655" s="63"/>
      <c r="H655" s="63"/>
      <c r="I655" s="63"/>
      <c r="J655" s="63"/>
      <c r="K655" s="63"/>
      <c r="L655" s="63"/>
      <c r="M655" s="63"/>
      <c r="N655" s="63"/>
    </row>
    <row r="656" spans="7:14" ht="12.75">
      <c r="G656" s="63"/>
      <c r="H656" s="63"/>
      <c r="I656" s="63"/>
      <c r="J656" s="63"/>
      <c r="K656" s="63"/>
      <c r="L656" s="63"/>
      <c r="M656" s="63"/>
      <c r="N656" s="63"/>
    </row>
    <row r="657" spans="7:14" ht="12.75">
      <c r="G657" s="63"/>
      <c r="H657" s="63"/>
      <c r="I657" s="63"/>
      <c r="J657" s="63"/>
      <c r="K657" s="63"/>
      <c r="L657" s="63"/>
      <c r="M657" s="63"/>
      <c r="N657" s="63"/>
    </row>
    <row r="658" spans="7:14" ht="12.75">
      <c r="G658" s="63"/>
      <c r="H658" s="63"/>
      <c r="I658" s="63"/>
      <c r="J658" s="63"/>
      <c r="K658" s="63"/>
      <c r="L658" s="63"/>
      <c r="M658" s="63"/>
      <c r="N658" s="63"/>
    </row>
    <row r="659" spans="7:14" ht="12.75">
      <c r="G659" s="63"/>
      <c r="H659" s="63"/>
      <c r="I659" s="63"/>
      <c r="J659" s="63"/>
      <c r="K659" s="63"/>
      <c r="L659" s="63"/>
      <c r="M659" s="63"/>
      <c r="N659" s="63"/>
    </row>
    <row r="660" spans="7:14" ht="12.75">
      <c r="G660" s="63"/>
      <c r="H660" s="63"/>
      <c r="I660" s="63"/>
      <c r="J660" s="63"/>
      <c r="K660" s="63"/>
      <c r="L660" s="63"/>
      <c r="M660" s="63"/>
      <c r="N660" s="63"/>
    </row>
    <row r="661" spans="7:14" ht="12.75">
      <c r="G661" s="63"/>
      <c r="H661" s="63"/>
      <c r="I661" s="63"/>
      <c r="J661" s="63"/>
      <c r="K661" s="63"/>
      <c r="L661" s="63"/>
      <c r="M661" s="63"/>
      <c r="N661" s="63"/>
    </row>
    <row r="662" spans="7:14" ht="12.75">
      <c r="G662" s="63"/>
      <c r="H662" s="63"/>
      <c r="I662" s="63"/>
      <c r="J662" s="63"/>
      <c r="K662" s="63"/>
      <c r="L662" s="63"/>
      <c r="M662" s="63"/>
      <c r="N662" s="63"/>
    </row>
    <row r="663" spans="7:14" ht="12.75">
      <c r="G663" s="63"/>
      <c r="H663" s="63"/>
      <c r="I663" s="63"/>
      <c r="J663" s="63"/>
      <c r="K663" s="63"/>
      <c r="L663" s="63"/>
      <c r="M663" s="63"/>
      <c r="N663" s="63"/>
    </row>
    <row r="664" spans="7:14" ht="12.75">
      <c r="G664" s="63"/>
      <c r="H664" s="63"/>
      <c r="I664" s="63"/>
      <c r="J664" s="63"/>
      <c r="K664" s="63"/>
      <c r="L664" s="63"/>
      <c r="M664" s="63"/>
      <c r="N664" s="63"/>
    </row>
    <row r="665" spans="7:14" ht="12.75">
      <c r="G665" s="63"/>
      <c r="H665" s="63"/>
      <c r="I665" s="63"/>
      <c r="J665" s="63"/>
      <c r="K665" s="63"/>
      <c r="L665" s="63"/>
      <c r="M665" s="63"/>
      <c r="N665" s="63"/>
    </row>
    <row r="666" spans="7:14" ht="12.75">
      <c r="G666" s="63"/>
      <c r="H666" s="63"/>
      <c r="I666" s="63"/>
      <c r="J666" s="63"/>
      <c r="K666" s="63"/>
      <c r="L666" s="63"/>
      <c r="M666" s="63"/>
      <c r="N666" s="63"/>
    </row>
    <row r="667" spans="7:14" ht="12.75">
      <c r="G667" s="63"/>
      <c r="H667" s="63"/>
      <c r="I667" s="63"/>
      <c r="J667" s="63"/>
      <c r="K667" s="63"/>
      <c r="L667" s="63"/>
      <c r="M667" s="63"/>
      <c r="N667" s="63"/>
    </row>
    <row r="668" spans="7:14" ht="12.75">
      <c r="G668" s="63"/>
      <c r="H668" s="63"/>
      <c r="I668" s="63"/>
      <c r="J668" s="63"/>
      <c r="K668" s="63"/>
      <c r="L668" s="63"/>
      <c r="M668" s="63"/>
      <c r="N668" s="63"/>
    </row>
    <row r="669" spans="7:14" ht="12.75">
      <c r="G669" s="63"/>
      <c r="H669" s="63"/>
      <c r="I669" s="63"/>
      <c r="J669" s="63"/>
      <c r="K669" s="63"/>
      <c r="L669" s="63"/>
      <c r="M669" s="63"/>
      <c r="N669" s="63"/>
    </row>
    <row r="670" spans="7:14" ht="12.75">
      <c r="G670" s="63"/>
      <c r="H670" s="63"/>
      <c r="I670" s="63"/>
      <c r="J670" s="63"/>
      <c r="K670" s="63"/>
      <c r="L670" s="63"/>
      <c r="M670" s="63"/>
      <c r="N670" s="63"/>
    </row>
    <row r="671" spans="7:14" ht="12.75">
      <c r="G671" s="63"/>
      <c r="H671" s="63"/>
      <c r="I671" s="63"/>
      <c r="J671" s="63"/>
      <c r="K671" s="63"/>
      <c r="L671" s="63"/>
      <c r="M671" s="63"/>
      <c r="N671" s="63"/>
    </row>
    <row r="672" spans="7:14" ht="12.75">
      <c r="G672" s="63"/>
      <c r="H672" s="63"/>
      <c r="I672" s="63"/>
      <c r="J672" s="63"/>
      <c r="K672" s="63"/>
      <c r="L672" s="63"/>
      <c r="M672" s="63"/>
      <c r="N672" s="63"/>
    </row>
    <row r="673" spans="7:14" ht="12.75">
      <c r="G673" s="63"/>
      <c r="H673" s="63"/>
      <c r="I673" s="63"/>
      <c r="J673" s="63"/>
      <c r="K673" s="63"/>
      <c r="L673" s="63"/>
      <c r="M673" s="63"/>
      <c r="N673" s="63"/>
    </row>
    <row r="674" spans="7:14" ht="12.75">
      <c r="G674" s="63"/>
      <c r="H674" s="63"/>
      <c r="I674" s="63"/>
      <c r="J674" s="63"/>
      <c r="K674" s="63"/>
      <c r="L674" s="63"/>
      <c r="M674" s="63"/>
      <c r="N674" s="63"/>
    </row>
    <row r="675" spans="7:14" ht="12.75">
      <c r="G675" s="63"/>
      <c r="H675" s="63"/>
      <c r="I675" s="63"/>
      <c r="J675" s="63"/>
      <c r="K675" s="63"/>
      <c r="L675" s="63"/>
      <c r="M675" s="63"/>
      <c r="N675" s="63"/>
    </row>
    <row r="676" spans="7:14" ht="12.75">
      <c r="G676" s="63"/>
      <c r="H676" s="63"/>
      <c r="I676" s="63"/>
      <c r="J676" s="63"/>
      <c r="K676" s="63"/>
      <c r="L676" s="63"/>
      <c r="M676" s="63"/>
      <c r="N676" s="63"/>
    </row>
    <row r="677" spans="7:14" ht="12.75">
      <c r="G677" s="63"/>
      <c r="H677" s="63"/>
      <c r="I677" s="63"/>
      <c r="J677" s="63"/>
      <c r="K677" s="63"/>
      <c r="L677" s="63"/>
      <c r="M677" s="63"/>
      <c r="N677" s="63"/>
    </row>
    <row r="678" spans="7:14" ht="12.75">
      <c r="G678" s="63"/>
      <c r="H678" s="63"/>
      <c r="I678" s="63"/>
      <c r="J678" s="63"/>
      <c r="K678" s="63"/>
      <c r="L678" s="63"/>
      <c r="M678" s="63"/>
      <c r="N678" s="63"/>
    </row>
    <row r="679" spans="7:14" ht="12.75">
      <c r="G679" s="63"/>
      <c r="H679" s="63"/>
      <c r="I679" s="63"/>
      <c r="J679" s="63"/>
      <c r="K679" s="63"/>
      <c r="L679" s="63"/>
      <c r="M679" s="63"/>
      <c r="N679" s="63"/>
    </row>
    <row r="680" spans="7:14" ht="12.75">
      <c r="G680" s="63"/>
      <c r="H680" s="63"/>
      <c r="I680" s="63"/>
      <c r="J680" s="63"/>
      <c r="K680" s="63"/>
      <c r="L680" s="63"/>
      <c r="M680" s="63"/>
      <c r="N680" s="63"/>
    </row>
    <row r="681" spans="7:14" ht="12.75">
      <c r="G681" s="63"/>
      <c r="H681" s="63"/>
      <c r="I681" s="63"/>
      <c r="J681" s="63"/>
      <c r="K681" s="63"/>
      <c r="L681" s="63"/>
      <c r="M681" s="63"/>
      <c r="N681" s="63"/>
    </row>
    <row r="682" spans="7:14" ht="12.75">
      <c r="G682" s="63"/>
      <c r="H682" s="63"/>
      <c r="I682" s="63"/>
      <c r="J682" s="63"/>
      <c r="K682" s="63"/>
      <c r="L682" s="63"/>
      <c r="M682" s="63"/>
      <c r="N682" s="63"/>
    </row>
    <row r="683" spans="7:14" ht="12.75">
      <c r="G683" s="63"/>
      <c r="H683" s="63"/>
      <c r="I683" s="63"/>
      <c r="J683" s="63"/>
      <c r="K683" s="63"/>
      <c r="L683" s="63"/>
      <c r="M683" s="63"/>
      <c r="N683" s="63"/>
    </row>
    <row r="684" spans="7:14" ht="12.75">
      <c r="G684" s="63"/>
      <c r="H684" s="63"/>
      <c r="I684" s="63"/>
      <c r="J684" s="63"/>
      <c r="K684" s="63"/>
      <c r="L684" s="63"/>
      <c r="M684" s="63"/>
      <c r="N684" s="63"/>
    </row>
    <row r="685" spans="7:14" ht="12.75">
      <c r="G685" s="63"/>
      <c r="H685" s="63"/>
      <c r="I685" s="63"/>
      <c r="J685" s="63"/>
      <c r="K685" s="63"/>
      <c r="L685" s="63"/>
      <c r="M685" s="63"/>
      <c r="N685" s="63"/>
    </row>
    <row r="686" spans="7:14" ht="12.75">
      <c r="G686" s="63"/>
      <c r="H686" s="63"/>
      <c r="I686" s="63"/>
      <c r="J686" s="63"/>
      <c r="K686" s="63"/>
      <c r="L686" s="63"/>
      <c r="M686" s="63"/>
      <c r="N686" s="63"/>
    </row>
    <row r="687" spans="7:14" ht="12.75">
      <c r="G687" s="63"/>
      <c r="H687" s="63"/>
      <c r="I687" s="63"/>
      <c r="J687" s="63"/>
      <c r="K687" s="63"/>
      <c r="L687" s="63"/>
      <c r="M687" s="63"/>
      <c r="N687" s="63"/>
    </row>
    <row r="688" spans="7:14" ht="12.75">
      <c r="G688" s="63"/>
      <c r="H688" s="63"/>
      <c r="I688" s="63"/>
      <c r="J688" s="63"/>
      <c r="K688" s="63"/>
      <c r="L688" s="63"/>
      <c r="M688" s="63"/>
      <c r="N688" s="63"/>
    </row>
    <row r="689" spans="7:14" ht="12.75">
      <c r="G689" s="63"/>
      <c r="H689" s="63"/>
      <c r="I689" s="63"/>
      <c r="J689" s="63"/>
      <c r="K689" s="63"/>
      <c r="L689" s="63"/>
      <c r="M689" s="63"/>
      <c r="N689" s="63"/>
    </row>
    <row r="690" spans="7:14" ht="12.75">
      <c r="G690" s="63"/>
      <c r="H690" s="63"/>
      <c r="I690" s="63"/>
      <c r="J690" s="63"/>
      <c r="K690" s="63"/>
      <c r="L690" s="63"/>
      <c r="M690" s="63"/>
      <c r="N690" s="63"/>
    </row>
    <row r="691" spans="7:14" ht="12.75">
      <c r="G691" s="63"/>
      <c r="H691" s="63"/>
      <c r="I691" s="63"/>
      <c r="J691" s="63"/>
      <c r="K691" s="63"/>
      <c r="L691" s="63"/>
      <c r="M691" s="63"/>
      <c r="N691" s="63"/>
    </row>
    <row r="692" spans="7:14" ht="12.75">
      <c r="G692" s="63"/>
      <c r="H692" s="63"/>
      <c r="I692" s="63"/>
      <c r="J692" s="63"/>
      <c r="K692" s="63"/>
      <c r="L692" s="63"/>
      <c r="M692" s="63"/>
      <c r="N692" s="63"/>
    </row>
    <row r="693" spans="7:14" ht="12.75">
      <c r="G693" s="63"/>
      <c r="H693" s="63"/>
      <c r="I693" s="63"/>
      <c r="J693" s="63"/>
      <c r="K693" s="63"/>
      <c r="L693" s="63"/>
      <c r="M693" s="63"/>
      <c r="N693" s="63"/>
    </row>
    <row r="694" spans="7:14" ht="12.75">
      <c r="G694" s="63"/>
      <c r="H694" s="63"/>
      <c r="I694" s="63"/>
      <c r="J694" s="63"/>
      <c r="K694" s="63"/>
      <c r="L694" s="63"/>
      <c r="M694" s="63"/>
      <c r="N694" s="63"/>
    </row>
    <row r="695" spans="7:14" ht="12.75">
      <c r="G695" s="63"/>
      <c r="H695" s="63"/>
      <c r="I695" s="63"/>
      <c r="J695" s="63"/>
      <c r="K695" s="63"/>
      <c r="L695" s="63"/>
      <c r="M695" s="63"/>
      <c r="N695" s="63"/>
    </row>
    <row r="696" spans="7:14" ht="12.75">
      <c r="G696" s="63"/>
      <c r="H696" s="63"/>
      <c r="I696" s="63"/>
      <c r="J696" s="63"/>
      <c r="K696" s="63"/>
      <c r="L696" s="63"/>
      <c r="M696" s="63"/>
      <c r="N696" s="63"/>
    </row>
    <row r="697" spans="7:14" ht="12.75">
      <c r="G697" s="63"/>
      <c r="H697" s="63"/>
      <c r="I697" s="63"/>
      <c r="J697" s="63"/>
      <c r="K697" s="63"/>
      <c r="L697" s="63"/>
      <c r="M697" s="63"/>
      <c r="N697" s="63"/>
    </row>
    <row r="698" spans="7:14" ht="12.75">
      <c r="G698" s="63"/>
      <c r="H698" s="63"/>
      <c r="I698" s="63"/>
      <c r="J698" s="63"/>
      <c r="K698" s="63"/>
      <c r="L698" s="63"/>
      <c r="M698" s="63"/>
      <c r="N698" s="63"/>
    </row>
    <row r="699" spans="7:14" ht="12.75">
      <c r="G699" s="63"/>
      <c r="H699" s="63"/>
      <c r="I699" s="63"/>
      <c r="J699" s="63"/>
      <c r="K699" s="63"/>
      <c r="L699" s="63"/>
      <c r="M699" s="63"/>
      <c r="N699" s="63"/>
    </row>
    <row r="700" spans="7:14" ht="12.75">
      <c r="G700" s="63"/>
      <c r="H700" s="63"/>
      <c r="I700" s="63"/>
      <c r="J700" s="63"/>
      <c r="K700" s="63"/>
      <c r="L700" s="63"/>
      <c r="M700" s="63"/>
      <c r="N700" s="63"/>
    </row>
    <row r="701" spans="7:14" ht="12.75">
      <c r="G701" s="63"/>
      <c r="H701" s="63"/>
      <c r="I701" s="63"/>
      <c r="J701" s="63"/>
      <c r="K701" s="63"/>
      <c r="L701" s="63"/>
      <c r="M701" s="63"/>
      <c r="N701" s="63"/>
    </row>
    <row r="702" spans="7:14" ht="12.75">
      <c r="G702" s="63"/>
      <c r="H702" s="63"/>
      <c r="I702" s="63"/>
      <c r="J702" s="63"/>
      <c r="K702" s="63"/>
      <c r="L702" s="63"/>
      <c r="M702" s="63"/>
      <c r="N702" s="63"/>
    </row>
    <row r="703" spans="7:14" ht="12.75">
      <c r="G703" s="63"/>
      <c r="H703" s="63"/>
      <c r="I703" s="63"/>
      <c r="J703" s="63"/>
      <c r="K703" s="63"/>
      <c r="L703" s="63"/>
      <c r="M703" s="63"/>
      <c r="N703" s="63"/>
    </row>
    <row r="704" spans="7:14" ht="12.75">
      <c r="G704" s="63"/>
      <c r="H704" s="63"/>
      <c r="I704" s="63"/>
      <c r="J704" s="63"/>
      <c r="K704" s="63"/>
      <c r="L704" s="63"/>
      <c r="M704" s="63"/>
      <c r="N704" s="63"/>
    </row>
    <row r="705" spans="7:14" ht="12.75">
      <c r="G705" s="63"/>
      <c r="H705" s="63"/>
      <c r="I705" s="63"/>
      <c r="J705" s="63"/>
      <c r="K705" s="63"/>
      <c r="L705" s="63"/>
      <c r="M705" s="63"/>
      <c r="N705" s="63"/>
    </row>
    <row r="706" spans="7:14" ht="12.75">
      <c r="G706" s="63"/>
      <c r="H706" s="63"/>
      <c r="I706" s="63"/>
      <c r="J706" s="63"/>
      <c r="K706" s="63"/>
      <c r="L706" s="63"/>
      <c r="M706" s="63"/>
      <c r="N706" s="63"/>
    </row>
    <row r="707" spans="7:14" ht="12.75">
      <c r="G707" s="63"/>
      <c r="H707" s="63"/>
      <c r="I707" s="63"/>
      <c r="J707" s="63"/>
      <c r="K707" s="63"/>
      <c r="L707" s="63"/>
      <c r="M707" s="63"/>
      <c r="N707" s="63"/>
    </row>
    <row r="708" spans="7:14" ht="12.75">
      <c r="G708" s="63"/>
      <c r="H708" s="63"/>
      <c r="I708" s="63"/>
      <c r="J708" s="63"/>
      <c r="K708" s="63"/>
      <c r="L708" s="63"/>
      <c r="M708" s="63"/>
      <c r="N708" s="63"/>
    </row>
    <row r="709" spans="7:14" ht="12.75">
      <c r="G709" s="63"/>
      <c r="H709" s="63"/>
      <c r="I709" s="63"/>
      <c r="J709" s="63"/>
      <c r="K709" s="63"/>
      <c r="L709" s="63"/>
      <c r="M709" s="63"/>
      <c r="N709" s="63"/>
    </row>
    <row r="710" spans="7:14" ht="12.75">
      <c r="G710" s="63"/>
      <c r="H710" s="63"/>
      <c r="I710" s="63"/>
      <c r="J710" s="63"/>
      <c r="K710" s="63"/>
      <c r="L710" s="63"/>
      <c r="M710" s="63"/>
      <c r="N710" s="63"/>
    </row>
    <row r="711" spans="7:14" ht="12.75">
      <c r="G711" s="63"/>
      <c r="H711" s="63"/>
      <c r="I711" s="63"/>
      <c r="J711" s="63"/>
      <c r="K711" s="63"/>
      <c r="L711" s="63"/>
      <c r="M711" s="63"/>
      <c r="N711" s="63"/>
    </row>
    <row r="712" spans="7:14" ht="12.75">
      <c r="G712" s="63"/>
      <c r="H712" s="63"/>
      <c r="I712" s="63"/>
      <c r="J712" s="63"/>
      <c r="K712" s="63"/>
      <c r="L712" s="63"/>
      <c r="M712" s="63"/>
      <c r="N712" s="63"/>
    </row>
    <row r="713" spans="7:14" ht="12.75">
      <c r="G713" s="63"/>
      <c r="H713" s="63"/>
      <c r="I713" s="63"/>
      <c r="J713" s="63"/>
      <c r="K713" s="63"/>
      <c r="L713" s="63"/>
      <c r="M713" s="63"/>
      <c r="N713" s="63"/>
    </row>
    <row r="714" spans="7:14" ht="12.75">
      <c r="G714" s="63"/>
      <c r="H714" s="63"/>
      <c r="I714" s="63"/>
      <c r="J714" s="63"/>
      <c r="K714" s="63"/>
      <c r="L714" s="63"/>
      <c r="M714" s="63"/>
      <c r="N714" s="63"/>
    </row>
    <row r="715" spans="7:14" ht="12.75">
      <c r="G715" s="63"/>
      <c r="H715" s="63"/>
      <c r="I715" s="63"/>
      <c r="J715" s="63"/>
      <c r="K715" s="63"/>
      <c r="L715" s="63"/>
      <c r="M715" s="63"/>
      <c r="N715" s="63"/>
    </row>
    <row r="716" spans="7:14" ht="12.75">
      <c r="G716" s="63"/>
      <c r="H716" s="63"/>
      <c r="I716" s="63"/>
      <c r="J716" s="63"/>
      <c r="K716" s="63"/>
      <c r="L716" s="63"/>
      <c r="M716" s="63"/>
      <c r="N716" s="63"/>
    </row>
    <row r="717" spans="7:14" ht="12.75">
      <c r="G717" s="63"/>
      <c r="H717" s="63"/>
      <c r="I717" s="63"/>
      <c r="J717" s="63"/>
      <c r="K717" s="63"/>
      <c r="L717" s="63"/>
      <c r="M717" s="63"/>
      <c r="N717" s="63"/>
    </row>
    <row r="718" spans="7:14" ht="12.75">
      <c r="G718" s="63"/>
      <c r="H718" s="63"/>
      <c r="I718" s="63"/>
      <c r="J718" s="63"/>
      <c r="K718" s="63"/>
      <c r="L718" s="63"/>
      <c r="M718" s="63"/>
      <c r="N718" s="63"/>
    </row>
    <row r="719" spans="7:14" ht="12.75">
      <c r="G719" s="63"/>
      <c r="H719" s="63"/>
      <c r="I719" s="63"/>
      <c r="J719" s="63"/>
      <c r="K719" s="63"/>
      <c r="L719" s="63"/>
      <c r="M719" s="63"/>
      <c r="N719" s="63"/>
    </row>
    <row r="720" spans="7:14" ht="12.75">
      <c r="G720" s="63"/>
      <c r="H720" s="63"/>
      <c r="I720" s="63"/>
      <c r="J720" s="63"/>
      <c r="K720" s="63"/>
      <c r="L720" s="63"/>
      <c r="M720" s="63"/>
      <c r="N720" s="63"/>
    </row>
    <row r="721" spans="7:14" ht="12.75">
      <c r="G721" s="63"/>
      <c r="H721" s="63"/>
      <c r="I721" s="63"/>
      <c r="J721" s="63"/>
      <c r="K721" s="63"/>
      <c r="L721" s="63"/>
      <c r="M721" s="63"/>
      <c r="N721" s="63"/>
    </row>
    <row r="722" spans="7:14" ht="12.75">
      <c r="G722" s="63"/>
      <c r="H722" s="63"/>
      <c r="I722" s="63"/>
      <c r="J722" s="63"/>
      <c r="K722" s="63"/>
      <c r="L722" s="63"/>
      <c r="M722" s="63"/>
      <c r="N722" s="63"/>
    </row>
    <row r="723" spans="7:14" ht="12.75">
      <c r="G723" s="63"/>
      <c r="H723" s="63"/>
      <c r="I723" s="63"/>
      <c r="J723" s="63"/>
      <c r="K723" s="63"/>
      <c r="L723" s="63"/>
      <c r="M723" s="63"/>
      <c r="N723" s="63"/>
    </row>
    <row r="724" spans="7:14" ht="12.75">
      <c r="G724" s="63"/>
      <c r="H724" s="63"/>
      <c r="I724" s="63"/>
      <c r="J724" s="63"/>
      <c r="K724" s="63"/>
      <c r="L724" s="63"/>
      <c r="M724" s="63"/>
      <c r="N724" s="63"/>
    </row>
    <row r="725" spans="7:14" ht="12.75">
      <c r="G725" s="63"/>
      <c r="H725" s="63"/>
      <c r="I725" s="63"/>
      <c r="J725" s="63"/>
      <c r="K725" s="63"/>
      <c r="L725" s="63"/>
      <c r="M725" s="63"/>
      <c r="N725" s="63"/>
    </row>
    <row r="726" spans="7:14" ht="12.75">
      <c r="G726" s="63"/>
      <c r="H726" s="63"/>
      <c r="I726" s="63"/>
      <c r="J726" s="63"/>
      <c r="K726" s="63"/>
      <c r="L726" s="63"/>
      <c r="M726" s="63"/>
      <c r="N726" s="63"/>
    </row>
    <row r="727" spans="7:14" ht="12.75">
      <c r="G727" s="63"/>
      <c r="H727" s="63"/>
      <c r="I727" s="63"/>
      <c r="J727" s="63"/>
      <c r="K727" s="63"/>
      <c r="L727" s="63"/>
      <c r="M727" s="63"/>
      <c r="N727" s="63"/>
    </row>
    <row r="728" spans="7:14" ht="12.75">
      <c r="G728" s="63"/>
      <c r="H728" s="63"/>
      <c r="I728" s="63"/>
      <c r="J728" s="63"/>
      <c r="K728" s="63"/>
      <c r="L728" s="63"/>
      <c r="M728" s="63"/>
      <c r="N728" s="63"/>
    </row>
    <row r="729" spans="7:14" ht="12.75">
      <c r="G729" s="63"/>
      <c r="H729" s="63"/>
      <c r="I729" s="63"/>
      <c r="J729" s="63"/>
      <c r="K729" s="63"/>
      <c r="L729" s="63"/>
      <c r="M729" s="63"/>
      <c r="N729" s="63"/>
    </row>
    <row r="730" spans="7:14" ht="12.75">
      <c r="G730" s="63"/>
      <c r="H730" s="63"/>
      <c r="I730" s="63"/>
      <c r="J730" s="63"/>
      <c r="K730" s="63"/>
      <c r="L730" s="63"/>
      <c r="M730" s="63"/>
      <c r="N730" s="63"/>
    </row>
    <row r="731" spans="7:14" ht="12.75">
      <c r="G731" s="63"/>
      <c r="H731" s="63"/>
      <c r="I731" s="63"/>
      <c r="J731" s="63"/>
      <c r="K731" s="63"/>
      <c r="L731" s="63"/>
      <c r="M731" s="63"/>
      <c r="N731" s="63"/>
    </row>
    <row r="732" spans="7:14" ht="12.75">
      <c r="G732" s="63"/>
      <c r="H732" s="63"/>
      <c r="I732" s="63"/>
      <c r="J732" s="63"/>
      <c r="K732" s="63"/>
      <c r="L732" s="63"/>
      <c r="M732" s="63"/>
      <c r="N732" s="63"/>
    </row>
    <row r="733" spans="7:14" ht="12.75">
      <c r="G733" s="63"/>
      <c r="H733" s="63"/>
      <c r="I733" s="63"/>
      <c r="J733" s="63"/>
      <c r="K733" s="63"/>
      <c r="L733" s="63"/>
      <c r="M733" s="63"/>
      <c r="N733" s="63"/>
    </row>
    <row r="734" spans="7:14" ht="12.75">
      <c r="G734" s="63"/>
      <c r="H734" s="63"/>
      <c r="I734" s="63"/>
      <c r="J734" s="63"/>
      <c r="K734" s="63"/>
      <c r="L734" s="63"/>
      <c r="M734" s="63"/>
      <c r="N734" s="63"/>
    </row>
    <row r="735" spans="7:14" ht="12.75">
      <c r="G735" s="63"/>
      <c r="H735" s="63"/>
      <c r="I735" s="63"/>
      <c r="J735" s="63"/>
      <c r="K735" s="63"/>
      <c r="L735" s="63"/>
      <c r="M735" s="63"/>
      <c r="N735" s="63"/>
    </row>
    <row r="736" spans="7:14" ht="12.75">
      <c r="G736" s="63"/>
      <c r="H736" s="63"/>
      <c r="I736" s="63"/>
      <c r="J736" s="63"/>
      <c r="K736" s="63"/>
      <c r="L736" s="63"/>
      <c r="M736" s="63"/>
      <c r="N736" s="63"/>
    </row>
    <row r="737" spans="7:14" ht="12.75">
      <c r="G737" s="63"/>
      <c r="H737" s="63"/>
      <c r="I737" s="63"/>
      <c r="J737" s="63"/>
      <c r="K737" s="63"/>
      <c r="L737" s="63"/>
      <c r="M737" s="63"/>
      <c r="N737" s="63"/>
    </row>
    <row r="738" spans="7:14" ht="12.75">
      <c r="G738" s="63"/>
      <c r="H738" s="63"/>
      <c r="I738" s="63"/>
      <c r="J738" s="63"/>
      <c r="K738" s="63"/>
      <c r="L738" s="63"/>
      <c r="M738" s="63"/>
      <c r="N738" s="63"/>
    </row>
    <row r="739" spans="7:14" ht="12.75">
      <c r="G739" s="63"/>
      <c r="H739" s="63"/>
      <c r="I739" s="63"/>
      <c r="J739" s="63"/>
      <c r="K739" s="63"/>
      <c r="L739" s="63"/>
      <c r="M739" s="63"/>
      <c r="N739" s="63"/>
    </row>
    <row r="740" spans="7:14" ht="12.75">
      <c r="G740" s="63"/>
      <c r="H740" s="63"/>
      <c r="I740" s="63"/>
      <c r="J740" s="63"/>
      <c r="K740" s="63"/>
      <c r="L740" s="63"/>
      <c r="M740" s="63"/>
      <c r="N740" s="63"/>
    </row>
    <row r="741" spans="7:14" ht="12.75">
      <c r="G741" s="63"/>
      <c r="H741" s="63"/>
      <c r="I741" s="63"/>
      <c r="J741" s="63"/>
      <c r="K741" s="63"/>
      <c r="L741" s="63"/>
      <c r="M741" s="63"/>
      <c r="N741" s="63"/>
    </row>
    <row r="742" spans="7:14" ht="12.75">
      <c r="G742" s="63"/>
      <c r="H742" s="63"/>
      <c r="I742" s="63"/>
      <c r="J742" s="63"/>
      <c r="K742" s="63"/>
      <c r="L742" s="63"/>
      <c r="M742" s="63"/>
      <c r="N742" s="63"/>
    </row>
    <row r="743" spans="7:14" ht="12.75">
      <c r="G743" s="63"/>
      <c r="H743" s="63"/>
      <c r="I743" s="63"/>
      <c r="J743" s="63"/>
      <c r="K743" s="63"/>
      <c r="L743" s="63"/>
      <c r="M743" s="63"/>
      <c r="N743" s="63"/>
    </row>
    <row r="744" spans="7:14" ht="12.75">
      <c r="G744" s="63"/>
      <c r="H744" s="63"/>
      <c r="I744" s="63"/>
      <c r="J744" s="63"/>
      <c r="K744" s="63"/>
      <c r="L744" s="63"/>
      <c r="M744" s="63"/>
      <c r="N744" s="63"/>
    </row>
    <row r="745" spans="7:14" ht="12.75">
      <c r="G745" s="63"/>
      <c r="H745" s="63"/>
      <c r="I745" s="63"/>
      <c r="J745" s="63"/>
      <c r="K745" s="63"/>
      <c r="L745" s="63"/>
      <c r="M745" s="63"/>
      <c r="N745" s="63"/>
    </row>
    <row r="746" spans="7:14" ht="12.75">
      <c r="G746" s="63"/>
      <c r="H746" s="63"/>
      <c r="I746" s="63"/>
      <c r="J746" s="63"/>
      <c r="K746" s="63"/>
      <c r="L746" s="63"/>
      <c r="M746" s="63"/>
      <c r="N746" s="63"/>
    </row>
    <row r="747" spans="7:14" ht="12.75">
      <c r="G747" s="63"/>
      <c r="H747" s="63"/>
      <c r="I747" s="63"/>
      <c r="J747" s="63"/>
      <c r="K747" s="63"/>
      <c r="L747" s="63"/>
      <c r="M747" s="63"/>
      <c r="N747" s="63"/>
    </row>
    <row r="748" spans="7:14" ht="12.75">
      <c r="G748" s="63"/>
      <c r="H748" s="63"/>
      <c r="I748" s="63"/>
      <c r="J748" s="63"/>
      <c r="K748" s="63"/>
      <c r="L748" s="63"/>
      <c r="M748" s="63"/>
      <c r="N748" s="63"/>
    </row>
    <row r="749" spans="7:14" ht="12.75">
      <c r="G749" s="63"/>
      <c r="H749" s="63"/>
      <c r="I749" s="63"/>
      <c r="J749" s="63"/>
      <c r="K749" s="63"/>
      <c r="L749" s="63"/>
      <c r="M749" s="63"/>
      <c r="N749" s="63"/>
    </row>
    <row r="750" spans="7:14" ht="12.75">
      <c r="G750" s="63"/>
      <c r="H750" s="63"/>
      <c r="I750" s="63"/>
      <c r="J750" s="63"/>
      <c r="K750" s="63"/>
      <c r="L750" s="63"/>
      <c r="M750" s="63"/>
      <c r="N750" s="63"/>
    </row>
    <row r="751" spans="7:14" ht="12.75">
      <c r="G751" s="63"/>
      <c r="H751" s="63"/>
      <c r="I751" s="63"/>
      <c r="J751" s="63"/>
      <c r="K751" s="63"/>
      <c r="L751" s="63"/>
      <c r="M751" s="63"/>
      <c r="N751" s="63"/>
    </row>
    <row r="752" spans="7:14" ht="12.75">
      <c r="G752" s="63"/>
      <c r="H752" s="63"/>
      <c r="I752" s="63"/>
      <c r="J752" s="63"/>
      <c r="K752" s="63"/>
      <c r="L752" s="63"/>
      <c r="M752" s="63"/>
      <c r="N752" s="63"/>
    </row>
    <row r="753" spans="7:14" ht="12.75">
      <c r="G753" s="63"/>
      <c r="H753" s="63"/>
      <c r="I753" s="63"/>
      <c r="J753" s="63"/>
      <c r="K753" s="63"/>
      <c r="L753" s="63"/>
      <c r="M753" s="63"/>
      <c r="N753" s="63"/>
    </row>
    <row r="754" spans="7:14" ht="12.75">
      <c r="G754" s="63"/>
      <c r="H754" s="63"/>
      <c r="I754" s="63"/>
      <c r="J754" s="63"/>
      <c r="K754" s="63"/>
      <c r="L754" s="63"/>
      <c r="M754" s="63"/>
      <c r="N754" s="63"/>
    </row>
    <row r="755" spans="7:14" ht="12.75">
      <c r="G755" s="63"/>
      <c r="H755" s="63"/>
      <c r="I755" s="63"/>
      <c r="J755" s="63"/>
      <c r="K755" s="63"/>
      <c r="L755" s="63"/>
      <c r="M755" s="63"/>
      <c r="N755" s="63"/>
    </row>
    <row r="756" spans="7:14" ht="12.75">
      <c r="G756" s="63"/>
      <c r="H756" s="63"/>
      <c r="I756" s="63"/>
      <c r="J756" s="63"/>
      <c r="K756" s="63"/>
      <c r="L756" s="63"/>
      <c r="M756" s="63"/>
      <c r="N756" s="63"/>
    </row>
    <row r="757" spans="7:14" ht="12.75">
      <c r="G757" s="63"/>
      <c r="H757" s="63"/>
      <c r="I757" s="63"/>
      <c r="J757" s="63"/>
      <c r="K757" s="63"/>
      <c r="L757" s="63"/>
      <c r="M757" s="63"/>
      <c r="N757" s="63"/>
    </row>
    <row r="758" spans="7:14" ht="12.75">
      <c r="G758" s="63"/>
      <c r="H758" s="63"/>
      <c r="I758" s="63"/>
      <c r="J758" s="63"/>
      <c r="K758" s="63"/>
      <c r="L758" s="63"/>
      <c r="M758" s="63"/>
      <c r="N758" s="63"/>
    </row>
    <row r="759" spans="7:14" ht="12.75">
      <c r="G759" s="63"/>
      <c r="H759" s="63"/>
      <c r="I759" s="63"/>
      <c r="J759" s="63"/>
      <c r="K759" s="63"/>
      <c r="L759" s="63"/>
      <c r="M759" s="63"/>
      <c r="N759" s="63"/>
    </row>
    <row r="760" spans="7:14" ht="12.75">
      <c r="G760" s="63"/>
      <c r="H760" s="63"/>
      <c r="I760" s="63"/>
      <c r="J760" s="63"/>
      <c r="K760" s="63"/>
      <c r="L760" s="63"/>
      <c r="M760" s="63"/>
      <c r="N760" s="63"/>
    </row>
    <row r="761" spans="7:14" ht="12.75">
      <c r="G761" s="63"/>
      <c r="H761" s="63"/>
      <c r="I761" s="63"/>
      <c r="J761" s="63"/>
      <c r="K761" s="63"/>
      <c r="L761" s="63"/>
      <c r="M761" s="63"/>
      <c r="N761" s="63"/>
    </row>
    <row r="762" spans="7:14" ht="12.75">
      <c r="G762" s="63"/>
      <c r="H762" s="63"/>
      <c r="I762" s="63"/>
      <c r="J762" s="63"/>
      <c r="K762" s="63"/>
      <c r="L762" s="63"/>
      <c r="M762" s="63"/>
      <c r="N762" s="63"/>
    </row>
    <row r="763" spans="7:14" ht="12.75">
      <c r="G763" s="63"/>
      <c r="H763" s="63"/>
      <c r="I763" s="63"/>
      <c r="J763" s="63"/>
      <c r="K763" s="63"/>
      <c r="L763" s="63"/>
      <c r="M763" s="63"/>
      <c r="N763" s="63"/>
    </row>
    <row r="764" spans="7:14" ht="12.75">
      <c r="G764" s="63"/>
      <c r="H764" s="63"/>
      <c r="I764" s="63"/>
      <c r="J764" s="63"/>
      <c r="K764" s="63"/>
      <c r="L764" s="63"/>
      <c r="M764" s="63"/>
      <c r="N764" s="63"/>
    </row>
    <row r="765" spans="7:14" ht="12.75">
      <c r="G765" s="63"/>
      <c r="H765" s="63"/>
      <c r="I765" s="63"/>
      <c r="J765" s="63"/>
      <c r="K765" s="63"/>
      <c r="L765" s="63"/>
      <c r="M765" s="63"/>
      <c r="N765" s="63"/>
    </row>
    <row r="766" spans="7:14" ht="12.75">
      <c r="G766" s="63"/>
      <c r="H766" s="63"/>
      <c r="I766" s="63"/>
      <c r="J766" s="63"/>
      <c r="K766" s="63"/>
      <c r="L766" s="63"/>
      <c r="M766" s="63"/>
      <c r="N766" s="63"/>
    </row>
    <row r="767" spans="7:14" ht="12.75">
      <c r="G767" s="63"/>
      <c r="H767" s="63"/>
      <c r="I767" s="63"/>
      <c r="J767" s="63"/>
      <c r="K767" s="63"/>
      <c r="L767" s="63"/>
      <c r="M767" s="63"/>
      <c r="N767" s="63"/>
    </row>
    <row r="768" spans="7:14" ht="12.75">
      <c r="G768" s="63"/>
      <c r="H768" s="63"/>
      <c r="I768" s="63"/>
      <c r="J768" s="63"/>
      <c r="K768" s="63"/>
      <c r="L768" s="63"/>
      <c r="M768" s="63"/>
      <c r="N768" s="63"/>
    </row>
    <row r="769" spans="7:14" ht="12.75">
      <c r="G769" s="63"/>
      <c r="H769" s="63"/>
      <c r="I769" s="63"/>
      <c r="J769" s="63"/>
      <c r="K769" s="63"/>
      <c r="L769" s="63"/>
      <c r="M769" s="63"/>
      <c r="N769" s="63"/>
    </row>
    <row r="770" spans="7:14" ht="12.75">
      <c r="G770" s="63"/>
      <c r="H770" s="63"/>
      <c r="I770" s="63"/>
      <c r="J770" s="63"/>
      <c r="K770" s="63"/>
      <c r="L770" s="63"/>
      <c r="M770" s="63"/>
      <c r="N770" s="63"/>
    </row>
    <row r="771" spans="7:14" ht="12.75">
      <c r="G771" s="63"/>
      <c r="H771" s="63"/>
      <c r="I771" s="63"/>
      <c r="J771" s="63"/>
      <c r="K771" s="63"/>
      <c r="L771" s="63"/>
      <c r="M771" s="63"/>
      <c r="N771" s="63"/>
    </row>
    <row r="772" spans="7:14" ht="12.75">
      <c r="G772" s="63"/>
      <c r="H772" s="63"/>
      <c r="I772" s="63"/>
      <c r="J772" s="63"/>
      <c r="K772" s="63"/>
      <c r="L772" s="63"/>
      <c r="M772" s="63"/>
      <c r="N772" s="63"/>
    </row>
    <row r="773" spans="7:14" ht="12.75">
      <c r="G773" s="63"/>
      <c r="H773" s="63"/>
      <c r="I773" s="63"/>
      <c r="J773" s="63"/>
      <c r="K773" s="63"/>
      <c r="L773" s="63"/>
      <c r="M773" s="63"/>
      <c r="N773" s="63"/>
    </row>
    <row r="774" spans="7:14" ht="12.75">
      <c r="G774" s="63"/>
      <c r="H774" s="63"/>
      <c r="I774" s="63"/>
      <c r="J774" s="63"/>
      <c r="K774" s="63"/>
      <c r="L774" s="63"/>
      <c r="M774" s="63"/>
      <c r="N774" s="63"/>
    </row>
    <row r="775" spans="7:14" ht="12.75">
      <c r="G775" s="63"/>
      <c r="H775" s="63"/>
      <c r="I775" s="63"/>
      <c r="J775" s="63"/>
      <c r="K775" s="63"/>
      <c r="L775" s="63"/>
      <c r="M775" s="63"/>
      <c r="N775" s="63"/>
    </row>
    <row r="776" spans="7:14" ht="12.75">
      <c r="G776" s="63"/>
      <c r="H776" s="63"/>
      <c r="I776" s="63"/>
      <c r="J776" s="63"/>
      <c r="K776" s="63"/>
      <c r="L776" s="63"/>
      <c r="M776" s="63"/>
      <c r="N776" s="63"/>
    </row>
    <row r="777" spans="7:14" ht="12.75">
      <c r="G777" s="63"/>
      <c r="H777" s="63"/>
      <c r="I777" s="63"/>
      <c r="J777" s="63"/>
      <c r="K777" s="63"/>
      <c r="L777" s="63"/>
      <c r="M777" s="63"/>
      <c r="N777" s="63"/>
    </row>
    <row r="778" spans="7:14" ht="12.75">
      <c r="G778" s="63"/>
      <c r="H778" s="63"/>
      <c r="I778" s="63"/>
      <c r="J778" s="63"/>
      <c r="K778" s="63"/>
      <c r="L778" s="63"/>
      <c r="M778" s="63"/>
      <c r="N778" s="63"/>
    </row>
    <row r="779" spans="7:14" ht="12.75">
      <c r="G779" s="63"/>
      <c r="H779" s="63"/>
      <c r="I779" s="63"/>
      <c r="J779" s="63"/>
      <c r="K779" s="63"/>
      <c r="L779" s="63"/>
      <c r="M779" s="63"/>
      <c r="N779" s="63"/>
    </row>
    <row r="780" spans="7:14" ht="12.75">
      <c r="G780" s="63"/>
      <c r="H780" s="63"/>
      <c r="I780" s="63"/>
      <c r="J780" s="63"/>
      <c r="K780" s="63"/>
      <c r="L780" s="63"/>
      <c r="M780" s="63"/>
      <c r="N780" s="63"/>
    </row>
    <row r="781" spans="7:14" ht="12.75">
      <c r="G781" s="63"/>
      <c r="H781" s="63"/>
      <c r="I781" s="63"/>
      <c r="J781" s="63"/>
      <c r="K781" s="63"/>
      <c r="L781" s="63"/>
      <c r="M781" s="63"/>
      <c r="N781" s="63"/>
    </row>
    <row r="782" spans="7:14" ht="12.75">
      <c r="G782" s="63"/>
      <c r="H782" s="63"/>
      <c r="I782" s="63"/>
      <c r="J782" s="63"/>
      <c r="K782" s="63"/>
      <c r="L782" s="63"/>
      <c r="M782" s="63"/>
      <c r="N782" s="63"/>
    </row>
    <row r="783" spans="7:14" ht="12.75">
      <c r="G783" s="63"/>
      <c r="H783" s="63"/>
      <c r="I783" s="63"/>
      <c r="J783" s="63"/>
      <c r="K783" s="63"/>
      <c r="L783" s="63"/>
      <c r="M783" s="63"/>
      <c r="N783" s="63"/>
    </row>
    <row r="784" spans="7:14" ht="12.75">
      <c r="G784" s="63"/>
      <c r="H784" s="63"/>
      <c r="I784" s="63"/>
      <c r="J784" s="63"/>
      <c r="K784" s="63"/>
      <c r="L784" s="63"/>
      <c r="M784" s="63"/>
      <c r="N784" s="63"/>
    </row>
    <row r="785" spans="7:14" ht="12.75">
      <c r="G785" s="63"/>
      <c r="H785" s="63"/>
      <c r="I785" s="63"/>
      <c r="J785" s="63"/>
      <c r="K785" s="63"/>
      <c r="L785" s="63"/>
      <c r="M785" s="63"/>
      <c r="N785" s="63"/>
    </row>
    <row r="786" spans="7:14" ht="12.75">
      <c r="G786" s="63"/>
      <c r="H786" s="63"/>
      <c r="I786" s="63"/>
      <c r="J786" s="63"/>
      <c r="K786" s="63"/>
      <c r="L786" s="63"/>
      <c r="M786" s="63"/>
      <c r="N786" s="63"/>
    </row>
    <row r="787" spans="7:14" ht="12.75">
      <c r="G787" s="63"/>
      <c r="H787" s="63"/>
      <c r="I787" s="63"/>
      <c r="J787" s="63"/>
      <c r="K787" s="63"/>
      <c r="L787" s="63"/>
      <c r="M787" s="63"/>
      <c r="N787" s="63"/>
    </row>
    <row r="788" spans="7:14" ht="12.75">
      <c r="G788" s="63"/>
      <c r="H788" s="63"/>
      <c r="I788" s="63"/>
      <c r="J788" s="63"/>
      <c r="K788" s="63"/>
      <c r="L788" s="63"/>
      <c r="M788" s="63"/>
      <c r="N788" s="63"/>
    </row>
    <row r="789" spans="7:14" ht="12.75">
      <c r="G789" s="63"/>
      <c r="H789" s="63"/>
      <c r="I789" s="63"/>
      <c r="J789" s="63"/>
      <c r="K789" s="63"/>
      <c r="L789" s="63"/>
      <c r="M789" s="63"/>
      <c r="N789" s="63"/>
    </row>
    <row r="790" spans="7:14" ht="12.75">
      <c r="G790" s="63"/>
      <c r="H790" s="63"/>
      <c r="I790" s="63"/>
      <c r="J790" s="63"/>
      <c r="K790" s="63"/>
      <c r="L790" s="63"/>
      <c r="M790" s="63"/>
      <c r="N790" s="63"/>
    </row>
    <row r="791" spans="7:14" ht="12.75">
      <c r="G791" s="63"/>
      <c r="H791" s="63"/>
      <c r="I791" s="63"/>
      <c r="J791" s="63"/>
      <c r="K791" s="63"/>
      <c r="L791" s="63"/>
      <c r="M791" s="63"/>
      <c r="N791" s="63"/>
    </row>
    <row r="792" spans="7:14" ht="12.75">
      <c r="G792" s="63"/>
      <c r="H792" s="63"/>
      <c r="I792" s="63"/>
      <c r="J792" s="63"/>
      <c r="K792" s="63"/>
      <c r="L792" s="63"/>
      <c r="M792" s="63"/>
      <c r="N792" s="63"/>
    </row>
    <row r="793" spans="7:14" ht="12.75">
      <c r="G793" s="63"/>
      <c r="H793" s="63"/>
      <c r="I793" s="63"/>
      <c r="J793" s="63"/>
      <c r="K793" s="63"/>
      <c r="L793" s="63"/>
      <c r="M793" s="63"/>
      <c r="N793" s="63"/>
    </row>
    <row r="794" spans="7:14" ht="12.75">
      <c r="G794" s="63"/>
      <c r="H794" s="63"/>
      <c r="I794" s="63"/>
      <c r="J794" s="63"/>
      <c r="K794" s="63"/>
      <c r="L794" s="63"/>
      <c r="M794" s="63"/>
      <c r="N794" s="63"/>
    </row>
    <row r="795" spans="7:14" ht="12.75">
      <c r="G795" s="63"/>
      <c r="H795" s="63"/>
      <c r="I795" s="63"/>
      <c r="J795" s="63"/>
      <c r="K795" s="63"/>
      <c r="L795" s="63"/>
      <c r="M795" s="63"/>
      <c r="N795" s="63"/>
    </row>
    <row r="796" spans="7:14" ht="12.75">
      <c r="G796" s="63"/>
      <c r="H796" s="63"/>
      <c r="I796" s="63"/>
      <c r="J796" s="63"/>
      <c r="K796" s="63"/>
      <c r="L796" s="63"/>
      <c r="M796" s="63"/>
      <c r="N796" s="63"/>
    </row>
    <row r="797" spans="7:14" ht="12.75">
      <c r="G797" s="63"/>
      <c r="H797" s="63"/>
      <c r="I797" s="63"/>
      <c r="J797" s="63"/>
      <c r="K797" s="63"/>
      <c r="L797" s="63"/>
      <c r="M797" s="63"/>
      <c r="N797" s="63"/>
    </row>
    <row r="798" spans="7:14" ht="12.75">
      <c r="G798" s="63"/>
      <c r="H798" s="63"/>
      <c r="I798" s="63"/>
      <c r="J798" s="63"/>
      <c r="K798" s="63"/>
      <c r="L798" s="63"/>
      <c r="M798" s="63"/>
      <c r="N798" s="63"/>
    </row>
    <row r="799" spans="7:14" ht="12.75">
      <c r="G799" s="63"/>
      <c r="H799" s="63"/>
      <c r="I799" s="63"/>
      <c r="J799" s="63"/>
      <c r="K799" s="63"/>
      <c r="L799" s="63"/>
      <c r="M799" s="63"/>
      <c r="N799" s="63"/>
    </row>
    <row r="800" spans="7:14" ht="12.75">
      <c r="G800" s="63"/>
      <c r="H800" s="63"/>
      <c r="I800" s="63"/>
      <c r="J800" s="63"/>
      <c r="K800" s="63"/>
      <c r="L800" s="63"/>
      <c r="M800" s="63"/>
      <c r="N800" s="63"/>
    </row>
    <row r="801" spans="7:14" ht="12.75">
      <c r="G801" s="63"/>
      <c r="H801" s="63"/>
      <c r="I801" s="63"/>
      <c r="J801" s="63"/>
      <c r="K801" s="63"/>
      <c r="L801" s="63"/>
      <c r="M801" s="63"/>
      <c r="N801" s="63"/>
    </row>
    <row r="802" spans="7:14" ht="12.75">
      <c r="G802" s="63"/>
      <c r="H802" s="63"/>
      <c r="I802" s="63"/>
      <c r="J802" s="63"/>
      <c r="K802" s="63"/>
      <c r="L802" s="63"/>
      <c r="M802" s="63"/>
      <c r="N802" s="63"/>
    </row>
    <row r="803" spans="7:14" ht="12.75">
      <c r="G803" s="63"/>
      <c r="H803" s="63"/>
      <c r="I803" s="63"/>
      <c r="J803" s="63"/>
      <c r="K803" s="63"/>
      <c r="L803" s="63"/>
      <c r="M803" s="63"/>
      <c r="N803" s="63"/>
    </row>
    <row r="804" spans="7:14" ht="12.75">
      <c r="G804" s="63"/>
      <c r="H804" s="63"/>
      <c r="I804" s="63"/>
      <c r="J804" s="63"/>
      <c r="K804" s="63"/>
      <c r="L804" s="63"/>
      <c r="M804" s="63"/>
      <c r="N804" s="63"/>
    </row>
    <row r="805" spans="7:14" ht="12.75">
      <c r="G805" s="63"/>
      <c r="H805" s="63"/>
      <c r="I805" s="63"/>
      <c r="J805" s="63"/>
      <c r="K805" s="63"/>
      <c r="L805" s="63"/>
      <c r="M805" s="63"/>
      <c r="N805" s="63"/>
    </row>
    <row r="806" spans="7:14" ht="12.75">
      <c r="G806" s="63"/>
      <c r="H806" s="63"/>
      <c r="I806" s="63"/>
      <c r="J806" s="63"/>
      <c r="K806" s="63"/>
      <c r="L806" s="63"/>
      <c r="M806" s="63"/>
      <c r="N806" s="63"/>
    </row>
    <row r="807" spans="7:14" ht="12.75">
      <c r="G807" s="63"/>
      <c r="H807" s="63"/>
      <c r="I807" s="63"/>
      <c r="J807" s="63"/>
      <c r="K807" s="63"/>
      <c r="L807" s="63"/>
      <c r="M807" s="63"/>
      <c r="N807" s="63"/>
    </row>
    <row r="808" spans="7:14" ht="12.75">
      <c r="G808" s="63"/>
      <c r="H808" s="63"/>
      <c r="I808" s="63"/>
      <c r="J808" s="63"/>
      <c r="K808" s="63"/>
      <c r="L808" s="63"/>
      <c r="M808" s="63"/>
      <c r="N808" s="63"/>
    </row>
    <row r="809" spans="7:14" ht="12.75">
      <c r="G809" s="63"/>
      <c r="H809" s="63"/>
      <c r="I809" s="63"/>
      <c r="J809" s="63"/>
      <c r="K809" s="63"/>
      <c r="L809" s="63"/>
      <c r="M809" s="63"/>
      <c r="N809" s="63"/>
    </row>
    <row r="810" spans="7:14" ht="12.75">
      <c r="G810" s="63"/>
      <c r="H810" s="63"/>
      <c r="I810" s="63"/>
      <c r="J810" s="63"/>
      <c r="K810" s="63"/>
      <c r="L810" s="63"/>
      <c r="M810" s="63"/>
      <c r="N810" s="63"/>
    </row>
    <row r="811" spans="7:14" ht="12.75">
      <c r="G811" s="63"/>
      <c r="H811" s="63"/>
      <c r="I811" s="63"/>
      <c r="J811" s="63"/>
      <c r="K811" s="63"/>
      <c r="L811" s="63"/>
      <c r="M811" s="63"/>
      <c r="N811" s="63"/>
    </row>
    <row r="812" spans="7:14" ht="12.75">
      <c r="G812" s="63"/>
      <c r="H812" s="63"/>
      <c r="I812" s="63"/>
      <c r="J812" s="63"/>
      <c r="K812" s="63"/>
      <c r="L812" s="63"/>
      <c r="M812" s="63"/>
      <c r="N812" s="63"/>
    </row>
    <row r="813" spans="7:14" ht="12.75">
      <c r="G813" s="63"/>
      <c r="H813" s="63"/>
      <c r="I813" s="63"/>
      <c r="J813" s="63"/>
      <c r="K813" s="63"/>
      <c r="L813" s="63"/>
      <c r="M813" s="63"/>
      <c r="N813" s="63"/>
    </row>
    <row r="814" spans="7:14" ht="12.75">
      <c r="G814" s="63"/>
      <c r="H814" s="63"/>
      <c r="I814" s="63"/>
      <c r="J814" s="63"/>
      <c r="K814" s="63"/>
      <c r="L814" s="63"/>
      <c r="M814" s="63"/>
      <c r="N814" s="63"/>
    </row>
    <row r="815" spans="7:14" ht="12.75">
      <c r="G815" s="63"/>
      <c r="H815" s="63"/>
      <c r="I815" s="63"/>
      <c r="J815" s="63"/>
      <c r="K815" s="63"/>
      <c r="L815" s="63"/>
      <c r="M815" s="63"/>
      <c r="N815" s="63"/>
    </row>
    <row r="816" spans="7:14" ht="12.75">
      <c r="G816" s="63"/>
      <c r="H816" s="63"/>
      <c r="I816" s="63"/>
      <c r="J816" s="63"/>
      <c r="K816" s="63"/>
      <c r="L816" s="63"/>
      <c r="M816" s="63"/>
      <c r="N816" s="63"/>
    </row>
    <row r="817" spans="7:14" ht="12.75">
      <c r="G817" s="63"/>
      <c r="H817" s="63"/>
      <c r="I817" s="63"/>
      <c r="J817" s="63"/>
      <c r="K817" s="63"/>
      <c r="L817" s="63"/>
      <c r="M817" s="63"/>
      <c r="N817" s="63"/>
    </row>
    <row r="818" spans="7:14" ht="12.75">
      <c r="G818" s="63"/>
      <c r="H818" s="63"/>
      <c r="I818" s="63"/>
      <c r="J818" s="63"/>
      <c r="K818" s="63"/>
      <c r="L818" s="63"/>
      <c r="M818" s="63"/>
      <c r="N818" s="63"/>
    </row>
    <row r="819" spans="7:14" ht="12.75">
      <c r="G819" s="63"/>
      <c r="H819" s="63"/>
      <c r="I819" s="63"/>
      <c r="J819" s="63"/>
      <c r="K819" s="63"/>
      <c r="L819" s="63"/>
      <c r="M819" s="63"/>
      <c r="N819" s="63"/>
    </row>
    <row r="820" spans="7:14" ht="12.75">
      <c r="G820" s="63"/>
      <c r="H820" s="63"/>
      <c r="I820" s="63"/>
      <c r="J820" s="63"/>
      <c r="K820" s="63"/>
      <c r="L820" s="63"/>
      <c r="M820" s="63"/>
      <c r="N820" s="63"/>
    </row>
    <row r="821" spans="7:14" ht="12.75">
      <c r="G821" s="63"/>
      <c r="H821" s="63"/>
      <c r="I821" s="63"/>
      <c r="J821" s="63"/>
      <c r="K821" s="63"/>
      <c r="L821" s="63"/>
      <c r="M821" s="63"/>
      <c r="N821" s="63"/>
    </row>
    <row r="822" spans="7:14" ht="12.75">
      <c r="G822" s="63"/>
      <c r="H822" s="63"/>
      <c r="I822" s="63"/>
      <c r="J822" s="63"/>
      <c r="K822" s="63"/>
      <c r="L822" s="63"/>
      <c r="M822" s="63"/>
      <c r="N822" s="63"/>
    </row>
    <row r="823" spans="7:14" ht="12.75">
      <c r="G823" s="63"/>
      <c r="H823" s="63"/>
      <c r="I823" s="63"/>
      <c r="J823" s="63"/>
      <c r="K823" s="63"/>
      <c r="L823" s="63"/>
      <c r="M823" s="63"/>
      <c r="N823" s="63"/>
    </row>
    <row r="824" spans="7:14" ht="12.75">
      <c r="G824" s="63"/>
      <c r="H824" s="63"/>
      <c r="I824" s="63"/>
      <c r="J824" s="63"/>
      <c r="K824" s="63"/>
      <c r="L824" s="63"/>
      <c r="M824" s="63"/>
      <c r="N824" s="63"/>
    </row>
    <row r="825" spans="7:14" ht="12.75">
      <c r="G825" s="63"/>
      <c r="H825" s="63"/>
      <c r="I825" s="63"/>
      <c r="J825" s="63"/>
      <c r="K825" s="63"/>
      <c r="L825" s="63"/>
      <c r="M825" s="63"/>
      <c r="N825" s="63"/>
    </row>
    <row r="826" spans="7:14" ht="12.75">
      <c r="G826" s="63"/>
      <c r="H826" s="63"/>
      <c r="I826" s="63"/>
      <c r="J826" s="63"/>
      <c r="K826" s="63"/>
      <c r="L826" s="63"/>
      <c r="M826" s="63"/>
      <c r="N826" s="63"/>
    </row>
    <row r="827" spans="7:14" ht="12.75">
      <c r="G827" s="63"/>
      <c r="H827" s="63"/>
      <c r="I827" s="63"/>
      <c r="J827" s="63"/>
      <c r="K827" s="63"/>
      <c r="L827" s="63"/>
      <c r="M827" s="63"/>
      <c r="N827" s="63"/>
    </row>
    <row r="828" spans="7:14" ht="12.75">
      <c r="G828" s="63"/>
      <c r="H828" s="63"/>
      <c r="I828" s="63"/>
      <c r="J828" s="63"/>
      <c r="K828" s="63"/>
      <c r="L828" s="63"/>
      <c r="M828" s="63"/>
      <c r="N828" s="63"/>
    </row>
    <row r="829" spans="7:14" ht="12.75">
      <c r="G829" s="63"/>
      <c r="H829" s="63"/>
      <c r="I829" s="63"/>
      <c r="J829" s="63"/>
      <c r="K829" s="63"/>
      <c r="L829" s="63"/>
      <c r="M829" s="63"/>
      <c r="N829" s="63"/>
    </row>
    <row r="830" spans="7:14" ht="12.75">
      <c r="G830" s="63"/>
      <c r="H830" s="63"/>
      <c r="I830" s="63"/>
      <c r="J830" s="63"/>
      <c r="K830" s="63"/>
      <c r="L830" s="63"/>
      <c r="M830" s="63"/>
      <c r="N830" s="63"/>
    </row>
    <row r="831" spans="7:14" ht="12.75">
      <c r="G831" s="63"/>
      <c r="H831" s="63"/>
      <c r="I831" s="63"/>
      <c r="J831" s="63"/>
      <c r="K831" s="63"/>
      <c r="L831" s="63"/>
      <c r="M831" s="63"/>
      <c r="N831" s="63"/>
    </row>
    <row r="832" spans="7:14" ht="12.75">
      <c r="G832" s="63"/>
      <c r="H832" s="63"/>
      <c r="I832" s="63"/>
      <c r="J832" s="63"/>
      <c r="K832" s="63"/>
      <c r="L832" s="63"/>
      <c r="M832" s="63"/>
      <c r="N832" s="63"/>
    </row>
    <row r="833" spans="7:14" ht="12.75">
      <c r="G833" s="63"/>
      <c r="H833" s="63"/>
      <c r="I833" s="63"/>
      <c r="J833" s="63"/>
      <c r="K833" s="63"/>
      <c r="L833" s="63"/>
      <c r="M833" s="63"/>
      <c r="N833" s="63"/>
    </row>
    <row r="834" spans="7:14" ht="12.75">
      <c r="G834" s="63"/>
      <c r="H834" s="63"/>
      <c r="I834" s="63"/>
      <c r="J834" s="63"/>
      <c r="K834" s="63"/>
      <c r="L834" s="63"/>
      <c r="M834" s="63"/>
      <c r="N834" s="63"/>
    </row>
    <row r="835" spans="7:14" ht="12.75">
      <c r="G835" s="63"/>
      <c r="H835" s="63"/>
      <c r="I835" s="63"/>
      <c r="J835" s="63"/>
      <c r="K835" s="63"/>
      <c r="L835" s="63"/>
      <c r="M835" s="63"/>
      <c r="N835" s="63"/>
    </row>
    <row r="836" spans="7:14" ht="12.75">
      <c r="G836" s="63"/>
      <c r="H836" s="63"/>
      <c r="I836" s="63"/>
      <c r="J836" s="63"/>
      <c r="K836" s="63"/>
      <c r="L836" s="63"/>
      <c r="M836" s="63"/>
      <c r="N836" s="63"/>
    </row>
    <row r="837" spans="7:14" ht="12.75">
      <c r="G837" s="63"/>
      <c r="H837" s="63"/>
      <c r="I837" s="63"/>
      <c r="J837" s="63"/>
      <c r="K837" s="63"/>
      <c r="L837" s="63"/>
      <c r="M837" s="63"/>
      <c r="N837" s="63"/>
    </row>
    <row r="838" spans="7:14" ht="12.75">
      <c r="G838" s="63"/>
      <c r="H838" s="63"/>
      <c r="I838" s="63"/>
      <c r="J838" s="63"/>
      <c r="K838" s="63"/>
      <c r="L838" s="63"/>
      <c r="M838" s="63"/>
      <c r="N838" s="63"/>
    </row>
    <row r="839" spans="7:14" ht="12.75">
      <c r="G839" s="63"/>
      <c r="H839" s="63"/>
      <c r="I839" s="63"/>
      <c r="J839" s="63"/>
      <c r="K839" s="63"/>
      <c r="L839" s="63"/>
      <c r="M839" s="63"/>
      <c r="N839" s="63"/>
    </row>
    <row r="840" spans="7:14" ht="12.75">
      <c r="G840" s="63"/>
      <c r="H840" s="63"/>
      <c r="I840" s="63"/>
      <c r="J840" s="63"/>
      <c r="K840" s="63"/>
      <c r="L840" s="63"/>
      <c r="M840" s="63"/>
      <c r="N840" s="63"/>
    </row>
    <row r="841" spans="7:14" ht="12.75">
      <c r="G841" s="63"/>
      <c r="H841" s="63"/>
      <c r="I841" s="63"/>
      <c r="J841" s="63"/>
      <c r="K841" s="63"/>
      <c r="L841" s="63"/>
      <c r="M841" s="63"/>
      <c r="N841" s="63"/>
    </row>
    <row r="842" spans="7:14" ht="12.75">
      <c r="G842" s="63"/>
      <c r="H842" s="63"/>
      <c r="I842" s="63"/>
      <c r="J842" s="63"/>
      <c r="K842" s="63"/>
      <c r="L842" s="63"/>
      <c r="M842" s="63"/>
      <c r="N842" s="63"/>
    </row>
    <row r="843" spans="7:14" ht="12.75">
      <c r="G843" s="63"/>
      <c r="H843" s="63"/>
      <c r="I843" s="63"/>
      <c r="J843" s="63"/>
      <c r="K843" s="63"/>
      <c r="L843" s="63"/>
      <c r="M843" s="63"/>
      <c r="N843" s="63"/>
    </row>
    <row r="844" spans="7:14" ht="12.75">
      <c r="G844" s="63"/>
      <c r="H844" s="63"/>
      <c r="I844" s="63"/>
      <c r="J844" s="63"/>
      <c r="K844" s="63"/>
      <c r="L844" s="63"/>
      <c r="M844" s="63"/>
      <c r="N844" s="63"/>
    </row>
    <row r="845" spans="7:14" ht="12.75">
      <c r="G845" s="63"/>
      <c r="H845" s="63"/>
      <c r="I845" s="63"/>
      <c r="J845" s="63"/>
      <c r="K845" s="63"/>
      <c r="L845" s="63"/>
      <c r="M845" s="63"/>
      <c r="N845" s="63"/>
    </row>
    <row r="846" spans="7:14" ht="12.75">
      <c r="G846" s="63"/>
      <c r="H846" s="63"/>
      <c r="I846" s="63"/>
      <c r="J846" s="63"/>
      <c r="K846" s="63"/>
      <c r="L846" s="63"/>
      <c r="M846" s="63"/>
      <c r="N846" s="63"/>
    </row>
    <row r="847" spans="7:14" ht="12.75">
      <c r="G847" s="63"/>
      <c r="H847" s="63"/>
      <c r="I847" s="63"/>
      <c r="J847" s="63"/>
      <c r="K847" s="63"/>
      <c r="L847" s="63"/>
      <c r="M847" s="63"/>
      <c r="N847" s="63"/>
    </row>
    <row r="848" spans="7:14" ht="12.75">
      <c r="G848" s="63"/>
      <c r="H848" s="63"/>
      <c r="I848" s="63"/>
      <c r="J848" s="63"/>
      <c r="K848" s="63"/>
      <c r="L848" s="63"/>
      <c r="M848" s="63"/>
      <c r="N848" s="63"/>
    </row>
    <row r="849" spans="7:14" ht="12.75">
      <c r="G849" s="63"/>
      <c r="H849" s="63"/>
      <c r="I849" s="63"/>
      <c r="J849" s="63"/>
      <c r="K849" s="63"/>
      <c r="L849" s="63"/>
      <c r="M849" s="63"/>
      <c r="N849" s="63"/>
    </row>
    <row r="850" spans="7:14" ht="12.75">
      <c r="G850" s="63"/>
      <c r="H850" s="63"/>
      <c r="I850" s="63"/>
      <c r="J850" s="63"/>
      <c r="K850" s="63"/>
      <c r="L850" s="63"/>
      <c r="M850" s="63"/>
      <c r="N850" s="63"/>
    </row>
    <row r="851" spans="7:14" ht="12.75">
      <c r="G851" s="63"/>
      <c r="H851" s="63"/>
      <c r="I851" s="63"/>
      <c r="J851" s="63"/>
      <c r="K851" s="63"/>
      <c r="L851" s="63"/>
      <c r="M851" s="63"/>
      <c r="N851" s="63"/>
    </row>
    <row r="852" spans="7:14" ht="12.75">
      <c r="G852" s="63"/>
      <c r="H852" s="63"/>
      <c r="I852" s="63"/>
      <c r="J852" s="63"/>
      <c r="K852" s="63"/>
      <c r="L852" s="63"/>
      <c r="M852" s="63"/>
      <c r="N852" s="63"/>
    </row>
    <row r="853" spans="7:14" ht="12.75">
      <c r="G853" s="63"/>
      <c r="H853" s="63"/>
      <c r="I853" s="63"/>
      <c r="J853" s="63"/>
      <c r="K853" s="63"/>
      <c r="L853" s="63"/>
      <c r="M853" s="63"/>
      <c r="N853" s="63"/>
    </row>
    <row r="854" spans="7:14" ht="12.75">
      <c r="G854" s="63"/>
      <c r="H854" s="63"/>
      <c r="I854" s="63"/>
      <c r="J854" s="63"/>
      <c r="K854" s="63"/>
      <c r="L854" s="63"/>
      <c r="M854" s="63"/>
      <c r="N854" s="63"/>
    </row>
    <row r="855" spans="7:14" ht="12.75">
      <c r="G855" s="63"/>
      <c r="H855" s="63"/>
      <c r="I855" s="63"/>
      <c r="J855" s="63"/>
      <c r="K855" s="63"/>
      <c r="L855" s="63"/>
      <c r="M855" s="63"/>
      <c r="N855" s="63"/>
    </row>
    <row r="856" spans="7:14" ht="12.75">
      <c r="G856" s="63"/>
      <c r="H856" s="63"/>
      <c r="I856" s="63"/>
      <c r="J856" s="63"/>
      <c r="K856" s="63"/>
      <c r="L856" s="63"/>
      <c r="M856" s="63"/>
      <c r="N856" s="63"/>
    </row>
    <row r="857" spans="7:14" ht="12.75">
      <c r="G857" s="63"/>
      <c r="H857" s="63"/>
      <c r="I857" s="63"/>
      <c r="J857" s="63"/>
      <c r="K857" s="63"/>
      <c r="L857" s="63"/>
      <c r="M857" s="63"/>
      <c r="N857" s="63"/>
    </row>
    <row r="858" spans="7:14" ht="12.75">
      <c r="G858" s="63"/>
      <c r="H858" s="63"/>
      <c r="I858" s="63"/>
      <c r="J858" s="63"/>
      <c r="K858" s="63"/>
      <c r="L858" s="63"/>
      <c r="M858" s="63"/>
      <c r="N858" s="63"/>
    </row>
    <row r="859" spans="7:14" ht="12.75">
      <c r="G859" s="63"/>
      <c r="H859" s="63"/>
      <c r="I859" s="63"/>
      <c r="J859" s="63"/>
      <c r="K859" s="63"/>
      <c r="L859" s="63"/>
      <c r="M859" s="63"/>
      <c r="N859" s="63"/>
    </row>
    <row r="860" spans="7:14" ht="12.75">
      <c r="G860" s="63"/>
      <c r="H860" s="63"/>
      <c r="I860" s="63"/>
      <c r="J860" s="63"/>
      <c r="K860" s="63"/>
      <c r="L860" s="63"/>
      <c r="M860" s="63"/>
      <c r="N860" s="63"/>
    </row>
    <row r="861" spans="7:14" ht="12.75">
      <c r="G861" s="63"/>
      <c r="H861" s="63"/>
      <c r="I861" s="63"/>
      <c r="J861" s="63"/>
      <c r="K861" s="63"/>
      <c r="L861" s="63"/>
      <c r="M861" s="63"/>
      <c r="N861" s="63"/>
    </row>
    <row r="862" spans="7:14" ht="12.75">
      <c r="G862" s="63"/>
      <c r="H862" s="63"/>
      <c r="I862" s="63"/>
      <c r="J862" s="63"/>
      <c r="K862" s="63"/>
      <c r="L862" s="63"/>
      <c r="M862" s="63"/>
      <c r="N862" s="63"/>
    </row>
    <row r="863" spans="7:14" ht="12.75">
      <c r="G863" s="63"/>
      <c r="H863" s="63"/>
      <c r="I863" s="63"/>
      <c r="J863" s="63"/>
      <c r="K863" s="63"/>
      <c r="L863" s="63"/>
      <c r="M863" s="63"/>
      <c r="N863" s="63"/>
    </row>
    <row r="864" spans="7:14" ht="12.75">
      <c r="G864" s="63"/>
      <c r="H864" s="63"/>
      <c r="I864" s="63"/>
      <c r="J864" s="63"/>
      <c r="K864" s="63"/>
      <c r="L864" s="63"/>
      <c r="M864" s="63"/>
      <c r="N864" s="63"/>
    </row>
    <row r="865" spans="7:14" ht="12.75">
      <c r="G865" s="63"/>
      <c r="H865" s="63"/>
      <c r="I865" s="63"/>
      <c r="J865" s="63"/>
      <c r="K865" s="63"/>
      <c r="L865" s="63"/>
      <c r="M865" s="63"/>
      <c r="N865" s="63"/>
    </row>
    <row r="866" spans="7:14" ht="12.75">
      <c r="G866" s="63"/>
      <c r="H866" s="63"/>
      <c r="I866" s="63"/>
      <c r="J866" s="63"/>
      <c r="K866" s="63"/>
      <c r="L866" s="63"/>
      <c r="M866" s="63"/>
      <c r="N866" s="63"/>
    </row>
    <row r="867" spans="7:14" ht="12.75">
      <c r="G867" s="63"/>
      <c r="H867" s="63"/>
      <c r="I867" s="63"/>
      <c r="J867" s="63"/>
      <c r="K867" s="63"/>
      <c r="L867" s="63"/>
      <c r="M867" s="63"/>
      <c r="N867" s="63"/>
    </row>
    <row r="868" spans="7:14" ht="12.75">
      <c r="G868" s="63"/>
      <c r="H868" s="63"/>
      <c r="I868" s="63"/>
      <c r="J868" s="63"/>
      <c r="K868" s="63"/>
      <c r="L868" s="63"/>
      <c r="M868" s="63"/>
      <c r="N868" s="63"/>
    </row>
    <row r="869" spans="7:14" ht="12.75">
      <c r="G869" s="63"/>
      <c r="H869" s="63"/>
      <c r="I869" s="63"/>
      <c r="J869" s="63"/>
      <c r="K869" s="63"/>
      <c r="L869" s="63"/>
      <c r="M869" s="63"/>
      <c r="N869" s="63"/>
    </row>
    <row r="870" spans="7:14" ht="12.75">
      <c r="G870" s="63"/>
      <c r="H870" s="63"/>
      <c r="I870" s="63"/>
      <c r="J870" s="63"/>
      <c r="K870" s="63"/>
      <c r="L870" s="63"/>
      <c r="M870" s="63"/>
      <c r="N870" s="63"/>
    </row>
    <row r="871" spans="7:14" ht="12.75">
      <c r="G871" s="63"/>
      <c r="H871" s="63"/>
      <c r="I871" s="63"/>
      <c r="J871" s="63"/>
      <c r="K871" s="63"/>
      <c r="L871" s="63"/>
      <c r="M871" s="63"/>
      <c r="N871" s="63"/>
    </row>
    <row r="872" spans="7:14" ht="12.75">
      <c r="G872" s="63"/>
      <c r="H872" s="63"/>
      <c r="I872" s="63"/>
      <c r="J872" s="63"/>
      <c r="K872" s="63"/>
      <c r="L872" s="63"/>
      <c r="M872" s="63"/>
      <c r="N872" s="63"/>
    </row>
    <row r="873" spans="7:14" ht="12.75">
      <c r="G873" s="63"/>
      <c r="H873" s="63"/>
      <c r="I873" s="63"/>
      <c r="J873" s="63"/>
      <c r="K873" s="63"/>
      <c r="L873" s="63"/>
      <c r="M873" s="63"/>
      <c r="N873" s="63"/>
    </row>
    <row r="874" spans="7:14" ht="12.75">
      <c r="G874" s="63"/>
      <c r="H874" s="63"/>
      <c r="I874" s="63"/>
      <c r="J874" s="63"/>
      <c r="K874" s="63"/>
      <c r="L874" s="63"/>
      <c r="M874" s="63"/>
      <c r="N874" s="63"/>
    </row>
    <row r="875" spans="7:14" ht="12.75">
      <c r="G875" s="63"/>
      <c r="H875" s="63"/>
      <c r="I875" s="63"/>
      <c r="J875" s="63"/>
      <c r="K875" s="63"/>
      <c r="L875" s="63"/>
      <c r="M875" s="63"/>
      <c r="N875" s="63"/>
    </row>
    <row r="876" spans="7:14" ht="12.75">
      <c r="G876" s="63"/>
      <c r="H876" s="63"/>
      <c r="I876" s="63"/>
      <c r="J876" s="63"/>
      <c r="K876" s="63"/>
      <c r="L876" s="63"/>
      <c r="M876" s="63"/>
      <c r="N876" s="63"/>
    </row>
    <row r="877" spans="7:14" ht="12.75">
      <c r="G877" s="63"/>
      <c r="H877" s="63"/>
      <c r="I877" s="63"/>
      <c r="J877" s="63"/>
      <c r="K877" s="63"/>
      <c r="L877" s="63"/>
      <c r="M877" s="63"/>
      <c r="N877" s="63"/>
    </row>
    <row r="878" spans="7:14" ht="12.75">
      <c r="G878" s="63"/>
      <c r="H878" s="63"/>
      <c r="I878" s="63"/>
      <c r="J878" s="63"/>
      <c r="K878" s="63"/>
      <c r="L878" s="63"/>
      <c r="M878" s="63"/>
      <c r="N878" s="63"/>
    </row>
    <row r="879" spans="7:14" ht="12.75">
      <c r="G879" s="63"/>
      <c r="H879" s="63"/>
      <c r="I879" s="63"/>
      <c r="J879" s="63"/>
      <c r="K879" s="63"/>
      <c r="L879" s="63"/>
      <c r="M879" s="63"/>
      <c r="N879" s="63"/>
    </row>
    <row r="880" spans="7:14" ht="12.75">
      <c r="G880" s="63"/>
      <c r="H880" s="63"/>
      <c r="I880" s="63"/>
      <c r="J880" s="63"/>
      <c r="K880" s="63"/>
      <c r="L880" s="63"/>
      <c r="M880" s="63"/>
      <c r="N880" s="63"/>
    </row>
    <row r="881" spans="7:14" ht="12.75">
      <c r="G881" s="63"/>
      <c r="H881" s="63"/>
      <c r="I881" s="63"/>
      <c r="J881" s="63"/>
      <c r="K881" s="63"/>
      <c r="L881" s="63"/>
      <c r="M881" s="63"/>
      <c r="N881" s="63"/>
    </row>
    <row r="882" spans="7:14" ht="12.75">
      <c r="G882" s="63"/>
      <c r="H882" s="63"/>
      <c r="I882" s="63"/>
      <c r="J882" s="63"/>
      <c r="K882" s="63"/>
      <c r="L882" s="63"/>
      <c r="M882" s="63"/>
      <c r="N882" s="63"/>
    </row>
    <row r="883" spans="7:14" ht="12.75">
      <c r="G883" s="63"/>
      <c r="H883" s="63"/>
      <c r="I883" s="63"/>
      <c r="J883" s="63"/>
      <c r="K883" s="63"/>
      <c r="L883" s="63"/>
      <c r="M883" s="63"/>
      <c r="N883" s="63"/>
    </row>
    <row r="884" spans="7:14" ht="12.75">
      <c r="G884" s="63"/>
      <c r="H884" s="63"/>
      <c r="I884" s="63"/>
      <c r="J884" s="63"/>
      <c r="K884" s="63"/>
      <c r="L884" s="63"/>
      <c r="M884" s="63"/>
      <c r="N884" s="63"/>
    </row>
    <row r="885" spans="7:14" ht="12.75">
      <c r="G885" s="63"/>
      <c r="H885" s="63"/>
      <c r="I885" s="63"/>
      <c r="J885" s="63"/>
      <c r="K885" s="63"/>
      <c r="L885" s="63"/>
      <c r="M885" s="63"/>
      <c r="N885" s="63"/>
    </row>
    <row r="886" spans="7:14" ht="12.75">
      <c r="G886" s="63"/>
      <c r="H886" s="63"/>
      <c r="I886" s="63"/>
      <c r="J886" s="63"/>
      <c r="K886" s="63"/>
      <c r="L886" s="63"/>
      <c r="M886" s="63"/>
      <c r="N886" s="63"/>
    </row>
    <row r="887" spans="7:14" ht="12.75">
      <c r="G887" s="63"/>
      <c r="H887" s="63"/>
      <c r="I887" s="63"/>
      <c r="J887" s="63"/>
      <c r="K887" s="63"/>
      <c r="L887" s="63"/>
      <c r="M887" s="63"/>
      <c r="N887" s="63"/>
    </row>
    <row r="888" spans="7:14" ht="12.75">
      <c r="G888" s="63"/>
      <c r="H888" s="63"/>
      <c r="I888" s="63"/>
      <c r="J888" s="63"/>
      <c r="K888" s="63"/>
      <c r="L888" s="63"/>
      <c r="M888" s="63"/>
      <c r="N888" s="63"/>
    </row>
    <row r="889" spans="7:14" ht="12.75">
      <c r="G889" s="63"/>
      <c r="H889" s="63"/>
      <c r="I889" s="63"/>
      <c r="J889" s="63"/>
      <c r="K889" s="63"/>
      <c r="L889" s="63"/>
      <c r="M889" s="63"/>
      <c r="N889" s="63"/>
    </row>
    <row r="890" spans="7:14" ht="12.75">
      <c r="G890" s="63"/>
      <c r="H890" s="63"/>
      <c r="I890" s="63"/>
      <c r="J890" s="63"/>
      <c r="K890" s="63"/>
      <c r="L890" s="63"/>
      <c r="M890" s="63"/>
      <c r="N890" s="63"/>
    </row>
    <row r="891" spans="7:14" ht="12.75">
      <c r="G891" s="63"/>
      <c r="H891" s="63"/>
      <c r="I891" s="63"/>
      <c r="J891" s="63"/>
      <c r="K891" s="63"/>
      <c r="L891" s="63"/>
      <c r="M891" s="63"/>
      <c r="N891" s="63"/>
    </row>
    <row r="892" spans="7:14" ht="12.75">
      <c r="G892" s="63"/>
      <c r="H892" s="63"/>
      <c r="I892" s="63"/>
      <c r="J892" s="63"/>
      <c r="K892" s="63"/>
      <c r="L892" s="63"/>
      <c r="M892" s="63"/>
      <c r="N892" s="63"/>
    </row>
    <row r="893" spans="7:14" ht="12.75">
      <c r="G893" s="63"/>
      <c r="H893" s="63"/>
      <c r="I893" s="63"/>
      <c r="J893" s="63"/>
      <c r="K893" s="63"/>
      <c r="L893" s="63"/>
      <c r="M893" s="63"/>
      <c r="N893" s="63"/>
    </row>
    <row r="894" spans="7:14" ht="12.75">
      <c r="G894" s="63"/>
      <c r="H894" s="63"/>
      <c r="I894" s="63"/>
      <c r="J894" s="63"/>
      <c r="K894" s="63"/>
      <c r="L894" s="63"/>
      <c r="M894" s="63"/>
      <c r="N894" s="63"/>
    </row>
    <row r="895" spans="7:14" ht="12.75">
      <c r="G895" s="63"/>
      <c r="H895" s="63"/>
      <c r="I895" s="63"/>
      <c r="J895" s="63"/>
      <c r="K895" s="63"/>
      <c r="L895" s="63"/>
      <c r="M895" s="63"/>
      <c r="N895" s="63"/>
    </row>
    <row r="896" spans="7:14" ht="12.75">
      <c r="G896" s="63"/>
      <c r="H896" s="63"/>
      <c r="I896" s="63"/>
      <c r="J896" s="63"/>
      <c r="K896" s="63"/>
      <c r="L896" s="63"/>
      <c r="M896" s="63"/>
      <c r="N896" s="63"/>
    </row>
    <row r="897" spans="7:14" ht="12.75">
      <c r="G897" s="63"/>
      <c r="H897" s="63"/>
      <c r="I897" s="63"/>
      <c r="J897" s="63"/>
      <c r="K897" s="63"/>
      <c r="L897" s="63"/>
      <c r="M897" s="63"/>
      <c r="N897" s="63"/>
    </row>
    <row r="898" spans="7:14" ht="12.75">
      <c r="G898" s="63"/>
      <c r="H898" s="63"/>
      <c r="I898" s="63"/>
      <c r="J898" s="63"/>
      <c r="K898" s="63"/>
      <c r="L898" s="63"/>
      <c r="M898" s="63"/>
      <c r="N898" s="63"/>
    </row>
    <row r="899" spans="7:14" ht="12.75">
      <c r="G899" s="63"/>
      <c r="H899" s="63"/>
      <c r="I899" s="63"/>
      <c r="J899" s="63"/>
      <c r="K899" s="63"/>
      <c r="L899" s="63"/>
      <c r="M899" s="63"/>
      <c r="N899" s="63"/>
    </row>
    <row r="900" spans="7:14" ht="12.75">
      <c r="G900" s="63"/>
      <c r="H900" s="63"/>
      <c r="I900" s="63"/>
      <c r="J900" s="63"/>
      <c r="K900" s="63"/>
      <c r="L900" s="63"/>
      <c r="M900" s="63"/>
      <c r="N900" s="63"/>
    </row>
    <row r="901" spans="7:14" ht="12.75">
      <c r="G901" s="63"/>
      <c r="H901" s="63"/>
      <c r="I901" s="63"/>
      <c r="J901" s="63"/>
      <c r="K901" s="63"/>
      <c r="L901" s="63"/>
      <c r="M901" s="63"/>
      <c r="N901" s="63"/>
    </row>
    <row r="902" spans="7:14" ht="12.75">
      <c r="G902" s="63"/>
      <c r="H902" s="63"/>
      <c r="I902" s="63"/>
      <c r="J902" s="63"/>
      <c r="K902" s="63"/>
      <c r="L902" s="63"/>
      <c r="M902" s="63"/>
      <c r="N902" s="63"/>
    </row>
    <row r="903" spans="7:14" ht="12.75">
      <c r="G903" s="63"/>
      <c r="H903" s="63"/>
      <c r="I903" s="63"/>
      <c r="J903" s="63"/>
      <c r="K903" s="63"/>
      <c r="L903" s="63"/>
      <c r="M903" s="63"/>
      <c r="N903" s="63"/>
    </row>
    <row r="904" spans="7:14" ht="12.75">
      <c r="G904" s="63"/>
      <c r="H904" s="63"/>
      <c r="I904" s="63"/>
      <c r="J904" s="63"/>
      <c r="K904" s="63"/>
      <c r="L904" s="63"/>
      <c r="M904" s="63"/>
      <c r="N904" s="63"/>
    </row>
    <row r="905" spans="7:14" ht="12.75">
      <c r="G905" s="63"/>
      <c r="H905" s="63"/>
      <c r="I905" s="63"/>
      <c r="J905" s="63"/>
      <c r="K905" s="63"/>
      <c r="L905" s="63"/>
      <c r="M905" s="63"/>
      <c r="N905" s="63"/>
    </row>
    <row r="906" spans="7:14" ht="12.75">
      <c r="G906" s="63"/>
      <c r="H906" s="63"/>
      <c r="I906" s="63"/>
      <c r="J906" s="63"/>
      <c r="K906" s="63"/>
      <c r="L906" s="63"/>
      <c r="M906" s="63"/>
      <c r="N906" s="63"/>
    </row>
    <row r="907" spans="7:14" ht="12.75">
      <c r="G907" s="63"/>
      <c r="H907" s="63"/>
      <c r="I907" s="63"/>
      <c r="J907" s="63"/>
      <c r="K907" s="63"/>
      <c r="L907" s="63"/>
      <c r="M907" s="63"/>
      <c r="N907" s="63"/>
    </row>
    <row r="908" spans="7:14" ht="12.75">
      <c r="G908" s="63"/>
      <c r="H908" s="63"/>
      <c r="I908" s="63"/>
      <c r="J908" s="63"/>
      <c r="K908" s="63"/>
      <c r="L908" s="63"/>
      <c r="M908" s="63"/>
      <c r="N908" s="63"/>
    </row>
    <row r="909" spans="7:14" ht="12.75">
      <c r="G909" s="63"/>
      <c r="H909" s="63"/>
      <c r="I909" s="63"/>
      <c r="J909" s="63"/>
      <c r="K909" s="63"/>
      <c r="L909" s="63"/>
      <c r="M909" s="63"/>
      <c r="N909" s="63"/>
    </row>
    <row r="910" spans="7:14" ht="12.75">
      <c r="G910" s="63"/>
      <c r="H910" s="63"/>
      <c r="I910" s="63"/>
      <c r="J910" s="63"/>
      <c r="K910" s="63"/>
      <c r="L910" s="63"/>
      <c r="M910" s="63"/>
      <c r="N910" s="63"/>
    </row>
    <row r="911" spans="7:14" ht="12.75">
      <c r="G911" s="63"/>
      <c r="H911" s="63"/>
      <c r="I911" s="63"/>
      <c r="J911" s="63"/>
      <c r="K911" s="63"/>
      <c r="L911" s="63"/>
      <c r="M911" s="63"/>
      <c r="N911" s="63"/>
    </row>
    <row r="912" spans="7:14" ht="12.75">
      <c r="G912" s="63"/>
      <c r="H912" s="63"/>
      <c r="I912" s="63"/>
      <c r="J912" s="63"/>
      <c r="K912" s="63"/>
      <c r="L912" s="63"/>
      <c r="M912" s="63"/>
      <c r="N912" s="63"/>
    </row>
    <row r="913" spans="7:14" ht="12.75">
      <c r="G913" s="63"/>
      <c r="H913" s="63"/>
      <c r="I913" s="63"/>
      <c r="J913" s="63"/>
      <c r="K913" s="63"/>
      <c r="L913" s="63"/>
      <c r="M913" s="63"/>
      <c r="N913" s="63"/>
    </row>
    <row r="914" spans="7:14" ht="12.75">
      <c r="G914" s="63"/>
      <c r="H914" s="63"/>
      <c r="I914" s="63"/>
      <c r="J914" s="63"/>
      <c r="K914" s="63"/>
      <c r="L914" s="63"/>
      <c r="M914" s="63"/>
      <c r="N914" s="63"/>
    </row>
    <row r="915" spans="7:14" ht="12.75">
      <c r="G915" s="63"/>
      <c r="H915" s="63"/>
      <c r="I915" s="63"/>
      <c r="J915" s="63"/>
      <c r="K915" s="63"/>
      <c r="L915" s="63"/>
      <c r="M915" s="63"/>
      <c r="N915" s="63"/>
    </row>
    <row r="916" spans="7:14" ht="12.75">
      <c r="G916" s="63"/>
      <c r="H916" s="63"/>
      <c r="I916" s="63"/>
      <c r="J916" s="63"/>
      <c r="K916" s="63"/>
      <c r="L916" s="63"/>
      <c r="M916" s="63"/>
      <c r="N916" s="63"/>
    </row>
    <row r="917" spans="7:14" ht="12.75">
      <c r="G917" s="63"/>
      <c r="H917" s="63"/>
      <c r="I917" s="63"/>
      <c r="J917" s="63"/>
      <c r="K917" s="63"/>
      <c r="L917" s="63"/>
      <c r="M917" s="63"/>
      <c r="N917" s="63"/>
    </row>
    <row r="918" spans="7:14" ht="12.75">
      <c r="G918" s="63"/>
      <c r="H918" s="63"/>
      <c r="I918" s="63"/>
      <c r="J918" s="63"/>
      <c r="K918" s="63"/>
      <c r="L918" s="63"/>
      <c r="M918" s="63"/>
      <c r="N918" s="63"/>
    </row>
    <row r="919" spans="7:14" ht="12.75">
      <c r="G919" s="63"/>
      <c r="H919" s="63"/>
      <c r="I919" s="63"/>
      <c r="J919" s="63"/>
      <c r="K919" s="63"/>
      <c r="L919" s="63"/>
      <c r="M919" s="63"/>
      <c r="N919" s="63"/>
    </row>
    <row r="920" spans="7:14" ht="12.75">
      <c r="G920" s="63"/>
      <c r="H920" s="63"/>
      <c r="I920" s="63"/>
      <c r="J920" s="63"/>
      <c r="K920" s="63"/>
      <c r="L920" s="63"/>
      <c r="M920" s="63"/>
      <c r="N920" s="63"/>
    </row>
    <row r="921" spans="7:14" ht="12.75">
      <c r="G921" s="63"/>
      <c r="H921" s="63"/>
      <c r="I921" s="63"/>
      <c r="J921" s="63"/>
      <c r="K921" s="63"/>
      <c r="L921" s="63"/>
      <c r="M921" s="63"/>
      <c r="N921" s="63"/>
    </row>
    <row r="922" spans="7:14" ht="12.75">
      <c r="G922" s="63"/>
      <c r="H922" s="63"/>
      <c r="I922" s="63"/>
      <c r="J922" s="63"/>
      <c r="K922" s="63"/>
      <c r="L922" s="63"/>
      <c r="M922" s="63"/>
      <c r="N922" s="63"/>
    </row>
    <row r="923" spans="7:14" ht="12.75">
      <c r="G923" s="63"/>
      <c r="H923" s="63"/>
      <c r="I923" s="63"/>
      <c r="J923" s="63"/>
      <c r="K923" s="63"/>
      <c r="L923" s="63"/>
      <c r="M923" s="63"/>
      <c r="N923" s="63"/>
    </row>
    <row r="924" spans="7:14" ht="12.75">
      <c r="G924" s="63"/>
      <c r="H924" s="63"/>
      <c r="I924" s="63"/>
      <c r="J924" s="63"/>
      <c r="K924" s="63"/>
      <c r="L924" s="63"/>
      <c r="M924" s="63"/>
      <c r="N924" s="63"/>
    </row>
    <row r="925" spans="7:14" ht="12.75">
      <c r="G925" s="63"/>
      <c r="H925" s="63"/>
      <c r="I925" s="63"/>
      <c r="J925" s="63"/>
      <c r="K925" s="63"/>
      <c r="L925" s="63"/>
      <c r="M925" s="63"/>
      <c r="N925" s="63"/>
    </row>
    <row r="926" spans="7:14" ht="12.75">
      <c r="G926" s="63"/>
      <c r="H926" s="63"/>
      <c r="I926" s="63"/>
      <c r="J926" s="63"/>
      <c r="K926" s="63"/>
      <c r="L926" s="63"/>
      <c r="M926" s="63"/>
      <c r="N926" s="63"/>
    </row>
    <row r="927" spans="7:14" ht="12.75">
      <c r="G927" s="63"/>
      <c r="H927" s="63"/>
      <c r="I927" s="63"/>
      <c r="J927" s="63"/>
      <c r="K927" s="63"/>
      <c r="L927" s="63"/>
      <c r="M927" s="63"/>
      <c r="N927" s="63"/>
    </row>
    <row r="928" spans="7:14" ht="12.75">
      <c r="G928" s="63"/>
      <c r="H928" s="63"/>
      <c r="I928" s="63"/>
      <c r="J928" s="63"/>
      <c r="K928" s="63"/>
      <c r="L928" s="63"/>
      <c r="M928" s="63"/>
      <c r="N928" s="63"/>
    </row>
    <row r="929" spans="7:14" ht="12.75">
      <c r="G929" s="63"/>
      <c r="H929" s="63"/>
      <c r="I929" s="63"/>
      <c r="J929" s="63"/>
      <c r="K929" s="63"/>
      <c r="L929" s="63"/>
      <c r="M929" s="63"/>
      <c r="N929" s="63"/>
    </row>
    <row r="930" spans="7:14" ht="12.75">
      <c r="G930" s="63"/>
      <c r="H930" s="63"/>
      <c r="I930" s="63"/>
      <c r="J930" s="63"/>
      <c r="K930" s="63"/>
      <c r="L930" s="63"/>
      <c r="M930" s="63"/>
      <c r="N930" s="63"/>
    </row>
    <row r="931" spans="7:14" ht="12.75">
      <c r="G931" s="63"/>
      <c r="H931" s="63"/>
      <c r="I931" s="63"/>
      <c r="J931" s="63"/>
      <c r="K931" s="63"/>
      <c r="L931" s="63"/>
      <c r="M931" s="63"/>
      <c r="N931" s="63"/>
    </row>
    <row r="932" spans="7:14" ht="12.75">
      <c r="G932" s="63"/>
      <c r="H932" s="63"/>
      <c r="I932" s="63"/>
      <c r="J932" s="63"/>
      <c r="K932" s="63"/>
      <c r="L932" s="63"/>
      <c r="M932" s="63"/>
      <c r="N932" s="63"/>
    </row>
    <row r="933" spans="7:14" ht="12.75">
      <c r="G933" s="63"/>
      <c r="H933" s="63"/>
      <c r="I933" s="63"/>
      <c r="J933" s="63"/>
      <c r="K933" s="63"/>
      <c r="L933" s="63"/>
      <c r="M933" s="63"/>
      <c r="N933" s="63"/>
    </row>
    <row r="934" spans="7:14" ht="12.75">
      <c r="G934" s="63"/>
      <c r="H934" s="63"/>
      <c r="I934" s="63"/>
      <c r="J934" s="63"/>
      <c r="K934" s="63"/>
      <c r="L934" s="63"/>
      <c r="M934" s="63"/>
      <c r="N934" s="63"/>
    </row>
    <row r="935" spans="7:14" ht="12.75">
      <c r="G935" s="63"/>
      <c r="H935" s="63"/>
      <c r="I935" s="63"/>
      <c r="J935" s="63"/>
      <c r="K935" s="63"/>
      <c r="L935" s="63"/>
      <c r="M935" s="63"/>
      <c r="N935" s="63"/>
    </row>
    <row r="936" spans="7:14" ht="12.75">
      <c r="G936" s="63"/>
      <c r="H936" s="63"/>
      <c r="I936" s="63"/>
      <c r="J936" s="63"/>
      <c r="K936" s="63"/>
      <c r="L936" s="63"/>
      <c r="M936" s="63"/>
      <c r="N936" s="63"/>
    </row>
    <row r="937" spans="7:14" ht="12.75">
      <c r="G937" s="63"/>
      <c r="H937" s="63"/>
      <c r="I937" s="63"/>
      <c r="J937" s="63"/>
      <c r="K937" s="63"/>
      <c r="L937" s="63"/>
      <c r="M937" s="63"/>
      <c r="N937" s="63"/>
    </row>
    <row r="938" spans="7:14" ht="12.75">
      <c r="G938" s="63"/>
      <c r="H938" s="63"/>
      <c r="I938" s="63"/>
      <c r="J938" s="63"/>
      <c r="K938" s="63"/>
      <c r="L938" s="63"/>
      <c r="M938" s="63"/>
      <c r="N938" s="63"/>
    </row>
    <row r="939" spans="7:14" ht="12.75">
      <c r="G939" s="63"/>
      <c r="H939" s="63"/>
      <c r="I939" s="63"/>
      <c r="J939" s="63"/>
      <c r="K939" s="63"/>
      <c r="L939" s="63"/>
      <c r="M939" s="63"/>
      <c r="N939" s="63"/>
    </row>
    <row r="940" spans="7:14" ht="12.75">
      <c r="G940" s="63"/>
      <c r="H940" s="63"/>
      <c r="I940" s="63"/>
      <c r="J940" s="63"/>
      <c r="K940" s="63"/>
      <c r="L940" s="63"/>
      <c r="M940" s="63"/>
      <c r="N940" s="63"/>
    </row>
    <row r="941" spans="7:14" ht="12.75">
      <c r="G941" s="63"/>
      <c r="H941" s="63"/>
      <c r="I941" s="63"/>
      <c r="J941" s="63"/>
      <c r="K941" s="63"/>
      <c r="L941" s="63"/>
      <c r="M941" s="63"/>
      <c r="N941" s="63"/>
    </row>
    <row r="942" spans="7:14" ht="12.75">
      <c r="G942" s="63"/>
      <c r="H942" s="63"/>
      <c r="I942" s="63"/>
      <c r="J942" s="63"/>
      <c r="K942" s="63"/>
      <c r="L942" s="63"/>
      <c r="M942" s="63"/>
      <c r="N942" s="63"/>
    </row>
    <row r="943" spans="7:14" ht="12.75">
      <c r="G943" s="63"/>
      <c r="H943" s="63"/>
      <c r="I943" s="63"/>
      <c r="J943" s="63"/>
      <c r="K943" s="63"/>
      <c r="L943" s="63"/>
      <c r="M943" s="63"/>
      <c r="N943" s="63"/>
    </row>
    <row r="944" spans="7:14" ht="12.75">
      <c r="G944" s="63"/>
      <c r="H944" s="63"/>
      <c r="I944" s="63"/>
      <c r="J944" s="63"/>
      <c r="K944" s="63"/>
      <c r="L944" s="63"/>
      <c r="M944" s="63"/>
      <c r="N944" s="63"/>
    </row>
    <row r="945" spans="7:14" ht="12.75">
      <c r="G945" s="63"/>
      <c r="H945" s="63"/>
      <c r="I945" s="63"/>
      <c r="J945" s="63"/>
      <c r="K945" s="63"/>
      <c r="L945" s="63"/>
      <c r="M945" s="63"/>
      <c r="N945" s="63"/>
    </row>
    <row r="946" spans="7:14" ht="12.75">
      <c r="G946" s="63"/>
      <c r="H946" s="63"/>
      <c r="I946" s="63"/>
      <c r="J946" s="63"/>
      <c r="K946" s="63"/>
      <c r="L946" s="63"/>
      <c r="M946" s="63"/>
      <c r="N946" s="63"/>
    </row>
    <row r="947" spans="7:14" ht="12.75">
      <c r="G947" s="63"/>
      <c r="H947" s="63"/>
      <c r="I947" s="63"/>
      <c r="J947" s="63"/>
      <c r="K947" s="63"/>
      <c r="L947" s="63"/>
      <c r="M947" s="63"/>
      <c r="N947" s="63"/>
    </row>
    <row r="948" spans="7:14" ht="12.75">
      <c r="G948" s="63"/>
      <c r="H948" s="63"/>
      <c r="I948" s="63"/>
      <c r="J948" s="63"/>
      <c r="K948" s="63"/>
      <c r="L948" s="63"/>
      <c r="M948" s="63"/>
      <c r="N948" s="63"/>
    </row>
    <row r="949" spans="7:14" ht="12.75">
      <c r="G949" s="63"/>
      <c r="H949" s="63"/>
      <c r="I949" s="63"/>
      <c r="J949" s="63"/>
      <c r="K949" s="63"/>
      <c r="L949" s="63"/>
      <c r="M949" s="63"/>
      <c r="N949" s="63"/>
    </row>
    <row r="950" spans="7:14" ht="12.75">
      <c r="G950" s="63"/>
      <c r="H950" s="63"/>
      <c r="I950" s="63"/>
      <c r="J950" s="63"/>
      <c r="K950" s="63"/>
      <c r="L950" s="63"/>
      <c r="M950" s="63"/>
      <c r="N950" s="63"/>
    </row>
    <row r="951" spans="7:14" ht="12.75">
      <c r="G951" s="63"/>
      <c r="H951" s="63"/>
      <c r="I951" s="63"/>
      <c r="J951" s="63"/>
      <c r="K951" s="63"/>
      <c r="L951" s="63"/>
      <c r="M951" s="63"/>
      <c r="N951" s="63"/>
    </row>
    <row r="952" spans="7:14" ht="12.75">
      <c r="G952" s="63"/>
      <c r="H952" s="63"/>
      <c r="I952" s="63"/>
      <c r="J952" s="63"/>
      <c r="K952" s="63"/>
      <c r="L952" s="63"/>
      <c r="M952" s="63"/>
      <c r="N952" s="63"/>
    </row>
    <row r="953" spans="7:14" ht="12.75">
      <c r="G953" s="63"/>
      <c r="H953" s="63"/>
      <c r="I953" s="63"/>
      <c r="J953" s="63"/>
      <c r="K953" s="63"/>
      <c r="L953" s="63"/>
      <c r="M953" s="63"/>
      <c r="N953" s="63"/>
    </row>
    <row r="954" spans="7:14" ht="12.75">
      <c r="G954" s="63"/>
      <c r="H954" s="63"/>
      <c r="I954" s="63"/>
      <c r="J954" s="63"/>
      <c r="K954" s="63"/>
      <c r="L954" s="63"/>
      <c r="M954" s="63"/>
      <c r="N954" s="63"/>
    </row>
    <row r="955" spans="7:14" ht="12.75">
      <c r="G955" s="63"/>
      <c r="H955" s="63"/>
      <c r="I955" s="63"/>
      <c r="J955" s="63"/>
      <c r="K955" s="63"/>
      <c r="L955" s="63"/>
      <c r="M955" s="63"/>
      <c r="N955" s="63"/>
    </row>
    <row r="956" spans="7:14" ht="12.75">
      <c r="G956" s="63"/>
      <c r="H956" s="63"/>
      <c r="I956" s="63"/>
      <c r="J956" s="63"/>
      <c r="K956" s="63"/>
      <c r="L956" s="63"/>
      <c r="M956" s="63"/>
      <c r="N956" s="63"/>
    </row>
    <row r="957" spans="7:14" ht="12.75">
      <c r="G957" s="63"/>
      <c r="H957" s="63"/>
      <c r="I957" s="63"/>
      <c r="J957" s="63"/>
      <c r="K957" s="63"/>
      <c r="L957" s="63"/>
      <c r="M957" s="63"/>
      <c r="N957" s="63"/>
    </row>
    <row r="958" spans="7:14" ht="12.75">
      <c r="G958" s="63"/>
      <c r="H958" s="63"/>
      <c r="I958" s="63"/>
      <c r="J958" s="63"/>
      <c r="K958" s="63"/>
      <c r="L958" s="63"/>
      <c r="M958" s="63"/>
      <c r="N958" s="63"/>
    </row>
    <row r="959" spans="7:14" ht="12.75">
      <c r="G959" s="63"/>
      <c r="H959" s="63"/>
      <c r="I959" s="63"/>
      <c r="J959" s="63"/>
      <c r="K959" s="63"/>
      <c r="L959" s="63"/>
      <c r="M959" s="63"/>
      <c r="N959" s="63"/>
    </row>
    <row r="960" spans="7:14" ht="12.75">
      <c r="G960" s="63"/>
      <c r="H960" s="63"/>
      <c r="I960" s="63"/>
      <c r="J960" s="63"/>
      <c r="K960" s="63"/>
      <c r="L960" s="63"/>
      <c r="M960" s="63"/>
      <c r="N960" s="63"/>
    </row>
    <row r="961" spans="7:14" ht="12.75">
      <c r="G961" s="63"/>
      <c r="H961" s="63"/>
      <c r="I961" s="63"/>
      <c r="J961" s="63"/>
      <c r="K961" s="63"/>
      <c r="L961" s="63"/>
      <c r="M961" s="63"/>
      <c r="N961" s="63"/>
    </row>
    <row r="962" spans="7:14" ht="12.75">
      <c r="G962" s="63"/>
      <c r="H962" s="63"/>
      <c r="I962" s="63"/>
      <c r="J962" s="63"/>
      <c r="K962" s="63"/>
      <c r="L962" s="63"/>
      <c r="M962" s="63"/>
      <c r="N962" s="63"/>
    </row>
    <row r="963" spans="7:14" ht="12.75">
      <c r="G963" s="63"/>
      <c r="H963" s="63"/>
      <c r="I963" s="63"/>
      <c r="J963" s="63"/>
      <c r="K963" s="63"/>
      <c r="L963" s="63"/>
      <c r="M963" s="63"/>
      <c r="N963" s="63"/>
    </row>
    <row r="964" spans="7:14" ht="12.75">
      <c r="G964" s="63"/>
      <c r="H964" s="63"/>
      <c r="I964" s="63"/>
      <c r="J964" s="63"/>
      <c r="K964" s="63"/>
      <c r="L964" s="63"/>
      <c r="M964" s="63"/>
      <c r="N964" s="63"/>
    </row>
    <row r="965" spans="7:14" ht="12.75">
      <c r="G965" s="63"/>
      <c r="H965" s="63"/>
      <c r="I965" s="63"/>
      <c r="J965" s="63"/>
      <c r="K965" s="63"/>
      <c r="L965" s="63"/>
      <c r="M965" s="63"/>
      <c r="N965" s="63"/>
    </row>
    <row r="966" spans="7:14" ht="12.75">
      <c r="G966" s="63"/>
      <c r="H966" s="63"/>
      <c r="I966" s="63"/>
      <c r="J966" s="63"/>
      <c r="K966" s="63"/>
      <c r="L966" s="63"/>
      <c r="M966" s="63"/>
      <c r="N966" s="63"/>
    </row>
    <row r="967" spans="7:14" ht="12.75">
      <c r="G967" s="63"/>
      <c r="H967" s="63"/>
      <c r="I967" s="63"/>
      <c r="J967" s="63"/>
      <c r="K967" s="63"/>
      <c r="L967" s="63"/>
      <c r="M967" s="63"/>
      <c r="N967" s="63"/>
    </row>
    <row r="968" spans="7:14" ht="12.75">
      <c r="G968" s="63"/>
      <c r="H968" s="63"/>
      <c r="I968" s="63"/>
      <c r="J968" s="63"/>
      <c r="K968" s="63"/>
      <c r="L968" s="63"/>
      <c r="M968" s="63"/>
      <c r="N968" s="63"/>
    </row>
    <row r="969" spans="7:14" ht="12.75">
      <c r="G969" s="63"/>
      <c r="H969" s="63"/>
      <c r="I969" s="63"/>
      <c r="J969" s="63"/>
      <c r="K969" s="63"/>
      <c r="L969" s="63"/>
      <c r="M969" s="63"/>
      <c r="N969" s="63"/>
    </row>
    <row r="970" spans="7:14" ht="12.75">
      <c r="G970" s="63"/>
      <c r="H970" s="63"/>
      <c r="I970" s="63"/>
      <c r="J970" s="63"/>
      <c r="K970" s="63"/>
      <c r="L970" s="63"/>
      <c r="M970" s="63"/>
      <c r="N970" s="63"/>
    </row>
    <row r="971" spans="7:14" ht="12.75">
      <c r="G971" s="63"/>
      <c r="H971" s="63"/>
      <c r="I971" s="63"/>
      <c r="J971" s="63"/>
      <c r="K971" s="63"/>
      <c r="L971" s="63"/>
      <c r="M971" s="63"/>
      <c r="N971" s="63"/>
    </row>
    <row r="972" spans="7:14" ht="12.75">
      <c r="G972" s="63"/>
      <c r="H972" s="63"/>
      <c r="I972" s="63"/>
      <c r="J972" s="63"/>
      <c r="K972" s="63"/>
      <c r="L972" s="63"/>
      <c r="M972" s="63"/>
      <c r="N972" s="63"/>
    </row>
    <row r="973" spans="7:14" ht="12.75">
      <c r="G973" s="63"/>
      <c r="H973" s="63"/>
      <c r="I973" s="63"/>
      <c r="J973" s="63"/>
      <c r="K973" s="63"/>
      <c r="L973" s="63"/>
      <c r="M973" s="63"/>
      <c r="N973" s="63"/>
    </row>
    <row r="974" spans="7:14" ht="12.75">
      <c r="G974" s="63"/>
      <c r="H974" s="63"/>
      <c r="I974" s="63"/>
      <c r="J974" s="63"/>
      <c r="K974" s="63"/>
      <c r="L974" s="63"/>
      <c r="M974" s="63"/>
      <c r="N974" s="63"/>
    </row>
    <row r="975" spans="7:14" ht="12.75">
      <c r="G975" s="63"/>
      <c r="H975" s="63"/>
      <c r="I975" s="63"/>
      <c r="J975" s="63"/>
      <c r="K975" s="63"/>
      <c r="L975" s="63"/>
      <c r="M975" s="63"/>
      <c r="N975" s="63"/>
    </row>
  </sheetData>
  <hyperlinks>
    <hyperlink ref="O4" r:id="rId1" xr:uid="{00000000-0004-0000-1700-000000000000}"/>
    <hyperlink ref="O5" r:id="rId2" xr:uid="{00000000-0004-0000-1700-000001000000}"/>
    <hyperlink ref="O6" r:id="rId3" xr:uid="{00000000-0004-0000-1700-000002000000}"/>
    <hyperlink ref="O7" r:id="rId4" xr:uid="{00000000-0004-0000-1700-000003000000}"/>
    <hyperlink ref="O8" r:id="rId5" xr:uid="{00000000-0004-0000-1700-000004000000}"/>
    <hyperlink ref="O9" r:id="rId6" xr:uid="{00000000-0004-0000-1700-000005000000}"/>
    <hyperlink ref="O10" r:id="rId7" xr:uid="{00000000-0004-0000-1700-000006000000}"/>
    <hyperlink ref="O11" r:id="rId8" xr:uid="{00000000-0004-0000-1700-000007000000}"/>
    <hyperlink ref="O12" r:id="rId9" xr:uid="{00000000-0004-0000-1700-000008000000}"/>
    <hyperlink ref="O13" r:id="rId10" xr:uid="{00000000-0004-0000-1700-000009000000}"/>
    <hyperlink ref="O14" r:id="rId11" xr:uid="{00000000-0004-0000-1700-00000A000000}"/>
    <hyperlink ref="O15" r:id="rId12" xr:uid="{00000000-0004-0000-1700-00000B000000}"/>
    <hyperlink ref="O16" r:id="rId13" xr:uid="{00000000-0004-0000-1700-00000C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J96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8.28515625" customWidth="1"/>
    <col min="2" max="2" width="7.5703125" customWidth="1"/>
    <col min="3" max="3" width="6.85546875" customWidth="1"/>
    <col min="4" max="4" width="8.42578125" customWidth="1"/>
    <col min="5" max="6" width="16.42578125" customWidth="1"/>
    <col min="7" max="7" width="10.28515625" customWidth="1"/>
    <col min="9" max="9" width="8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59" t="s">
        <v>539</v>
      </c>
      <c r="H1" s="1" t="s">
        <v>604</v>
      </c>
      <c r="J1" s="1" t="s">
        <v>8</v>
      </c>
    </row>
    <row r="2" spans="1:10" ht="15.75" customHeight="1">
      <c r="A2" s="3">
        <v>75</v>
      </c>
      <c r="B2" s="3">
        <v>300</v>
      </c>
      <c r="C2" s="3">
        <f t="shared" ref="C2:C3" si="0">B2/A2</f>
        <v>4</v>
      </c>
      <c r="D2" s="3">
        <v>183</v>
      </c>
      <c r="E2" s="3" t="s">
        <v>19</v>
      </c>
      <c r="F2" s="3" t="s">
        <v>65</v>
      </c>
      <c r="G2" s="4">
        <v>9.9189814814814817E-3</v>
      </c>
      <c r="H2" s="4">
        <v>1.8402777777777777E-3</v>
      </c>
      <c r="I2" s="28" t="str">
        <f t="shared" ref="I2:I3" si="1">HYPERLINK("https://www.strava.com/activities/2760816431","Strava")</f>
        <v>Strava</v>
      </c>
    </row>
    <row r="3" spans="1:10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286</v>
      </c>
      <c r="F3" s="3" t="s">
        <v>286</v>
      </c>
      <c r="G3" s="4">
        <v>1.0115740740740741E-2</v>
      </c>
      <c r="H3" s="4">
        <v>1.8981481481481482E-3</v>
      </c>
      <c r="I3" s="28" t="str">
        <f t="shared" si="1"/>
        <v>Strava</v>
      </c>
    </row>
    <row r="4" spans="1:10" ht="15.75" customHeight="1">
      <c r="A4" s="3"/>
      <c r="B4" s="3"/>
      <c r="C4" s="3"/>
      <c r="D4" s="3"/>
      <c r="E4" s="3"/>
      <c r="F4" s="3"/>
      <c r="G4" s="4"/>
      <c r="H4" s="4"/>
    </row>
    <row r="5" spans="1:10" ht="15.75" customHeight="1">
      <c r="A5" s="3"/>
      <c r="B5" s="3"/>
      <c r="C5" s="3"/>
      <c r="D5" s="3"/>
      <c r="E5" s="3"/>
      <c r="F5" s="3"/>
      <c r="G5" s="3"/>
      <c r="H5" s="4"/>
    </row>
    <row r="6" spans="1:10" ht="15.75" customHeight="1">
      <c r="A6" s="3"/>
      <c r="B6" s="3"/>
      <c r="C6" s="3"/>
      <c r="D6" s="3"/>
      <c r="E6" s="3"/>
      <c r="F6" s="3"/>
      <c r="G6" s="3"/>
      <c r="H6" s="4"/>
    </row>
    <row r="7" spans="1:10" ht="15.75" customHeight="1">
      <c r="A7" s="3"/>
      <c r="B7" s="3"/>
      <c r="C7" s="3"/>
      <c r="D7" s="3"/>
      <c r="E7" s="3"/>
      <c r="F7" s="3"/>
      <c r="G7" s="3"/>
      <c r="H7" s="4"/>
    </row>
    <row r="8" spans="1:10" ht="15.75" customHeight="1">
      <c r="A8" s="3"/>
      <c r="B8" s="3"/>
      <c r="C8" s="3"/>
      <c r="D8" s="3"/>
      <c r="E8" s="3"/>
      <c r="F8" s="3"/>
      <c r="G8" s="3"/>
      <c r="H8" s="4"/>
    </row>
    <row r="9" spans="1:10" ht="15.75" customHeight="1">
      <c r="A9" s="3"/>
      <c r="B9" s="3"/>
      <c r="C9" s="3"/>
      <c r="D9" s="3"/>
      <c r="E9" s="3"/>
      <c r="F9" s="3"/>
      <c r="G9" s="3"/>
      <c r="H9" s="4"/>
      <c r="I9" s="48"/>
    </row>
    <row r="10" spans="1:10" ht="15.75" customHeight="1">
      <c r="A10" s="3"/>
      <c r="B10" s="3"/>
      <c r="C10" s="3"/>
      <c r="D10" s="3"/>
      <c r="E10" s="3"/>
      <c r="F10" s="3"/>
      <c r="G10" s="3"/>
      <c r="H10" s="4"/>
      <c r="I10" s="48"/>
    </row>
    <row r="11" spans="1:10" ht="15.75" customHeight="1">
      <c r="A11" s="3"/>
      <c r="B11" s="3"/>
      <c r="C11" s="3"/>
      <c r="D11" s="3"/>
      <c r="E11" s="3"/>
      <c r="F11" s="3"/>
      <c r="G11" s="3"/>
      <c r="H11" s="4"/>
      <c r="I11" s="48"/>
    </row>
    <row r="12" spans="1:10" ht="15.75" customHeight="1">
      <c r="G12" s="4"/>
      <c r="H12" s="4"/>
    </row>
    <row r="13" spans="1:10" ht="15.75" customHeight="1">
      <c r="G13" s="4"/>
      <c r="H13" s="4"/>
    </row>
    <row r="14" spans="1:10" ht="15.75" customHeight="1">
      <c r="G14" s="4"/>
      <c r="H14" s="4"/>
    </row>
    <row r="15" spans="1:10" ht="15.75" customHeight="1">
      <c r="G15" s="4"/>
      <c r="H15" s="4"/>
    </row>
    <row r="16" spans="1:10" ht="15.75" customHeight="1">
      <c r="G16" s="4"/>
      <c r="H16" s="4"/>
    </row>
    <row r="17" spans="7:8" ht="15.75" customHeight="1">
      <c r="G17" s="4"/>
      <c r="H17" s="4"/>
    </row>
    <row r="18" spans="7:8" ht="15.75" customHeight="1">
      <c r="G18" s="4"/>
      <c r="H18" s="4"/>
    </row>
    <row r="19" spans="7:8" ht="15.75" customHeight="1">
      <c r="G19" s="4"/>
      <c r="H19" s="4"/>
    </row>
    <row r="20" spans="7:8" ht="15.75" customHeight="1">
      <c r="G20" s="4"/>
      <c r="H20" s="4"/>
    </row>
    <row r="21" spans="7:8" ht="15.75" customHeight="1">
      <c r="G21" s="4"/>
      <c r="H21" s="4"/>
    </row>
    <row r="22" spans="7:8" ht="15.75" customHeight="1">
      <c r="G22" s="4"/>
      <c r="H22" s="4"/>
    </row>
    <row r="23" spans="7:8" ht="15.75" customHeight="1">
      <c r="G23" s="4"/>
      <c r="H23" s="4"/>
    </row>
    <row r="24" spans="7:8" ht="15.75" customHeight="1">
      <c r="G24" s="4"/>
      <c r="H24" s="4"/>
    </row>
    <row r="25" spans="7:8" ht="15.75" customHeight="1">
      <c r="G25" s="4"/>
      <c r="H25" s="4"/>
    </row>
    <row r="26" spans="7:8" ht="15.75" customHeight="1">
      <c r="G26" s="4"/>
      <c r="H26" s="4"/>
    </row>
    <row r="27" spans="7:8" ht="15.75" customHeight="1">
      <c r="G27" s="4"/>
      <c r="H27" s="4"/>
    </row>
    <row r="28" spans="7:8" ht="15.75" customHeight="1">
      <c r="G28" s="63"/>
      <c r="H28" s="63"/>
    </row>
    <row r="29" spans="7:8" ht="15.75" customHeight="1">
      <c r="G29" s="63"/>
      <c r="H29" s="63"/>
    </row>
    <row r="30" spans="7:8" ht="15.75" customHeight="1">
      <c r="G30" s="63"/>
      <c r="H30" s="63"/>
    </row>
    <row r="31" spans="7:8" ht="15.75" customHeight="1">
      <c r="G31" s="63"/>
      <c r="H31" s="63"/>
    </row>
    <row r="32" spans="7:8" ht="15.75" customHeight="1">
      <c r="G32" s="63"/>
      <c r="H32" s="63"/>
    </row>
    <row r="33" spans="7:8" ht="15.75" customHeight="1">
      <c r="G33" s="63"/>
      <c r="H33" s="63"/>
    </row>
    <row r="34" spans="7:8" ht="15.75" customHeight="1">
      <c r="G34" s="63"/>
      <c r="H34" s="63"/>
    </row>
    <row r="35" spans="7:8" ht="15.75" customHeight="1">
      <c r="G35" s="63"/>
      <c r="H35" s="63"/>
    </row>
    <row r="36" spans="7:8" ht="15.75" customHeight="1">
      <c r="G36" s="63"/>
      <c r="H36" s="63"/>
    </row>
    <row r="37" spans="7:8" ht="12.75">
      <c r="G37" s="63"/>
      <c r="H37" s="63"/>
    </row>
    <row r="38" spans="7:8" ht="12.75">
      <c r="G38" s="63"/>
      <c r="H38" s="63"/>
    </row>
    <row r="39" spans="7:8" ht="12.75">
      <c r="G39" s="63"/>
      <c r="H39" s="63"/>
    </row>
    <row r="40" spans="7:8" ht="12.75">
      <c r="G40" s="63"/>
      <c r="H40" s="63"/>
    </row>
    <row r="41" spans="7:8" ht="12.75">
      <c r="G41" s="63"/>
      <c r="H41" s="63"/>
    </row>
    <row r="42" spans="7:8" ht="12.75">
      <c r="G42" s="63"/>
      <c r="H42" s="63"/>
    </row>
    <row r="43" spans="7:8" ht="12.75">
      <c r="G43" s="63"/>
      <c r="H43" s="63"/>
    </row>
    <row r="44" spans="7:8" ht="12.75">
      <c r="G44" s="63"/>
      <c r="H44" s="63"/>
    </row>
    <row r="45" spans="7:8" ht="12.75">
      <c r="G45" s="63"/>
      <c r="H45" s="63"/>
    </row>
    <row r="46" spans="7:8" ht="12.75">
      <c r="G46" s="63"/>
      <c r="H46" s="63"/>
    </row>
    <row r="47" spans="7:8" ht="12.75">
      <c r="G47" s="63"/>
      <c r="H47" s="63"/>
    </row>
    <row r="48" spans="7:8" ht="12.75">
      <c r="G48" s="63"/>
      <c r="H48" s="63"/>
    </row>
    <row r="49" spans="7:8" ht="12.75">
      <c r="G49" s="63"/>
      <c r="H49" s="63"/>
    </row>
    <row r="50" spans="7:8" ht="12.75">
      <c r="G50" s="63"/>
      <c r="H50" s="63"/>
    </row>
    <row r="51" spans="7:8" ht="12.75">
      <c r="G51" s="63"/>
      <c r="H51" s="63"/>
    </row>
    <row r="52" spans="7:8" ht="12.75">
      <c r="G52" s="63"/>
      <c r="H52" s="63"/>
    </row>
    <row r="53" spans="7:8" ht="12.75">
      <c r="G53" s="63"/>
      <c r="H53" s="63"/>
    </row>
    <row r="54" spans="7:8" ht="12.75">
      <c r="G54" s="63"/>
      <c r="H54" s="63"/>
    </row>
    <row r="55" spans="7:8" ht="12.75">
      <c r="G55" s="63"/>
      <c r="H55" s="63"/>
    </row>
    <row r="56" spans="7:8" ht="12.75">
      <c r="G56" s="63"/>
      <c r="H56" s="63"/>
    </row>
    <row r="57" spans="7:8" ht="12.75">
      <c r="G57" s="63"/>
      <c r="H57" s="63"/>
    </row>
    <row r="58" spans="7:8" ht="12.75">
      <c r="G58" s="63"/>
      <c r="H58" s="63"/>
    </row>
    <row r="59" spans="7:8" ht="12.75">
      <c r="G59" s="63"/>
      <c r="H59" s="63"/>
    </row>
    <row r="60" spans="7:8" ht="12.75">
      <c r="G60" s="63"/>
      <c r="H60" s="63"/>
    </row>
    <row r="61" spans="7:8" ht="12.75">
      <c r="G61" s="63"/>
      <c r="H61" s="63"/>
    </row>
    <row r="62" spans="7:8" ht="12.75">
      <c r="G62" s="63"/>
      <c r="H62" s="63"/>
    </row>
    <row r="63" spans="7:8" ht="12.75">
      <c r="G63" s="63"/>
      <c r="H63" s="63"/>
    </row>
    <row r="64" spans="7:8" ht="12.75">
      <c r="G64" s="63"/>
      <c r="H64" s="63"/>
    </row>
    <row r="65" spans="7:8" ht="12.75">
      <c r="G65" s="63"/>
      <c r="H65" s="63"/>
    </row>
    <row r="66" spans="7:8" ht="12.75">
      <c r="G66" s="63"/>
      <c r="H66" s="63"/>
    </row>
    <row r="67" spans="7:8" ht="12.75">
      <c r="G67" s="63"/>
      <c r="H67" s="63"/>
    </row>
    <row r="68" spans="7:8" ht="12.75">
      <c r="G68" s="63"/>
      <c r="H68" s="63"/>
    </row>
    <row r="69" spans="7:8" ht="12.75">
      <c r="G69" s="63"/>
      <c r="H69" s="63"/>
    </row>
    <row r="70" spans="7:8" ht="12.75">
      <c r="G70" s="63"/>
      <c r="H70" s="63"/>
    </row>
    <row r="71" spans="7:8" ht="12.75">
      <c r="G71" s="63"/>
      <c r="H71" s="63"/>
    </row>
    <row r="72" spans="7:8" ht="12.75">
      <c r="G72" s="63"/>
      <c r="H72" s="63"/>
    </row>
    <row r="73" spans="7:8" ht="12.75">
      <c r="G73" s="63"/>
      <c r="H73" s="63"/>
    </row>
    <row r="74" spans="7:8" ht="12.75">
      <c r="G74" s="63"/>
      <c r="H74" s="63"/>
    </row>
    <row r="75" spans="7:8" ht="12.75">
      <c r="G75" s="63"/>
      <c r="H75" s="63"/>
    </row>
    <row r="76" spans="7:8" ht="12.75">
      <c r="G76" s="63"/>
      <c r="H76" s="63"/>
    </row>
    <row r="77" spans="7:8" ht="12.75">
      <c r="G77" s="63"/>
      <c r="H77" s="63"/>
    </row>
    <row r="78" spans="7:8" ht="12.75">
      <c r="G78" s="63"/>
      <c r="H78" s="63"/>
    </row>
    <row r="79" spans="7:8" ht="12.75">
      <c r="G79" s="63"/>
      <c r="H79" s="63"/>
    </row>
    <row r="80" spans="7:8" ht="12.75">
      <c r="G80" s="63"/>
      <c r="H80" s="63"/>
    </row>
    <row r="81" spans="7:8" ht="12.75">
      <c r="G81" s="63"/>
      <c r="H81" s="63"/>
    </row>
    <row r="82" spans="7:8" ht="12.75">
      <c r="G82" s="63"/>
      <c r="H82" s="63"/>
    </row>
    <row r="83" spans="7:8" ht="12.75">
      <c r="G83" s="63"/>
      <c r="H83" s="63"/>
    </row>
    <row r="84" spans="7:8" ht="12.75">
      <c r="G84" s="63"/>
      <c r="H84" s="63"/>
    </row>
    <row r="85" spans="7:8" ht="12.75">
      <c r="G85" s="63"/>
      <c r="H85" s="63"/>
    </row>
    <row r="86" spans="7:8" ht="12.75">
      <c r="G86" s="63"/>
      <c r="H86" s="63"/>
    </row>
    <row r="87" spans="7:8" ht="12.75">
      <c r="G87" s="63"/>
      <c r="H87" s="63"/>
    </row>
    <row r="88" spans="7:8" ht="12.75">
      <c r="G88" s="63"/>
      <c r="H88" s="63"/>
    </row>
    <row r="89" spans="7:8" ht="12.75">
      <c r="G89" s="63"/>
      <c r="H89" s="63"/>
    </row>
    <row r="90" spans="7:8" ht="12.75">
      <c r="G90" s="63"/>
      <c r="H90" s="63"/>
    </row>
    <row r="91" spans="7:8" ht="12.75">
      <c r="G91" s="63"/>
      <c r="H91" s="63"/>
    </row>
    <row r="92" spans="7:8" ht="12.75">
      <c r="G92" s="63"/>
      <c r="H92" s="63"/>
    </row>
    <row r="93" spans="7:8" ht="12.75">
      <c r="G93" s="63"/>
      <c r="H93" s="63"/>
    </row>
    <row r="94" spans="7:8" ht="12.75">
      <c r="G94" s="63"/>
      <c r="H94" s="63"/>
    </row>
    <row r="95" spans="7:8" ht="12.75">
      <c r="G95" s="63"/>
      <c r="H95" s="63"/>
    </row>
    <row r="96" spans="7:8" ht="12.75">
      <c r="G96" s="63"/>
      <c r="H96" s="63"/>
    </row>
    <row r="97" spans="7:8" ht="12.75">
      <c r="G97" s="63"/>
      <c r="H97" s="63"/>
    </row>
    <row r="98" spans="7:8" ht="12.75">
      <c r="G98" s="63"/>
      <c r="H98" s="63"/>
    </row>
    <row r="99" spans="7:8" ht="12.75">
      <c r="G99" s="63"/>
      <c r="H99" s="63"/>
    </row>
    <row r="100" spans="7:8" ht="12.75">
      <c r="G100" s="63"/>
      <c r="H100" s="63"/>
    </row>
    <row r="101" spans="7:8" ht="12.75">
      <c r="G101" s="63"/>
      <c r="H101" s="63"/>
    </row>
    <row r="102" spans="7:8" ht="12.75">
      <c r="G102" s="63"/>
      <c r="H102" s="63"/>
    </row>
    <row r="103" spans="7:8" ht="12.75">
      <c r="G103" s="63"/>
      <c r="H103" s="63"/>
    </row>
    <row r="104" spans="7:8" ht="12.75">
      <c r="G104" s="63"/>
      <c r="H104" s="63"/>
    </row>
    <row r="105" spans="7:8" ht="12.75">
      <c r="G105" s="63"/>
      <c r="H105" s="63"/>
    </row>
    <row r="106" spans="7:8" ht="12.75">
      <c r="G106" s="63"/>
      <c r="H106" s="63"/>
    </row>
    <row r="107" spans="7:8" ht="12.75">
      <c r="G107" s="63"/>
      <c r="H107" s="63"/>
    </row>
    <row r="108" spans="7:8" ht="12.75">
      <c r="G108" s="63"/>
      <c r="H108" s="63"/>
    </row>
    <row r="109" spans="7:8" ht="12.75">
      <c r="G109" s="63"/>
      <c r="H109" s="63"/>
    </row>
    <row r="110" spans="7:8" ht="12.75">
      <c r="G110" s="63"/>
      <c r="H110" s="63"/>
    </row>
    <row r="111" spans="7:8" ht="12.75">
      <c r="G111" s="63"/>
      <c r="H111" s="63"/>
    </row>
    <row r="112" spans="7:8" ht="12.75">
      <c r="G112" s="63"/>
      <c r="H112" s="63"/>
    </row>
    <row r="113" spans="7:8" ht="12.75">
      <c r="G113" s="63"/>
      <c r="H113" s="63"/>
    </row>
    <row r="114" spans="7:8" ht="12.75">
      <c r="G114" s="63"/>
      <c r="H114" s="63"/>
    </row>
    <row r="115" spans="7:8" ht="12.75">
      <c r="G115" s="63"/>
      <c r="H115" s="63"/>
    </row>
    <row r="116" spans="7:8" ht="12.75">
      <c r="G116" s="63"/>
      <c r="H116" s="63"/>
    </row>
    <row r="117" spans="7:8" ht="12.75">
      <c r="G117" s="63"/>
      <c r="H117" s="63"/>
    </row>
    <row r="118" spans="7:8" ht="12.75">
      <c r="G118" s="63"/>
      <c r="H118" s="63"/>
    </row>
    <row r="119" spans="7:8" ht="12.75">
      <c r="G119" s="63"/>
      <c r="H119" s="63"/>
    </row>
    <row r="120" spans="7:8" ht="12.75">
      <c r="G120" s="63"/>
      <c r="H120" s="63"/>
    </row>
    <row r="121" spans="7:8" ht="12.75">
      <c r="G121" s="63"/>
      <c r="H121" s="63"/>
    </row>
    <row r="122" spans="7:8" ht="12.75">
      <c r="G122" s="63"/>
      <c r="H122" s="63"/>
    </row>
    <row r="123" spans="7:8" ht="12.75">
      <c r="G123" s="63"/>
      <c r="H123" s="63"/>
    </row>
    <row r="124" spans="7:8" ht="12.75">
      <c r="G124" s="63"/>
      <c r="H124" s="63"/>
    </row>
    <row r="125" spans="7:8" ht="12.75">
      <c r="G125" s="63"/>
      <c r="H125" s="63"/>
    </row>
    <row r="126" spans="7:8" ht="12.75">
      <c r="G126" s="63"/>
      <c r="H126" s="63"/>
    </row>
    <row r="127" spans="7:8" ht="12.75">
      <c r="G127" s="63"/>
      <c r="H127" s="63"/>
    </row>
    <row r="128" spans="7:8" ht="12.75">
      <c r="G128" s="63"/>
      <c r="H128" s="63"/>
    </row>
    <row r="129" spans="7:8" ht="12.75">
      <c r="G129" s="63"/>
      <c r="H129" s="63"/>
    </row>
    <row r="130" spans="7:8" ht="12.75">
      <c r="G130" s="63"/>
      <c r="H130" s="63"/>
    </row>
    <row r="131" spans="7:8" ht="12.75">
      <c r="G131" s="63"/>
      <c r="H131" s="63"/>
    </row>
    <row r="132" spans="7:8" ht="12.75">
      <c r="G132" s="63"/>
      <c r="H132" s="63"/>
    </row>
    <row r="133" spans="7:8" ht="12.75">
      <c r="G133" s="63"/>
      <c r="H133" s="63"/>
    </row>
    <row r="134" spans="7:8" ht="12.75">
      <c r="G134" s="63"/>
      <c r="H134" s="63"/>
    </row>
    <row r="135" spans="7:8" ht="12.75">
      <c r="G135" s="63"/>
      <c r="H135" s="63"/>
    </row>
    <row r="136" spans="7:8" ht="12.75">
      <c r="G136" s="63"/>
      <c r="H136" s="63"/>
    </row>
    <row r="137" spans="7:8" ht="12.75">
      <c r="G137" s="63"/>
      <c r="H137" s="63"/>
    </row>
    <row r="138" spans="7:8" ht="12.75">
      <c r="G138" s="63"/>
      <c r="H138" s="63"/>
    </row>
    <row r="139" spans="7:8" ht="12.75">
      <c r="G139" s="63"/>
      <c r="H139" s="63"/>
    </row>
    <row r="140" spans="7:8" ht="12.75">
      <c r="G140" s="63"/>
      <c r="H140" s="63"/>
    </row>
    <row r="141" spans="7:8" ht="12.75">
      <c r="G141" s="63"/>
      <c r="H141" s="63"/>
    </row>
    <row r="142" spans="7:8" ht="12.75">
      <c r="G142" s="63"/>
      <c r="H142" s="63"/>
    </row>
    <row r="143" spans="7:8" ht="12.75">
      <c r="G143" s="63"/>
      <c r="H143" s="63"/>
    </row>
    <row r="144" spans="7:8" ht="12.75">
      <c r="G144" s="63"/>
      <c r="H144" s="63"/>
    </row>
    <row r="145" spans="7:8" ht="12.75">
      <c r="G145" s="63"/>
      <c r="H145" s="63"/>
    </row>
    <row r="146" spans="7:8" ht="12.75">
      <c r="G146" s="63"/>
      <c r="H146" s="63"/>
    </row>
    <row r="147" spans="7:8" ht="12.75">
      <c r="G147" s="63"/>
      <c r="H147" s="63"/>
    </row>
    <row r="148" spans="7:8" ht="12.75">
      <c r="G148" s="63"/>
      <c r="H148" s="63"/>
    </row>
    <row r="149" spans="7:8" ht="12.75">
      <c r="G149" s="63"/>
      <c r="H149" s="63"/>
    </row>
    <row r="150" spans="7:8" ht="12.75">
      <c r="G150" s="63"/>
      <c r="H150" s="63"/>
    </row>
    <row r="151" spans="7:8" ht="12.75">
      <c r="G151" s="63"/>
      <c r="H151" s="63"/>
    </row>
    <row r="152" spans="7:8" ht="12.75">
      <c r="G152" s="63"/>
      <c r="H152" s="63"/>
    </row>
    <row r="153" spans="7:8" ht="12.75">
      <c r="G153" s="63"/>
      <c r="H153" s="63"/>
    </row>
    <row r="154" spans="7:8" ht="12.75">
      <c r="G154" s="63"/>
      <c r="H154" s="63"/>
    </row>
    <row r="155" spans="7:8" ht="12.75">
      <c r="G155" s="63"/>
      <c r="H155" s="63"/>
    </row>
    <row r="156" spans="7:8" ht="12.75">
      <c r="G156" s="63"/>
      <c r="H156" s="63"/>
    </row>
    <row r="157" spans="7:8" ht="12.75">
      <c r="G157" s="63"/>
      <c r="H157" s="63"/>
    </row>
    <row r="158" spans="7:8" ht="12.75">
      <c r="G158" s="63"/>
      <c r="H158" s="63"/>
    </row>
    <row r="159" spans="7:8" ht="12.75">
      <c r="G159" s="63"/>
      <c r="H159" s="63"/>
    </row>
    <row r="160" spans="7:8" ht="12.75">
      <c r="G160" s="63"/>
      <c r="H160" s="63"/>
    </row>
    <row r="161" spans="7:8" ht="12.75">
      <c r="G161" s="63"/>
      <c r="H161" s="63"/>
    </row>
    <row r="162" spans="7:8" ht="12.75">
      <c r="G162" s="63"/>
      <c r="H162" s="63"/>
    </row>
    <row r="163" spans="7:8" ht="12.75">
      <c r="G163" s="63"/>
      <c r="H163" s="63"/>
    </row>
    <row r="164" spans="7:8" ht="12.75">
      <c r="G164" s="63"/>
      <c r="H164" s="63"/>
    </row>
    <row r="165" spans="7:8" ht="12.75">
      <c r="G165" s="63"/>
      <c r="H165" s="63"/>
    </row>
    <row r="166" spans="7:8" ht="12.75">
      <c r="G166" s="63"/>
      <c r="H166" s="63"/>
    </row>
    <row r="167" spans="7:8" ht="12.75">
      <c r="G167" s="63"/>
      <c r="H167" s="63"/>
    </row>
    <row r="168" spans="7:8" ht="12.75">
      <c r="G168" s="63"/>
      <c r="H168" s="63"/>
    </row>
    <row r="169" spans="7:8" ht="12.75">
      <c r="G169" s="63"/>
      <c r="H169" s="63"/>
    </row>
    <row r="170" spans="7:8" ht="12.75">
      <c r="G170" s="63"/>
      <c r="H170" s="63"/>
    </row>
    <row r="171" spans="7:8" ht="12.75">
      <c r="G171" s="63"/>
      <c r="H171" s="63"/>
    </row>
    <row r="172" spans="7:8" ht="12.75">
      <c r="G172" s="63"/>
      <c r="H172" s="63"/>
    </row>
    <row r="173" spans="7:8" ht="12.75">
      <c r="G173" s="63"/>
      <c r="H173" s="63"/>
    </row>
    <row r="174" spans="7:8" ht="12.75">
      <c r="G174" s="63"/>
      <c r="H174" s="63"/>
    </row>
    <row r="175" spans="7:8" ht="12.75">
      <c r="G175" s="63"/>
      <c r="H175" s="63"/>
    </row>
    <row r="176" spans="7:8" ht="12.75">
      <c r="G176" s="63"/>
      <c r="H176" s="63"/>
    </row>
    <row r="177" spans="7:8" ht="12.75">
      <c r="G177" s="63"/>
      <c r="H177" s="63"/>
    </row>
    <row r="178" spans="7:8" ht="12.75">
      <c r="G178" s="63"/>
      <c r="H178" s="63"/>
    </row>
    <row r="179" spans="7:8" ht="12.75">
      <c r="G179" s="63"/>
      <c r="H179" s="63"/>
    </row>
    <row r="180" spans="7:8" ht="12.75">
      <c r="G180" s="63"/>
      <c r="H180" s="63"/>
    </row>
    <row r="181" spans="7:8" ht="12.75">
      <c r="G181" s="63"/>
      <c r="H181" s="63"/>
    </row>
    <row r="182" spans="7:8" ht="12.75">
      <c r="G182" s="63"/>
      <c r="H182" s="63"/>
    </row>
    <row r="183" spans="7:8" ht="12.75">
      <c r="G183" s="63"/>
      <c r="H183" s="63"/>
    </row>
    <row r="184" spans="7:8" ht="12.75">
      <c r="G184" s="63"/>
      <c r="H184" s="63"/>
    </row>
    <row r="185" spans="7:8" ht="12.75">
      <c r="G185" s="63"/>
      <c r="H185" s="63"/>
    </row>
    <row r="186" spans="7:8" ht="12.75">
      <c r="G186" s="63"/>
      <c r="H186" s="63"/>
    </row>
    <row r="187" spans="7:8" ht="12.75">
      <c r="G187" s="63"/>
      <c r="H187" s="63"/>
    </row>
    <row r="188" spans="7:8" ht="12.75">
      <c r="G188" s="63"/>
      <c r="H188" s="63"/>
    </row>
    <row r="189" spans="7:8" ht="12.75">
      <c r="G189" s="63"/>
      <c r="H189" s="63"/>
    </row>
    <row r="190" spans="7:8" ht="12.75">
      <c r="G190" s="63"/>
      <c r="H190" s="63"/>
    </row>
    <row r="191" spans="7:8" ht="12.75">
      <c r="G191" s="63"/>
      <c r="H191" s="63"/>
    </row>
    <row r="192" spans="7:8" ht="12.75">
      <c r="G192" s="63"/>
      <c r="H192" s="63"/>
    </row>
    <row r="193" spans="7:8" ht="12.75">
      <c r="G193" s="63"/>
      <c r="H193" s="63"/>
    </row>
    <row r="194" spans="7:8" ht="12.75">
      <c r="G194" s="63"/>
      <c r="H194" s="63"/>
    </row>
    <row r="195" spans="7:8" ht="12.75">
      <c r="G195" s="63"/>
      <c r="H195" s="63"/>
    </row>
    <row r="196" spans="7:8" ht="12.75">
      <c r="G196" s="63"/>
      <c r="H196" s="63"/>
    </row>
    <row r="197" spans="7:8" ht="12.75">
      <c r="G197" s="63"/>
      <c r="H197" s="63"/>
    </row>
    <row r="198" spans="7:8" ht="12.75">
      <c r="G198" s="63"/>
      <c r="H198" s="63"/>
    </row>
    <row r="199" spans="7:8" ht="12.75">
      <c r="G199" s="63"/>
      <c r="H199" s="63"/>
    </row>
    <row r="200" spans="7:8" ht="12.75">
      <c r="G200" s="63"/>
      <c r="H200" s="63"/>
    </row>
    <row r="201" spans="7:8" ht="12.75">
      <c r="G201" s="63"/>
      <c r="H201" s="63"/>
    </row>
    <row r="202" spans="7:8" ht="12.75">
      <c r="G202" s="63"/>
      <c r="H202" s="63"/>
    </row>
    <row r="203" spans="7:8" ht="12.75">
      <c r="G203" s="63"/>
      <c r="H203" s="63"/>
    </row>
    <row r="204" spans="7:8" ht="12.75">
      <c r="G204" s="63"/>
      <c r="H204" s="63"/>
    </row>
    <row r="205" spans="7:8" ht="12.75">
      <c r="G205" s="63"/>
      <c r="H205" s="63"/>
    </row>
    <row r="206" spans="7:8" ht="12.75">
      <c r="G206" s="63"/>
      <c r="H206" s="63"/>
    </row>
    <row r="207" spans="7:8" ht="12.75">
      <c r="G207" s="63"/>
      <c r="H207" s="63"/>
    </row>
    <row r="208" spans="7:8" ht="12.75">
      <c r="G208" s="63"/>
      <c r="H208" s="63"/>
    </row>
    <row r="209" spans="7:8" ht="12.75">
      <c r="G209" s="63"/>
      <c r="H209" s="63"/>
    </row>
    <row r="210" spans="7:8" ht="12.75">
      <c r="G210" s="63"/>
      <c r="H210" s="63"/>
    </row>
    <row r="211" spans="7:8" ht="12.75">
      <c r="G211" s="63"/>
      <c r="H211" s="63"/>
    </row>
    <row r="212" spans="7:8" ht="12.75">
      <c r="G212" s="63"/>
      <c r="H212" s="63"/>
    </row>
    <row r="213" spans="7:8" ht="12.75">
      <c r="G213" s="63"/>
      <c r="H213" s="63"/>
    </row>
    <row r="214" spans="7:8" ht="12.75">
      <c r="G214" s="63"/>
      <c r="H214" s="63"/>
    </row>
    <row r="215" spans="7:8" ht="12.75">
      <c r="G215" s="63"/>
      <c r="H215" s="63"/>
    </row>
    <row r="216" spans="7:8" ht="12.75">
      <c r="G216" s="63"/>
      <c r="H216" s="63"/>
    </row>
    <row r="217" spans="7:8" ht="12.75">
      <c r="G217" s="63"/>
      <c r="H217" s="63"/>
    </row>
    <row r="218" spans="7:8" ht="12.75">
      <c r="G218" s="63"/>
      <c r="H218" s="63"/>
    </row>
    <row r="219" spans="7:8" ht="12.75">
      <c r="G219" s="63"/>
      <c r="H219" s="63"/>
    </row>
    <row r="220" spans="7:8" ht="12.75">
      <c r="G220" s="63"/>
      <c r="H220" s="63"/>
    </row>
    <row r="221" spans="7:8" ht="12.75">
      <c r="G221" s="63"/>
      <c r="H221" s="63"/>
    </row>
    <row r="222" spans="7:8" ht="12.75">
      <c r="G222" s="63"/>
      <c r="H222" s="63"/>
    </row>
    <row r="223" spans="7:8" ht="12.75">
      <c r="G223" s="63"/>
      <c r="H223" s="63"/>
    </row>
    <row r="224" spans="7:8" ht="12.75">
      <c r="G224" s="63"/>
      <c r="H224" s="63"/>
    </row>
    <row r="225" spans="7:8" ht="12.75">
      <c r="G225" s="63"/>
      <c r="H225" s="63"/>
    </row>
    <row r="226" spans="7:8" ht="12.75">
      <c r="G226" s="63"/>
      <c r="H226" s="63"/>
    </row>
    <row r="227" spans="7:8" ht="12.75">
      <c r="G227" s="63"/>
      <c r="H227" s="63"/>
    </row>
    <row r="228" spans="7:8" ht="12.75">
      <c r="G228" s="63"/>
      <c r="H228" s="63"/>
    </row>
    <row r="229" spans="7:8" ht="12.75">
      <c r="G229" s="63"/>
      <c r="H229" s="63"/>
    </row>
    <row r="230" spans="7:8" ht="12.75">
      <c r="G230" s="63"/>
      <c r="H230" s="63"/>
    </row>
    <row r="231" spans="7:8" ht="12.75">
      <c r="G231" s="63"/>
      <c r="H231" s="63"/>
    </row>
    <row r="232" spans="7:8" ht="12.75">
      <c r="G232" s="63"/>
      <c r="H232" s="63"/>
    </row>
    <row r="233" spans="7:8" ht="12.75">
      <c r="G233" s="63"/>
      <c r="H233" s="63"/>
    </row>
    <row r="234" spans="7:8" ht="12.75">
      <c r="G234" s="63"/>
      <c r="H234" s="63"/>
    </row>
    <row r="235" spans="7:8" ht="12.75">
      <c r="G235" s="63"/>
      <c r="H235" s="63"/>
    </row>
    <row r="236" spans="7:8" ht="12.75">
      <c r="G236" s="63"/>
      <c r="H236" s="63"/>
    </row>
    <row r="237" spans="7:8" ht="12.75">
      <c r="G237" s="63"/>
      <c r="H237" s="63"/>
    </row>
    <row r="238" spans="7:8" ht="12.75">
      <c r="G238" s="63"/>
      <c r="H238" s="63"/>
    </row>
    <row r="239" spans="7:8" ht="12.75">
      <c r="G239" s="63"/>
      <c r="H239" s="63"/>
    </row>
    <row r="240" spans="7:8" ht="12.75">
      <c r="G240" s="63"/>
      <c r="H240" s="63"/>
    </row>
    <row r="241" spans="7:8" ht="12.75">
      <c r="G241" s="63"/>
      <c r="H241" s="63"/>
    </row>
    <row r="242" spans="7:8" ht="12.75">
      <c r="G242" s="63"/>
      <c r="H242" s="63"/>
    </row>
    <row r="243" spans="7:8" ht="12.75">
      <c r="G243" s="63"/>
      <c r="H243" s="63"/>
    </row>
    <row r="244" spans="7:8" ht="12.75">
      <c r="G244" s="63"/>
      <c r="H244" s="63"/>
    </row>
    <row r="245" spans="7:8" ht="12.75">
      <c r="G245" s="63"/>
      <c r="H245" s="63"/>
    </row>
    <row r="246" spans="7:8" ht="12.75">
      <c r="G246" s="63"/>
      <c r="H246" s="63"/>
    </row>
    <row r="247" spans="7:8" ht="12.75">
      <c r="G247" s="63"/>
      <c r="H247" s="63"/>
    </row>
    <row r="248" spans="7:8" ht="12.75">
      <c r="G248" s="63"/>
      <c r="H248" s="63"/>
    </row>
    <row r="249" spans="7:8" ht="12.75">
      <c r="G249" s="63"/>
      <c r="H249" s="63"/>
    </row>
    <row r="250" spans="7:8" ht="12.75">
      <c r="G250" s="63"/>
      <c r="H250" s="63"/>
    </row>
    <row r="251" spans="7:8" ht="12.75">
      <c r="G251" s="63"/>
      <c r="H251" s="63"/>
    </row>
    <row r="252" spans="7:8" ht="12.75">
      <c r="G252" s="63"/>
      <c r="H252" s="63"/>
    </row>
    <row r="253" spans="7:8" ht="12.75">
      <c r="G253" s="63"/>
      <c r="H253" s="63"/>
    </row>
    <row r="254" spans="7:8" ht="12.75">
      <c r="G254" s="63"/>
      <c r="H254" s="63"/>
    </row>
    <row r="255" spans="7:8" ht="12.75">
      <c r="G255" s="63"/>
      <c r="H255" s="63"/>
    </row>
    <row r="256" spans="7:8" ht="12.75">
      <c r="G256" s="63"/>
      <c r="H256" s="63"/>
    </row>
    <row r="257" spans="7:8" ht="12.75">
      <c r="G257" s="63"/>
      <c r="H257" s="63"/>
    </row>
    <row r="258" spans="7:8" ht="12.75">
      <c r="G258" s="63"/>
      <c r="H258" s="63"/>
    </row>
    <row r="259" spans="7:8" ht="12.75">
      <c r="G259" s="63"/>
      <c r="H259" s="63"/>
    </row>
    <row r="260" spans="7:8" ht="12.75">
      <c r="G260" s="63"/>
      <c r="H260" s="63"/>
    </row>
    <row r="261" spans="7:8" ht="12.75">
      <c r="G261" s="63"/>
      <c r="H261" s="63"/>
    </row>
    <row r="262" spans="7:8" ht="12.75">
      <c r="G262" s="63"/>
      <c r="H262" s="63"/>
    </row>
    <row r="263" spans="7:8" ht="12.75">
      <c r="G263" s="63"/>
      <c r="H263" s="63"/>
    </row>
    <row r="264" spans="7:8" ht="12.75">
      <c r="G264" s="63"/>
      <c r="H264" s="63"/>
    </row>
    <row r="265" spans="7:8" ht="12.75">
      <c r="G265" s="63"/>
      <c r="H265" s="63"/>
    </row>
    <row r="266" spans="7:8" ht="12.75">
      <c r="G266" s="63"/>
      <c r="H266" s="63"/>
    </row>
    <row r="267" spans="7:8" ht="12.75">
      <c r="G267" s="63"/>
      <c r="H267" s="63"/>
    </row>
    <row r="268" spans="7:8" ht="12.75">
      <c r="G268" s="63"/>
      <c r="H268" s="63"/>
    </row>
    <row r="269" spans="7:8" ht="12.75">
      <c r="G269" s="63"/>
      <c r="H269" s="63"/>
    </row>
    <row r="270" spans="7:8" ht="12.75">
      <c r="G270" s="63"/>
      <c r="H270" s="63"/>
    </row>
    <row r="271" spans="7:8" ht="12.75">
      <c r="G271" s="63"/>
      <c r="H271" s="63"/>
    </row>
    <row r="272" spans="7:8" ht="12.75">
      <c r="G272" s="63"/>
      <c r="H272" s="63"/>
    </row>
    <row r="273" spans="7:8" ht="12.75">
      <c r="G273" s="63"/>
      <c r="H273" s="63"/>
    </row>
    <row r="274" spans="7:8" ht="12.75">
      <c r="G274" s="63"/>
      <c r="H274" s="63"/>
    </row>
    <row r="275" spans="7:8" ht="12.75">
      <c r="G275" s="63"/>
      <c r="H275" s="63"/>
    </row>
    <row r="276" spans="7:8" ht="12.75">
      <c r="G276" s="63"/>
      <c r="H276" s="63"/>
    </row>
    <row r="277" spans="7:8" ht="12.75">
      <c r="G277" s="63"/>
      <c r="H277" s="63"/>
    </row>
    <row r="278" spans="7:8" ht="12.75">
      <c r="G278" s="63"/>
      <c r="H278" s="63"/>
    </row>
    <row r="279" spans="7:8" ht="12.75">
      <c r="G279" s="63"/>
      <c r="H279" s="63"/>
    </row>
    <row r="280" spans="7:8" ht="12.75">
      <c r="G280" s="63"/>
      <c r="H280" s="63"/>
    </row>
    <row r="281" spans="7:8" ht="12.75">
      <c r="G281" s="63"/>
      <c r="H281" s="63"/>
    </row>
    <row r="282" spans="7:8" ht="12.75">
      <c r="G282" s="63"/>
      <c r="H282" s="63"/>
    </row>
    <row r="283" spans="7:8" ht="12.75">
      <c r="G283" s="63"/>
      <c r="H283" s="63"/>
    </row>
    <row r="284" spans="7:8" ht="12.75">
      <c r="G284" s="63"/>
      <c r="H284" s="63"/>
    </row>
    <row r="285" spans="7:8" ht="12.75">
      <c r="G285" s="63"/>
      <c r="H285" s="63"/>
    </row>
    <row r="286" spans="7:8" ht="12.75">
      <c r="G286" s="63"/>
      <c r="H286" s="63"/>
    </row>
    <row r="287" spans="7:8" ht="12.75">
      <c r="G287" s="63"/>
      <c r="H287" s="63"/>
    </row>
    <row r="288" spans="7:8" ht="12.75">
      <c r="G288" s="63"/>
      <c r="H288" s="63"/>
    </row>
    <row r="289" spans="7:8" ht="12.75">
      <c r="G289" s="63"/>
      <c r="H289" s="63"/>
    </row>
    <row r="290" spans="7:8" ht="12.75">
      <c r="G290" s="63"/>
      <c r="H290" s="63"/>
    </row>
    <row r="291" spans="7:8" ht="12.75">
      <c r="G291" s="63"/>
      <c r="H291" s="63"/>
    </row>
    <row r="292" spans="7:8" ht="12.75">
      <c r="G292" s="63"/>
      <c r="H292" s="63"/>
    </row>
    <row r="293" spans="7:8" ht="12.75">
      <c r="G293" s="63"/>
      <c r="H293" s="63"/>
    </row>
    <row r="294" spans="7:8" ht="12.75">
      <c r="G294" s="63"/>
      <c r="H294" s="63"/>
    </row>
    <row r="295" spans="7:8" ht="12.75">
      <c r="G295" s="63"/>
      <c r="H295" s="63"/>
    </row>
    <row r="296" spans="7:8" ht="12.75">
      <c r="G296" s="63"/>
      <c r="H296" s="63"/>
    </row>
    <row r="297" spans="7:8" ht="12.75">
      <c r="G297" s="63"/>
      <c r="H297" s="63"/>
    </row>
    <row r="298" spans="7:8" ht="12.75">
      <c r="G298" s="63"/>
      <c r="H298" s="63"/>
    </row>
    <row r="299" spans="7:8" ht="12.75">
      <c r="G299" s="63"/>
      <c r="H299" s="63"/>
    </row>
    <row r="300" spans="7:8" ht="12.75">
      <c r="G300" s="63"/>
      <c r="H300" s="63"/>
    </row>
    <row r="301" spans="7:8" ht="12.75">
      <c r="G301" s="63"/>
      <c r="H301" s="63"/>
    </row>
    <row r="302" spans="7:8" ht="12.75">
      <c r="G302" s="63"/>
      <c r="H302" s="63"/>
    </row>
    <row r="303" spans="7:8" ht="12.75">
      <c r="G303" s="63"/>
      <c r="H303" s="63"/>
    </row>
    <row r="304" spans="7:8" ht="12.75">
      <c r="G304" s="63"/>
      <c r="H304" s="63"/>
    </row>
    <row r="305" spans="7:8" ht="12.75">
      <c r="G305" s="63"/>
      <c r="H305" s="63"/>
    </row>
    <row r="306" spans="7:8" ht="12.75">
      <c r="G306" s="63"/>
      <c r="H306" s="63"/>
    </row>
    <row r="307" spans="7:8" ht="12.75">
      <c r="G307" s="63"/>
      <c r="H307" s="63"/>
    </row>
    <row r="308" spans="7:8" ht="12.75">
      <c r="G308" s="63"/>
      <c r="H308" s="63"/>
    </row>
    <row r="309" spans="7:8" ht="12.75">
      <c r="G309" s="63"/>
      <c r="H309" s="63"/>
    </row>
    <row r="310" spans="7:8" ht="12.75">
      <c r="G310" s="63"/>
      <c r="H310" s="63"/>
    </row>
    <row r="311" spans="7:8" ht="12.75">
      <c r="G311" s="63"/>
      <c r="H311" s="63"/>
    </row>
    <row r="312" spans="7:8" ht="12.75">
      <c r="G312" s="63"/>
      <c r="H312" s="63"/>
    </row>
    <row r="313" spans="7:8" ht="12.75">
      <c r="G313" s="63"/>
      <c r="H313" s="63"/>
    </row>
    <row r="314" spans="7:8" ht="12.75">
      <c r="G314" s="63"/>
      <c r="H314" s="63"/>
    </row>
    <row r="315" spans="7:8" ht="12.75">
      <c r="G315" s="63"/>
      <c r="H315" s="63"/>
    </row>
    <row r="316" spans="7:8" ht="12.75">
      <c r="G316" s="63"/>
      <c r="H316" s="63"/>
    </row>
    <row r="317" spans="7:8" ht="12.75">
      <c r="G317" s="63"/>
      <c r="H317" s="63"/>
    </row>
    <row r="318" spans="7:8" ht="12.75">
      <c r="G318" s="63"/>
      <c r="H318" s="63"/>
    </row>
    <row r="319" spans="7:8" ht="12.75">
      <c r="G319" s="63"/>
      <c r="H319" s="63"/>
    </row>
    <row r="320" spans="7:8" ht="12.75">
      <c r="G320" s="63"/>
      <c r="H320" s="63"/>
    </row>
    <row r="321" spans="7:8" ht="12.75">
      <c r="G321" s="63"/>
      <c r="H321" s="63"/>
    </row>
    <row r="322" spans="7:8" ht="12.75">
      <c r="G322" s="63"/>
      <c r="H322" s="63"/>
    </row>
    <row r="323" spans="7:8" ht="12.75">
      <c r="G323" s="63"/>
      <c r="H323" s="63"/>
    </row>
    <row r="324" spans="7:8" ht="12.75">
      <c r="G324" s="63"/>
      <c r="H324" s="63"/>
    </row>
    <row r="325" spans="7:8" ht="12.75">
      <c r="G325" s="63"/>
      <c r="H325" s="63"/>
    </row>
    <row r="326" spans="7:8" ht="12.75">
      <c r="G326" s="63"/>
      <c r="H326" s="63"/>
    </row>
    <row r="327" spans="7:8" ht="12.75">
      <c r="G327" s="63"/>
      <c r="H327" s="63"/>
    </row>
    <row r="328" spans="7:8" ht="12.75">
      <c r="G328" s="63"/>
      <c r="H328" s="63"/>
    </row>
    <row r="329" spans="7:8" ht="12.75">
      <c r="G329" s="63"/>
      <c r="H329" s="63"/>
    </row>
    <row r="330" spans="7:8" ht="12.75">
      <c r="G330" s="63"/>
      <c r="H330" s="63"/>
    </row>
    <row r="331" spans="7:8" ht="12.75">
      <c r="G331" s="63"/>
      <c r="H331" s="63"/>
    </row>
    <row r="332" spans="7:8" ht="12.75">
      <c r="G332" s="63"/>
      <c r="H332" s="63"/>
    </row>
    <row r="333" spans="7:8" ht="12.75">
      <c r="G333" s="63"/>
      <c r="H333" s="63"/>
    </row>
    <row r="334" spans="7:8" ht="12.75">
      <c r="G334" s="63"/>
      <c r="H334" s="63"/>
    </row>
    <row r="335" spans="7:8" ht="12.75">
      <c r="G335" s="63"/>
      <c r="H335" s="63"/>
    </row>
    <row r="336" spans="7:8" ht="12.75">
      <c r="G336" s="63"/>
      <c r="H336" s="63"/>
    </row>
    <row r="337" spans="7:8" ht="12.75">
      <c r="G337" s="63"/>
      <c r="H337" s="63"/>
    </row>
    <row r="338" spans="7:8" ht="12.75">
      <c r="G338" s="63"/>
      <c r="H338" s="63"/>
    </row>
    <row r="339" spans="7:8" ht="12.75">
      <c r="G339" s="63"/>
      <c r="H339" s="63"/>
    </row>
    <row r="340" spans="7:8" ht="12.75">
      <c r="G340" s="63"/>
      <c r="H340" s="63"/>
    </row>
    <row r="341" spans="7:8" ht="12.75">
      <c r="G341" s="63"/>
      <c r="H341" s="63"/>
    </row>
    <row r="342" spans="7:8" ht="12.75">
      <c r="G342" s="63"/>
      <c r="H342" s="63"/>
    </row>
    <row r="343" spans="7:8" ht="12.75">
      <c r="G343" s="63"/>
      <c r="H343" s="63"/>
    </row>
    <row r="344" spans="7:8" ht="12.75">
      <c r="G344" s="63"/>
      <c r="H344" s="63"/>
    </row>
    <row r="345" spans="7:8" ht="12.75">
      <c r="G345" s="63"/>
      <c r="H345" s="63"/>
    </row>
    <row r="346" spans="7:8" ht="12.75">
      <c r="G346" s="63"/>
      <c r="H346" s="63"/>
    </row>
    <row r="347" spans="7:8" ht="12.75">
      <c r="G347" s="63"/>
      <c r="H347" s="63"/>
    </row>
    <row r="348" spans="7:8" ht="12.75">
      <c r="G348" s="63"/>
      <c r="H348" s="63"/>
    </row>
    <row r="349" spans="7:8" ht="12.75">
      <c r="G349" s="63"/>
      <c r="H349" s="63"/>
    </row>
    <row r="350" spans="7:8" ht="12.75">
      <c r="G350" s="63"/>
      <c r="H350" s="63"/>
    </row>
    <row r="351" spans="7:8" ht="12.75">
      <c r="G351" s="63"/>
      <c r="H351" s="63"/>
    </row>
    <row r="352" spans="7:8" ht="12.75">
      <c r="G352" s="63"/>
      <c r="H352" s="63"/>
    </row>
    <row r="353" spans="7:8" ht="12.75">
      <c r="G353" s="63"/>
      <c r="H353" s="63"/>
    </row>
    <row r="354" spans="7:8" ht="12.75">
      <c r="G354" s="63"/>
      <c r="H354" s="63"/>
    </row>
    <row r="355" spans="7:8" ht="12.75">
      <c r="G355" s="63"/>
      <c r="H355" s="63"/>
    </row>
    <row r="356" spans="7:8" ht="12.75">
      <c r="G356" s="63"/>
      <c r="H356" s="63"/>
    </row>
    <row r="357" spans="7:8" ht="12.75">
      <c r="G357" s="63"/>
      <c r="H357" s="63"/>
    </row>
    <row r="358" spans="7:8" ht="12.75">
      <c r="G358" s="63"/>
      <c r="H358" s="63"/>
    </row>
    <row r="359" spans="7:8" ht="12.75">
      <c r="G359" s="63"/>
      <c r="H359" s="63"/>
    </row>
    <row r="360" spans="7:8" ht="12.75">
      <c r="G360" s="63"/>
      <c r="H360" s="63"/>
    </row>
    <row r="361" spans="7:8" ht="12.75">
      <c r="G361" s="63"/>
      <c r="H361" s="63"/>
    </row>
    <row r="362" spans="7:8" ht="12.75">
      <c r="G362" s="63"/>
      <c r="H362" s="63"/>
    </row>
    <row r="363" spans="7:8" ht="12.75">
      <c r="G363" s="63"/>
      <c r="H363" s="63"/>
    </row>
    <row r="364" spans="7:8" ht="12.75">
      <c r="G364" s="63"/>
      <c r="H364" s="63"/>
    </row>
    <row r="365" spans="7:8" ht="12.75">
      <c r="G365" s="63"/>
      <c r="H365" s="63"/>
    </row>
    <row r="366" spans="7:8" ht="12.75">
      <c r="G366" s="63"/>
      <c r="H366" s="63"/>
    </row>
    <row r="367" spans="7:8" ht="12.75">
      <c r="G367" s="63"/>
      <c r="H367" s="63"/>
    </row>
    <row r="368" spans="7:8" ht="12.75">
      <c r="G368" s="63"/>
      <c r="H368" s="63"/>
    </row>
    <row r="369" spans="7:8" ht="12.75">
      <c r="G369" s="63"/>
      <c r="H369" s="63"/>
    </row>
    <row r="370" spans="7:8" ht="12.75">
      <c r="G370" s="63"/>
      <c r="H370" s="63"/>
    </row>
    <row r="371" spans="7:8" ht="12.75">
      <c r="G371" s="63"/>
      <c r="H371" s="63"/>
    </row>
    <row r="372" spans="7:8" ht="12.75">
      <c r="G372" s="63"/>
      <c r="H372" s="63"/>
    </row>
    <row r="373" spans="7:8" ht="12.75">
      <c r="G373" s="63"/>
      <c r="H373" s="63"/>
    </row>
    <row r="374" spans="7:8" ht="12.75">
      <c r="G374" s="63"/>
      <c r="H374" s="63"/>
    </row>
    <row r="375" spans="7:8" ht="12.75">
      <c r="G375" s="63"/>
      <c r="H375" s="63"/>
    </row>
    <row r="376" spans="7:8" ht="12.75">
      <c r="G376" s="63"/>
      <c r="H376" s="63"/>
    </row>
    <row r="377" spans="7:8" ht="12.75">
      <c r="G377" s="63"/>
      <c r="H377" s="63"/>
    </row>
    <row r="378" spans="7:8" ht="12.75">
      <c r="G378" s="63"/>
      <c r="H378" s="63"/>
    </row>
    <row r="379" spans="7:8" ht="12.75">
      <c r="G379" s="63"/>
      <c r="H379" s="63"/>
    </row>
    <row r="380" spans="7:8" ht="12.75">
      <c r="G380" s="63"/>
      <c r="H380" s="63"/>
    </row>
    <row r="381" spans="7:8" ht="12.75">
      <c r="G381" s="63"/>
      <c r="H381" s="63"/>
    </row>
    <row r="382" spans="7:8" ht="12.75">
      <c r="G382" s="63"/>
      <c r="H382" s="63"/>
    </row>
    <row r="383" spans="7:8" ht="12.75">
      <c r="G383" s="63"/>
      <c r="H383" s="63"/>
    </row>
    <row r="384" spans="7:8" ht="12.75">
      <c r="G384" s="63"/>
      <c r="H384" s="63"/>
    </row>
    <row r="385" spans="7:8" ht="12.75">
      <c r="G385" s="63"/>
      <c r="H385" s="63"/>
    </row>
    <row r="386" spans="7:8" ht="12.75">
      <c r="G386" s="63"/>
      <c r="H386" s="63"/>
    </row>
    <row r="387" spans="7:8" ht="12.75">
      <c r="G387" s="63"/>
      <c r="H387" s="63"/>
    </row>
    <row r="388" spans="7:8" ht="12.75">
      <c r="G388" s="63"/>
      <c r="H388" s="63"/>
    </row>
    <row r="389" spans="7:8" ht="12.75">
      <c r="G389" s="63"/>
      <c r="H389" s="63"/>
    </row>
    <row r="390" spans="7:8" ht="12.75">
      <c r="G390" s="63"/>
      <c r="H390" s="63"/>
    </row>
    <row r="391" spans="7:8" ht="12.75">
      <c r="G391" s="63"/>
      <c r="H391" s="63"/>
    </row>
    <row r="392" spans="7:8" ht="12.75">
      <c r="G392" s="63"/>
      <c r="H392" s="63"/>
    </row>
    <row r="393" spans="7:8" ht="12.75">
      <c r="G393" s="63"/>
      <c r="H393" s="63"/>
    </row>
    <row r="394" spans="7:8" ht="12.75">
      <c r="G394" s="63"/>
      <c r="H394" s="63"/>
    </row>
    <row r="395" spans="7:8" ht="12.75">
      <c r="G395" s="63"/>
      <c r="H395" s="63"/>
    </row>
    <row r="396" spans="7:8" ht="12.75">
      <c r="G396" s="63"/>
      <c r="H396" s="63"/>
    </row>
    <row r="397" spans="7:8" ht="12.75">
      <c r="G397" s="63"/>
      <c r="H397" s="63"/>
    </row>
    <row r="398" spans="7:8" ht="12.75">
      <c r="G398" s="63"/>
      <c r="H398" s="63"/>
    </row>
    <row r="399" spans="7:8" ht="12.75">
      <c r="G399" s="63"/>
      <c r="H399" s="63"/>
    </row>
    <row r="400" spans="7:8" ht="12.75">
      <c r="G400" s="63"/>
      <c r="H400" s="63"/>
    </row>
    <row r="401" spans="7:8" ht="12.75">
      <c r="G401" s="63"/>
      <c r="H401" s="63"/>
    </row>
    <row r="402" spans="7:8" ht="12.75">
      <c r="G402" s="63"/>
      <c r="H402" s="63"/>
    </row>
    <row r="403" spans="7:8" ht="12.75">
      <c r="G403" s="63"/>
      <c r="H403" s="63"/>
    </row>
    <row r="404" spans="7:8" ht="12.75">
      <c r="G404" s="63"/>
      <c r="H404" s="63"/>
    </row>
    <row r="405" spans="7:8" ht="12.75">
      <c r="G405" s="63"/>
      <c r="H405" s="63"/>
    </row>
    <row r="406" spans="7:8" ht="12.75">
      <c r="G406" s="63"/>
      <c r="H406" s="63"/>
    </row>
    <row r="407" spans="7:8" ht="12.75">
      <c r="G407" s="63"/>
      <c r="H407" s="63"/>
    </row>
    <row r="408" spans="7:8" ht="12.75">
      <c r="G408" s="63"/>
      <c r="H408" s="63"/>
    </row>
    <row r="409" spans="7:8" ht="12.75">
      <c r="G409" s="63"/>
      <c r="H409" s="63"/>
    </row>
    <row r="410" spans="7:8" ht="12.75">
      <c r="G410" s="63"/>
      <c r="H410" s="63"/>
    </row>
    <row r="411" spans="7:8" ht="12.75">
      <c r="G411" s="63"/>
      <c r="H411" s="63"/>
    </row>
    <row r="412" spans="7:8" ht="12.75">
      <c r="G412" s="63"/>
      <c r="H412" s="63"/>
    </row>
    <row r="413" spans="7:8" ht="12.75">
      <c r="G413" s="63"/>
      <c r="H413" s="63"/>
    </row>
    <row r="414" spans="7:8" ht="12.75">
      <c r="G414" s="63"/>
      <c r="H414" s="63"/>
    </row>
    <row r="415" spans="7:8" ht="12.75">
      <c r="G415" s="63"/>
      <c r="H415" s="63"/>
    </row>
    <row r="416" spans="7:8" ht="12.75">
      <c r="G416" s="63"/>
      <c r="H416" s="63"/>
    </row>
    <row r="417" spans="7:8" ht="12.75">
      <c r="G417" s="63"/>
      <c r="H417" s="63"/>
    </row>
    <row r="418" spans="7:8" ht="12.75">
      <c r="G418" s="63"/>
      <c r="H418" s="63"/>
    </row>
    <row r="419" spans="7:8" ht="12.75">
      <c r="G419" s="63"/>
      <c r="H419" s="63"/>
    </row>
    <row r="420" spans="7:8" ht="12.75">
      <c r="G420" s="63"/>
      <c r="H420" s="63"/>
    </row>
    <row r="421" spans="7:8" ht="12.75">
      <c r="G421" s="63"/>
      <c r="H421" s="63"/>
    </row>
    <row r="422" spans="7:8" ht="12.75">
      <c r="G422" s="63"/>
      <c r="H422" s="63"/>
    </row>
    <row r="423" spans="7:8" ht="12.75">
      <c r="G423" s="63"/>
      <c r="H423" s="63"/>
    </row>
    <row r="424" spans="7:8" ht="12.75">
      <c r="G424" s="63"/>
      <c r="H424" s="63"/>
    </row>
    <row r="425" spans="7:8" ht="12.75">
      <c r="G425" s="63"/>
      <c r="H425" s="63"/>
    </row>
    <row r="426" spans="7:8" ht="12.75">
      <c r="G426" s="63"/>
      <c r="H426" s="63"/>
    </row>
    <row r="427" spans="7:8" ht="12.75">
      <c r="G427" s="63"/>
      <c r="H427" s="63"/>
    </row>
    <row r="428" spans="7:8" ht="12.75">
      <c r="G428" s="63"/>
      <c r="H428" s="63"/>
    </row>
    <row r="429" spans="7:8" ht="12.75">
      <c r="G429" s="63"/>
      <c r="H429" s="63"/>
    </row>
    <row r="430" spans="7:8" ht="12.75">
      <c r="G430" s="63"/>
      <c r="H430" s="63"/>
    </row>
    <row r="431" spans="7:8" ht="12.75">
      <c r="G431" s="63"/>
      <c r="H431" s="63"/>
    </row>
    <row r="432" spans="7:8" ht="12.75">
      <c r="G432" s="63"/>
      <c r="H432" s="63"/>
    </row>
    <row r="433" spans="7:8" ht="12.75">
      <c r="G433" s="63"/>
      <c r="H433" s="63"/>
    </row>
    <row r="434" spans="7:8" ht="12.75">
      <c r="G434" s="63"/>
      <c r="H434" s="63"/>
    </row>
    <row r="435" spans="7:8" ht="12.75">
      <c r="G435" s="63"/>
      <c r="H435" s="63"/>
    </row>
    <row r="436" spans="7:8" ht="12.75">
      <c r="G436" s="63"/>
      <c r="H436" s="63"/>
    </row>
    <row r="437" spans="7:8" ht="12.75">
      <c r="G437" s="63"/>
      <c r="H437" s="63"/>
    </row>
    <row r="438" spans="7:8" ht="12.75">
      <c r="G438" s="63"/>
      <c r="H438" s="63"/>
    </row>
    <row r="439" spans="7:8" ht="12.75">
      <c r="G439" s="63"/>
      <c r="H439" s="63"/>
    </row>
    <row r="440" spans="7:8" ht="12.75">
      <c r="G440" s="63"/>
      <c r="H440" s="63"/>
    </row>
    <row r="441" spans="7:8" ht="12.75">
      <c r="G441" s="63"/>
      <c r="H441" s="63"/>
    </row>
    <row r="442" spans="7:8" ht="12.75">
      <c r="G442" s="63"/>
      <c r="H442" s="63"/>
    </row>
    <row r="443" spans="7:8" ht="12.75">
      <c r="G443" s="63"/>
      <c r="H443" s="63"/>
    </row>
    <row r="444" spans="7:8" ht="12.75">
      <c r="G444" s="63"/>
      <c r="H444" s="63"/>
    </row>
    <row r="445" spans="7:8" ht="12.75">
      <c r="G445" s="63"/>
      <c r="H445" s="63"/>
    </row>
    <row r="446" spans="7:8" ht="12.75">
      <c r="G446" s="63"/>
      <c r="H446" s="63"/>
    </row>
    <row r="447" spans="7:8" ht="12.75">
      <c r="G447" s="63"/>
      <c r="H447" s="63"/>
    </row>
    <row r="448" spans="7:8" ht="12.75">
      <c r="G448" s="63"/>
      <c r="H448" s="63"/>
    </row>
    <row r="449" spans="7:8" ht="12.75">
      <c r="G449" s="63"/>
      <c r="H449" s="63"/>
    </row>
    <row r="450" spans="7:8" ht="12.75">
      <c r="G450" s="63"/>
      <c r="H450" s="63"/>
    </row>
    <row r="451" spans="7:8" ht="12.75">
      <c r="G451" s="63"/>
      <c r="H451" s="63"/>
    </row>
    <row r="452" spans="7:8" ht="12.75">
      <c r="G452" s="63"/>
      <c r="H452" s="63"/>
    </row>
    <row r="453" spans="7:8" ht="12.75">
      <c r="G453" s="63"/>
      <c r="H453" s="63"/>
    </row>
    <row r="454" spans="7:8" ht="12.75">
      <c r="G454" s="63"/>
      <c r="H454" s="63"/>
    </row>
    <row r="455" spans="7:8" ht="12.75">
      <c r="G455" s="63"/>
      <c r="H455" s="63"/>
    </row>
    <row r="456" spans="7:8" ht="12.75">
      <c r="G456" s="63"/>
      <c r="H456" s="63"/>
    </row>
    <row r="457" spans="7:8" ht="12.75">
      <c r="G457" s="63"/>
      <c r="H457" s="63"/>
    </row>
    <row r="458" spans="7:8" ht="12.75">
      <c r="G458" s="63"/>
      <c r="H458" s="63"/>
    </row>
    <row r="459" spans="7:8" ht="12.75">
      <c r="G459" s="63"/>
      <c r="H459" s="63"/>
    </row>
    <row r="460" spans="7:8" ht="12.75">
      <c r="G460" s="63"/>
      <c r="H460" s="63"/>
    </row>
    <row r="461" spans="7:8" ht="12.75">
      <c r="G461" s="63"/>
      <c r="H461" s="63"/>
    </row>
    <row r="462" spans="7:8" ht="12.75">
      <c r="G462" s="63"/>
      <c r="H462" s="63"/>
    </row>
    <row r="463" spans="7:8" ht="12.75">
      <c r="G463" s="63"/>
      <c r="H463" s="63"/>
    </row>
    <row r="464" spans="7:8" ht="12.75">
      <c r="G464" s="63"/>
      <c r="H464" s="63"/>
    </row>
    <row r="465" spans="7:8" ht="12.75">
      <c r="G465" s="63"/>
      <c r="H465" s="63"/>
    </row>
    <row r="466" spans="7:8" ht="12.75">
      <c r="G466" s="63"/>
      <c r="H466" s="63"/>
    </row>
    <row r="467" spans="7:8" ht="12.75">
      <c r="G467" s="63"/>
      <c r="H467" s="63"/>
    </row>
    <row r="468" spans="7:8" ht="12.75">
      <c r="G468" s="63"/>
      <c r="H468" s="63"/>
    </row>
    <row r="469" spans="7:8" ht="12.75">
      <c r="G469" s="63"/>
      <c r="H469" s="63"/>
    </row>
    <row r="470" spans="7:8" ht="12.75">
      <c r="G470" s="63"/>
      <c r="H470" s="63"/>
    </row>
    <row r="471" spans="7:8" ht="12.75">
      <c r="G471" s="63"/>
      <c r="H471" s="63"/>
    </row>
    <row r="472" spans="7:8" ht="12.75">
      <c r="G472" s="63"/>
      <c r="H472" s="63"/>
    </row>
    <row r="473" spans="7:8" ht="12.75">
      <c r="G473" s="63"/>
      <c r="H473" s="63"/>
    </row>
    <row r="474" spans="7:8" ht="12.75">
      <c r="G474" s="63"/>
      <c r="H474" s="63"/>
    </row>
    <row r="475" spans="7:8" ht="12.75">
      <c r="G475" s="63"/>
      <c r="H475" s="63"/>
    </row>
    <row r="476" spans="7:8" ht="12.75">
      <c r="G476" s="63"/>
      <c r="H476" s="63"/>
    </row>
    <row r="477" spans="7:8" ht="12.75">
      <c r="G477" s="63"/>
      <c r="H477" s="63"/>
    </row>
    <row r="478" spans="7:8" ht="12.75">
      <c r="G478" s="63"/>
      <c r="H478" s="63"/>
    </row>
    <row r="479" spans="7:8" ht="12.75">
      <c r="G479" s="63"/>
      <c r="H479" s="63"/>
    </row>
    <row r="480" spans="7:8" ht="12.75">
      <c r="G480" s="63"/>
      <c r="H480" s="63"/>
    </row>
    <row r="481" spans="7:8" ht="12.75">
      <c r="G481" s="63"/>
      <c r="H481" s="63"/>
    </row>
    <row r="482" spans="7:8" ht="12.75">
      <c r="G482" s="63"/>
      <c r="H482" s="63"/>
    </row>
    <row r="483" spans="7:8" ht="12.75">
      <c r="G483" s="63"/>
      <c r="H483" s="63"/>
    </row>
    <row r="484" spans="7:8" ht="12.75">
      <c r="G484" s="63"/>
      <c r="H484" s="63"/>
    </row>
    <row r="485" spans="7:8" ht="12.75">
      <c r="G485" s="63"/>
      <c r="H485" s="63"/>
    </row>
    <row r="486" spans="7:8" ht="12.75">
      <c r="G486" s="63"/>
      <c r="H486" s="63"/>
    </row>
    <row r="487" spans="7:8" ht="12.75">
      <c r="G487" s="63"/>
      <c r="H487" s="63"/>
    </row>
    <row r="488" spans="7:8" ht="12.75">
      <c r="G488" s="63"/>
      <c r="H488" s="63"/>
    </row>
    <row r="489" spans="7:8" ht="12.75">
      <c r="G489" s="63"/>
      <c r="H489" s="63"/>
    </row>
    <row r="490" spans="7:8" ht="12.75">
      <c r="G490" s="63"/>
      <c r="H490" s="63"/>
    </row>
    <row r="491" spans="7:8" ht="12.75">
      <c r="G491" s="63"/>
      <c r="H491" s="63"/>
    </row>
    <row r="492" spans="7:8" ht="12.75">
      <c r="G492" s="63"/>
      <c r="H492" s="63"/>
    </row>
    <row r="493" spans="7:8" ht="12.75">
      <c r="G493" s="63"/>
      <c r="H493" s="63"/>
    </row>
    <row r="494" spans="7:8" ht="12.75">
      <c r="G494" s="63"/>
      <c r="H494" s="63"/>
    </row>
    <row r="495" spans="7:8" ht="12.75">
      <c r="G495" s="63"/>
      <c r="H495" s="63"/>
    </row>
    <row r="496" spans="7:8" ht="12.75">
      <c r="G496" s="63"/>
      <c r="H496" s="63"/>
    </row>
    <row r="497" spans="7:8" ht="12.75">
      <c r="G497" s="63"/>
      <c r="H497" s="63"/>
    </row>
    <row r="498" spans="7:8" ht="12.75">
      <c r="G498" s="63"/>
      <c r="H498" s="63"/>
    </row>
    <row r="499" spans="7:8" ht="12.75">
      <c r="G499" s="63"/>
      <c r="H499" s="63"/>
    </row>
    <row r="500" spans="7:8" ht="12.75">
      <c r="G500" s="63"/>
      <c r="H500" s="63"/>
    </row>
    <row r="501" spans="7:8" ht="12.75">
      <c r="G501" s="63"/>
      <c r="H501" s="63"/>
    </row>
    <row r="502" spans="7:8" ht="12.75">
      <c r="G502" s="63"/>
      <c r="H502" s="63"/>
    </row>
    <row r="503" spans="7:8" ht="12.75">
      <c r="G503" s="63"/>
      <c r="H503" s="63"/>
    </row>
    <row r="504" spans="7:8" ht="12.75">
      <c r="G504" s="63"/>
      <c r="H504" s="63"/>
    </row>
    <row r="505" spans="7:8" ht="12.75">
      <c r="G505" s="63"/>
      <c r="H505" s="63"/>
    </row>
    <row r="506" spans="7:8" ht="12.75">
      <c r="G506" s="63"/>
      <c r="H506" s="63"/>
    </row>
    <row r="507" spans="7:8" ht="12.75">
      <c r="G507" s="63"/>
      <c r="H507" s="63"/>
    </row>
    <row r="508" spans="7:8" ht="12.75">
      <c r="G508" s="63"/>
      <c r="H508" s="63"/>
    </row>
    <row r="509" spans="7:8" ht="12.75">
      <c r="G509" s="63"/>
      <c r="H509" s="63"/>
    </row>
    <row r="510" spans="7:8" ht="12.75">
      <c r="G510" s="63"/>
      <c r="H510" s="63"/>
    </row>
    <row r="511" spans="7:8" ht="12.75">
      <c r="G511" s="63"/>
      <c r="H511" s="63"/>
    </row>
    <row r="512" spans="7:8" ht="12.75">
      <c r="G512" s="63"/>
      <c r="H512" s="63"/>
    </row>
    <row r="513" spans="7:8" ht="12.75">
      <c r="G513" s="63"/>
      <c r="H513" s="63"/>
    </row>
    <row r="514" spans="7:8" ht="12.75">
      <c r="G514" s="63"/>
      <c r="H514" s="63"/>
    </row>
    <row r="515" spans="7:8" ht="12.75">
      <c r="G515" s="63"/>
      <c r="H515" s="63"/>
    </row>
    <row r="516" spans="7:8" ht="12.75">
      <c r="G516" s="63"/>
      <c r="H516" s="63"/>
    </row>
    <row r="517" spans="7:8" ht="12.75">
      <c r="G517" s="63"/>
      <c r="H517" s="63"/>
    </row>
    <row r="518" spans="7:8" ht="12.75">
      <c r="G518" s="63"/>
      <c r="H518" s="63"/>
    </row>
    <row r="519" spans="7:8" ht="12.75">
      <c r="G519" s="63"/>
      <c r="H519" s="63"/>
    </row>
    <row r="520" spans="7:8" ht="12.75">
      <c r="G520" s="63"/>
      <c r="H520" s="63"/>
    </row>
    <row r="521" spans="7:8" ht="12.75">
      <c r="G521" s="63"/>
      <c r="H521" s="63"/>
    </row>
    <row r="522" spans="7:8" ht="12.75">
      <c r="G522" s="63"/>
      <c r="H522" s="63"/>
    </row>
    <row r="523" spans="7:8" ht="12.75">
      <c r="G523" s="63"/>
      <c r="H523" s="63"/>
    </row>
    <row r="524" spans="7:8" ht="12.75">
      <c r="G524" s="63"/>
      <c r="H524" s="63"/>
    </row>
    <row r="525" spans="7:8" ht="12.75">
      <c r="G525" s="63"/>
      <c r="H525" s="63"/>
    </row>
    <row r="526" spans="7:8" ht="12.75">
      <c r="G526" s="63"/>
      <c r="H526" s="63"/>
    </row>
    <row r="527" spans="7:8" ht="12.75">
      <c r="G527" s="63"/>
      <c r="H527" s="63"/>
    </row>
    <row r="528" spans="7:8" ht="12.75">
      <c r="G528" s="63"/>
      <c r="H528" s="63"/>
    </row>
    <row r="529" spans="7:8" ht="12.75">
      <c r="G529" s="63"/>
      <c r="H529" s="63"/>
    </row>
    <row r="530" spans="7:8" ht="12.75">
      <c r="G530" s="63"/>
      <c r="H530" s="63"/>
    </row>
    <row r="531" spans="7:8" ht="12.75">
      <c r="G531" s="63"/>
      <c r="H531" s="63"/>
    </row>
    <row r="532" spans="7:8" ht="12.75">
      <c r="G532" s="63"/>
      <c r="H532" s="63"/>
    </row>
    <row r="533" spans="7:8" ht="12.75">
      <c r="G533" s="63"/>
      <c r="H533" s="63"/>
    </row>
    <row r="534" spans="7:8" ht="12.75">
      <c r="G534" s="63"/>
      <c r="H534" s="63"/>
    </row>
    <row r="535" spans="7:8" ht="12.75">
      <c r="G535" s="63"/>
      <c r="H535" s="63"/>
    </row>
    <row r="536" spans="7:8" ht="12.75">
      <c r="G536" s="63"/>
      <c r="H536" s="63"/>
    </row>
    <row r="537" spans="7:8" ht="12.75">
      <c r="G537" s="63"/>
      <c r="H537" s="63"/>
    </row>
    <row r="538" spans="7:8" ht="12.75">
      <c r="G538" s="63"/>
      <c r="H538" s="63"/>
    </row>
    <row r="539" spans="7:8" ht="12.75">
      <c r="G539" s="63"/>
      <c r="H539" s="63"/>
    </row>
    <row r="540" spans="7:8" ht="12.75">
      <c r="G540" s="63"/>
      <c r="H540" s="63"/>
    </row>
    <row r="541" spans="7:8" ht="12.75">
      <c r="G541" s="63"/>
      <c r="H541" s="63"/>
    </row>
    <row r="542" spans="7:8" ht="12.75">
      <c r="G542" s="63"/>
      <c r="H542" s="63"/>
    </row>
    <row r="543" spans="7:8" ht="12.75">
      <c r="G543" s="63"/>
      <c r="H543" s="63"/>
    </row>
    <row r="544" spans="7:8" ht="12.75">
      <c r="G544" s="63"/>
      <c r="H544" s="63"/>
    </row>
    <row r="545" spans="7:8" ht="12.75">
      <c r="G545" s="63"/>
      <c r="H545" s="63"/>
    </row>
    <row r="546" spans="7:8" ht="12.75">
      <c r="G546" s="63"/>
      <c r="H546" s="63"/>
    </row>
    <row r="547" spans="7:8" ht="12.75">
      <c r="G547" s="63"/>
      <c r="H547" s="63"/>
    </row>
    <row r="548" spans="7:8" ht="12.75">
      <c r="G548" s="63"/>
      <c r="H548" s="63"/>
    </row>
    <row r="549" spans="7:8" ht="12.75">
      <c r="G549" s="63"/>
      <c r="H549" s="63"/>
    </row>
    <row r="550" spans="7:8" ht="12.75">
      <c r="G550" s="63"/>
      <c r="H550" s="63"/>
    </row>
    <row r="551" spans="7:8" ht="12.75">
      <c r="G551" s="63"/>
      <c r="H551" s="63"/>
    </row>
    <row r="552" spans="7:8" ht="12.75">
      <c r="G552" s="63"/>
      <c r="H552" s="63"/>
    </row>
    <row r="553" spans="7:8" ht="12.75">
      <c r="G553" s="63"/>
      <c r="H553" s="63"/>
    </row>
    <row r="554" spans="7:8" ht="12.75">
      <c r="G554" s="63"/>
      <c r="H554" s="63"/>
    </row>
    <row r="555" spans="7:8" ht="12.75">
      <c r="G555" s="63"/>
      <c r="H555" s="63"/>
    </row>
    <row r="556" spans="7:8" ht="12.75">
      <c r="G556" s="63"/>
      <c r="H556" s="63"/>
    </row>
    <row r="557" spans="7:8" ht="12.75">
      <c r="G557" s="63"/>
      <c r="H557" s="63"/>
    </row>
    <row r="558" spans="7:8" ht="12.75">
      <c r="G558" s="63"/>
      <c r="H558" s="63"/>
    </row>
    <row r="559" spans="7:8" ht="12.75">
      <c r="G559" s="63"/>
      <c r="H559" s="63"/>
    </row>
    <row r="560" spans="7:8" ht="12.75">
      <c r="G560" s="63"/>
      <c r="H560" s="63"/>
    </row>
    <row r="561" spans="7:8" ht="12.75">
      <c r="G561" s="63"/>
      <c r="H561" s="63"/>
    </row>
    <row r="562" spans="7:8" ht="12.75">
      <c r="G562" s="63"/>
      <c r="H562" s="63"/>
    </row>
    <row r="563" spans="7:8" ht="12.75">
      <c r="G563" s="63"/>
      <c r="H563" s="63"/>
    </row>
    <row r="564" spans="7:8" ht="12.75">
      <c r="G564" s="63"/>
      <c r="H564" s="63"/>
    </row>
    <row r="565" spans="7:8" ht="12.75">
      <c r="G565" s="63"/>
      <c r="H565" s="63"/>
    </row>
    <row r="566" spans="7:8" ht="12.75">
      <c r="G566" s="63"/>
      <c r="H566" s="63"/>
    </row>
    <row r="567" spans="7:8" ht="12.75">
      <c r="G567" s="63"/>
      <c r="H567" s="63"/>
    </row>
    <row r="568" spans="7:8" ht="12.75">
      <c r="G568" s="63"/>
      <c r="H568" s="63"/>
    </row>
    <row r="569" spans="7:8" ht="12.75">
      <c r="G569" s="63"/>
      <c r="H569" s="63"/>
    </row>
    <row r="570" spans="7:8" ht="12.75">
      <c r="G570" s="63"/>
      <c r="H570" s="63"/>
    </row>
    <row r="571" spans="7:8" ht="12.75">
      <c r="G571" s="63"/>
      <c r="H571" s="63"/>
    </row>
    <row r="572" spans="7:8" ht="12.75">
      <c r="G572" s="63"/>
      <c r="H572" s="63"/>
    </row>
    <row r="573" spans="7:8" ht="12.75">
      <c r="G573" s="63"/>
      <c r="H573" s="63"/>
    </row>
    <row r="574" spans="7:8" ht="12.75">
      <c r="G574" s="63"/>
      <c r="H574" s="63"/>
    </row>
    <row r="575" spans="7:8" ht="12.75">
      <c r="G575" s="63"/>
      <c r="H575" s="63"/>
    </row>
    <row r="576" spans="7:8" ht="12.75">
      <c r="G576" s="63"/>
      <c r="H576" s="63"/>
    </row>
    <row r="577" spans="7:8" ht="12.75">
      <c r="G577" s="63"/>
      <c r="H577" s="63"/>
    </row>
    <row r="578" spans="7:8" ht="12.75">
      <c r="G578" s="63"/>
      <c r="H578" s="63"/>
    </row>
    <row r="579" spans="7:8" ht="12.75">
      <c r="G579" s="63"/>
      <c r="H579" s="63"/>
    </row>
    <row r="580" spans="7:8" ht="12.75">
      <c r="G580" s="63"/>
      <c r="H580" s="63"/>
    </row>
    <row r="581" spans="7:8" ht="12.75">
      <c r="G581" s="63"/>
      <c r="H581" s="63"/>
    </row>
    <row r="582" spans="7:8" ht="12.75">
      <c r="G582" s="63"/>
      <c r="H582" s="63"/>
    </row>
    <row r="583" spans="7:8" ht="12.75">
      <c r="G583" s="63"/>
      <c r="H583" s="63"/>
    </row>
    <row r="584" spans="7:8" ht="12.75">
      <c r="G584" s="63"/>
      <c r="H584" s="63"/>
    </row>
    <row r="585" spans="7:8" ht="12.75">
      <c r="G585" s="63"/>
      <c r="H585" s="63"/>
    </row>
    <row r="586" spans="7:8" ht="12.75">
      <c r="G586" s="63"/>
      <c r="H586" s="63"/>
    </row>
    <row r="587" spans="7:8" ht="12.75">
      <c r="G587" s="63"/>
      <c r="H587" s="63"/>
    </row>
    <row r="588" spans="7:8" ht="12.75">
      <c r="G588" s="63"/>
      <c r="H588" s="63"/>
    </row>
    <row r="589" spans="7:8" ht="12.75">
      <c r="G589" s="63"/>
      <c r="H589" s="63"/>
    </row>
    <row r="590" spans="7:8" ht="12.75">
      <c r="G590" s="63"/>
      <c r="H590" s="63"/>
    </row>
    <row r="591" spans="7:8" ht="12.75">
      <c r="G591" s="63"/>
      <c r="H591" s="63"/>
    </row>
    <row r="592" spans="7:8" ht="12.75">
      <c r="G592" s="63"/>
      <c r="H592" s="63"/>
    </row>
    <row r="593" spans="7:8" ht="12.75">
      <c r="G593" s="63"/>
      <c r="H593" s="63"/>
    </row>
    <row r="594" spans="7:8" ht="12.75">
      <c r="G594" s="63"/>
      <c r="H594" s="63"/>
    </row>
    <row r="595" spans="7:8" ht="12.75">
      <c r="G595" s="63"/>
      <c r="H595" s="63"/>
    </row>
    <row r="596" spans="7:8" ht="12.75">
      <c r="G596" s="63"/>
      <c r="H596" s="63"/>
    </row>
    <row r="597" spans="7:8" ht="12.75">
      <c r="G597" s="63"/>
      <c r="H597" s="63"/>
    </row>
    <row r="598" spans="7:8" ht="12.75">
      <c r="G598" s="63"/>
      <c r="H598" s="63"/>
    </row>
    <row r="599" spans="7:8" ht="12.75">
      <c r="G599" s="63"/>
      <c r="H599" s="63"/>
    </row>
    <row r="600" spans="7:8" ht="12.75">
      <c r="G600" s="63"/>
      <c r="H600" s="63"/>
    </row>
    <row r="601" spans="7:8" ht="12.75">
      <c r="G601" s="63"/>
      <c r="H601" s="63"/>
    </row>
    <row r="602" spans="7:8" ht="12.75">
      <c r="G602" s="63"/>
      <c r="H602" s="63"/>
    </row>
    <row r="603" spans="7:8" ht="12.75">
      <c r="G603" s="63"/>
      <c r="H603" s="63"/>
    </row>
    <row r="604" spans="7:8" ht="12.75">
      <c r="G604" s="63"/>
      <c r="H604" s="63"/>
    </row>
    <row r="605" spans="7:8" ht="12.75">
      <c r="G605" s="63"/>
      <c r="H605" s="63"/>
    </row>
    <row r="606" spans="7:8" ht="12.75">
      <c r="G606" s="63"/>
      <c r="H606" s="63"/>
    </row>
    <row r="607" spans="7:8" ht="12.75">
      <c r="G607" s="63"/>
      <c r="H607" s="63"/>
    </row>
    <row r="608" spans="7:8" ht="12.75">
      <c r="G608" s="63"/>
      <c r="H608" s="63"/>
    </row>
    <row r="609" spans="7:8" ht="12.75">
      <c r="G609" s="63"/>
      <c r="H609" s="63"/>
    </row>
    <row r="610" spans="7:8" ht="12.75">
      <c r="G610" s="63"/>
      <c r="H610" s="63"/>
    </row>
    <row r="611" spans="7:8" ht="12.75">
      <c r="G611" s="63"/>
      <c r="H611" s="63"/>
    </row>
    <row r="612" spans="7:8" ht="12.75">
      <c r="G612" s="63"/>
      <c r="H612" s="63"/>
    </row>
    <row r="613" spans="7:8" ht="12.75">
      <c r="G613" s="63"/>
      <c r="H613" s="63"/>
    </row>
    <row r="614" spans="7:8" ht="12.75">
      <c r="G614" s="63"/>
      <c r="H614" s="63"/>
    </row>
    <row r="615" spans="7:8" ht="12.75">
      <c r="G615" s="63"/>
      <c r="H615" s="63"/>
    </row>
    <row r="616" spans="7:8" ht="12.75">
      <c r="G616" s="63"/>
      <c r="H616" s="63"/>
    </row>
    <row r="617" spans="7:8" ht="12.75">
      <c r="G617" s="63"/>
      <c r="H617" s="63"/>
    </row>
    <row r="618" spans="7:8" ht="12.75">
      <c r="G618" s="63"/>
      <c r="H618" s="63"/>
    </row>
    <row r="619" spans="7:8" ht="12.75">
      <c r="G619" s="63"/>
      <c r="H619" s="63"/>
    </row>
    <row r="620" spans="7:8" ht="12.75">
      <c r="G620" s="63"/>
      <c r="H620" s="63"/>
    </row>
    <row r="621" spans="7:8" ht="12.75">
      <c r="G621" s="63"/>
      <c r="H621" s="63"/>
    </row>
    <row r="622" spans="7:8" ht="12.75">
      <c r="G622" s="63"/>
      <c r="H622" s="63"/>
    </row>
    <row r="623" spans="7:8" ht="12.75">
      <c r="G623" s="63"/>
      <c r="H623" s="63"/>
    </row>
    <row r="624" spans="7:8" ht="12.75">
      <c r="G624" s="63"/>
      <c r="H624" s="63"/>
    </row>
    <row r="625" spans="7:8" ht="12.75">
      <c r="G625" s="63"/>
      <c r="H625" s="63"/>
    </row>
    <row r="626" spans="7:8" ht="12.75">
      <c r="G626" s="63"/>
      <c r="H626" s="63"/>
    </row>
    <row r="627" spans="7:8" ht="12.75">
      <c r="G627" s="63"/>
      <c r="H627" s="63"/>
    </row>
    <row r="628" spans="7:8" ht="12.75">
      <c r="G628" s="63"/>
      <c r="H628" s="63"/>
    </row>
    <row r="629" spans="7:8" ht="12.75">
      <c r="G629" s="63"/>
      <c r="H629" s="63"/>
    </row>
    <row r="630" spans="7:8" ht="12.75">
      <c r="G630" s="63"/>
      <c r="H630" s="63"/>
    </row>
    <row r="631" spans="7:8" ht="12.75">
      <c r="G631" s="63"/>
      <c r="H631" s="63"/>
    </row>
    <row r="632" spans="7:8" ht="12.75">
      <c r="G632" s="63"/>
      <c r="H632" s="63"/>
    </row>
    <row r="633" spans="7:8" ht="12.75">
      <c r="G633" s="63"/>
      <c r="H633" s="63"/>
    </row>
    <row r="634" spans="7:8" ht="12.75">
      <c r="G634" s="63"/>
      <c r="H634" s="63"/>
    </row>
    <row r="635" spans="7:8" ht="12.75">
      <c r="G635" s="63"/>
      <c r="H635" s="63"/>
    </row>
    <row r="636" spans="7:8" ht="12.75">
      <c r="G636" s="63"/>
      <c r="H636" s="63"/>
    </row>
    <row r="637" spans="7:8" ht="12.75">
      <c r="G637" s="63"/>
      <c r="H637" s="63"/>
    </row>
    <row r="638" spans="7:8" ht="12.75">
      <c r="G638" s="63"/>
      <c r="H638" s="63"/>
    </row>
    <row r="639" spans="7:8" ht="12.75">
      <c r="G639" s="63"/>
      <c r="H639" s="63"/>
    </row>
    <row r="640" spans="7:8" ht="12.75">
      <c r="G640" s="63"/>
      <c r="H640" s="63"/>
    </row>
    <row r="641" spans="7:8" ht="12.75">
      <c r="G641" s="63"/>
      <c r="H641" s="63"/>
    </row>
    <row r="642" spans="7:8" ht="12.75">
      <c r="G642" s="63"/>
      <c r="H642" s="63"/>
    </row>
    <row r="643" spans="7:8" ht="12.75">
      <c r="G643" s="63"/>
      <c r="H643" s="63"/>
    </row>
    <row r="644" spans="7:8" ht="12.75">
      <c r="G644" s="63"/>
      <c r="H644" s="63"/>
    </row>
    <row r="645" spans="7:8" ht="12.75">
      <c r="G645" s="63"/>
      <c r="H645" s="63"/>
    </row>
    <row r="646" spans="7:8" ht="12.75">
      <c r="G646" s="63"/>
      <c r="H646" s="63"/>
    </row>
    <row r="647" spans="7:8" ht="12.75">
      <c r="G647" s="63"/>
      <c r="H647" s="63"/>
    </row>
    <row r="648" spans="7:8" ht="12.75">
      <c r="G648" s="63"/>
      <c r="H648" s="63"/>
    </row>
    <row r="649" spans="7:8" ht="12.75">
      <c r="G649" s="63"/>
      <c r="H649" s="63"/>
    </row>
    <row r="650" spans="7:8" ht="12.75">
      <c r="G650" s="63"/>
      <c r="H650" s="63"/>
    </row>
    <row r="651" spans="7:8" ht="12.75">
      <c r="G651" s="63"/>
      <c r="H651" s="63"/>
    </row>
    <row r="652" spans="7:8" ht="12.75">
      <c r="G652" s="63"/>
      <c r="H652" s="63"/>
    </row>
    <row r="653" spans="7:8" ht="12.75">
      <c r="G653" s="63"/>
      <c r="H653" s="63"/>
    </row>
    <row r="654" spans="7:8" ht="12.75">
      <c r="G654" s="63"/>
      <c r="H654" s="63"/>
    </row>
    <row r="655" spans="7:8" ht="12.75">
      <c r="G655" s="63"/>
      <c r="H655" s="63"/>
    </row>
    <row r="656" spans="7:8" ht="12.75">
      <c r="G656" s="63"/>
      <c r="H656" s="63"/>
    </row>
    <row r="657" spans="7:8" ht="12.75">
      <c r="G657" s="63"/>
      <c r="H657" s="63"/>
    </row>
    <row r="658" spans="7:8" ht="12.75">
      <c r="G658" s="63"/>
      <c r="H658" s="63"/>
    </row>
    <row r="659" spans="7:8" ht="12.75">
      <c r="G659" s="63"/>
      <c r="H659" s="63"/>
    </row>
    <row r="660" spans="7:8" ht="12.75">
      <c r="G660" s="63"/>
      <c r="H660" s="63"/>
    </row>
    <row r="661" spans="7:8" ht="12.75">
      <c r="G661" s="63"/>
      <c r="H661" s="63"/>
    </row>
    <row r="662" spans="7:8" ht="12.75">
      <c r="G662" s="63"/>
      <c r="H662" s="63"/>
    </row>
    <row r="663" spans="7:8" ht="12.75">
      <c r="G663" s="63"/>
      <c r="H663" s="63"/>
    </row>
    <row r="664" spans="7:8" ht="12.75">
      <c r="G664" s="63"/>
      <c r="H664" s="63"/>
    </row>
    <row r="665" spans="7:8" ht="12.75">
      <c r="G665" s="63"/>
      <c r="H665" s="63"/>
    </row>
    <row r="666" spans="7:8" ht="12.75">
      <c r="G666" s="63"/>
      <c r="H666" s="63"/>
    </row>
    <row r="667" spans="7:8" ht="12.75">
      <c r="G667" s="63"/>
      <c r="H667" s="63"/>
    </row>
    <row r="668" spans="7:8" ht="12.75">
      <c r="G668" s="63"/>
      <c r="H668" s="63"/>
    </row>
    <row r="669" spans="7:8" ht="12.75">
      <c r="G669" s="63"/>
      <c r="H669" s="63"/>
    </row>
    <row r="670" spans="7:8" ht="12.75">
      <c r="G670" s="63"/>
      <c r="H670" s="63"/>
    </row>
    <row r="671" spans="7:8" ht="12.75">
      <c r="G671" s="63"/>
      <c r="H671" s="63"/>
    </row>
    <row r="672" spans="7:8" ht="12.75">
      <c r="G672" s="63"/>
      <c r="H672" s="63"/>
    </row>
    <row r="673" spans="7:8" ht="12.75">
      <c r="G673" s="63"/>
      <c r="H673" s="63"/>
    </row>
    <row r="674" spans="7:8" ht="12.75">
      <c r="G674" s="63"/>
      <c r="H674" s="63"/>
    </row>
    <row r="675" spans="7:8" ht="12.75">
      <c r="G675" s="63"/>
      <c r="H675" s="63"/>
    </row>
    <row r="676" spans="7:8" ht="12.75">
      <c r="G676" s="63"/>
      <c r="H676" s="63"/>
    </row>
    <row r="677" spans="7:8" ht="12.75">
      <c r="G677" s="63"/>
      <c r="H677" s="63"/>
    </row>
    <row r="678" spans="7:8" ht="12.75">
      <c r="G678" s="63"/>
      <c r="H678" s="63"/>
    </row>
    <row r="679" spans="7:8" ht="12.75">
      <c r="G679" s="63"/>
      <c r="H679" s="63"/>
    </row>
    <row r="680" spans="7:8" ht="12.75">
      <c r="G680" s="63"/>
      <c r="H680" s="63"/>
    </row>
    <row r="681" spans="7:8" ht="12.75">
      <c r="G681" s="63"/>
      <c r="H681" s="63"/>
    </row>
    <row r="682" spans="7:8" ht="12.75">
      <c r="G682" s="63"/>
      <c r="H682" s="63"/>
    </row>
    <row r="683" spans="7:8" ht="12.75">
      <c r="G683" s="63"/>
      <c r="H683" s="63"/>
    </row>
    <row r="684" spans="7:8" ht="12.75">
      <c r="G684" s="63"/>
      <c r="H684" s="63"/>
    </row>
    <row r="685" spans="7:8" ht="12.75">
      <c r="G685" s="63"/>
      <c r="H685" s="63"/>
    </row>
    <row r="686" spans="7:8" ht="12.75">
      <c r="G686" s="63"/>
      <c r="H686" s="63"/>
    </row>
    <row r="687" spans="7:8" ht="12.75">
      <c r="G687" s="63"/>
      <c r="H687" s="63"/>
    </row>
    <row r="688" spans="7:8" ht="12.75">
      <c r="G688" s="63"/>
      <c r="H688" s="63"/>
    </row>
    <row r="689" spans="7:8" ht="12.75">
      <c r="G689" s="63"/>
      <c r="H689" s="63"/>
    </row>
    <row r="690" spans="7:8" ht="12.75">
      <c r="G690" s="63"/>
      <c r="H690" s="63"/>
    </row>
    <row r="691" spans="7:8" ht="12.75">
      <c r="G691" s="63"/>
      <c r="H691" s="63"/>
    </row>
    <row r="692" spans="7:8" ht="12.75">
      <c r="G692" s="63"/>
      <c r="H692" s="63"/>
    </row>
    <row r="693" spans="7:8" ht="12.75">
      <c r="G693" s="63"/>
      <c r="H693" s="63"/>
    </row>
    <row r="694" spans="7:8" ht="12.75">
      <c r="G694" s="63"/>
      <c r="H694" s="63"/>
    </row>
    <row r="695" spans="7:8" ht="12.75">
      <c r="G695" s="63"/>
      <c r="H695" s="63"/>
    </row>
    <row r="696" spans="7:8" ht="12.75">
      <c r="G696" s="63"/>
      <c r="H696" s="63"/>
    </row>
    <row r="697" spans="7:8" ht="12.75">
      <c r="G697" s="63"/>
      <c r="H697" s="63"/>
    </row>
    <row r="698" spans="7:8" ht="12.75">
      <c r="G698" s="63"/>
      <c r="H698" s="63"/>
    </row>
    <row r="699" spans="7:8" ht="12.75">
      <c r="G699" s="63"/>
      <c r="H699" s="63"/>
    </row>
    <row r="700" spans="7:8" ht="12.75">
      <c r="G700" s="63"/>
      <c r="H700" s="63"/>
    </row>
    <row r="701" spans="7:8" ht="12.75">
      <c r="G701" s="63"/>
      <c r="H701" s="63"/>
    </row>
    <row r="702" spans="7:8" ht="12.75">
      <c r="G702" s="63"/>
      <c r="H702" s="63"/>
    </row>
    <row r="703" spans="7:8" ht="12.75">
      <c r="G703" s="63"/>
      <c r="H703" s="63"/>
    </row>
    <row r="704" spans="7:8" ht="12.75">
      <c r="G704" s="63"/>
      <c r="H704" s="63"/>
    </row>
    <row r="705" spans="7:8" ht="12.75">
      <c r="G705" s="63"/>
      <c r="H705" s="63"/>
    </row>
    <row r="706" spans="7:8" ht="12.75">
      <c r="G706" s="63"/>
      <c r="H706" s="63"/>
    </row>
    <row r="707" spans="7:8" ht="12.75">
      <c r="G707" s="63"/>
      <c r="H707" s="63"/>
    </row>
    <row r="708" spans="7:8" ht="12.75">
      <c r="G708" s="63"/>
      <c r="H708" s="63"/>
    </row>
    <row r="709" spans="7:8" ht="12.75">
      <c r="G709" s="63"/>
      <c r="H709" s="63"/>
    </row>
    <row r="710" spans="7:8" ht="12.75">
      <c r="G710" s="63"/>
      <c r="H710" s="63"/>
    </row>
    <row r="711" spans="7:8" ht="12.75">
      <c r="G711" s="63"/>
      <c r="H711" s="63"/>
    </row>
    <row r="712" spans="7:8" ht="12.75">
      <c r="G712" s="63"/>
      <c r="H712" s="63"/>
    </row>
    <row r="713" spans="7:8" ht="12.75">
      <c r="G713" s="63"/>
      <c r="H713" s="63"/>
    </row>
    <row r="714" spans="7:8" ht="12.75">
      <c r="G714" s="63"/>
      <c r="H714" s="63"/>
    </row>
    <row r="715" spans="7:8" ht="12.75">
      <c r="G715" s="63"/>
      <c r="H715" s="63"/>
    </row>
    <row r="716" spans="7:8" ht="12.75">
      <c r="G716" s="63"/>
      <c r="H716" s="63"/>
    </row>
    <row r="717" spans="7:8" ht="12.75">
      <c r="G717" s="63"/>
      <c r="H717" s="63"/>
    </row>
    <row r="718" spans="7:8" ht="12.75">
      <c r="G718" s="63"/>
      <c r="H718" s="63"/>
    </row>
    <row r="719" spans="7:8" ht="12.75">
      <c r="G719" s="63"/>
      <c r="H719" s="63"/>
    </row>
    <row r="720" spans="7:8" ht="12.75">
      <c r="G720" s="63"/>
      <c r="H720" s="63"/>
    </row>
    <row r="721" spans="7:8" ht="12.75">
      <c r="G721" s="63"/>
      <c r="H721" s="63"/>
    </row>
    <row r="722" spans="7:8" ht="12.75">
      <c r="G722" s="63"/>
      <c r="H722" s="63"/>
    </row>
    <row r="723" spans="7:8" ht="12.75">
      <c r="G723" s="63"/>
      <c r="H723" s="63"/>
    </row>
    <row r="724" spans="7:8" ht="12.75">
      <c r="G724" s="63"/>
      <c r="H724" s="63"/>
    </row>
    <row r="725" spans="7:8" ht="12.75">
      <c r="G725" s="63"/>
      <c r="H725" s="63"/>
    </row>
    <row r="726" spans="7:8" ht="12.75">
      <c r="G726" s="63"/>
      <c r="H726" s="63"/>
    </row>
    <row r="727" spans="7:8" ht="12.75">
      <c r="G727" s="63"/>
      <c r="H727" s="63"/>
    </row>
    <row r="728" spans="7:8" ht="12.75">
      <c r="G728" s="63"/>
      <c r="H728" s="63"/>
    </row>
    <row r="729" spans="7:8" ht="12.75">
      <c r="G729" s="63"/>
      <c r="H729" s="63"/>
    </row>
    <row r="730" spans="7:8" ht="12.75">
      <c r="G730" s="63"/>
      <c r="H730" s="63"/>
    </row>
    <row r="731" spans="7:8" ht="12.75">
      <c r="G731" s="63"/>
      <c r="H731" s="63"/>
    </row>
    <row r="732" spans="7:8" ht="12.75">
      <c r="G732" s="63"/>
      <c r="H732" s="63"/>
    </row>
    <row r="733" spans="7:8" ht="12.75">
      <c r="G733" s="63"/>
      <c r="H733" s="63"/>
    </row>
    <row r="734" spans="7:8" ht="12.75">
      <c r="G734" s="63"/>
      <c r="H734" s="63"/>
    </row>
    <row r="735" spans="7:8" ht="12.75">
      <c r="G735" s="63"/>
      <c r="H735" s="63"/>
    </row>
    <row r="736" spans="7:8" ht="12.75">
      <c r="G736" s="63"/>
      <c r="H736" s="63"/>
    </row>
    <row r="737" spans="7:8" ht="12.75">
      <c r="G737" s="63"/>
      <c r="H737" s="63"/>
    </row>
    <row r="738" spans="7:8" ht="12.75">
      <c r="G738" s="63"/>
      <c r="H738" s="63"/>
    </row>
    <row r="739" spans="7:8" ht="12.75">
      <c r="G739" s="63"/>
      <c r="H739" s="63"/>
    </row>
    <row r="740" spans="7:8" ht="12.75">
      <c r="G740" s="63"/>
      <c r="H740" s="63"/>
    </row>
    <row r="741" spans="7:8" ht="12.75">
      <c r="G741" s="63"/>
      <c r="H741" s="63"/>
    </row>
    <row r="742" spans="7:8" ht="12.75">
      <c r="G742" s="63"/>
      <c r="H742" s="63"/>
    </row>
    <row r="743" spans="7:8" ht="12.75">
      <c r="G743" s="63"/>
      <c r="H743" s="63"/>
    </row>
    <row r="744" spans="7:8" ht="12.75">
      <c r="G744" s="63"/>
      <c r="H744" s="63"/>
    </row>
    <row r="745" spans="7:8" ht="12.75">
      <c r="G745" s="63"/>
      <c r="H745" s="63"/>
    </row>
    <row r="746" spans="7:8" ht="12.75">
      <c r="G746" s="63"/>
      <c r="H746" s="63"/>
    </row>
    <row r="747" spans="7:8" ht="12.75">
      <c r="G747" s="63"/>
      <c r="H747" s="63"/>
    </row>
    <row r="748" spans="7:8" ht="12.75">
      <c r="G748" s="63"/>
      <c r="H748" s="63"/>
    </row>
    <row r="749" spans="7:8" ht="12.75">
      <c r="G749" s="63"/>
      <c r="H749" s="63"/>
    </row>
    <row r="750" spans="7:8" ht="12.75">
      <c r="G750" s="63"/>
      <c r="H750" s="63"/>
    </row>
    <row r="751" spans="7:8" ht="12.75">
      <c r="G751" s="63"/>
      <c r="H751" s="63"/>
    </row>
    <row r="752" spans="7:8" ht="12.75">
      <c r="G752" s="63"/>
      <c r="H752" s="63"/>
    </row>
    <row r="753" spans="7:8" ht="12.75">
      <c r="G753" s="63"/>
      <c r="H753" s="63"/>
    </row>
    <row r="754" spans="7:8" ht="12.75">
      <c r="G754" s="63"/>
      <c r="H754" s="63"/>
    </row>
    <row r="755" spans="7:8" ht="12.75">
      <c r="G755" s="63"/>
      <c r="H755" s="63"/>
    </row>
    <row r="756" spans="7:8" ht="12.75">
      <c r="G756" s="63"/>
      <c r="H756" s="63"/>
    </row>
    <row r="757" spans="7:8" ht="12.75">
      <c r="G757" s="63"/>
      <c r="H757" s="63"/>
    </row>
    <row r="758" spans="7:8" ht="12.75">
      <c r="G758" s="63"/>
      <c r="H758" s="63"/>
    </row>
    <row r="759" spans="7:8" ht="12.75">
      <c r="G759" s="63"/>
      <c r="H759" s="63"/>
    </row>
    <row r="760" spans="7:8" ht="12.75">
      <c r="G760" s="63"/>
      <c r="H760" s="63"/>
    </row>
    <row r="761" spans="7:8" ht="12.75">
      <c r="G761" s="63"/>
      <c r="H761" s="63"/>
    </row>
    <row r="762" spans="7:8" ht="12.75">
      <c r="G762" s="63"/>
      <c r="H762" s="63"/>
    </row>
    <row r="763" spans="7:8" ht="12.75">
      <c r="G763" s="63"/>
      <c r="H763" s="63"/>
    </row>
    <row r="764" spans="7:8" ht="12.75">
      <c r="G764" s="63"/>
      <c r="H764" s="63"/>
    </row>
    <row r="765" spans="7:8" ht="12.75">
      <c r="G765" s="63"/>
      <c r="H765" s="63"/>
    </row>
    <row r="766" spans="7:8" ht="12.75">
      <c r="G766" s="63"/>
      <c r="H766" s="63"/>
    </row>
    <row r="767" spans="7:8" ht="12.75">
      <c r="G767" s="63"/>
      <c r="H767" s="63"/>
    </row>
    <row r="768" spans="7:8" ht="12.75">
      <c r="G768" s="63"/>
      <c r="H768" s="63"/>
    </row>
    <row r="769" spans="7:8" ht="12.75">
      <c r="G769" s="63"/>
      <c r="H769" s="63"/>
    </row>
    <row r="770" spans="7:8" ht="12.75">
      <c r="G770" s="63"/>
      <c r="H770" s="63"/>
    </row>
    <row r="771" spans="7:8" ht="12.75">
      <c r="G771" s="63"/>
      <c r="H771" s="63"/>
    </row>
    <row r="772" spans="7:8" ht="12.75">
      <c r="G772" s="63"/>
      <c r="H772" s="63"/>
    </row>
    <row r="773" spans="7:8" ht="12.75">
      <c r="G773" s="63"/>
      <c r="H773" s="63"/>
    </row>
    <row r="774" spans="7:8" ht="12.75">
      <c r="G774" s="63"/>
      <c r="H774" s="63"/>
    </row>
    <row r="775" spans="7:8" ht="12.75">
      <c r="G775" s="63"/>
      <c r="H775" s="63"/>
    </row>
    <row r="776" spans="7:8" ht="12.75">
      <c r="G776" s="63"/>
      <c r="H776" s="63"/>
    </row>
    <row r="777" spans="7:8" ht="12.75">
      <c r="G777" s="63"/>
      <c r="H777" s="63"/>
    </row>
    <row r="778" spans="7:8" ht="12.75">
      <c r="G778" s="63"/>
      <c r="H778" s="63"/>
    </row>
    <row r="779" spans="7:8" ht="12.75">
      <c r="G779" s="63"/>
      <c r="H779" s="63"/>
    </row>
    <row r="780" spans="7:8" ht="12.75">
      <c r="G780" s="63"/>
      <c r="H780" s="63"/>
    </row>
    <row r="781" spans="7:8" ht="12.75">
      <c r="G781" s="63"/>
      <c r="H781" s="63"/>
    </row>
    <row r="782" spans="7:8" ht="12.75">
      <c r="G782" s="63"/>
      <c r="H782" s="63"/>
    </row>
    <row r="783" spans="7:8" ht="12.75">
      <c r="G783" s="63"/>
      <c r="H783" s="63"/>
    </row>
    <row r="784" spans="7:8" ht="12.75">
      <c r="G784" s="63"/>
      <c r="H784" s="63"/>
    </row>
    <row r="785" spans="7:8" ht="12.75">
      <c r="G785" s="63"/>
      <c r="H785" s="63"/>
    </row>
    <row r="786" spans="7:8" ht="12.75">
      <c r="G786" s="63"/>
      <c r="H786" s="63"/>
    </row>
    <row r="787" spans="7:8" ht="12.75">
      <c r="G787" s="63"/>
      <c r="H787" s="63"/>
    </row>
    <row r="788" spans="7:8" ht="12.75">
      <c r="G788" s="63"/>
      <c r="H788" s="63"/>
    </row>
    <row r="789" spans="7:8" ht="12.75">
      <c r="G789" s="63"/>
      <c r="H789" s="63"/>
    </row>
    <row r="790" spans="7:8" ht="12.75">
      <c r="G790" s="63"/>
      <c r="H790" s="63"/>
    </row>
    <row r="791" spans="7:8" ht="12.75">
      <c r="G791" s="63"/>
      <c r="H791" s="63"/>
    </row>
    <row r="792" spans="7:8" ht="12.75">
      <c r="G792" s="63"/>
      <c r="H792" s="63"/>
    </row>
    <row r="793" spans="7:8" ht="12.75">
      <c r="G793" s="63"/>
      <c r="H793" s="63"/>
    </row>
    <row r="794" spans="7:8" ht="12.75">
      <c r="G794" s="63"/>
      <c r="H794" s="63"/>
    </row>
    <row r="795" spans="7:8" ht="12.75">
      <c r="G795" s="63"/>
      <c r="H795" s="63"/>
    </row>
    <row r="796" spans="7:8" ht="12.75">
      <c r="G796" s="63"/>
      <c r="H796" s="63"/>
    </row>
    <row r="797" spans="7:8" ht="12.75">
      <c r="G797" s="63"/>
      <c r="H797" s="63"/>
    </row>
    <row r="798" spans="7:8" ht="12.75">
      <c r="G798" s="63"/>
      <c r="H798" s="63"/>
    </row>
    <row r="799" spans="7:8" ht="12.75">
      <c r="G799" s="63"/>
      <c r="H799" s="63"/>
    </row>
    <row r="800" spans="7:8" ht="12.75">
      <c r="G800" s="63"/>
      <c r="H800" s="63"/>
    </row>
    <row r="801" spans="7:8" ht="12.75">
      <c r="G801" s="63"/>
      <c r="H801" s="63"/>
    </row>
    <row r="802" spans="7:8" ht="12.75">
      <c r="G802" s="63"/>
      <c r="H802" s="63"/>
    </row>
    <row r="803" spans="7:8" ht="12.75">
      <c r="G803" s="63"/>
      <c r="H803" s="63"/>
    </row>
    <row r="804" spans="7:8" ht="12.75">
      <c r="G804" s="63"/>
      <c r="H804" s="63"/>
    </row>
    <row r="805" spans="7:8" ht="12.75">
      <c r="G805" s="63"/>
      <c r="H805" s="63"/>
    </row>
    <row r="806" spans="7:8" ht="12.75">
      <c r="G806" s="63"/>
      <c r="H806" s="63"/>
    </row>
    <row r="807" spans="7:8" ht="12.75">
      <c r="G807" s="63"/>
      <c r="H807" s="63"/>
    </row>
    <row r="808" spans="7:8" ht="12.75">
      <c r="G808" s="63"/>
      <c r="H808" s="63"/>
    </row>
    <row r="809" spans="7:8" ht="12.75">
      <c r="G809" s="63"/>
      <c r="H809" s="63"/>
    </row>
    <row r="810" spans="7:8" ht="12.75">
      <c r="G810" s="63"/>
      <c r="H810" s="63"/>
    </row>
    <row r="811" spans="7:8" ht="12.75">
      <c r="G811" s="63"/>
      <c r="H811" s="63"/>
    </row>
    <row r="812" spans="7:8" ht="12.75">
      <c r="G812" s="63"/>
      <c r="H812" s="63"/>
    </row>
    <row r="813" spans="7:8" ht="12.75">
      <c r="G813" s="63"/>
      <c r="H813" s="63"/>
    </row>
    <row r="814" spans="7:8" ht="12.75">
      <c r="G814" s="63"/>
      <c r="H814" s="63"/>
    </row>
    <row r="815" spans="7:8" ht="12.75">
      <c r="G815" s="63"/>
      <c r="H815" s="63"/>
    </row>
    <row r="816" spans="7:8" ht="12.75">
      <c r="G816" s="63"/>
      <c r="H816" s="63"/>
    </row>
    <row r="817" spans="7:8" ht="12.75">
      <c r="G817" s="63"/>
      <c r="H817" s="63"/>
    </row>
    <row r="818" spans="7:8" ht="12.75">
      <c r="G818" s="63"/>
      <c r="H818" s="63"/>
    </row>
    <row r="819" spans="7:8" ht="12.75">
      <c r="G819" s="63"/>
      <c r="H819" s="63"/>
    </row>
    <row r="820" spans="7:8" ht="12.75">
      <c r="G820" s="63"/>
      <c r="H820" s="63"/>
    </row>
    <row r="821" spans="7:8" ht="12.75">
      <c r="G821" s="63"/>
      <c r="H821" s="63"/>
    </row>
    <row r="822" spans="7:8" ht="12.75">
      <c r="G822" s="63"/>
      <c r="H822" s="63"/>
    </row>
    <row r="823" spans="7:8" ht="12.75">
      <c r="G823" s="63"/>
      <c r="H823" s="63"/>
    </row>
    <row r="824" spans="7:8" ht="12.75">
      <c r="G824" s="63"/>
      <c r="H824" s="63"/>
    </row>
    <row r="825" spans="7:8" ht="12.75">
      <c r="G825" s="63"/>
      <c r="H825" s="63"/>
    </row>
    <row r="826" spans="7:8" ht="12.75">
      <c r="G826" s="63"/>
      <c r="H826" s="63"/>
    </row>
    <row r="827" spans="7:8" ht="12.75">
      <c r="G827" s="63"/>
      <c r="H827" s="63"/>
    </row>
    <row r="828" spans="7:8" ht="12.75">
      <c r="G828" s="63"/>
      <c r="H828" s="63"/>
    </row>
    <row r="829" spans="7:8" ht="12.75">
      <c r="G829" s="63"/>
      <c r="H829" s="63"/>
    </row>
    <row r="830" spans="7:8" ht="12.75">
      <c r="G830" s="63"/>
      <c r="H830" s="63"/>
    </row>
    <row r="831" spans="7:8" ht="12.75">
      <c r="G831" s="63"/>
      <c r="H831" s="63"/>
    </row>
    <row r="832" spans="7:8" ht="12.75">
      <c r="G832" s="63"/>
      <c r="H832" s="63"/>
    </row>
    <row r="833" spans="7:8" ht="12.75">
      <c r="G833" s="63"/>
      <c r="H833" s="63"/>
    </row>
    <row r="834" spans="7:8" ht="12.75">
      <c r="G834" s="63"/>
      <c r="H834" s="63"/>
    </row>
    <row r="835" spans="7:8" ht="12.75">
      <c r="G835" s="63"/>
      <c r="H835" s="63"/>
    </row>
    <row r="836" spans="7:8" ht="12.75">
      <c r="G836" s="63"/>
      <c r="H836" s="63"/>
    </row>
    <row r="837" spans="7:8" ht="12.75">
      <c r="G837" s="63"/>
      <c r="H837" s="63"/>
    </row>
    <row r="838" spans="7:8" ht="12.75">
      <c r="G838" s="63"/>
      <c r="H838" s="63"/>
    </row>
    <row r="839" spans="7:8" ht="12.75">
      <c r="G839" s="63"/>
      <c r="H839" s="63"/>
    </row>
    <row r="840" spans="7:8" ht="12.75">
      <c r="G840" s="63"/>
      <c r="H840" s="63"/>
    </row>
    <row r="841" spans="7:8" ht="12.75">
      <c r="G841" s="63"/>
      <c r="H841" s="63"/>
    </row>
    <row r="842" spans="7:8" ht="12.75">
      <c r="G842" s="63"/>
      <c r="H842" s="63"/>
    </row>
    <row r="843" spans="7:8" ht="12.75">
      <c r="G843" s="63"/>
      <c r="H843" s="63"/>
    </row>
    <row r="844" spans="7:8" ht="12.75">
      <c r="G844" s="63"/>
      <c r="H844" s="63"/>
    </row>
    <row r="845" spans="7:8" ht="12.75">
      <c r="G845" s="63"/>
      <c r="H845" s="63"/>
    </row>
    <row r="846" spans="7:8" ht="12.75">
      <c r="G846" s="63"/>
      <c r="H846" s="63"/>
    </row>
    <row r="847" spans="7:8" ht="12.75">
      <c r="G847" s="63"/>
      <c r="H847" s="63"/>
    </row>
    <row r="848" spans="7:8" ht="12.75">
      <c r="G848" s="63"/>
      <c r="H848" s="63"/>
    </row>
    <row r="849" spans="7:8" ht="12.75">
      <c r="G849" s="63"/>
      <c r="H849" s="63"/>
    </row>
    <row r="850" spans="7:8" ht="12.75">
      <c r="G850" s="63"/>
      <c r="H850" s="63"/>
    </row>
    <row r="851" spans="7:8" ht="12.75">
      <c r="G851" s="63"/>
      <c r="H851" s="63"/>
    </row>
    <row r="852" spans="7:8" ht="12.75">
      <c r="G852" s="63"/>
      <c r="H852" s="63"/>
    </row>
    <row r="853" spans="7:8" ht="12.75">
      <c r="G853" s="63"/>
      <c r="H853" s="63"/>
    </row>
    <row r="854" spans="7:8" ht="12.75">
      <c r="G854" s="63"/>
      <c r="H854" s="63"/>
    </row>
    <row r="855" spans="7:8" ht="12.75">
      <c r="G855" s="63"/>
      <c r="H855" s="63"/>
    </row>
    <row r="856" spans="7:8" ht="12.75">
      <c r="G856" s="63"/>
      <c r="H856" s="63"/>
    </row>
    <row r="857" spans="7:8" ht="12.75">
      <c r="G857" s="63"/>
      <c r="H857" s="63"/>
    </row>
    <row r="858" spans="7:8" ht="12.75">
      <c r="G858" s="63"/>
      <c r="H858" s="63"/>
    </row>
    <row r="859" spans="7:8" ht="12.75">
      <c r="G859" s="63"/>
      <c r="H859" s="63"/>
    </row>
    <row r="860" spans="7:8" ht="12.75">
      <c r="G860" s="63"/>
      <c r="H860" s="63"/>
    </row>
    <row r="861" spans="7:8" ht="12.75">
      <c r="G861" s="63"/>
      <c r="H861" s="63"/>
    </row>
    <row r="862" spans="7:8" ht="12.75">
      <c r="G862" s="63"/>
      <c r="H862" s="63"/>
    </row>
    <row r="863" spans="7:8" ht="12.75">
      <c r="G863" s="63"/>
      <c r="H863" s="63"/>
    </row>
    <row r="864" spans="7:8" ht="12.75">
      <c r="G864" s="63"/>
      <c r="H864" s="63"/>
    </row>
    <row r="865" spans="7:8" ht="12.75">
      <c r="G865" s="63"/>
      <c r="H865" s="63"/>
    </row>
    <row r="866" spans="7:8" ht="12.75">
      <c r="G866" s="63"/>
      <c r="H866" s="63"/>
    </row>
    <row r="867" spans="7:8" ht="12.75">
      <c r="G867" s="63"/>
      <c r="H867" s="63"/>
    </row>
    <row r="868" spans="7:8" ht="12.75">
      <c r="G868" s="63"/>
      <c r="H868" s="63"/>
    </row>
    <row r="869" spans="7:8" ht="12.75">
      <c r="G869" s="63"/>
      <c r="H869" s="63"/>
    </row>
    <row r="870" spans="7:8" ht="12.75">
      <c r="G870" s="63"/>
      <c r="H870" s="63"/>
    </row>
    <row r="871" spans="7:8" ht="12.75">
      <c r="G871" s="63"/>
      <c r="H871" s="63"/>
    </row>
    <row r="872" spans="7:8" ht="12.75">
      <c r="G872" s="63"/>
      <c r="H872" s="63"/>
    </row>
    <row r="873" spans="7:8" ht="12.75">
      <c r="G873" s="63"/>
      <c r="H873" s="63"/>
    </row>
    <row r="874" spans="7:8" ht="12.75">
      <c r="G874" s="63"/>
      <c r="H874" s="63"/>
    </row>
    <row r="875" spans="7:8" ht="12.75">
      <c r="G875" s="63"/>
      <c r="H875" s="63"/>
    </row>
    <row r="876" spans="7:8" ht="12.75">
      <c r="G876" s="63"/>
      <c r="H876" s="63"/>
    </row>
    <row r="877" spans="7:8" ht="12.75">
      <c r="G877" s="63"/>
      <c r="H877" s="63"/>
    </row>
    <row r="878" spans="7:8" ht="12.75">
      <c r="G878" s="63"/>
      <c r="H878" s="63"/>
    </row>
    <row r="879" spans="7:8" ht="12.75">
      <c r="G879" s="63"/>
      <c r="H879" s="63"/>
    </row>
    <row r="880" spans="7:8" ht="12.75">
      <c r="G880" s="63"/>
      <c r="H880" s="63"/>
    </row>
    <row r="881" spans="7:8" ht="12.75">
      <c r="G881" s="63"/>
      <c r="H881" s="63"/>
    </row>
    <row r="882" spans="7:8" ht="12.75">
      <c r="G882" s="63"/>
      <c r="H882" s="63"/>
    </row>
    <row r="883" spans="7:8" ht="12.75">
      <c r="G883" s="63"/>
      <c r="H883" s="63"/>
    </row>
    <row r="884" spans="7:8" ht="12.75">
      <c r="G884" s="63"/>
      <c r="H884" s="63"/>
    </row>
    <row r="885" spans="7:8" ht="12.75">
      <c r="G885" s="63"/>
      <c r="H885" s="63"/>
    </row>
    <row r="886" spans="7:8" ht="12.75">
      <c r="G886" s="63"/>
      <c r="H886" s="63"/>
    </row>
    <row r="887" spans="7:8" ht="12.75">
      <c r="G887" s="63"/>
      <c r="H887" s="63"/>
    </row>
    <row r="888" spans="7:8" ht="12.75">
      <c r="G888" s="63"/>
      <c r="H888" s="63"/>
    </row>
    <row r="889" spans="7:8" ht="12.75">
      <c r="G889" s="63"/>
      <c r="H889" s="63"/>
    </row>
    <row r="890" spans="7:8" ht="12.75">
      <c r="G890" s="63"/>
      <c r="H890" s="63"/>
    </row>
    <row r="891" spans="7:8" ht="12.75">
      <c r="G891" s="63"/>
      <c r="H891" s="63"/>
    </row>
    <row r="892" spans="7:8" ht="12.75">
      <c r="G892" s="63"/>
      <c r="H892" s="63"/>
    </row>
    <row r="893" spans="7:8" ht="12.75">
      <c r="G893" s="63"/>
      <c r="H893" s="63"/>
    </row>
    <row r="894" spans="7:8" ht="12.75">
      <c r="G894" s="63"/>
      <c r="H894" s="63"/>
    </row>
    <row r="895" spans="7:8" ht="12.75">
      <c r="G895" s="63"/>
      <c r="H895" s="63"/>
    </row>
    <row r="896" spans="7:8" ht="12.75">
      <c r="G896" s="63"/>
      <c r="H896" s="63"/>
    </row>
    <row r="897" spans="7:8" ht="12.75">
      <c r="G897" s="63"/>
      <c r="H897" s="63"/>
    </row>
    <row r="898" spans="7:8" ht="12.75">
      <c r="G898" s="63"/>
      <c r="H898" s="63"/>
    </row>
    <row r="899" spans="7:8" ht="12.75">
      <c r="G899" s="63"/>
      <c r="H899" s="63"/>
    </row>
    <row r="900" spans="7:8" ht="12.75">
      <c r="G900" s="63"/>
      <c r="H900" s="63"/>
    </row>
    <row r="901" spans="7:8" ht="12.75">
      <c r="G901" s="63"/>
      <c r="H901" s="63"/>
    </row>
    <row r="902" spans="7:8" ht="12.75">
      <c r="G902" s="63"/>
      <c r="H902" s="63"/>
    </row>
    <row r="903" spans="7:8" ht="12.75">
      <c r="G903" s="63"/>
      <c r="H903" s="63"/>
    </row>
    <row r="904" spans="7:8" ht="12.75">
      <c r="G904" s="63"/>
      <c r="H904" s="63"/>
    </row>
    <row r="905" spans="7:8" ht="12.75">
      <c r="G905" s="63"/>
      <c r="H905" s="63"/>
    </row>
    <row r="906" spans="7:8" ht="12.75">
      <c r="G906" s="63"/>
      <c r="H906" s="63"/>
    </row>
    <row r="907" spans="7:8" ht="12.75">
      <c r="G907" s="63"/>
      <c r="H907" s="63"/>
    </row>
    <row r="908" spans="7:8" ht="12.75">
      <c r="G908" s="63"/>
      <c r="H908" s="63"/>
    </row>
    <row r="909" spans="7:8" ht="12.75">
      <c r="G909" s="63"/>
      <c r="H909" s="63"/>
    </row>
    <row r="910" spans="7:8" ht="12.75">
      <c r="G910" s="63"/>
      <c r="H910" s="63"/>
    </row>
    <row r="911" spans="7:8" ht="12.75">
      <c r="G911" s="63"/>
      <c r="H911" s="63"/>
    </row>
    <row r="912" spans="7:8" ht="12.75">
      <c r="G912" s="63"/>
      <c r="H912" s="63"/>
    </row>
    <row r="913" spans="7:8" ht="12.75">
      <c r="G913" s="63"/>
      <c r="H913" s="63"/>
    </row>
    <row r="914" spans="7:8" ht="12.75">
      <c r="G914" s="63"/>
      <c r="H914" s="63"/>
    </row>
    <row r="915" spans="7:8" ht="12.75">
      <c r="G915" s="63"/>
      <c r="H915" s="63"/>
    </row>
    <row r="916" spans="7:8" ht="12.75">
      <c r="G916" s="63"/>
      <c r="H916" s="63"/>
    </row>
    <row r="917" spans="7:8" ht="12.75">
      <c r="G917" s="63"/>
      <c r="H917" s="63"/>
    </row>
    <row r="918" spans="7:8" ht="12.75">
      <c r="G918" s="63"/>
      <c r="H918" s="63"/>
    </row>
    <row r="919" spans="7:8" ht="12.75">
      <c r="G919" s="63"/>
      <c r="H919" s="63"/>
    </row>
    <row r="920" spans="7:8" ht="12.75">
      <c r="G920" s="63"/>
      <c r="H920" s="63"/>
    </row>
    <row r="921" spans="7:8" ht="12.75">
      <c r="G921" s="63"/>
      <c r="H921" s="63"/>
    </row>
    <row r="922" spans="7:8" ht="12.75">
      <c r="G922" s="63"/>
      <c r="H922" s="63"/>
    </row>
    <row r="923" spans="7:8" ht="12.75">
      <c r="G923" s="63"/>
      <c r="H923" s="63"/>
    </row>
    <row r="924" spans="7:8" ht="12.75">
      <c r="G924" s="63"/>
      <c r="H924" s="63"/>
    </row>
    <row r="925" spans="7:8" ht="12.75">
      <c r="G925" s="63"/>
      <c r="H925" s="63"/>
    </row>
    <row r="926" spans="7:8" ht="12.75">
      <c r="G926" s="63"/>
      <c r="H926" s="63"/>
    </row>
    <row r="927" spans="7:8" ht="12.75">
      <c r="G927" s="63"/>
      <c r="H927" s="63"/>
    </row>
    <row r="928" spans="7:8" ht="12.75">
      <c r="G928" s="63"/>
      <c r="H928" s="63"/>
    </row>
    <row r="929" spans="7:8" ht="12.75">
      <c r="G929" s="63"/>
      <c r="H929" s="63"/>
    </row>
    <row r="930" spans="7:8" ht="12.75">
      <c r="G930" s="63"/>
      <c r="H930" s="63"/>
    </row>
    <row r="931" spans="7:8" ht="12.75">
      <c r="G931" s="63"/>
      <c r="H931" s="63"/>
    </row>
    <row r="932" spans="7:8" ht="12.75">
      <c r="G932" s="63"/>
      <c r="H932" s="63"/>
    </row>
    <row r="933" spans="7:8" ht="12.75">
      <c r="G933" s="63"/>
      <c r="H933" s="63"/>
    </row>
    <row r="934" spans="7:8" ht="12.75">
      <c r="G934" s="63"/>
      <c r="H934" s="63"/>
    </row>
    <row r="935" spans="7:8" ht="12.75">
      <c r="G935" s="63"/>
      <c r="H935" s="63"/>
    </row>
    <row r="936" spans="7:8" ht="12.75">
      <c r="G936" s="63"/>
      <c r="H936" s="63"/>
    </row>
    <row r="937" spans="7:8" ht="12.75">
      <c r="G937" s="63"/>
      <c r="H937" s="63"/>
    </row>
    <row r="938" spans="7:8" ht="12.75">
      <c r="G938" s="63"/>
      <c r="H938" s="63"/>
    </row>
    <row r="939" spans="7:8" ht="12.75">
      <c r="G939" s="63"/>
      <c r="H939" s="63"/>
    </row>
    <row r="940" spans="7:8" ht="12.75">
      <c r="G940" s="63"/>
      <c r="H940" s="63"/>
    </row>
    <row r="941" spans="7:8" ht="12.75">
      <c r="G941" s="63"/>
      <c r="H941" s="63"/>
    </row>
    <row r="942" spans="7:8" ht="12.75">
      <c r="G942" s="63"/>
      <c r="H942" s="63"/>
    </row>
    <row r="943" spans="7:8" ht="12.75">
      <c r="G943" s="63"/>
      <c r="H943" s="63"/>
    </row>
    <row r="944" spans="7:8" ht="12.75">
      <c r="G944" s="63"/>
      <c r="H944" s="63"/>
    </row>
    <row r="945" spans="7:8" ht="12.75">
      <c r="G945" s="63"/>
      <c r="H945" s="63"/>
    </row>
    <row r="946" spans="7:8" ht="12.75">
      <c r="G946" s="63"/>
      <c r="H946" s="63"/>
    </row>
    <row r="947" spans="7:8" ht="12.75">
      <c r="G947" s="63"/>
      <c r="H947" s="63"/>
    </row>
    <row r="948" spans="7:8" ht="12.75">
      <c r="G948" s="63"/>
      <c r="H948" s="63"/>
    </row>
    <row r="949" spans="7:8" ht="12.75">
      <c r="G949" s="63"/>
      <c r="H949" s="63"/>
    </row>
    <row r="950" spans="7:8" ht="12.75">
      <c r="G950" s="63"/>
      <c r="H950" s="63"/>
    </row>
    <row r="951" spans="7:8" ht="12.75">
      <c r="G951" s="63"/>
      <c r="H951" s="63"/>
    </row>
    <row r="952" spans="7:8" ht="12.75">
      <c r="G952" s="63"/>
      <c r="H952" s="63"/>
    </row>
    <row r="953" spans="7:8" ht="12.75">
      <c r="G953" s="63"/>
      <c r="H953" s="63"/>
    </row>
    <row r="954" spans="7:8" ht="12.75">
      <c r="G954" s="63"/>
      <c r="H954" s="63"/>
    </row>
    <row r="955" spans="7:8" ht="12.75">
      <c r="G955" s="63"/>
      <c r="H955" s="63"/>
    </row>
    <row r="956" spans="7:8" ht="12.75">
      <c r="G956" s="63"/>
      <c r="H956" s="63"/>
    </row>
    <row r="957" spans="7:8" ht="12.75">
      <c r="G957" s="63"/>
      <c r="H957" s="63"/>
    </row>
    <row r="958" spans="7:8" ht="12.75">
      <c r="G958" s="63"/>
      <c r="H958" s="63"/>
    </row>
    <row r="959" spans="7:8" ht="12.75">
      <c r="G959" s="63"/>
      <c r="H959" s="63"/>
    </row>
    <row r="960" spans="7:8" ht="12.75">
      <c r="G960" s="63"/>
      <c r="H960" s="63"/>
    </row>
    <row r="961" spans="7:8" ht="12.75">
      <c r="G961" s="63"/>
      <c r="H961" s="63"/>
    </row>
    <row r="962" spans="7:8" ht="12.75">
      <c r="G962" s="63"/>
      <c r="H962" s="63"/>
    </row>
    <row r="963" spans="7:8" ht="12.75">
      <c r="G963" s="63"/>
      <c r="H963" s="63"/>
    </row>
    <row r="964" spans="7:8" ht="12.75">
      <c r="G964" s="63"/>
      <c r="H964" s="63"/>
    </row>
    <row r="965" spans="7:8" ht="12.75">
      <c r="G965" s="63"/>
      <c r="H965" s="63"/>
    </row>
    <row r="966" spans="7:8" ht="12.75">
      <c r="G966" s="63"/>
      <c r="H966" s="63"/>
    </row>
    <row r="967" spans="7:8" ht="12.75">
      <c r="G967" s="63"/>
      <c r="H967" s="63"/>
    </row>
    <row r="968" spans="7:8" ht="12.75">
      <c r="G968" s="63"/>
      <c r="H968" s="6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J96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8.28515625" customWidth="1"/>
    <col min="2" max="2" width="7.5703125" customWidth="1"/>
    <col min="3" max="3" width="6.85546875" customWidth="1"/>
    <col min="4" max="4" width="8.42578125" customWidth="1"/>
    <col min="5" max="6" width="16.42578125" customWidth="1"/>
    <col min="7" max="7" width="10.28515625" customWidth="1"/>
    <col min="9" max="9" width="8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59" t="s">
        <v>539</v>
      </c>
      <c r="H1" s="1" t="s">
        <v>604</v>
      </c>
      <c r="J1" s="1" t="s">
        <v>8</v>
      </c>
    </row>
    <row r="2" spans="1:10" ht="15.75" customHeight="1">
      <c r="A2" s="3">
        <v>75</v>
      </c>
      <c r="B2" s="3">
        <v>300</v>
      </c>
      <c r="C2" s="3">
        <f t="shared" ref="C2:C9" si="0">B2/A2</f>
        <v>4</v>
      </c>
      <c r="D2" s="3">
        <v>183</v>
      </c>
      <c r="E2" s="3" t="s">
        <v>73</v>
      </c>
      <c r="F2" s="3" t="s">
        <v>351</v>
      </c>
      <c r="G2" s="4">
        <v>9.8726851851851857E-3</v>
      </c>
      <c r="H2" s="4">
        <v>3.2291666666666666E-3</v>
      </c>
      <c r="I2" s="21" t="s">
        <v>679</v>
      </c>
    </row>
    <row r="3" spans="1:10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9</v>
      </c>
      <c r="F3" s="3" t="s">
        <v>634</v>
      </c>
      <c r="G3" s="4">
        <v>9.8726851851851857E-3</v>
      </c>
      <c r="H3" s="4">
        <v>3.2407407407407406E-3</v>
      </c>
      <c r="I3" s="21" t="s">
        <v>679</v>
      </c>
    </row>
    <row r="4" spans="1:10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 t="s">
        <v>9</v>
      </c>
      <c r="F4" s="3" t="s">
        <v>79</v>
      </c>
      <c r="G4" s="4">
        <v>9.8958333333333329E-3</v>
      </c>
      <c r="H4" s="4">
        <v>3.2407407407407406E-3</v>
      </c>
      <c r="I4" s="21" t="s">
        <v>680</v>
      </c>
    </row>
    <row r="5" spans="1:10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3" t="s">
        <v>9</v>
      </c>
      <c r="F5" s="3" t="s">
        <v>133</v>
      </c>
      <c r="G5" s="4">
        <v>9.9884259259259266E-3</v>
      </c>
      <c r="H5" s="4">
        <v>3.2523148148148147E-3</v>
      </c>
      <c r="I5" s="21" t="s">
        <v>681</v>
      </c>
    </row>
    <row r="6" spans="1:10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9</v>
      </c>
      <c r="F6" s="3" t="s">
        <v>129</v>
      </c>
      <c r="G6" s="4">
        <v>9.9421296296296289E-3</v>
      </c>
      <c r="H6" s="4">
        <v>3.2407407407407406E-3</v>
      </c>
      <c r="I6" s="21" t="s">
        <v>680</v>
      </c>
    </row>
    <row r="7" spans="1:10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61</v>
      </c>
      <c r="F7" s="3" t="s">
        <v>634</v>
      </c>
      <c r="G7" s="4">
        <v>9.8726851851851857E-3</v>
      </c>
      <c r="H7" s="4">
        <v>3.2407407407407406E-3</v>
      </c>
      <c r="I7" s="48"/>
    </row>
    <row r="8" spans="1:10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 t="s">
        <v>58</v>
      </c>
      <c r="F8" s="3" t="s">
        <v>634</v>
      </c>
      <c r="G8" s="4">
        <v>9.8611111111111104E-3</v>
      </c>
      <c r="H8" s="4">
        <v>3.2407407407407406E-3</v>
      </c>
      <c r="I8" s="48"/>
    </row>
    <row r="9" spans="1:10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3" t="s">
        <v>63</v>
      </c>
      <c r="F9" s="3" t="s">
        <v>634</v>
      </c>
      <c r="G9" s="4">
        <v>9.8726851851851857E-3</v>
      </c>
      <c r="H9" s="4">
        <v>3.2407407407407406E-3</v>
      </c>
      <c r="I9" s="48"/>
    </row>
    <row r="10" spans="1:10" ht="15.75" customHeight="1">
      <c r="G10" s="4"/>
      <c r="H10" s="4"/>
    </row>
    <row r="11" spans="1:10" ht="15.75" customHeight="1">
      <c r="G11" s="4"/>
      <c r="H11" s="4"/>
    </row>
    <row r="12" spans="1:10" ht="15.75" customHeight="1">
      <c r="G12" s="4"/>
      <c r="H12" s="4"/>
    </row>
    <row r="13" spans="1:10" ht="15.75" customHeight="1">
      <c r="G13" s="4"/>
      <c r="H13" s="4"/>
    </row>
    <row r="14" spans="1:10" ht="15.75" customHeight="1">
      <c r="G14" s="4"/>
      <c r="H14" s="4"/>
    </row>
    <row r="15" spans="1:10" ht="15.75" customHeight="1">
      <c r="G15" s="4"/>
      <c r="H15" s="4"/>
    </row>
    <row r="16" spans="1:10" ht="15.75" customHeight="1">
      <c r="G16" s="4"/>
      <c r="H16" s="4"/>
    </row>
    <row r="17" spans="7:8" ht="15.75" customHeight="1">
      <c r="G17" s="4"/>
      <c r="H17" s="4"/>
    </row>
    <row r="18" spans="7:8" ht="15.75" customHeight="1">
      <c r="G18" s="4"/>
      <c r="H18" s="4"/>
    </row>
    <row r="19" spans="7:8" ht="15.75" customHeight="1">
      <c r="G19" s="4"/>
      <c r="H19" s="4"/>
    </row>
    <row r="20" spans="7:8" ht="15.75" customHeight="1">
      <c r="G20" s="4"/>
      <c r="H20" s="4"/>
    </row>
    <row r="21" spans="7:8" ht="15.75" customHeight="1">
      <c r="G21" s="4"/>
      <c r="H21" s="4"/>
    </row>
    <row r="22" spans="7:8" ht="15.75" customHeight="1">
      <c r="G22" s="4"/>
      <c r="H22" s="4"/>
    </row>
    <row r="23" spans="7:8" ht="15.75" customHeight="1">
      <c r="G23" s="4"/>
      <c r="H23" s="4"/>
    </row>
    <row r="24" spans="7:8" ht="15.75" customHeight="1">
      <c r="G24" s="4"/>
      <c r="H24" s="4"/>
    </row>
    <row r="25" spans="7:8" ht="15.75" customHeight="1">
      <c r="G25" s="4"/>
      <c r="H25" s="4"/>
    </row>
    <row r="26" spans="7:8" ht="15.75" customHeight="1">
      <c r="G26" s="63"/>
      <c r="H26" s="63"/>
    </row>
    <row r="27" spans="7:8" ht="15.75" customHeight="1">
      <c r="G27" s="63"/>
      <c r="H27" s="63"/>
    </row>
    <row r="28" spans="7:8" ht="15.75" customHeight="1">
      <c r="G28" s="63"/>
      <c r="H28" s="63"/>
    </row>
    <row r="29" spans="7:8" ht="15.75" customHeight="1">
      <c r="G29" s="63"/>
      <c r="H29" s="63"/>
    </row>
    <row r="30" spans="7:8" ht="15.75" customHeight="1">
      <c r="G30" s="63"/>
      <c r="H30" s="63"/>
    </row>
    <row r="31" spans="7:8" ht="15.75" customHeight="1">
      <c r="G31" s="63"/>
      <c r="H31" s="63"/>
    </row>
    <row r="32" spans="7:8" ht="15.75" customHeight="1">
      <c r="G32" s="63"/>
      <c r="H32" s="63"/>
    </row>
    <row r="33" spans="7:8" ht="15.75" customHeight="1">
      <c r="G33" s="63"/>
      <c r="H33" s="63"/>
    </row>
    <row r="34" spans="7:8" ht="15.75" customHeight="1">
      <c r="G34" s="63"/>
      <c r="H34" s="63"/>
    </row>
    <row r="35" spans="7:8" ht="15.75" customHeight="1">
      <c r="G35" s="63"/>
      <c r="H35" s="63"/>
    </row>
    <row r="36" spans="7:8" ht="15.75" customHeight="1">
      <c r="G36" s="63"/>
      <c r="H36" s="63"/>
    </row>
    <row r="37" spans="7:8" ht="12.75">
      <c r="G37" s="63"/>
      <c r="H37" s="63"/>
    </row>
    <row r="38" spans="7:8" ht="12.75">
      <c r="G38" s="63"/>
      <c r="H38" s="63"/>
    </row>
    <row r="39" spans="7:8" ht="12.75">
      <c r="G39" s="63"/>
      <c r="H39" s="63"/>
    </row>
    <row r="40" spans="7:8" ht="12.75">
      <c r="G40" s="63"/>
      <c r="H40" s="63"/>
    </row>
    <row r="41" spans="7:8" ht="12.75">
      <c r="G41" s="63"/>
      <c r="H41" s="63"/>
    </row>
    <row r="42" spans="7:8" ht="12.75">
      <c r="G42" s="63"/>
      <c r="H42" s="63"/>
    </row>
    <row r="43" spans="7:8" ht="12.75">
      <c r="G43" s="63"/>
      <c r="H43" s="63"/>
    </row>
    <row r="44" spans="7:8" ht="12.75">
      <c r="G44" s="63"/>
      <c r="H44" s="63"/>
    </row>
    <row r="45" spans="7:8" ht="12.75">
      <c r="G45" s="63"/>
      <c r="H45" s="63"/>
    </row>
    <row r="46" spans="7:8" ht="12.75">
      <c r="G46" s="63"/>
      <c r="H46" s="63"/>
    </row>
    <row r="47" spans="7:8" ht="12.75">
      <c r="G47" s="63"/>
      <c r="H47" s="63"/>
    </row>
    <row r="48" spans="7:8" ht="12.75">
      <c r="G48" s="63"/>
      <c r="H48" s="63"/>
    </row>
    <row r="49" spans="7:8" ht="12.75">
      <c r="G49" s="63"/>
      <c r="H49" s="63"/>
    </row>
    <row r="50" spans="7:8" ht="12.75">
      <c r="G50" s="63"/>
      <c r="H50" s="63"/>
    </row>
    <row r="51" spans="7:8" ht="12.75">
      <c r="G51" s="63"/>
      <c r="H51" s="63"/>
    </row>
    <row r="52" spans="7:8" ht="12.75">
      <c r="G52" s="63"/>
      <c r="H52" s="63"/>
    </row>
    <row r="53" spans="7:8" ht="12.75">
      <c r="G53" s="63"/>
      <c r="H53" s="63"/>
    </row>
    <row r="54" spans="7:8" ht="12.75">
      <c r="G54" s="63"/>
      <c r="H54" s="63"/>
    </row>
    <row r="55" spans="7:8" ht="12.75">
      <c r="G55" s="63"/>
      <c r="H55" s="63"/>
    </row>
    <row r="56" spans="7:8" ht="12.75">
      <c r="G56" s="63"/>
      <c r="H56" s="63"/>
    </row>
    <row r="57" spans="7:8" ht="12.75">
      <c r="G57" s="63"/>
      <c r="H57" s="63"/>
    </row>
    <row r="58" spans="7:8" ht="12.75">
      <c r="G58" s="63"/>
      <c r="H58" s="63"/>
    </row>
    <row r="59" spans="7:8" ht="12.75">
      <c r="G59" s="63"/>
      <c r="H59" s="63"/>
    </row>
    <row r="60" spans="7:8" ht="12.75">
      <c r="G60" s="63"/>
      <c r="H60" s="63"/>
    </row>
    <row r="61" spans="7:8" ht="12.75">
      <c r="G61" s="63"/>
      <c r="H61" s="63"/>
    </row>
    <row r="62" spans="7:8" ht="12.75">
      <c r="G62" s="63"/>
      <c r="H62" s="63"/>
    </row>
    <row r="63" spans="7:8" ht="12.75">
      <c r="G63" s="63"/>
      <c r="H63" s="63"/>
    </row>
    <row r="64" spans="7:8" ht="12.75">
      <c r="G64" s="63"/>
      <c r="H64" s="63"/>
    </row>
    <row r="65" spans="7:8" ht="12.75">
      <c r="G65" s="63"/>
      <c r="H65" s="63"/>
    </row>
    <row r="66" spans="7:8" ht="12.75">
      <c r="G66" s="63"/>
      <c r="H66" s="63"/>
    </row>
    <row r="67" spans="7:8" ht="12.75">
      <c r="G67" s="63"/>
      <c r="H67" s="63"/>
    </row>
    <row r="68" spans="7:8" ht="12.75">
      <c r="G68" s="63"/>
      <c r="H68" s="63"/>
    </row>
    <row r="69" spans="7:8" ht="12.75">
      <c r="G69" s="63"/>
      <c r="H69" s="63"/>
    </row>
    <row r="70" spans="7:8" ht="12.75">
      <c r="G70" s="63"/>
      <c r="H70" s="63"/>
    </row>
    <row r="71" spans="7:8" ht="12.75">
      <c r="G71" s="63"/>
      <c r="H71" s="63"/>
    </row>
    <row r="72" spans="7:8" ht="12.75">
      <c r="G72" s="63"/>
      <c r="H72" s="63"/>
    </row>
    <row r="73" spans="7:8" ht="12.75">
      <c r="G73" s="63"/>
      <c r="H73" s="63"/>
    </row>
    <row r="74" spans="7:8" ht="12.75">
      <c r="G74" s="63"/>
      <c r="H74" s="63"/>
    </row>
    <row r="75" spans="7:8" ht="12.75">
      <c r="G75" s="63"/>
      <c r="H75" s="63"/>
    </row>
    <row r="76" spans="7:8" ht="12.75">
      <c r="G76" s="63"/>
      <c r="H76" s="63"/>
    </row>
    <row r="77" spans="7:8" ht="12.75">
      <c r="G77" s="63"/>
      <c r="H77" s="63"/>
    </row>
    <row r="78" spans="7:8" ht="12.75">
      <c r="G78" s="63"/>
      <c r="H78" s="63"/>
    </row>
    <row r="79" spans="7:8" ht="12.75">
      <c r="G79" s="63"/>
      <c r="H79" s="63"/>
    </row>
    <row r="80" spans="7:8" ht="12.75">
      <c r="G80" s="63"/>
      <c r="H80" s="63"/>
    </row>
    <row r="81" spans="7:8" ht="12.75">
      <c r="G81" s="63"/>
      <c r="H81" s="63"/>
    </row>
    <row r="82" spans="7:8" ht="12.75">
      <c r="G82" s="63"/>
      <c r="H82" s="63"/>
    </row>
    <row r="83" spans="7:8" ht="12.75">
      <c r="G83" s="63"/>
      <c r="H83" s="63"/>
    </row>
    <row r="84" spans="7:8" ht="12.75">
      <c r="G84" s="63"/>
      <c r="H84" s="63"/>
    </row>
    <row r="85" spans="7:8" ht="12.75">
      <c r="G85" s="63"/>
      <c r="H85" s="63"/>
    </row>
    <row r="86" spans="7:8" ht="12.75">
      <c r="G86" s="63"/>
      <c r="H86" s="63"/>
    </row>
    <row r="87" spans="7:8" ht="12.75">
      <c r="G87" s="63"/>
      <c r="H87" s="63"/>
    </row>
    <row r="88" spans="7:8" ht="12.75">
      <c r="G88" s="63"/>
      <c r="H88" s="63"/>
    </row>
    <row r="89" spans="7:8" ht="12.75">
      <c r="G89" s="63"/>
      <c r="H89" s="63"/>
    </row>
    <row r="90" spans="7:8" ht="12.75">
      <c r="G90" s="63"/>
      <c r="H90" s="63"/>
    </row>
    <row r="91" spans="7:8" ht="12.75">
      <c r="G91" s="63"/>
      <c r="H91" s="63"/>
    </row>
    <row r="92" spans="7:8" ht="12.75">
      <c r="G92" s="63"/>
      <c r="H92" s="63"/>
    </row>
    <row r="93" spans="7:8" ht="12.75">
      <c r="G93" s="63"/>
      <c r="H93" s="63"/>
    </row>
    <row r="94" spans="7:8" ht="12.75">
      <c r="G94" s="63"/>
      <c r="H94" s="63"/>
    </row>
    <row r="95" spans="7:8" ht="12.75">
      <c r="G95" s="63"/>
      <c r="H95" s="63"/>
    </row>
    <row r="96" spans="7:8" ht="12.75">
      <c r="G96" s="63"/>
      <c r="H96" s="63"/>
    </row>
    <row r="97" spans="7:8" ht="12.75">
      <c r="G97" s="63"/>
      <c r="H97" s="63"/>
    </row>
    <row r="98" spans="7:8" ht="12.75">
      <c r="G98" s="63"/>
      <c r="H98" s="63"/>
    </row>
    <row r="99" spans="7:8" ht="12.75">
      <c r="G99" s="63"/>
      <c r="H99" s="63"/>
    </row>
    <row r="100" spans="7:8" ht="12.75">
      <c r="G100" s="63"/>
      <c r="H100" s="63"/>
    </row>
    <row r="101" spans="7:8" ht="12.75">
      <c r="G101" s="63"/>
      <c r="H101" s="63"/>
    </row>
    <row r="102" spans="7:8" ht="12.75">
      <c r="G102" s="63"/>
      <c r="H102" s="63"/>
    </row>
    <row r="103" spans="7:8" ht="12.75">
      <c r="G103" s="63"/>
      <c r="H103" s="63"/>
    </row>
    <row r="104" spans="7:8" ht="12.75">
      <c r="G104" s="63"/>
      <c r="H104" s="63"/>
    </row>
    <row r="105" spans="7:8" ht="12.75">
      <c r="G105" s="63"/>
      <c r="H105" s="63"/>
    </row>
    <row r="106" spans="7:8" ht="12.75">
      <c r="G106" s="63"/>
      <c r="H106" s="63"/>
    </row>
    <row r="107" spans="7:8" ht="12.75">
      <c r="G107" s="63"/>
      <c r="H107" s="63"/>
    </row>
    <row r="108" spans="7:8" ht="12.75">
      <c r="G108" s="63"/>
      <c r="H108" s="63"/>
    </row>
    <row r="109" spans="7:8" ht="12.75">
      <c r="G109" s="63"/>
      <c r="H109" s="63"/>
    </row>
    <row r="110" spans="7:8" ht="12.75">
      <c r="G110" s="63"/>
      <c r="H110" s="63"/>
    </row>
    <row r="111" spans="7:8" ht="12.75">
      <c r="G111" s="63"/>
      <c r="H111" s="63"/>
    </row>
    <row r="112" spans="7:8" ht="12.75">
      <c r="G112" s="63"/>
      <c r="H112" s="63"/>
    </row>
    <row r="113" spans="7:8" ht="12.75">
      <c r="G113" s="63"/>
      <c r="H113" s="63"/>
    </row>
    <row r="114" spans="7:8" ht="12.75">
      <c r="G114" s="63"/>
      <c r="H114" s="63"/>
    </row>
    <row r="115" spans="7:8" ht="12.75">
      <c r="G115" s="63"/>
      <c r="H115" s="63"/>
    </row>
    <row r="116" spans="7:8" ht="12.75">
      <c r="G116" s="63"/>
      <c r="H116" s="63"/>
    </row>
    <row r="117" spans="7:8" ht="12.75">
      <c r="G117" s="63"/>
      <c r="H117" s="63"/>
    </row>
    <row r="118" spans="7:8" ht="12.75">
      <c r="G118" s="63"/>
      <c r="H118" s="63"/>
    </row>
    <row r="119" spans="7:8" ht="12.75">
      <c r="G119" s="63"/>
      <c r="H119" s="63"/>
    </row>
    <row r="120" spans="7:8" ht="12.75">
      <c r="G120" s="63"/>
      <c r="H120" s="63"/>
    </row>
    <row r="121" spans="7:8" ht="12.75">
      <c r="G121" s="63"/>
      <c r="H121" s="63"/>
    </row>
    <row r="122" spans="7:8" ht="12.75">
      <c r="G122" s="63"/>
      <c r="H122" s="63"/>
    </row>
    <row r="123" spans="7:8" ht="12.75">
      <c r="G123" s="63"/>
      <c r="H123" s="63"/>
    </row>
    <row r="124" spans="7:8" ht="12.75">
      <c r="G124" s="63"/>
      <c r="H124" s="63"/>
    </row>
    <row r="125" spans="7:8" ht="12.75">
      <c r="G125" s="63"/>
      <c r="H125" s="63"/>
    </row>
    <row r="126" spans="7:8" ht="12.75">
      <c r="G126" s="63"/>
      <c r="H126" s="63"/>
    </row>
    <row r="127" spans="7:8" ht="12.75">
      <c r="G127" s="63"/>
      <c r="H127" s="63"/>
    </row>
    <row r="128" spans="7:8" ht="12.75">
      <c r="G128" s="63"/>
      <c r="H128" s="63"/>
    </row>
    <row r="129" spans="7:8" ht="12.75">
      <c r="G129" s="63"/>
      <c r="H129" s="63"/>
    </row>
    <row r="130" spans="7:8" ht="12.75">
      <c r="G130" s="63"/>
      <c r="H130" s="63"/>
    </row>
    <row r="131" spans="7:8" ht="12.75">
      <c r="G131" s="63"/>
      <c r="H131" s="63"/>
    </row>
    <row r="132" spans="7:8" ht="12.75">
      <c r="G132" s="63"/>
      <c r="H132" s="63"/>
    </row>
    <row r="133" spans="7:8" ht="12.75">
      <c r="G133" s="63"/>
      <c r="H133" s="63"/>
    </row>
    <row r="134" spans="7:8" ht="12.75">
      <c r="G134" s="63"/>
      <c r="H134" s="63"/>
    </row>
    <row r="135" spans="7:8" ht="12.75">
      <c r="G135" s="63"/>
      <c r="H135" s="63"/>
    </row>
    <row r="136" spans="7:8" ht="12.75">
      <c r="G136" s="63"/>
      <c r="H136" s="63"/>
    </row>
    <row r="137" spans="7:8" ht="12.75">
      <c r="G137" s="63"/>
      <c r="H137" s="63"/>
    </row>
    <row r="138" spans="7:8" ht="12.75">
      <c r="G138" s="63"/>
      <c r="H138" s="63"/>
    </row>
    <row r="139" spans="7:8" ht="12.75">
      <c r="G139" s="63"/>
      <c r="H139" s="63"/>
    </row>
    <row r="140" spans="7:8" ht="12.75">
      <c r="G140" s="63"/>
      <c r="H140" s="63"/>
    </row>
    <row r="141" spans="7:8" ht="12.75">
      <c r="G141" s="63"/>
      <c r="H141" s="63"/>
    </row>
    <row r="142" spans="7:8" ht="12.75">
      <c r="G142" s="63"/>
      <c r="H142" s="63"/>
    </row>
    <row r="143" spans="7:8" ht="12.75">
      <c r="G143" s="63"/>
      <c r="H143" s="63"/>
    </row>
    <row r="144" spans="7:8" ht="12.75">
      <c r="G144" s="63"/>
      <c r="H144" s="63"/>
    </row>
    <row r="145" spans="7:8" ht="12.75">
      <c r="G145" s="63"/>
      <c r="H145" s="63"/>
    </row>
    <row r="146" spans="7:8" ht="12.75">
      <c r="G146" s="63"/>
      <c r="H146" s="63"/>
    </row>
    <row r="147" spans="7:8" ht="12.75">
      <c r="G147" s="63"/>
      <c r="H147" s="63"/>
    </row>
    <row r="148" spans="7:8" ht="12.75">
      <c r="G148" s="63"/>
      <c r="H148" s="63"/>
    </row>
    <row r="149" spans="7:8" ht="12.75">
      <c r="G149" s="63"/>
      <c r="H149" s="63"/>
    </row>
    <row r="150" spans="7:8" ht="12.75">
      <c r="G150" s="63"/>
      <c r="H150" s="63"/>
    </row>
    <row r="151" spans="7:8" ht="12.75">
      <c r="G151" s="63"/>
      <c r="H151" s="63"/>
    </row>
    <row r="152" spans="7:8" ht="12.75">
      <c r="G152" s="63"/>
      <c r="H152" s="63"/>
    </row>
    <row r="153" spans="7:8" ht="12.75">
      <c r="G153" s="63"/>
      <c r="H153" s="63"/>
    </row>
    <row r="154" spans="7:8" ht="12.75">
      <c r="G154" s="63"/>
      <c r="H154" s="63"/>
    </row>
    <row r="155" spans="7:8" ht="12.75">
      <c r="G155" s="63"/>
      <c r="H155" s="63"/>
    </row>
    <row r="156" spans="7:8" ht="12.75">
      <c r="G156" s="63"/>
      <c r="H156" s="63"/>
    </row>
    <row r="157" spans="7:8" ht="12.75">
      <c r="G157" s="63"/>
      <c r="H157" s="63"/>
    </row>
    <row r="158" spans="7:8" ht="12.75">
      <c r="G158" s="63"/>
      <c r="H158" s="63"/>
    </row>
    <row r="159" spans="7:8" ht="12.75">
      <c r="G159" s="63"/>
      <c r="H159" s="63"/>
    </row>
    <row r="160" spans="7:8" ht="12.75">
      <c r="G160" s="63"/>
      <c r="H160" s="63"/>
    </row>
    <row r="161" spans="7:8" ht="12.75">
      <c r="G161" s="63"/>
      <c r="H161" s="63"/>
    </row>
    <row r="162" spans="7:8" ht="12.75">
      <c r="G162" s="63"/>
      <c r="H162" s="63"/>
    </row>
    <row r="163" spans="7:8" ht="12.75">
      <c r="G163" s="63"/>
      <c r="H163" s="63"/>
    </row>
    <row r="164" spans="7:8" ht="12.75">
      <c r="G164" s="63"/>
      <c r="H164" s="63"/>
    </row>
    <row r="165" spans="7:8" ht="12.75">
      <c r="G165" s="63"/>
      <c r="H165" s="63"/>
    </row>
    <row r="166" spans="7:8" ht="12.75">
      <c r="G166" s="63"/>
      <c r="H166" s="63"/>
    </row>
    <row r="167" spans="7:8" ht="12.75">
      <c r="G167" s="63"/>
      <c r="H167" s="63"/>
    </row>
    <row r="168" spans="7:8" ht="12.75">
      <c r="G168" s="63"/>
      <c r="H168" s="63"/>
    </row>
    <row r="169" spans="7:8" ht="12.75">
      <c r="G169" s="63"/>
      <c r="H169" s="63"/>
    </row>
    <row r="170" spans="7:8" ht="12.75">
      <c r="G170" s="63"/>
      <c r="H170" s="63"/>
    </row>
    <row r="171" spans="7:8" ht="12.75">
      <c r="G171" s="63"/>
      <c r="H171" s="63"/>
    </row>
    <row r="172" spans="7:8" ht="12.75">
      <c r="G172" s="63"/>
      <c r="H172" s="63"/>
    </row>
    <row r="173" spans="7:8" ht="12.75">
      <c r="G173" s="63"/>
      <c r="H173" s="63"/>
    </row>
    <row r="174" spans="7:8" ht="12.75">
      <c r="G174" s="63"/>
      <c r="H174" s="63"/>
    </row>
    <row r="175" spans="7:8" ht="12.75">
      <c r="G175" s="63"/>
      <c r="H175" s="63"/>
    </row>
    <row r="176" spans="7:8" ht="12.75">
      <c r="G176" s="63"/>
      <c r="H176" s="63"/>
    </row>
    <row r="177" spans="7:8" ht="12.75">
      <c r="G177" s="63"/>
      <c r="H177" s="63"/>
    </row>
    <row r="178" spans="7:8" ht="12.75">
      <c r="G178" s="63"/>
      <c r="H178" s="63"/>
    </row>
    <row r="179" spans="7:8" ht="12.75">
      <c r="G179" s="63"/>
      <c r="H179" s="63"/>
    </row>
    <row r="180" spans="7:8" ht="12.75">
      <c r="G180" s="63"/>
      <c r="H180" s="63"/>
    </row>
    <row r="181" spans="7:8" ht="12.75">
      <c r="G181" s="63"/>
      <c r="H181" s="63"/>
    </row>
    <row r="182" spans="7:8" ht="12.75">
      <c r="G182" s="63"/>
      <c r="H182" s="63"/>
    </row>
    <row r="183" spans="7:8" ht="12.75">
      <c r="G183" s="63"/>
      <c r="H183" s="63"/>
    </row>
    <row r="184" spans="7:8" ht="12.75">
      <c r="G184" s="63"/>
      <c r="H184" s="63"/>
    </row>
    <row r="185" spans="7:8" ht="12.75">
      <c r="G185" s="63"/>
      <c r="H185" s="63"/>
    </row>
    <row r="186" spans="7:8" ht="12.75">
      <c r="G186" s="63"/>
      <c r="H186" s="63"/>
    </row>
    <row r="187" spans="7:8" ht="12.75">
      <c r="G187" s="63"/>
      <c r="H187" s="63"/>
    </row>
    <row r="188" spans="7:8" ht="12.75">
      <c r="G188" s="63"/>
      <c r="H188" s="63"/>
    </row>
    <row r="189" spans="7:8" ht="12.75">
      <c r="G189" s="63"/>
      <c r="H189" s="63"/>
    </row>
    <row r="190" spans="7:8" ht="12.75">
      <c r="G190" s="63"/>
      <c r="H190" s="63"/>
    </row>
    <row r="191" spans="7:8" ht="12.75">
      <c r="G191" s="63"/>
      <c r="H191" s="63"/>
    </row>
    <row r="192" spans="7:8" ht="12.75">
      <c r="G192" s="63"/>
      <c r="H192" s="63"/>
    </row>
    <row r="193" spans="7:8" ht="12.75">
      <c r="G193" s="63"/>
      <c r="H193" s="63"/>
    </row>
    <row r="194" spans="7:8" ht="12.75">
      <c r="G194" s="63"/>
      <c r="H194" s="63"/>
    </row>
    <row r="195" spans="7:8" ht="12.75">
      <c r="G195" s="63"/>
      <c r="H195" s="63"/>
    </row>
    <row r="196" spans="7:8" ht="12.75">
      <c r="G196" s="63"/>
      <c r="H196" s="63"/>
    </row>
    <row r="197" spans="7:8" ht="12.75">
      <c r="G197" s="63"/>
      <c r="H197" s="63"/>
    </row>
    <row r="198" spans="7:8" ht="12.75">
      <c r="G198" s="63"/>
      <c r="H198" s="63"/>
    </row>
    <row r="199" spans="7:8" ht="12.75">
      <c r="G199" s="63"/>
      <c r="H199" s="63"/>
    </row>
    <row r="200" spans="7:8" ht="12.75">
      <c r="G200" s="63"/>
      <c r="H200" s="63"/>
    </row>
    <row r="201" spans="7:8" ht="12.75">
      <c r="G201" s="63"/>
      <c r="H201" s="63"/>
    </row>
    <row r="202" spans="7:8" ht="12.75">
      <c r="G202" s="63"/>
      <c r="H202" s="63"/>
    </row>
    <row r="203" spans="7:8" ht="12.75">
      <c r="G203" s="63"/>
      <c r="H203" s="63"/>
    </row>
    <row r="204" spans="7:8" ht="12.75">
      <c r="G204" s="63"/>
      <c r="H204" s="63"/>
    </row>
    <row r="205" spans="7:8" ht="12.75">
      <c r="G205" s="63"/>
      <c r="H205" s="63"/>
    </row>
    <row r="206" spans="7:8" ht="12.75">
      <c r="G206" s="63"/>
      <c r="H206" s="63"/>
    </row>
    <row r="207" spans="7:8" ht="12.75">
      <c r="G207" s="63"/>
      <c r="H207" s="63"/>
    </row>
    <row r="208" spans="7:8" ht="12.75">
      <c r="G208" s="63"/>
      <c r="H208" s="63"/>
    </row>
    <row r="209" spans="7:8" ht="12.75">
      <c r="G209" s="63"/>
      <c r="H209" s="63"/>
    </row>
    <row r="210" spans="7:8" ht="12.75">
      <c r="G210" s="63"/>
      <c r="H210" s="63"/>
    </row>
    <row r="211" spans="7:8" ht="12.75">
      <c r="G211" s="63"/>
      <c r="H211" s="63"/>
    </row>
    <row r="212" spans="7:8" ht="12.75">
      <c r="G212" s="63"/>
      <c r="H212" s="63"/>
    </row>
    <row r="213" spans="7:8" ht="12.75">
      <c r="G213" s="63"/>
      <c r="H213" s="63"/>
    </row>
    <row r="214" spans="7:8" ht="12.75">
      <c r="G214" s="63"/>
      <c r="H214" s="63"/>
    </row>
    <row r="215" spans="7:8" ht="12.75">
      <c r="G215" s="63"/>
      <c r="H215" s="63"/>
    </row>
    <row r="216" spans="7:8" ht="12.75">
      <c r="G216" s="63"/>
      <c r="H216" s="63"/>
    </row>
    <row r="217" spans="7:8" ht="12.75">
      <c r="G217" s="63"/>
      <c r="H217" s="63"/>
    </row>
    <row r="218" spans="7:8" ht="12.75">
      <c r="G218" s="63"/>
      <c r="H218" s="63"/>
    </row>
    <row r="219" spans="7:8" ht="12.75">
      <c r="G219" s="63"/>
      <c r="H219" s="63"/>
    </row>
    <row r="220" spans="7:8" ht="12.75">
      <c r="G220" s="63"/>
      <c r="H220" s="63"/>
    </row>
    <row r="221" spans="7:8" ht="12.75">
      <c r="G221" s="63"/>
      <c r="H221" s="63"/>
    </row>
    <row r="222" spans="7:8" ht="12.75">
      <c r="G222" s="63"/>
      <c r="H222" s="63"/>
    </row>
    <row r="223" spans="7:8" ht="12.75">
      <c r="G223" s="63"/>
      <c r="H223" s="63"/>
    </row>
    <row r="224" spans="7:8" ht="12.75">
      <c r="G224" s="63"/>
      <c r="H224" s="63"/>
    </row>
    <row r="225" spans="7:8" ht="12.75">
      <c r="G225" s="63"/>
      <c r="H225" s="63"/>
    </row>
    <row r="226" spans="7:8" ht="12.75">
      <c r="G226" s="63"/>
      <c r="H226" s="63"/>
    </row>
    <row r="227" spans="7:8" ht="12.75">
      <c r="G227" s="63"/>
      <c r="H227" s="63"/>
    </row>
    <row r="228" spans="7:8" ht="12.75">
      <c r="G228" s="63"/>
      <c r="H228" s="63"/>
    </row>
    <row r="229" spans="7:8" ht="12.75">
      <c r="G229" s="63"/>
      <c r="H229" s="63"/>
    </row>
    <row r="230" spans="7:8" ht="12.75">
      <c r="G230" s="63"/>
      <c r="H230" s="63"/>
    </row>
    <row r="231" spans="7:8" ht="12.75">
      <c r="G231" s="63"/>
      <c r="H231" s="63"/>
    </row>
    <row r="232" spans="7:8" ht="12.75">
      <c r="G232" s="63"/>
      <c r="H232" s="63"/>
    </row>
    <row r="233" spans="7:8" ht="12.75">
      <c r="G233" s="63"/>
      <c r="H233" s="63"/>
    </row>
    <row r="234" spans="7:8" ht="12.75">
      <c r="G234" s="63"/>
      <c r="H234" s="63"/>
    </row>
    <row r="235" spans="7:8" ht="12.75">
      <c r="G235" s="63"/>
      <c r="H235" s="63"/>
    </row>
    <row r="236" spans="7:8" ht="12.75">
      <c r="G236" s="63"/>
      <c r="H236" s="63"/>
    </row>
    <row r="237" spans="7:8" ht="12.75">
      <c r="G237" s="63"/>
      <c r="H237" s="63"/>
    </row>
    <row r="238" spans="7:8" ht="12.75">
      <c r="G238" s="63"/>
      <c r="H238" s="63"/>
    </row>
    <row r="239" spans="7:8" ht="12.75">
      <c r="G239" s="63"/>
      <c r="H239" s="63"/>
    </row>
    <row r="240" spans="7:8" ht="12.75">
      <c r="G240" s="63"/>
      <c r="H240" s="63"/>
    </row>
    <row r="241" spans="7:8" ht="12.75">
      <c r="G241" s="63"/>
      <c r="H241" s="63"/>
    </row>
    <row r="242" spans="7:8" ht="12.75">
      <c r="G242" s="63"/>
      <c r="H242" s="63"/>
    </row>
    <row r="243" spans="7:8" ht="12.75">
      <c r="G243" s="63"/>
      <c r="H243" s="63"/>
    </row>
    <row r="244" spans="7:8" ht="12.75">
      <c r="G244" s="63"/>
      <c r="H244" s="63"/>
    </row>
    <row r="245" spans="7:8" ht="12.75">
      <c r="G245" s="63"/>
      <c r="H245" s="63"/>
    </row>
    <row r="246" spans="7:8" ht="12.75">
      <c r="G246" s="63"/>
      <c r="H246" s="63"/>
    </row>
    <row r="247" spans="7:8" ht="12.75">
      <c r="G247" s="63"/>
      <c r="H247" s="63"/>
    </row>
    <row r="248" spans="7:8" ht="12.75">
      <c r="G248" s="63"/>
      <c r="H248" s="63"/>
    </row>
    <row r="249" spans="7:8" ht="12.75">
      <c r="G249" s="63"/>
      <c r="H249" s="63"/>
    </row>
    <row r="250" spans="7:8" ht="12.75">
      <c r="G250" s="63"/>
      <c r="H250" s="63"/>
    </row>
    <row r="251" spans="7:8" ht="12.75">
      <c r="G251" s="63"/>
      <c r="H251" s="63"/>
    </row>
    <row r="252" spans="7:8" ht="12.75">
      <c r="G252" s="63"/>
      <c r="H252" s="63"/>
    </row>
    <row r="253" spans="7:8" ht="12.75">
      <c r="G253" s="63"/>
      <c r="H253" s="63"/>
    </row>
    <row r="254" spans="7:8" ht="12.75">
      <c r="G254" s="63"/>
      <c r="H254" s="63"/>
    </row>
    <row r="255" spans="7:8" ht="12.75">
      <c r="G255" s="63"/>
      <c r="H255" s="63"/>
    </row>
    <row r="256" spans="7:8" ht="12.75">
      <c r="G256" s="63"/>
      <c r="H256" s="63"/>
    </row>
    <row r="257" spans="7:8" ht="12.75">
      <c r="G257" s="63"/>
      <c r="H257" s="63"/>
    </row>
    <row r="258" spans="7:8" ht="12.75">
      <c r="G258" s="63"/>
      <c r="H258" s="63"/>
    </row>
    <row r="259" spans="7:8" ht="12.75">
      <c r="G259" s="63"/>
      <c r="H259" s="63"/>
    </row>
    <row r="260" spans="7:8" ht="12.75">
      <c r="G260" s="63"/>
      <c r="H260" s="63"/>
    </row>
    <row r="261" spans="7:8" ht="12.75">
      <c r="G261" s="63"/>
      <c r="H261" s="63"/>
    </row>
    <row r="262" spans="7:8" ht="12.75">
      <c r="G262" s="63"/>
      <c r="H262" s="63"/>
    </row>
    <row r="263" spans="7:8" ht="12.75">
      <c r="G263" s="63"/>
      <c r="H263" s="63"/>
    </row>
    <row r="264" spans="7:8" ht="12.75">
      <c r="G264" s="63"/>
      <c r="H264" s="63"/>
    </row>
    <row r="265" spans="7:8" ht="12.75">
      <c r="G265" s="63"/>
      <c r="H265" s="63"/>
    </row>
    <row r="266" spans="7:8" ht="12.75">
      <c r="G266" s="63"/>
      <c r="H266" s="63"/>
    </row>
    <row r="267" spans="7:8" ht="12.75">
      <c r="G267" s="63"/>
      <c r="H267" s="63"/>
    </row>
    <row r="268" spans="7:8" ht="12.75">
      <c r="G268" s="63"/>
      <c r="H268" s="63"/>
    </row>
    <row r="269" spans="7:8" ht="12.75">
      <c r="G269" s="63"/>
      <c r="H269" s="63"/>
    </row>
    <row r="270" spans="7:8" ht="12.75">
      <c r="G270" s="63"/>
      <c r="H270" s="63"/>
    </row>
    <row r="271" spans="7:8" ht="12.75">
      <c r="G271" s="63"/>
      <c r="H271" s="63"/>
    </row>
    <row r="272" spans="7:8" ht="12.75">
      <c r="G272" s="63"/>
      <c r="H272" s="63"/>
    </row>
    <row r="273" spans="7:8" ht="12.75">
      <c r="G273" s="63"/>
      <c r="H273" s="63"/>
    </row>
    <row r="274" spans="7:8" ht="12.75">
      <c r="G274" s="63"/>
      <c r="H274" s="63"/>
    </row>
    <row r="275" spans="7:8" ht="12.75">
      <c r="G275" s="63"/>
      <c r="H275" s="63"/>
    </row>
    <row r="276" spans="7:8" ht="12.75">
      <c r="G276" s="63"/>
      <c r="H276" s="63"/>
    </row>
    <row r="277" spans="7:8" ht="12.75">
      <c r="G277" s="63"/>
      <c r="H277" s="63"/>
    </row>
    <row r="278" spans="7:8" ht="12.75">
      <c r="G278" s="63"/>
      <c r="H278" s="63"/>
    </row>
    <row r="279" spans="7:8" ht="12.75">
      <c r="G279" s="63"/>
      <c r="H279" s="63"/>
    </row>
    <row r="280" spans="7:8" ht="12.75">
      <c r="G280" s="63"/>
      <c r="H280" s="63"/>
    </row>
    <row r="281" spans="7:8" ht="12.75">
      <c r="G281" s="63"/>
      <c r="H281" s="63"/>
    </row>
    <row r="282" spans="7:8" ht="12.75">
      <c r="G282" s="63"/>
      <c r="H282" s="63"/>
    </row>
    <row r="283" spans="7:8" ht="12.75">
      <c r="G283" s="63"/>
      <c r="H283" s="63"/>
    </row>
    <row r="284" spans="7:8" ht="12.75">
      <c r="G284" s="63"/>
      <c r="H284" s="63"/>
    </row>
    <row r="285" spans="7:8" ht="12.75">
      <c r="G285" s="63"/>
      <c r="H285" s="63"/>
    </row>
    <row r="286" spans="7:8" ht="12.75">
      <c r="G286" s="63"/>
      <c r="H286" s="63"/>
    </row>
    <row r="287" spans="7:8" ht="12.75">
      <c r="G287" s="63"/>
      <c r="H287" s="63"/>
    </row>
    <row r="288" spans="7:8" ht="12.75">
      <c r="G288" s="63"/>
      <c r="H288" s="63"/>
    </row>
    <row r="289" spans="7:8" ht="12.75">
      <c r="G289" s="63"/>
      <c r="H289" s="63"/>
    </row>
    <row r="290" spans="7:8" ht="12.75">
      <c r="G290" s="63"/>
      <c r="H290" s="63"/>
    </row>
    <row r="291" spans="7:8" ht="12.75">
      <c r="G291" s="63"/>
      <c r="H291" s="63"/>
    </row>
    <row r="292" spans="7:8" ht="12.75">
      <c r="G292" s="63"/>
      <c r="H292" s="63"/>
    </row>
    <row r="293" spans="7:8" ht="12.75">
      <c r="G293" s="63"/>
      <c r="H293" s="63"/>
    </row>
    <row r="294" spans="7:8" ht="12.75">
      <c r="G294" s="63"/>
      <c r="H294" s="63"/>
    </row>
    <row r="295" spans="7:8" ht="12.75">
      <c r="G295" s="63"/>
      <c r="H295" s="63"/>
    </row>
    <row r="296" spans="7:8" ht="12.75">
      <c r="G296" s="63"/>
      <c r="H296" s="63"/>
    </row>
    <row r="297" spans="7:8" ht="12.75">
      <c r="G297" s="63"/>
      <c r="H297" s="63"/>
    </row>
    <row r="298" spans="7:8" ht="12.75">
      <c r="G298" s="63"/>
      <c r="H298" s="63"/>
    </row>
    <row r="299" spans="7:8" ht="12.75">
      <c r="G299" s="63"/>
      <c r="H299" s="63"/>
    </row>
    <row r="300" spans="7:8" ht="12.75">
      <c r="G300" s="63"/>
      <c r="H300" s="63"/>
    </row>
    <row r="301" spans="7:8" ht="12.75">
      <c r="G301" s="63"/>
      <c r="H301" s="63"/>
    </row>
    <row r="302" spans="7:8" ht="12.75">
      <c r="G302" s="63"/>
      <c r="H302" s="63"/>
    </row>
    <row r="303" spans="7:8" ht="12.75">
      <c r="G303" s="63"/>
      <c r="H303" s="63"/>
    </row>
    <row r="304" spans="7:8" ht="12.75">
      <c r="G304" s="63"/>
      <c r="H304" s="63"/>
    </row>
    <row r="305" spans="7:8" ht="12.75">
      <c r="G305" s="63"/>
      <c r="H305" s="63"/>
    </row>
    <row r="306" spans="7:8" ht="12.75">
      <c r="G306" s="63"/>
      <c r="H306" s="63"/>
    </row>
    <row r="307" spans="7:8" ht="12.75">
      <c r="G307" s="63"/>
      <c r="H307" s="63"/>
    </row>
    <row r="308" spans="7:8" ht="12.75">
      <c r="G308" s="63"/>
      <c r="H308" s="63"/>
    </row>
    <row r="309" spans="7:8" ht="12.75">
      <c r="G309" s="63"/>
      <c r="H309" s="63"/>
    </row>
    <row r="310" spans="7:8" ht="12.75">
      <c r="G310" s="63"/>
      <c r="H310" s="63"/>
    </row>
    <row r="311" spans="7:8" ht="12.75">
      <c r="G311" s="63"/>
      <c r="H311" s="63"/>
    </row>
    <row r="312" spans="7:8" ht="12.75">
      <c r="G312" s="63"/>
      <c r="H312" s="63"/>
    </row>
    <row r="313" spans="7:8" ht="12.75">
      <c r="G313" s="63"/>
      <c r="H313" s="63"/>
    </row>
    <row r="314" spans="7:8" ht="12.75">
      <c r="G314" s="63"/>
      <c r="H314" s="63"/>
    </row>
    <row r="315" spans="7:8" ht="12.75">
      <c r="G315" s="63"/>
      <c r="H315" s="63"/>
    </row>
    <row r="316" spans="7:8" ht="12.75">
      <c r="G316" s="63"/>
      <c r="H316" s="63"/>
    </row>
    <row r="317" spans="7:8" ht="12.75">
      <c r="G317" s="63"/>
      <c r="H317" s="63"/>
    </row>
    <row r="318" spans="7:8" ht="12.75">
      <c r="G318" s="63"/>
      <c r="H318" s="63"/>
    </row>
    <row r="319" spans="7:8" ht="12.75">
      <c r="G319" s="63"/>
      <c r="H319" s="63"/>
    </row>
    <row r="320" spans="7:8" ht="12.75">
      <c r="G320" s="63"/>
      <c r="H320" s="63"/>
    </row>
    <row r="321" spans="7:8" ht="12.75">
      <c r="G321" s="63"/>
      <c r="H321" s="63"/>
    </row>
    <row r="322" spans="7:8" ht="12.75">
      <c r="G322" s="63"/>
      <c r="H322" s="63"/>
    </row>
    <row r="323" spans="7:8" ht="12.75">
      <c r="G323" s="63"/>
      <c r="H323" s="63"/>
    </row>
    <row r="324" spans="7:8" ht="12.75">
      <c r="G324" s="63"/>
      <c r="H324" s="63"/>
    </row>
    <row r="325" spans="7:8" ht="12.75">
      <c r="G325" s="63"/>
      <c r="H325" s="63"/>
    </row>
    <row r="326" spans="7:8" ht="12.75">
      <c r="G326" s="63"/>
      <c r="H326" s="63"/>
    </row>
    <row r="327" spans="7:8" ht="12.75">
      <c r="G327" s="63"/>
      <c r="H327" s="63"/>
    </row>
    <row r="328" spans="7:8" ht="12.75">
      <c r="G328" s="63"/>
      <c r="H328" s="63"/>
    </row>
    <row r="329" spans="7:8" ht="12.75">
      <c r="G329" s="63"/>
      <c r="H329" s="63"/>
    </row>
    <row r="330" spans="7:8" ht="12.75">
      <c r="G330" s="63"/>
      <c r="H330" s="63"/>
    </row>
    <row r="331" spans="7:8" ht="12.75">
      <c r="G331" s="63"/>
      <c r="H331" s="63"/>
    </row>
    <row r="332" spans="7:8" ht="12.75">
      <c r="G332" s="63"/>
      <c r="H332" s="63"/>
    </row>
    <row r="333" spans="7:8" ht="12.75">
      <c r="G333" s="63"/>
      <c r="H333" s="63"/>
    </row>
    <row r="334" spans="7:8" ht="12.75">
      <c r="G334" s="63"/>
      <c r="H334" s="63"/>
    </row>
    <row r="335" spans="7:8" ht="12.75">
      <c r="G335" s="63"/>
      <c r="H335" s="63"/>
    </row>
    <row r="336" spans="7:8" ht="12.75">
      <c r="G336" s="63"/>
      <c r="H336" s="63"/>
    </row>
    <row r="337" spans="7:8" ht="12.75">
      <c r="G337" s="63"/>
      <c r="H337" s="63"/>
    </row>
    <row r="338" spans="7:8" ht="12.75">
      <c r="G338" s="63"/>
      <c r="H338" s="63"/>
    </row>
    <row r="339" spans="7:8" ht="12.75">
      <c r="G339" s="63"/>
      <c r="H339" s="63"/>
    </row>
    <row r="340" spans="7:8" ht="12.75">
      <c r="G340" s="63"/>
      <c r="H340" s="63"/>
    </row>
    <row r="341" spans="7:8" ht="12.75">
      <c r="G341" s="63"/>
      <c r="H341" s="63"/>
    </row>
    <row r="342" spans="7:8" ht="12.75">
      <c r="G342" s="63"/>
      <c r="H342" s="63"/>
    </row>
    <row r="343" spans="7:8" ht="12.75">
      <c r="G343" s="63"/>
      <c r="H343" s="63"/>
    </row>
    <row r="344" spans="7:8" ht="12.75">
      <c r="G344" s="63"/>
      <c r="H344" s="63"/>
    </row>
    <row r="345" spans="7:8" ht="12.75">
      <c r="G345" s="63"/>
      <c r="H345" s="63"/>
    </row>
    <row r="346" spans="7:8" ht="12.75">
      <c r="G346" s="63"/>
      <c r="H346" s="63"/>
    </row>
    <row r="347" spans="7:8" ht="12.75">
      <c r="G347" s="63"/>
      <c r="H347" s="63"/>
    </row>
    <row r="348" spans="7:8" ht="12.75">
      <c r="G348" s="63"/>
      <c r="H348" s="63"/>
    </row>
    <row r="349" spans="7:8" ht="12.75">
      <c r="G349" s="63"/>
      <c r="H349" s="63"/>
    </row>
    <row r="350" spans="7:8" ht="12.75">
      <c r="G350" s="63"/>
      <c r="H350" s="63"/>
    </row>
    <row r="351" spans="7:8" ht="12.75">
      <c r="G351" s="63"/>
      <c r="H351" s="63"/>
    </row>
    <row r="352" spans="7:8" ht="12.75">
      <c r="G352" s="63"/>
      <c r="H352" s="63"/>
    </row>
    <row r="353" spans="7:8" ht="12.75">
      <c r="G353" s="63"/>
      <c r="H353" s="63"/>
    </row>
    <row r="354" spans="7:8" ht="12.75">
      <c r="G354" s="63"/>
      <c r="H354" s="63"/>
    </row>
    <row r="355" spans="7:8" ht="12.75">
      <c r="G355" s="63"/>
      <c r="H355" s="63"/>
    </row>
    <row r="356" spans="7:8" ht="12.75">
      <c r="G356" s="63"/>
      <c r="H356" s="63"/>
    </row>
    <row r="357" spans="7:8" ht="12.75">
      <c r="G357" s="63"/>
      <c r="H357" s="63"/>
    </row>
    <row r="358" spans="7:8" ht="12.75">
      <c r="G358" s="63"/>
      <c r="H358" s="63"/>
    </row>
    <row r="359" spans="7:8" ht="12.75">
      <c r="G359" s="63"/>
      <c r="H359" s="63"/>
    </row>
    <row r="360" spans="7:8" ht="12.75">
      <c r="G360" s="63"/>
      <c r="H360" s="63"/>
    </row>
    <row r="361" spans="7:8" ht="12.75">
      <c r="G361" s="63"/>
      <c r="H361" s="63"/>
    </row>
    <row r="362" spans="7:8" ht="12.75">
      <c r="G362" s="63"/>
      <c r="H362" s="63"/>
    </row>
    <row r="363" spans="7:8" ht="12.75">
      <c r="G363" s="63"/>
      <c r="H363" s="63"/>
    </row>
    <row r="364" spans="7:8" ht="12.75">
      <c r="G364" s="63"/>
      <c r="H364" s="63"/>
    </row>
    <row r="365" spans="7:8" ht="12.75">
      <c r="G365" s="63"/>
      <c r="H365" s="63"/>
    </row>
    <row r="366" spans="7:8" ht="12.75">
      <c r="G366" s="63"/>
      <c r="H366" s="63"/>
    </row>
    <row r="367" spans="7:8" ht="12.75">
      <c r="G367" s="63"/>
      <c r="H367" s="63"/>
    </row>
    <row r="368" spans="7:8" ht="12.75">
      <c r="G368" s="63"/>
      <c r="H368" s="63"/>
    </row>
    <row r="369" spans="7:8" ht="12.75">
      <c r="G369" s="63"/>
      <c r="H369" s="63"/>
    </row>
    <row r="370" spans="7:8" ht="12.75">
      <c r="G370" s="63"/>
      <c r="H370" s="63"/>
    </row>
    <row r="371" spans="7:8" ht="12.75">
      <c r="G371" s="63"/>
      <c r="H371" s="63"/>
    </row>
    <row r="372" spans="7:8" ht="12.75">
      <c r="G372" s="63"/>
      <c r="H372" s="63"/>
    </row>
    <row r="373" spans="7:8" ht="12.75">
      <c r="G373" s="63"/>
      <c r="H373" s="63"/>
    </row>
    <row r="374" spans="7:8" ht="12.75">
      <c r="G374" s="63"/>
      <c r="H374" s="63"/>
    </row>
    <row r="375" spans="7:8" ht="12.75">
      <c r="G375" s="63"/>
      <c r="H375" s="63"/>
    </row>
    <row r="376" spans="7:8" ht="12.75">
      <c r="G376" s="63"/>
      <c r="H376" s="63"/>
    </row>
    <row r="377" spans="7:8" ht="12.75">
      <c r="G377" s="63"/>
      <c r="H377" s="63"/>
    </row>
    <row r="378" spans="7:8" ht="12.75">
      <c r="G378" s="63"/>
      <c r="H378" s="63"/>
    </row>
    <row r="379" spans="7:8" ht="12.75">
      <c r="G379" s="63"/>
      <c r="H379" s="63"/>
    </row>
    <row r="380" spans="7:8" ht="12.75">
      <c r="G380" s="63"/>
      <c r="H380" s="63"/>
    </row>
    <row r="381" spans="7:8" ht="12.75">
      <c r="G381" s="63"/>
      <c r="H381" s="63"/>
    </row>
    <row r="382" spans="7:8" ht="12.75">
      <c r="G382" s="63"/>
      <c r="H382" s="63"/>
    </row>
    <row r="383" spans="7:8" ht="12.75">
      <c r="G383" s="63"/>
      <c r="H383" s="63"/>
    </row>
    <row r="384" spans="7:8" ht="12.75">
      <c r="G384" s="63"/>
      <c r="H384" s="63"/>
    </row>
    <row r="385" spans="7:8" ht="12.75">
      <c r="G385" s="63"/>
      <c r="H385" s="63"/>
    </row>
    <row r="386" spans="7:8" ht="12.75">
      <c r="G386" s="63"/>
      <c r="H386" s="63"/>
    </row>
    <row r="387" spans="7:8" ht="12.75">
      <c r="G387" s="63"/>
      <c r="H387" s="63"/>
    </row>
    <row r="388" spans="7:8" ht="12.75">
      <c r="G388" s="63"/>
      <c r="H388" s="63"/>
    </row>
    <row r="389" spans="7:8" ht="12.75">
      <c r="G389" s="63"/>
      <c r="H389" s="63"/>
    </row>
    <row r="390" spans="7:8" ht="12.75">
      <c r="G390" s="63"/>
      <c r="H390" s="63"/>
    </row>
    <row r="391" spans="7:8" ht="12.75">
      <c r="G391" s="63"/>
      <c r="H391" s="63"/>
    </row>
    <row r="392" spans="7:8" ht="12.75">
      <c r="G392" s="63"/>
      <c r="H392" s="63"/>
    </row>
    <row r="393" spans="7:8" ht="12.75">
      <c r="G393" s="63"/>
      <c r="H393" s="63"/>
    </row>
    <row r="394" spans="7:8" ht="12.75">
      <c r="G394" s="63"/>
      <c r="H394" s="63"/>
    </row>
    <row r="395" spans="7:8" ht="12.75">
      <c r="G395" s="63"/>
      <c r="H395" s="63"/>
    </row>
    <row r="396" spans="7:8" ht="12.75">
      <c r="G396" s="63"/>
      <c r="H396" s="63"/>
    </row>
    <row r="397" spans="7:8" ht="12.75">
      <c r="G397" s="63"/>
      <c r="H397" s="63"/>
    </row>
    <row r="398" spans="7:8" ht="12.75">
      <c r="G398" s="63"/>
      <c r="H398" s="63"/>
    </row>
    <row r="399" spans="7:8" ht="12.75">
      <c r="G399" s="63"/>
      <c r="H399" s="63"/>
    </row>
    <row r="400" spans="7:8" ht="12.75">
      <c r="G400" s="63"/>
      <c r="H400" s="63"/>
    </row>
    <row r="401" spans="7:8" ht="12.75">
      <c r="G401" s="63"/>
      <c r="H401" s="63"/>
    </row>
    <row r="402" spans="7:8" ht="12.75">
      <c r="G402" s="63"/>
      <c r="H402" s="63"/>
    </row>
    <row r="403" spans="7:8" ht="12.75">
      <c r="G403" s="63"/>
      <c r="H403" s="63"/>
    </row>
    <row r="404" spans="7:8" ht="12.75">
      <c r="G404" s="63"/>
      <c r="H404" s="63"/>
    </row>
    <row r="405" spans="7:8" ht="12.75">
      <c r="G405" s="63"/>
      <c r="H405" s="63"/>
    </row>
    <row r="406" spans="7:8" ht="12.75">
      <c r="G406" s="63"/>
      <c r="H406" s="63"/>
    </row>
    <row r="407" spans="7:8" ht="12.75">
      <c r="G407" s="63"/>
      <c r="H407" s="63"/>
    </row>
    <row r="408" spans="7:8" ht="12.75">
      <c r="G408" s="63"/>
      <c r="H408" s="63"/>
    </row>
    <row r="409" spans="7:8" ht="12.75">
      <c r="G409" s="63"/>
      <c r="H409" s="63"/>
    </row>
    <row r="410" spans="7:8" ht="12.75">
      <c r="G410" s="63"/>
      <c r="H410" s="63"/>
    </row>
    <row r="411" spans="7:8" ht="12.75">
      <c r="G411" s="63"/>
      <c r="H411" s="63"/>
    </row>
    <row r="412" spans="7:8" ht="12.75">
      <c r="G412" s="63"/>
      <c r="H412" s="63"/>
    </row>
    <row r="413" spans="7:8" ht="12.75">
      <c r="G413" s="63"/>
      <c r="H413" s="63"/>
    </row>
    <row r="414" spans="7:8" ht="12.75">
      <c r="G414" s="63"/>
      <c r="H414" s="63"/>
    </row>
    <row r="415" spans="7:8" ht="12.75">
      <c r="G415" s="63"/>
      <c r="H415" s="63"/>
    </row>
    <row r="416" spans="7:8" ht="12.75">
      <c r="G416" s="63"/>
      <c r="H416" s="63"/>
    </row>
    <row r="417" spans="7:8" ht="12.75">
      <c r="G417" s="63"/>
      <c r="H417" s="63"/>
    </row>
    <row r="418" spans="7:8" ht="12.75">
      <c r="G418" s="63"/>
      <c r="H418" s="63"/>
    </row>
    <row r="419" spans="7:8" ht="12.75">
      <c r="G419" s="63"/>
      <c r="H419" s="63"/>
    </row>
    <row r="420" spans="7:8" ht="12.75">
      <c r="G420" s="63"/>
      <c r="H420" s="63"/>
    </row>
    <row r="421" spans="7:8" ht="12.75">
      <c r="G421" s="63"/>
      <c r="H421" s="63"/>
    </row>
    <row r="422" spans="7:8" ht="12.75">
      <c r="G422" s="63"/>
      <c r="H422" s="63"/>
    </row>
    <row r="423" spans="7:8" ht="12.75">
      <c r="G423" s="63"/>
      <c r="H423" s="63"/>
    </row>
    <row r="424" spans="7:8" ht="12.75">
      <c r="G424" s="63"/>
      <c r="H424" s="63"/>
    </row>
    <row r="425" spans="7:8" ht="12.75">
      <c r="G425" s="63"/>
      <c r="H425" s="63"/>
    </row>
    <row r="426" spans="7:8" ht="12.75">
      <c r="G426" s="63"/>
      <c r="H426" s="63"/>
    </row>
    <row r="427" spans="7:8" ht="12.75">
      <c r="G427" s="63"/>
      <c r="H427" s="63"/>
    </row>
    <row r="428" spans="7:8" ht="12.75">
      <c r="G428" s="63"/>
      <c r="H428" s="63"/>
    </row>
    <row r="429" spans="7:8" ht="12.75">
      <c r="G429" s="63"/>
      <c r="H429" s="63"/>
    </row>
    <row r="430" spans="7:8" ht="12.75">
      <c r="G430" s="63"/>
      <c r="H430" s="63"/>
    </row>
    <row r="431" spans="7:8" ht="12.75">
      <c r="G431" s="63"/>
      <c r="H431" s="63"/>
    </row>
    <row r="432" spans="7:8" ht="12.75">
      <c r="G432" s="63"/>
      <c r="H432" s="63"/>
    </row>
    <row r="433" spans="7:8" ht="12.75">
      <c r="G433" s="63"/>
      <c r="H433" s="63"/>
    </row>
    <row r="434" spans="7:8" ht="12.75">
      <c r="G434" s="63"/>
      <c r="H434" s="63"/>
    </row>
    <row r="435" spans="7:8" ht="12.75">
      <c r="G435" s="63"/>
      <c r="H435" s="63"/>
    </row>
    <row r="436" spans="7:8" ht="12.75">
      <c r="G436" s="63"/>
      <c r="H436" s="63"/>
    </row>
    <row r="437" spans="7:8" ht="12.75">
      <c r="G437" s="63"/>
      <c r="H437" s="63"/>
    </row>
    <row r="438" spans="7:8" ht="12.75">
      <c r="G438" s="63"/>
      <c r="H438" s="63"/>
    </row>
    <row r="439" spans="7:8" ht="12.75">
      <c r="G439" s="63"/>
      <c r="H439" s="63"/>
    </row>
    <row r="440" spans="7:8" ht="12.75">
      <c r="G440" s="63"/>
      <c r="H440" s="63"/>
    </row>
    <row r="441" spans="7:8" ht="12.75">
      <c r="G441" s="63"/>
      <c r="H441" s="63"/>
    </row>
    <row r="442" spans="7:8" ht="12.75">
      <c r="G442" s="63"/>
      <c r="H442" s="63"/>
    </row>
    <row r="443" spans="7:8" ht="12.75">
      <c r="G443" s="63"/>
      <c r="H443" s="63"/>
    </row>
    <row r="444" spans="7:8" ht="12.75">
      <c r="G444" s="63"/>
      <c r="H444" s="63"/>
    </row>
    <row r="445" spans="7:8" ht="12.75">
      <c r="G445" s="63"/>
      <c r="H445" s="63"/>
    </row>
    <row r="446" spans="7:8" ht="12.75">
      <c r="G446" s="63"/>
      <c r="H446" s="63"/>
    </row>
    <row r="447" spans="7:8" ht="12.75">
      <c r="G447" s="63"/>
      <c r="H447" s="63"/>
    </row>
    <row r="448" spans="7:8" ht="12.75">
      <c r="G448" s="63"/>
      <c r="H448" s="63"/>
    </row>
    <row r="449" spans="7:8" ht="12.75">
      <c r="G449" s="63"/>
      <c r="H449" s="63"/>
    </row>
    <row r="450" spans="7:8" ht="12.75">
      <c r="G450" s="63"/>
      <c r="H450" s="63"/>
    </row>
    <row r="451" spans="7:8" ht="12.75">
      <c r="G451" s="63"/>
      <c r="H451" s="63"/>
    </row>
    <row r="452" spans="7:8" ht="12.75">
      <c r="G452" s="63"/>
      <c r="H452" s="63"/>
    </row>
    <row r="453" spans="7:8" ht="12.75">
      <c r="G453" s="63"/>
      <c r="H453" s="63"/>
    </row>
    <row r="454" spans="7:8" ht="12.75">
      <c r="G454" s="63"/>
      <c r="H454" s="63"/>
    </row>
    <row r="455" spans="7:8" ht="12.75">
      <c r="G455" s="63"/>
      <c r="H455" s="63"/>
    </row>
    <row r="456" spans="7:8" ht="12.75">
      <c r="G456" s="63"/>
      <c r="H456" s="63"/>
    </row>
    <row r="457" spans="7:8" ht="12.75">
      <c r="G457" s="63"/>
      <c r="H457" s="63"/>
    </row>
    <row r="458" spans="7:8" ht="12.75">
      <c r="G458" s="63"/>
      <c r="H458" s="63"/>
    </row>
    <row r="459" spans="7:8" ht="12.75">
      <c r="G459" s="63"/>
      <c r="H459" s="63"/>
    </row>
    <row r="460" spans="7:8" ht="12.75">
      <c r="G460" s="63"/>
      <c r="H460" s="63"/>
    </row>
    <row r="461" spans="7:8" ht="12.75">
      <c r="G461" s="63"/>
      <c r="H461" s="63"/>
    </row>
    <row r="462" spans="7:8" ht="12.75">
      <c r="G462" s="63"/>
      <c r="H462" s="63"/>
    </row>
    <row r="463" spans="7:8" ht="12.75">
      <c r="G463" s="63"/>
      <c r="H463" s="63"/>
    </row>
    <row r="464" spans="7:8" ht="12.75">
      <c r="G464" s="63"/>
      <c r="H464" s="63"/>
    </row>
    <row r="465" spans="7:8" ht="12.75">
      <c r="G465" s="63"/>
      <c r="H465" s="63"/>
    </row>
    <row r="466" spans="7:8" ht="12.75">
      <c r="G466" s="63"/>
      <c r="H466" s="63"/>
    </row>
    <row r="467" spans="7:8" ht="12.75">
      <c r="G467" s="63"/>
      <c r="H467" s="63"/>
    </row>
    <row r="468" spans="7:8" ht="12.75">
      <c r="G468" s="63"/>
      <c r="H468" s="63"/>
    </row>
    <row r="469" spans="7:8" ht="12.75">
      <c r="G469" s="63"/>
      <c r="H469" s="63"/>
    </row>
    <row r="470" spans="7:8" ht="12.75">
      <c r="G470" s="63"/>
      <c r="H470" s="63"/>
    </row>
    <row r="471" spans="7:8" ht="12.75">
      <c r="G471" s="63"/>
      <c r="H471" s="63"/>
    </row>
    <row r="472" spans="7:8" ht="12.75">
      <c r="G472" s="63"/>
      <c r="H472" s="63"/>
    </row>
    <row r="473" spans="7:8" ht="12.75">
      <c r="G473" s="63"/>
      <c r="H473" s="63"/>
    </row>
    <row r="474" spans="7:8" ht="12.75">
      <c r="G474" s="63"/>
      <c r="H474" s="63"/>
    </row>
    <row r="475" spans="7:8" ht="12.75">
      <c r="G475" s="63"/>
      <c r="H475" s="63"/>
    </row>
    <row r="476" spans="7:8" ht="12.75">
      <c r="G476" s="63"/>
      <c r="H476" s="63"/>
    </row>
    <row r="477" spans="7:8" ht="12.75">
      <c r="G477" s="63"/>
      <c r="H477" s="63"/>
    </row>
    <row r="478" spans="7:8" ht="12.75">
      <c r="G478" s="63"/>
      <c r="H478" s="63"/>
    </row>
    <row r="479" spans="7:8" ht="12.75">
      <c r="G479" s="63"/>
      <c r="H479" s="63"/>
    </row>
    <row r="480" spans="7:8" ht="12.75">
      <c r="G480" s="63"/>
      <c r="H480" s="63"/>
    </row>
    <row r="481" spans="7:8" ht="12.75">
      <c r="G481" s="63"/>
      <c r="H481" s="63"/>
    </row>
    <row r="482" spans="7:8" ht="12.75">
      <c r="G482" s="63"/>
      <c r="H482" s="63"/>
    </row>
    <row r="483" spans="7:8" ht="12.75">
      <c r="G483" s="63"/>
      <c r="H483" s="63"/>
    </row>
    <row r="484" spans="7:8" ht="12.75">
      <c r="G484" s="63"/>
      <c r="H484" s="63"/>
    </row>
    <row r="485" spans="7:8" ht="12.75">
      <c r="G485" s="63"/>
      <c r="H485" s="63"/>
    </row>
    <row r="486" spans="7:8" ht="12.75">
      <c r="G486" s="63"/>
      <c r="H486" s="63"/>
    </row>
    <row r="487" spans="7:8" ht="12.75">
      <c r="G487" s="63"/>
      <c r="H487" s="63"/>
    </row>
    <row r="488" spans="7:8" ht="12.75">
      <c r="G488" s="63"/>
      <c r="H488" s="63"/>
    </row>
    <row r="489" spans="7:8" ht="12.75">
      <c r="G489" s="63"/>
      <c r="H489" s="63"/>
    </row>
    <row r="490" spans="7:8" ht="12.75">
      <c r="G490" s="63"/>
      <c r="H490" s="63"/>
    </row>
    <row r="491" spans="7:8" ht="12.75">
      <c r="G491" s="63"/>
      <c r="H491" s="63"/>
    </row>
    <row r="492" spans="7:8" ht="12.75">
      <c r="G492" s="63"/>
      <c r="H492" s="63"/>
    </row>
    <row r="493" spans="7:8" ht="12.75">
      <c r="G493" s="63"/>
      <c r="H493" s="63"/>
    </row>
    <row r="494" spans="7:8" ht="12.75">
      <c r="G494" s="63"/>
      <c r="H494" s="63"/>
    </row>
    <row r="495" spans="7:8" ht="12.75">
      <c r="G495" s="63"/>
      <c r="H495" s="63"/>
    </row>
    <row r="496" spans="7:8" ht="12.75">
      <c r="G496" s="63"/>
      <c r="H496" s="63"/>
    </row>
    <row r="497" spans="7:8" ht="12.75">
      <c r="G497" s="63"/>
      <c r="H497" s="63"/>
    </row>
    <row r="498" spans="7:8" ht="12.75">
      <c r="G498" s="63"/>
      <c r="H498" s="63"/>
    </row>
    <row r="499" spans="7:8" ht="12.75">
      <c r="G499" s="63"/>
      <c r="H499" s="63"/>
    </row>
    <row r="500" spans="7:8" ht="12.75">
      <c r="G500" s="63"/>
      <c r="H500" s="63"/>
    </row>
    <row r="501" spans="7:8" ht="12.75">
      <c r="G501" s="63"/>
      <c r="H501" s="63"/>
    </row>
    <row r="502" spans="7:8" ht="12.75">
      <c r="G502" s="63"/>
      <c r="H502" s="63"/>
    </row>
    <row r="503" spans="7:8" ht="12.75">
      <c r="G503" s="63"/>
      <c r="H503" s="63"/>
    </row>
    <row r="504" spans="7:8" ht="12.75">
      <c r="G504" s="63"/>
      <c r="H504" s="63"/>
    </row>
    <row r="505" spans="7:8" ht="12.75">
      <c r="G505" s="63"/>
      <c r="H505" s="63"/>
    </row>
    <row r="506" spans="7:8" ht="12.75">
      <c r="G506" s="63"/>
      <c r="H506" s="63"/>
    </row>
    <row r="507" spans="7:8" ht="12.75">
      <c r="G507" s="63"/>
      <c r="H507" s="63"/>
    </row>
    <row r="508" spans="7:8" ht="12.75">
      <c r="G508" s="63"/>
      <c r="H508" s="63"/>
    </row>
    <row r="509" spans="7:8" ht="12.75">
      <c r="G509" s="63"/>
      <c r="H509" s="63"/>
    </row>
    <row r="510" spans="7:8" ht="12.75">
      <c r="G510" s="63"/>
      <c r="H510" s="63"/>
    </row>
    <row r="511" spans="7:8" ht="12.75">
      <c r="G511" s="63"/>
      <c r="H511" s="63"/>
    </row>
    <row r="512" spans="7:8" ht="12.75">
      <c r="G512" s="63"/>
      <c r="H512" s="63"/>
    </row>
    <row r="513" spans="7:8" ht="12.75">
      <c r="G513" s="63"/>
      <c r="H513" s="63"/>
    </row>
    <row r="514" spans="7:8" ht="12.75">
      <c r="G514" s="63"/>
      <c r="H514" s="63"/>
    </row>
    <row r="515" spans="7:8" ht="12.75">
      <c r="G515" s="63"/>
      <c r="H515" s="63"/>
    </row>
    <row r="516" spans="7:8" ht="12.75">
      <c r="G516" s="63"/>
      <c r="H516" s="63"/>
    </row>
    <row r="517" spans="7:8" ht="12.75">
      <c r="G517" s="63"/>
      <c r="H517" s="63"/>
    </row>
    <row r="518" spans="7:8" ht="12.75">
      <c r="G518" s="63"/>
      <c r="H518" s="63"/>
    </row>
    <row r="519" spans="7:8" ht="12.75">
      <c r="G519" s="63"/>
      <c r="H519" s="63"/>
    </row>
    <row r="520" spans="7:8" ht="12.75">
      <c r="G520" s="63"/>
      <c r="H520" s="63"/>
    </row>
    <row r="521" spans="7:8" ht="12.75">
      <c r="G521" s="63"/>
      <c r="H521" s="63"/>
    </row>
    <row r="522" spans="7:8" ht="12.75">
      <c r="G522" s="63"/>
      <c r="H522" s="63"/>
    </row>
    <row r="523" spans="7:8" ht="12.75">
      <c r="G523" s="63"/>
      <c r="H523" s="63"/>
    </row>
    <row r="524" spans="7:8" ht="12.75">
      <c r="G524" s="63"/>
      <c r="H524" s="63"/>
    </row>
    <row r="525" spans="7:8" ht="12.75">
      <c r="G525" s="63"/>
      <c r="H525" s="63"/>
    </row>
    <row r="526" spans="7:8" ht="12.75">
      <c r="G526" s="63"/>
      <c r="H526" s="63"/>
    </row>
    <row r="527" spans="7:8" ht="12.75">
      <c r="G527" s="63"/>
      <c r="H527" s="63"/>
    </row>
    <row r="528" spans="7:8" ht="12.75">
      <c r="G528" s="63"/>
      <c r="H528" s="63"/>
    </row>
    <row r="529" spans="7:8" ht="12.75">
      <c r="G529" s="63"/>
      <c r="H529" s="63"/>
    </row>
    <row r="530" spans="7:8" ht="12.75">
      <c r="G530" s="63"/>
      <c r="H530" s="63"/>
    </row>
    <row r="531" spans="7:8" ht="12.75">
      <c r="G531" s="63"/>
      <c r="H531" s="63"/>
    </row>
    <row r="532" spans="7:8" ht="12.75">
      <c r="G532" s="63"/>
      <c r="H532" s="63"/>
    </row>
    <row r="533" spans="7:8" ht="12.75">
      <c r="G533" s="63"/>
      <c r="H533" s="63"/>
    </row>
    <row r="534" spans="7:8" ht="12.75">
      <c r="G534" s="63"/>
      <c r="H534" s="63"/>
    </row>
    <row r="535" spans="7:8" ht="12.75">
      <c r="G535" s="63"/>
      <c r="H535" s="63"/>
    </row>
    <row r="536" spans="7:8" ht="12.75">
      <c r="G536" s="63"/>
      <c r="H536" s="63"/>
    </row>
    <row r="537" spans="7:8" ht="12.75">
      <c r="G537" s="63"/>
      <c r="H537" s="63"/>
    </row>
    <row r="538" spans="7:8" ht="12.75">
      <c r="G538" s="63"/>
      <c r="H538" s="63"/>
    </row>
    <row r="539" spans="7:8" ht="12.75">
      <c r="G539" s="63"/>
      <c r="H539" s="63"/>
    </row>
    <row r="540" spans="7:8" ht="12.75">
      <c r="G540" s="63"/>
      <c r="H540" s="63"/>
    </row>
    <row r="541" spans="7:8" ht="12.75">
      <c r="G541" s="63"/>
      <c r="H541" s="63"/>
    </row>
    <row r="542" spans="7:8" ht="12.75">
      <c r="G542" s="63"/>
      <c r="H542" s="63"/>
    </row>
    <row r="543" spans="7:8" ht="12.75">
      <c r="G543" s="63"/>
      <c r="H543" s="63"/>
    </row>
    <row r="544" spans="7:8" ht="12.75">
      <c r="G544" s="63"/>
      <c r="H544" s="63"/>
    </row>
    <row r="545" spans="7:8" ht="12.75">
      <c r="G545" s="63"/>
      <c r="H545" s="63"/>
    </row>
    <row r="546" spans="7:8" ht="12.75">
      <c r="G546" s="63"/>
      <c r="H546" s="63"/>
    </row>
    <row r="547" spans="7:8" ht="12.75">
      <c r="G547" s="63"/>
      <c r="H547" s="63"/>
    </row>
    <row r="548" spans="7:8" ht="12.75">
      <c r="G548" s="63"/>
      <c r="H548" s="63"/>
    </row>
    <row r="549" spans="7:8" ht="12.75">
      <c r="G549" s="63"/>
      <c r="H549" s="63"/>
    </row>
    <row r="550" spans="7:8" ht="12.75">
      <c r="G550" s="63"/>
      <c r="H550" s="63"/>
    </row>
    <row r="551" spans="7:8" ht="12.75">
      <c r="G551" s="63"/>
      <c r="H551" s="63"/>
    </row>
    <row r="552" spans="7:8" ht="12.75">
      <c r="G552" s="63"/>
      <c r="H552" s="63"/>
    </row>
    <row r="553" spans="7:8" ht="12.75">
      <c r="G553" s="63"/>
      <c r="H553" s="63"/>
    </row>
    <row r="554" spans="7:8" ht="12.75">
      <c r="G554" s="63"/>
      <c r="H554" s="63"/>
    </row>
    <row r="555" spans="7:8" ht="12.75">
      <c r="G555" s="63"/>
      <c r="H555" s="63"/>
    </row>
    <row r="556" spans="7:8" ht="12.75">
      <c r="G556" s="63"/>
      <c r="H556" s="63"/>
    </row>
    <row r="557" spans="7:8" ht="12.75">
      <c r="G557" s="63"/>
      <c r="H557" s="63"/>
    </row>
    <row r="558" spans="7:8" ht="12.75">
      <c r="G558" s="63"/>
      <c r="H558" s="63"/>
    </row>
    <row r="559" spans="7:8" ht="12.75">
      <c r="G559" s="63"/>
      <c r="H559" s="63"/>
    </row>
    <row r="560" spans="7:8" ht="12.75">
      <c r="G560" s="63"/>
      <c r="H560" s="63"/>
    </row>
    <row r="561" spans="7:8" ht="12.75">
      <c r="G561" s="63"/>
      <c r="H561" s="63"/>
    </row>
    <row r="562" spans="7:8" ht="12.75">
      <c r="G562" s="63"/>
      <c r="H562" s="63"/>
    </row>
    <row r="563" spans="7:8" ht="12.75">
      <c r="G563" s="63"/>
      <c r="H563" s="63"/>
    </row>
    <row r="564" spans="7:8" ht="12.75">
      <c r="G564" s="63"/>
      <c r="H564" s="63"/>
    </row>
    <row r="565" spans="7:8" ht="12.75">
      <c r="G565" s="63"/>
      <c r="H565" s="63"/>
    </row>
    <row r="566" spans="7:8" ht="12.75">
      <c r="G566" s="63"/>
      <c r="H566" s="63"/>
    </row>
    <row r="567" spans="7:8" ht="12.75">
      <c r="G567" s="63"/>
      <c r="H567" s="63"/>
    </row>
    <row r="568" spans="7:8" ht="12.75">
      <c r="G568" s="63"/>
      <c r="H568" s="63"/>
    </row>
    <row r="569" spans="7:8" ht="12.75">
      <c r="G569" s="63"/>
      <c r="H569" s="63"/>
    </row>
    <row r="570" spans="7:8" ht="12.75">
      <c r="G570" s="63"/>
      <c r="H570" s="63"/>
    </row>
    <row r="571" spans="7:8" ht="12.75">
      <c r="G571" s="63"/>
      <c r="H571" s="63"/>
    </row>
    <row r="572" spans="7:8" ht="12.75">
      <c r="G572" s="63"/>
      <c r="H572" s="63"/>
    </row>
    <row r="573" spans="7:8" ht="12.75">
      <c r="G573" s="63"/>
      <c r="H573" s="63"/>
    </row>
    <row r="574" spans="7:8" ht="12.75">
      <c r="G574" s="63"/>
      <c r="H574" s="63"/>
    </row>
    <row r="575" spans="7:8" ht="12.75">
      <c r="G575" s="63"/>
      <c r="H575" s="63"/>
    </row>
    <row r="576" spans="7:8" ht="12.75">
      <c r="G576" s="63"/>
      <c r="H576" s="63"/>
    </row>
    <row r="577" spans="7:8" ht="12.75">
      <c r="G577" s="63"/>
      <c r="H577" s="63"/>
    </row>
    <row r="578" spans="7:8" ht="12.75">
      <c r="G578" s="63"/>
      <c r="H578" s="63"/>
    </row>
    <row r="579" spans="7:8" ht="12.75">
      <c r="G579" s="63"/>
      <c r="H579" s="63"/>
    </row>
    <row r="580" spans="7:8" ht="12.75">
      <c r="G580" s="63"/>
      <c r="H580" s="63"/>
    </row>
    <row r="581" spans="7:8" ht="12.75">
      <c r="G581" s="63"/>
      <c r="H581" s="63"/>
    </row>
    <row r="582" spans="7:8" ht="12.75">
      <c r="G582" s="63"/>
      <c r="H582" s="63"/>
    </row>
    <row r="583" spans="7:8" ht="12.75">
      <c r="G583" s="63"/>
      <c r="H583" s="63"/>
    </row>
    <row r="584" spans="7:8" ht="12.75">
      <c r="G584" s="63"/>
      <c r="H584" s="63"/>
    </row>
    <row r="585" spans="7:8" ht="12.75">
      <c r="G585" s="63"/>
      <c r="H585" s="63"/>
    </row>
    <row r="586" spans="7:8" ht="12.75">
      <c r="G586" s="63"/>
      <c r="H586" s="63"/>
    </row>
    <row r="587" spans="7:8" ht="12.75">
      <c r="G587" s="63"/>
      <c r="H587" s="63"/>
    </row>
    <row r="588" spans="7:8" ht="12.75">
      <c r="G588" s="63"/>
      <c r="H588" s="63"/>
    </row>
    <row r="589" spans="7:8" ht="12.75">
      <c r="G589" s="63"/>
      <c r="H589" s="63"/>
    </row>
    <row r="590" spans="7:8" ht="12.75">
      <c r="G590" s="63"/>
      <c r="H590" s="63"/>
    </row>
    <row r="591" spans="7:8" ht="12.75">
      <c r="G591" s="63"/>
      <c r="H591" s="63"/>
    </row>
    <row r="592" spans="7:8" ht="12.75">
      <c r="G592" s="63"/>
      <c r="H592" s="63"/>
    </row>
    <row r="593" spans="7:8" ht="12.75">
      <c r="G593" s="63"/>
      <c r="H593" s="63"/>
    </row>
    <row r="594" spans="7:8" ht="12.75">
      <c r="G594" s="63"/>
      <c r="H594" s="63"/>
    </row>
    <row r="595" spans="7:8" ht="12.75">
      <c r="G595" s="63"/>
      <c r="H595" s="63"/>
    </row>
    <row r="596" spans="7:8" ht="12.75">
      <c r="G596" s="63"/>
      <c r="H596" s="63"/>
    </row>
    <row r="597" spans="7:8" ht="12.75">
      <c r="G597" s="63"/>
      <c r="H597" s="63"/>
    </row>
    <row r="598" spans="7:8" ht="12.75">
      <c r="G598" s="63"/>
      <c r="H598" s="63"/>
    </row>
    <row r="599" spans="7:8" ht="12.75">
      <c r="G599" s="63"/>
      <c r="H599" s="63"/>
    </row>
    <row r="600" spans="7:8" ht="12.75">
      <c r="G600" s="63"/>
      <c r="H600" s="63"/>
    </row>
    <row r="601" spans="7:8" ht="12.75">
      <c r="G601" s="63"/>
      <c r="H601" s="63"/>
    </row>
    <row r="602" spans="7:8" ht="12.75">
      <c r="G602" s="63"/>
      <c r="H602" s="63"/>
    </row>
    <row r="603" spans="7:8" ht="12.75">
      <c r="G603" s="63"/>
      <c r="H603" s="63"/>
    </row>
    <row r="604" spans="7:8" ht="12.75">
      <c r="G604" s="63"/>
      <c r="H604" s="63"/>
    </row>
    <row r="605" spans="7:8" ht="12.75">
      <c r="G605" s="63"/>
      <c r="H605" s="63"/>
    </row>
    <row r="606" spans="7:8" ht="12.75">
      <c r="G606" s="63"/>
      <c r="H606" s="63"/>
    </row>
    <row r="607" spans="7:8" ht="12.75">
      <c r="G607" s="63"/>
      <c r="H607" s="63"/>
    </row>
    <row r="608" spans="7:8" ht="12.75">
      <c r="G608" s="63"/>
      <c r="H608" s="63"/>
    </row>
    <row r="609" spans="7:8" ht="12.75">
      <c r="G609" s="63"/>
      <c r="H609" s="63"/>
    </row>
    <row r="610" spans="7:8" ht="12.75">
      <c r="G610" s="63"/>
      <c r="H610" s="63"/>
    </row>
    <row r="611" spans="7:8" ht="12.75">
      <c r="G611" s="63"/>
      <c r="H611" s="63"/>
    </row>
    <row r="612" spans="7:8" ht="12.75">
      <c r="G612" s="63"/>
      <c r="H612" s="63"/>
    </row>
    <row r="613" spans="7:8" ht="12.75">
      <c r="G613" s="63"/>
      <c r="H613" s="63"/>
    </row>
    <row r="614" spans="7:8" ht="12.75">
      <c r="G614" s="63"/>
      <c r="H614" s="63"/>
    </row>
    <row r="615" spans="7:8" ht="12.75">
      <c r="G615" s="63"/>
      <c r="H615" s="63"/>
    </row>
    <row r="616" spans="7:8" ht="12.75">
      <c r="G616" s="63"/>
      <c r="H616" s="63"/>
    </row>
    <row r="617" spans="7:8" ht="12.75">
      <c r="G617" s="63"/>
      <c r="H617" s="63"/>
    </row>
    <row r="618" spans="7:8" ht="12.75">
      <c r="G618" s="63"/>
      <c r="H618" s="63"/>
    </row>
    <row r="619" spans="7:8" ht="12.75">
      <c r="G619" s="63"/>
      <c r="H619" s="63"/>
    </row>
    <row r="620" spans="7:8" ht="12.75">
      <c r="G620" s="63"/>
      <c r="H620" s="63"/>
    </row>
    <row r="621" spans="7:8" ht="12.75">
      <c r="G621" s="63"/>
      <c r="H621" s="63"/>
    </row>
    <row r="622" spans="7:8" ht="12.75">
      <c r="G622" s="63"/>
      <c r="H622" s="63"/>
    </row>
    <row r="623" spans="7:8" ht="12.75">
      <c r="G623" s="63"/>
      <c r="H623" s="63"/>
    </row>
    <row r="624" spans="7:8" ht="12.75">
      <c r="G624" s="63"/>
      <c r="H624" s="63"/>
    </row>
    <row r="625" spans="7:8" ht="12.75">
      <c r="G625" s="63"/>
      <c r="H625" s="63"/>
    </row>
    <row r="626" spans="7:8" ht="12.75">
      <c r="G626" s="63"/>
      <c r="H626" s="63"/>
    </row>
    <row r="627" spans="7:8" ht="12.75">
      <c r="G627" s="63"/>
      <c r="H627" s="63"/>
    </row>
    <row r="628" spans="7:8" ht="12.75">
      <c r="G628" s="63"/>
      <c r="H628" s="63"/>
    </row>
    <row r="629" spans="7:8" ht="12.75">
      <c r="G629" s="63"/>
      <c r="H629" s="63"/>
    </row>
    <row r="630" spans="7:8" ht="12.75">
      <c r="G630" s="63"/>
      <c r="H630" s="63"/>
    </row>
    <row r="631" spans="7:8" ht="12.75">
      <c r="G631" s="63"/>
      <c r="H631" s="63"/>
    </row>
    <row r="632" spans="7:8" ht="12.75">
      <c r="G632" s="63"/>
      <c r="H632" s="63"/>
    </row>
    <row r="633" spans="7:8" ht="12.75">
      <c r="G633" s="63"/>
      <c r="H633" s="63"/>
    </row>
    <row r="634" spans="7:8" ht="12.75">
      <c r="G634" s="63"/>
      <c r="H634" s="63"/>
    </row>
    <row r="635" spans="7:8" ht="12.75">
      <c r="G635" s="63"/>
      <c r="H635" s="63"/>
    </row>
    <row r="636" spans="7:8" ht="12.75">
      <c r="G636" s="63"/>
      <c r="H636" s="63"/>
    </row>
    <row r="637" spans="7:8" ht="12.75">
      <c r="G637" s="63"/>
      <c r="H637" s="63"/>
    </row>
    <row r="638" spans="7:8" ht="12.75">
      <c r="G638" s="63"/>
      <c r="H638" s="63"/>
    </row>
    <row r="639" spans="7:8" ht="12.75">
      <c r="G639" s="63"/>
      <c r="H639" s="63"/>
    </row>
    <row r="640" spans="7:8" ht="12.75">
      <c r="G640" s="63"/>
      <c r="H640" s="63"/>
    </row>
    <row r="641" spans="7:8" ht="12.75">
      <c r="G641" s="63"/>
      <c r="H641" s="63"/>
    </row>
    <row r="642" spans="7:8" ht="12.75">
      <c r="G642" s="63"/>
      <c r="H642" s="63"/>
    </row>
    <row r="643" spans="7:8" ht="12.75">
      <c r="G643" s="63"/>
      <c r="H643" s="63"/>
    </row>
    <row r="644" spans="7:8" ht="12.75">
      <c r="G644" s="63"/>
      <c r="H644" s="63"/>
    </row>
    <row r="645" spans="7:8" ht="12.75">
      <c r="G645" s="63"/>
      <c r="H645" s="63"/>
    </row>
    <row r="646" spans="7:8" ht="12.75">
      <c r="G646" s="63"/>
      <c r="H646" s="63"/>
    </row>
    <row r="647" spans="7:8" ht="12.75">
      <c r="G647" s="63"/>
      <c r="H647" s="63"/>
    </row>
    <row r="648" spans="7:8" ht="12.75">
      <c r="G648" s="63"/>
      <c r="H648" s="63"/>
    </row>
    <row r="649" spans="7:8" ht="12.75">
      <c r="G649" s="63"/>
      <c r="H649" s="63"/>
    </row>
    <row r="650" spans="7:8" ht="12.75">
      <c r="G650" s="63"/>
      <c r="H650" s="63"/>
    </row>
    <row r="651" spans="7:8" ht="12.75">
      <c r="G651" s="63"/>
      <c r="H651" s="63"/>
    </row>
    <row r="652" spans="7:8" ht="12.75">
      <c r="G652" s="63"/>
      <c r="H652" s="63"/>
    </row>
    <row r="653" spans="7:8" ht="12.75">
      <c r="G653" s="63"/>
      <c r="H653" s="63"/>
    </row>
    <row r="654" spans="7:8" ht="12.75">
      <c r="G654" s="63"/>
      <c r="H654" s="63"/>
    </row>
    <row r="655" spans="7:8" ht="12.75">
      <c r="G655" s="63"/>
      <c r="H655" s="63"/>
    </row>
    <row r="656" spans="7:8" ht="12.75">
      <c r="G656" s="63"/>
      <c r="H656" s="63"/>
    </row>
    <row r="657" spans="7:8" ht="12.75">
      <c r="G657" s="63"/>
      <c r="H657" s="63"/>
    </row>
    <row r="658" spans="7:8" ht="12.75">
      <c r="G658" s="63"/>
      <c r="H658" s="63"/>
    </row>
    <row r="659" spans="7:8" ht="12.75">
      <c r="G659" s="63"/>
      <c r="H659" s="63"/>
    </row>
    <row r="660" spans="7:8" ht="12.75">
      <c r="G660" s="63"/>
      <c r="H660" s="63"/>
    </row>
    <row r="661" spans="7:8" ht="12.75">
      <c r="G661" s="63"/>
      <c r="H661" s="63"/>
    </row>
    <row r="662" spans="7:8" ht="12.75">
      <c r="G662" s="63"/>
      <c r="H662" s="63"/>
    </row>
    <row r="663" spans="7:8" ht="12.75">
      <c r="G663" s="63"/>
      <c r="H663" s="63"/>
    </row>
    <row r="664" spans="7:8" ht="12.75">
      <c r="G664" s="63"/>
      <c r="H664" s="63"/>
    </row>
    <row r="665" spans="7:8" ht="12.75">
      <c r="G665" s="63"/>
      <c r="H665" s="63"/>
    </row>
    <row r="666" spans="7:8" ht="12.75">
      <c r="G666" s="63"/>
      <c r="H666" s="63"/>
    </row>
    <row r="667" spans="7:8" ht="12.75">
      <c r="G667" s="63"/>
      <c r="H667" s="63"/>
    </row>
    <row r="668" spans="7:8" ht="12.75">
      <c r="G668" s="63"/>
      <c r="H668" s="63"/>
    </row>
    <row r="669" spans="7:8" ht="12.75">
      <c r="G669" s="63"/>
      <c r="H669" s="63"/>
    </row>
    <row r="670" spans="7:8" ht="12.75">
      <c r="G670" s="63"/>
      <c r="H670" s="63"/>
    </row>
    <row r="671" spans="7:8" ht="12.75">
      <c r="G671" s="63"/>
      <c r="H671" s="63"/>
    </row>
    <row r="672" spans="7:8" ht="12.75">
      <c r="G672" s="63"/>
      <c r="H672" s="63"/>
    </row>
    <row r="673" spans="7:8" ht="12.75">
      <c r="G673" s="63"/>
      <c r="H673" s="63"/>
    </row>
    <row r="674" spans="7:8" ht="12.75">
      <c r="G674" s="63"/>
      <c r="H674" s="63"/>
    </row>
    <row r="675" spans="7:8" ht="12.75">
      <c r="G675" s="63"/>
      <c r="H675" s="63"/>
    </row>
    <row r="676" spans="7:8" ht="12.75">
      <c r="G676" s="63"/>
      <c r="H676" s="63"/>
    </row>
    <row r="677" spans="7:8" ht="12.75">
      <c r="G677" s="63"/>
      <c r="H677" s="63"/>
    </row>
    <row r="678" spans="7:8" ht="12.75">
      <c r="G678" s="63"/>
      <c r="H678" s="63"/>
    </row>
    <row r="679" spans="7:8" ht="12.75">
      <c r="G679" s="63"/>
      <c r="H679" s="63"/>
    </row>
    <row r="680" spans="7:8" ht="12.75">
      <c r="G680" s="63"/>
      <c r="H680" s="63"/>
    </row>
    <row r="681" spans="7:8" ht="12.75">
      <c r="G681" s="63"/>
      <c r="H681" s="63"/>
    </row>
    <row r="682" spans="7:8" ht="12.75">
      <c r="G682" s="63"/>
      <c r="H682" s="63"/>
    </row>
    <row r="683" spans="7:8" ht="12.75">
      <c r="G683" s="63"/>
      <c r="H683" s="63"/>
    </row>
    <row r="684" spans="7:8" ht="12.75">
      <c r="G684" s="63"/>
      <c r="H684" s="63"/>
    </row>
    <row r="685" spans="7:8" ht="12.75">
      <c r="G685" s="63"/>
      <c r="H685" s="63"/>
    </row>
    <row r="686" spans="7:8" ht="12.75">
      <c r="G686" s="63"/>
      <c r="H686" s="63"/>
    </row>
    <row r="687" spans="7:8" ht="12.75">
      <c r="G687" s="63"/>
      <c r="H687" s="63"/>
    </row>
    <row r="688" spans="7:8" ht="12.75">
      <c r="G688" s="63"/>
      <c r="H688" s="63"/>
    </row>
    <row r="689" spans="7:8" ht="12.75">
      <c r="G689" s="63"/>
      <c r="H689" s="63"/>
    </row>
    <row r="690" spans="7:8" ht="12.75">
      <c r="G690" s="63"/>
      <c r="H690" s="63"/>
    </row>
    <row r="691" spans="7:8" ht="12.75">
      <c r="G691" s="63"/>
      <c r="H691" s="63"/>
    </row>
    <row r="692" spans="7:8" ht="12.75">
      <c r="G692" s="63"/>
      <c r="H692" s="63"/>
    </row>
    <row r="693" spans="7:8" ht="12.75">
      <c r="G693" s="63"/>
      <c r="H693" s="63"/>
    </row>
    <row r="694" spans="7:8" ht="12.75">
      <c r="G694" s="63"/>
      <c r="H694" s="63"/>
    </row>
    <row r="695" spans="7:8" ht="12.75">
      <c r="G695" s="63"/>
      <c r="H695" s="63"/>
    </row>
    <row r="696" spans="7:8" ht="12.75">
      <c r="G696" s="63"/>
      <c r="H696" s="63"/>
    </row>
    <row r="697" spans="7:8" ht="12.75">
      <c r="G697" s="63"/>
      <c r="H697" s="63"/>
    </row>
    <row r="698" spans="7:8" ht="12.75">
      <c r="G698" s="63"/>
      <c r="H698" s="63"/>
    </row>
    <row r="699" spans="7:8" ht="12.75">
      <c r="G699" s="63"/>
      <c r="H699" s="63"/>
    </row>
    <row r="700" spans="7:8" ht="12.75">
      <c r="G700" s="63"/>
      <c r="H700" s="63"/>
    </row>
    <row r="701" spans="7:8" ht="12.75">
      <c r="G701" s="63"/>
      <c r="H701" s="63"/>
    </row>
    <row r="702" spans="7:8" ht="12.75">
      <c r="G702" s="63"/>
      <c r="H702" s="63"/>
    </row>
    <row r="703" spans="7:8" ht="12.75">
      <c r="G703" s="63"/>
      <c r="H703" s="63"/>
    </row>
    <row r="704" spans="7:8" ht="12.75">
      <c r="G704" s="63"/>
      <c r="H704" s="63"/>
    </row>
    <row r="705" spans="7:8" ht="12.75">
      <c r="G705" s="63"/>
      <c r="H705" s="63"/>
    </row>
    <row r="706" spans="7:8" ht="12.75">
      <c r="G706" s="63"/>
      <c r="H706" s="63"/>
    </row>
    <row r="707" spans="7:8" ht="12.75">
      <c r="G707" s="63"/>
      <c r="H707" s="63"/>
    </row>
    <row r="708" spans="7:8" ht="12.75">
      <c r="G708" s="63"/>
      <c r="H708" s="63"/>
    </row>
    <row r="709" spans="7:8" ht="12.75">
      <c r="G709" s="63"/>
      <c r="H709" s="63"/>
    </row>
    <row r="710" spans="7:8" ht="12.75">
      <c r="G710" s="63"/>
      <c r="H710" s="63"/>
    </row>
    <row r="711" spans="7:8" ht="12.75">
      <c r="G711" s="63"/>
      <c r="H711" s="63"/>
    </row>
    <row r="712" spans="7:8" ht="12.75">
      <c r="G712" s="63"/>
      <c r="H712" s="63"/>
    </row>
    <row r="713" spans="7:8" ht="12.75">
      <c r="G713" s="63"/>
      <c r="H713" s="63"/>
    </row>
    <row r="714" spans="7:8" ht="12.75">
      <c r="G714" s="63"/>
      <c r="H714" s="63"/>
    </row>
    <row r="715" spans="7:8" ht="12.75">
      <c r="G715" s="63"/>
      <c r="H715" s="63"/>
    </row>
    <row r="716" spans="7:8" ht="12.75">
      <c r="G716" s="63"/>
      <c r="H716" s="63"/>
    </row>
    <row r="717" spans="7:8" ht="12.75">
      <c r="G717" s="63"/>
      <c r="H717" s="63"/>
    </row>
    <row r="718" spans="7:8" ht="12.75">
      <c r="G718" s="63"/>
      <c r="H718" s="63"/>
    </row>
    <row r="719" spans="7:8" ht="12.75">
      <c r="G719" s="63"/>
      <c r="H719" s="63"/>
    </row>
    <row r="720" spans="7:8" ht="12.75">
      <c r="G720" s="63"/>
      <c r="H720" s="63"/>
    </row>
    <row r="721" spans="7:8" ht="12.75">
      <c r="G721" s="63"/>
      <c r="H721" s="63"/>
    </row>
    <row r="722" spans="7:8" ht="12.75">
      <c r="G722" s="63"/>
      <c r="H722" s="63"/>
    </row>
    <row r="723" spans="7:8" ht="12.75">
      <c r="G723" s="63"/>
      <c r="H723" s="63"/>
    </row>
    <row r="724" spans="7:8" ht="12.75">
      <c r="G724" s="63"/>
      <c r="H724" s="63"/>
    </row>
    <row r="725" spans="7:8" ht="12.75">
      <c r="G725" s="63"/>
      <c r="H725" s="63"/>
    </row>
    <row r="726" spans="7:8" ht="12.75">
      <c r="G726" s="63"/>
      <c r="H726" s="63"/>
    </row>
    <row r="727" spans="7:8" ht="12.75">
      <c r="G727" s="63"/>
      <c r="H727" s="63"/>
    </row>
    <row r="728" spans="7:8" ht="12.75">
      <c r="G728" s="63"/>
      <c r="H728" s="63"/>
    </row>
    <row r="729" spans="7:8" ht="12.75">
      <c r="G729" s="63"/>
      <c r="H729" s="63"/>
    </row>
    <row r="730" spans="7:8" ht="12.75">
      <c r="G730" s="63"/>
      <c r="H730" s="63"/>
    </row>
    <row r="731" spans="7:8" ht="12.75">
      <c r="G731" s="63"/>
      <c r="H731" s="63"/>
    </row>
    <row r="732" spans="7:8" ht="12.75">
      <c r="G732" s="63"/>
      <c r="H732" s="63"/>
    </row>
    <row r="733" spans="7:8" ht="12.75">
      <c r="G733" s="63"/>
      <c r="H733" s="63"/>
    </row>
    <row r="734" spans="7:8" ht="12.75">
      <c r="G734" s="63"/>
      <c r="H734" s="63"/>
    </row>
    <row r="735" spans="7:8" ht="12.75">
      <c r="G735" s="63"/>
      <c r="H735" s="63"/>
    </row>
    <row r="736" spans="7:8" ht="12.75">
      <c r="G736" s="63"/>
      <c r="H736" s="63"/>
    </row>
    <row r="737" spans="7:8" ht="12.75">
      <c r="G737" s="63"/>
      <c r="H737" s="63"/>
    </row>
    <row r="738" spans="7:8" ht="12.75">
      <c r="G738" s="63"/>
      <c r="H738" s="63"/>
    </row>
    <row r="739" spans="7:8" ht="12.75">
      <c r="G739" s="63"/>
      <c r="H739" s="63"/>
    </row>
    <row r="740" spans="7:8" ht="12.75">
      <c r="G740" s="63"/>
      <c r="H740" s="63"/>
    </row>
    <row r="741" spans="7:8" ht="12.75">
      <c r="G741" s="63"/>
      <c r="H741" s="63"/>
    </row>
    <row r="742" spans="7:8" ht="12.75">
      <c r="G742" s="63"/>
      <c r="H742" s="63"/>
    </row>
    <row r="743" spans="7:8" ht="12.75">
      <c r="G743" s="63"/>
      <c r="H743" s="63"/>
    </row>
    <row r="744" spans="7:8" ht="12.75">
      <c r="G744" s="63"/>
      <c r="H744" s="63"/>
    </row>
    <row r="745" spans="7:8" ht="12.75">
      <c r="G745" s="63"/>
      <c r="H745" s="63"/>
    </row>
    <row r="746" spans="7:8" ht="12.75">
      <c r="G746" s="63"/>
      <c r="H746" s="63"/>
    </row>
    <row r="747" spans="7:8" ht="12.75">
      <c r="G747" s="63"/>
      <c r="H747" s="63"/>
    </row>
    <row r="748" spans="7:8" ht="12.75">
      <c r="G748" s="63"/>
      <c r="H748" s="63"/>
    </row>
    <row r="749" spans="7:8" ht="12.75">
      <c r="G749" s="63"/>
      <c r="H749" s="63"/>
    </row>
    <row r="750" spans="7:8" ht="12.75">
      <c r="G750" s="63"/>
      <c r="H750" s="63"/>
    </row>
    <row r="751" spans="7:8" ht="12.75">
      <c r="G751" s="63"/>
      <c r="H751" s="63"/>
    </row>
    <row r="752" spans="7:8" ht="12.75">
      <c r="G752" s="63"/>
      <c r="H752" s="63"/>
    </row>
    <row r="753" spans="7:8" ht="12.75">
      <c r="G753" s="63"/>
      <c r="H753" s="63"/>
    </row>
    <row r="754" spans="7:8" ht="12.75">
      <c r="G754" s="63"/>
      <c r="H754" s="63"/>
    </row>
    <row r="755" spans="7:8" ht="12.75">
      <c r="G755" s="63"/>
      <c r="H755" s="63"/>
    </row>
    <row r="756" spans="7:8" ht="12.75">
      <c r="G756" s="63"/>
      <c r="H756" s="63"/>
    </row>
    <row r="757" spans="7:8" ht="12.75">
      <c r="G757" s="63"/>
      <c r="H757" s="63"/>
    </row>
    <row r="758" spans="7:8" ht="12.75">
      <c r="G758" s="63"/>
      <c r="H758" s="63"/>
    </row>
    <row r="759" spans="7:8" ht="12.75">
      <c r="G759" s="63"/>
      <c r="H759" s="63"/>
    </row>
    <row r="760" spans="7:8" ht="12.75">
      <c r="G760" s="63"/>
      <c r="H760" s="63"/>
    </row>
    <row r="761" spans="7:8" ht="12.75">
      <c r="G761" s="63"/>
      <c r="H761" s="63"/>
    </row>
    <row r="762" spans="7:8" ht="12.75">
      <c r="G762" s="63"/>
      <c r="H762" s="63"/>
    </row>
    <row r="763" spans="7:8" ht="12.75">
      <c r="G763" s="63"/>
      <c r="H763" s="63"/>
    </row>
    <row r="764" spans="7:8" ht="12.75">
      <c r="G764" s="63"/>
      <c r="H764" s="63"/>
    </row>
    <row r="765" spans="7:8" ht="12.75">
      <c r="G765" s="63"/>
      <c r="H765" s="63"/>
    </row>
    <row r="766" spans="7:8" ht="12.75">
      <c r="G766" s="63"/>
      <c r="H766" s="63"/>
    </row>
    <row r="767" spans="7:8" ht="12.75">
      <c r="G767" s="63"/>
      <c r="H767" s="63"/>
    </row>
    <row r="768" spans="7:8" ht="12.75">
      <c r="G768" s="63"/>
      <c r="H768" s="63"/>
    </row>
    <row r="769" spans="7:8" ht="12.75">
      <c r="G769" s="63"/>
      <c r="H769" s="63"/>
    </row>
    <row r="770" spans="7:8" ht="12.75">
      <c r="G770" s="63"/>
      <c r="H770" s="63"/>
    </row>
    <row r="771" spans="7:8" ht="12.75">
      <c r="G771" s="63"/>
      <c r="H771" s="63"/>
    </row>
    <row r="772" spans="7:8" ht="12.75">
      <c r="G772" s="63"/>
      <c r="H772" s="63"/>
    </row>
    <row r="773" spans="7:8" ht="12.75">
      <c r="G773" s="63"/>
      <c r="H773" s="63"/>
    </row>
    <row r="774" spans="7:8" ht="12.75">
      <c r="G774" s="63"/>
      <c r="H774" s="63"/>
    </row>
    <row r="775" spans="7:8" ht="12.75">
      <c r="G775" s="63"/>
      <c r="H775" s="63"/>
    </row>
    <row r="776" spans="7:8" ht="12.75">
      <c r="G776" s="63"/>
      <c r="H776" s="63"/>
    </row>
    <row r="777" spans="7:8" ht="12.75">
      <c r="G777" s="63"/>
      <c r="H777" s="63"/>
    </row>
    <row r="778" spans="7:8" ht="12.75">
      <c r="G778" s="63"/>
      <c r="H778" s="63"/>
    </row>
    <row r="779" spans="7:8" ht="12.75">
      <c r="G779" s="63"/>
      <c r="H779" s="63"/>
    </row>
    <row r="780" spans="7:8" ht="12.75">
      <c r="G780" s="63"/>
      <c r="H780" s="63"/>
    </row>
    <row r="781" spans="7:8" ht="12.75">
      <c r="G781" s="63"/>
      <c r="H781" s="63"/>
    </row>
    <row r="782" spans="7:8" ht="12.75">
      <c r="G782" s="63"/>
      <c r="H782" s="63"/>
    </row>
    <row r="783" spans="7:8" ht="12.75">
      <c r="G783" s="63"/>
      <c r="H783" s="63"/>
    </row>
    <row r="784" spans="7:8" ht="12.75">
      <c r="G784" s="63"/>
      <c r="H784" s="63"/>
    </row>
    <row r="785" spans="7:8" ht="12.75">
      <c r="G785" s="63"/>
      <c r="H785" s="63"/>
    </row>
    <row r="786" spans="7:8" ht="12.75">
      <c r="G786" s="63"/>
      <c r="H786" s="63"/>
    </row>
    <row r="787" spans="7:8" ht="12.75">
      <c r="G787" s="63"/>
      <c r="H787" s="63"/>
    </row>
    <row r="788" spans="7:8" ht="12.75">
      <c r="G788" s="63"/>
      <c r="H788" s="63"/>
    </row>
    <row r="789" spans="7:8" ht="12.75">
      <c r="G789" s="63"/>
      <c r="H789" s="63"/>
    </row>
    <row r="790" spans="7:8" ht="12.75">
      <c r="G790" s="63"/>
      <c r="H790" s="63"/>
    </row>
    <row r="791" spans="7:8" ht="12.75">
      <c r="G791" s="63"/>
      <c r="H791" s="63"/>
    </row>
    <row r="792" spans="7:8" ht="12.75">
      <c r="G792" s="63"/>
      <c r="H792" s="63"/>
    </row>
    <row r="793" spans="7:8" ht="12.75">
      <c r="G793" s="63"/>
      <c r="H793" s="63"/>
    </row>
    <row r="794" spans="7:8" ht="12.75">
      <c r="G794" s="63"/>
      <c r="H794" s="63"/>
    </row>
    <row r="795" spans="7:8" ht="12.75">
      <c r="G795" s="63"/>
      <c r="H795" s="63"/>
    </row>
    <row r="796" spans="7:8" ht="12.75">
      <c r="G796" s="63"/>
      <c r="H796" s="63"/>
    </row>
    <row r="797" spans="7:8" ht="12.75">
      <c r="G797" s="63"/>
      <c r="H797" s="63"/>
    </row>
    <row r="798" spans="7:8" ht="12.75">
      <c r="G798" s="63"/>
      <c r="H798" s="63"/>
    </row>
    <row r="799" spans="7:8" ht="12.75">
      <c r="G799" s="63"/>
      <c r="H799" s="63"/>
    </row>
    <row r="800" spans="7:8" ht="12.75">
      <c r="G800" s="63"/>
      <c r="H800" s="63"/>
    </row>
    <row r="801" spans="7:8" ht="12.75">
      <c r="G801" s="63"/>
      <c r="H801" s="63"/>
    </row>
    <row r="802" spans="7:8" ht="12.75">
      <c r="G802" s="63"/>
      <c r="H802" s="63"/>
    </row>
    <row r="803" spans="7:8" ht="12.75">
      <c r="G803" s="63"/>
      <c r="H803" s="63"/>
    </row>
    <row r="804" spans="7:8" ht="12.75">
      <c r="G804" s="63"/>
      <c r="H804" s="63"/>
    </row>
    <row r="805" spans="7:8" ht="12.75">
      <c r="G805" s="63"/>
      <c r="H805" s="63"/>
    </row>
    <row r="806" spans="7:8" ht="12.75">
      <c r="G806" s="63"/>
      <c r="H806" s="63"/>
    </row>
    <row r="807" spans="7:8" ht="12.75">
      <c r="G807" s="63"/>
      <c r="H807" s="63"/>
    </row>
    <row r="808" spans="7:8" ht="12.75">
      <c r="G808" s="63"/>
      <c r="H808" s="63"/>
    </row>
    <row r="809" spans="7:8" ht="12.75">
      <c r="G809" s="63"/>
      <c r="H809" s="63"/>
    </row>
    <row r="810" spans="7:8" ht="12.75">
      <c r="G810" s="63"/>
      <c r="H810" s="63"/>
    </row>
    <row r="811" spans="7:8" ht="12.75">
      <c r="G811" s="63"/>
      <c r="H811" s="63"/>
    </row>
    <row r="812" spans="7:8" ht="12.75">
      <c r="G812" s="63"/>
      <c r="H812" s="63"/>
    </row>
    <row r="813" spans="7:8" ht="12.75">
      <c r="G813" s="63"/>
      <c r="H813" s="63"/>
    </row>
    <row r="814" spans="7:8" ht="12.75">
      <c r="G814" s="63"/>
      <c r="H814" s="63"/>
    </row>
    <row r="815" spans="7:8" ht="12.75">
      <c r="G815" s="63"/>
      <c r="H815" s="63"/>
    </row>
    <row r="816" spans="7:8" ht="12.75">
      <c r="G816" s="63"/>
      <c r="H816" s="63"/>
    </row>
    <row r="817" spans="7:8" ht="12.75">
      <c r="G817" s="63"/>
      <c r="H817" s="63"/>
    </row>
    <row r="818" spans="7:8" ht="12.75">
      <c r="G818" s="63"/>
      <c r="H818" s="63"/>
    </row>
    <row r="819" spans="7:8" ht="12.75">
      <c r="G819" s="63"/>
      <c r="H819" s="63"/>
    </row>
    <row r="820" spans="7:8" ht="12.75">
      <c r="G820" s="63"/>
      <c r="H820" s="63"/>
    </row>
    <row r="821" spans="7:8" ht="12.75">
      <c r="G821" s="63"/>
      <c r="H821" s="63"/>
    </row>
    <row r="822" spans="7:8" ht="12.75">
      <c r="G822" s="63"/>
      <c r="H822" s="63"/>
    </row>
    <row r="823" spans="7:8" ht="12.75">
      <c r="G823" s="63"/>
      <c r="H823" s="63"/>
    </row>
    <row r="824" spans="7:8" ht="12.75">
      <c r="G824" s="63"/>
      <c r="H824" s="63"/>
    </row>
    <row r="825" spans="7:8" ht="12.75">
      <c r="G825" s="63"/>
      <c r="H825" s="63"/>
    </row>
    <row r="826" spans="7:8" ht="12.75">
      <c r="G826" s="63"/>
      <c r="H826" s="63"/>
    </row>
    <row r="827" spans="7:8" ht="12.75">
      <c r="G827" s="63"/>
      <c r="H827" s="63"/>
    </row>
    <row r="828" spans="7:8" ht="12.75">
      <c r="G828" s="63"/>
      <c r="H828" s="63"/>
    </row>
    <row r="829" spans="7:8" ht="12.75">
      <c r="G829" s="63"/>
      <c r="H829" s="63"/>
    </row>
    <row r="830" spans="7:8" ht="12.75">
      <c r="G830" s="63"/>
      <c r="H830" s="63"/>
    </row>
    <row r="831" spans="7:8" ht="12.75">
      <c r="G831" s="63"/>
      <c r="H831" s="63"/>
    </row>
    <row r="832" spans="7:8" ht="12.75">
      <c r="G832" s="63"/>
      <c r="H832" s="63"/>
    </row>
    <row r="833" spans="7:8" ht="12.75">
      <c r="G833" s="63"/>
      <c r="H833" s="63"/>
    </row>
    <row r="834" spans="7:8" ht="12.75">
      <c r="G834" s="63"/>
      <c r="H834" s="63"/>
    </row>
    <row r="835" spans="7:8" ht="12.75">
      <c r="G835" s="63"/>
      <c r="H835" s="63"/>
    </row>
    <row r="836" spans="7:8" ht="12.75">
      <c r="G836" s="63"/>
      <c r="H836" s="63"/>
    </row>
    <row r="837" spans="7:8" ht="12.75">
      <c r="G837" s="63"/>
      <c r="H837" s="63"/>
    </row>
    <row r="838" spans="7:8" ht="12.75">
      <c r="G838" s="63"/>
      <c r="H838" s="63"/>
    </row>
    <row r="839" spans="7:8" ht="12.75">
      <c r="G839" s="63"/>
      <c r="H839" s="63"/>
    </row>
    <row r="840" spans="7:8" ht="12.75">
      <c r="G840" s="63"/>
      <c r="H840" s="63"/>
    </row>
    <row r="841" spans="7:8" ht="12.75">
      <c r="G841" s="63"/>
      <c r="H841" s="63"/>
    </row>
    <row r="842" spans="7:8" ht="12.75">
      <c r="G842" s="63"/>
      <c r="H842" s="63"/>
    </row>
    <row r="843" spans="7:8" ht="12.75">
      <c r="G843" s="63"/>
      <c r="H843" s="63"/>
    </row>
    <row r="844" spans="7:8" ht="12.75">
      <c r="G844" s="63"/>
      <c r="H844" s="63"/>
    </row>
    <row r="845" spans="7:8" ht="12.75">
      <c r="G845" s="63"/>
      <c r="H845" s="63"/>
    </row>
    <row r="846" spans="7:8" ht="12.75">
      <c r="G846" s="63"/>
      <c r="H846" s="63"/>
    </row>
    <row r="847" spans="7:8" ht="12.75">
      <c r="G847" s="63"/>
      <c r="H847" s="63"/>
    </row>
    <row r="848" spans="7:8" ht="12.75">
      <c r="G848" s="63"/>
      <c r="H848" s="63"/>
    </row>
    <row r="849" spans="7:8" ht="12.75">
      <c r="G849" s="63"/>
      <c r="H849" s="63"/>
    </row>
    <row r="850" spans="7:8" ht="12.75">
      <c r="G850" s="63"/>
      <c r="H850" s="63"/>
    </row>
    <row r="851" spans="7:8" ht="12.75">
      <c r="G851" s="63"/>
      <c r="H851" s="63"/>
    </row>
    <row r="852" spans="7:8" ht="12.75">
      <c r="G852" s="63"/>
      <c r="H852" s="63"/>
    </row>
    <row r="853" spans="7:8" ht="12.75">
      <c r="G853" s="63"/>
      <c r="H853" s="63"/>
    </row>
    <row r="854" spans="7:8" ht="12.75">
      <c r="G854" s="63"/>
      <c r="H854" s="63"/>
    </row>
    <row r="855" spans="7:8" ht="12.75">
      <c r="G855" s="63"/>
      <c r="H855" s="63"/>
    </row>
    <row r="856" spans="7:8" ht="12.75">
      <c r="G856" s="63"/>
      <c r="H856" s="63"/>
    </row>
    <row r="857" spans="7:8" ht="12.75">
      <c r="G857" s="63"/>
      <c r="H857" s="63"/>
    </row>
    <row r="858" spans="7:8" ht="12.75">
      <c r="G858" s="63"/>
      <c r="H858" s="63"/>
    </row>
    <row r="859" spans="7:8" ht="12.75">
      <c r="G859" s="63"/>
      <c r="H859" s="63"/>
    </row>
    <row r="860" spans="7:8" ht="12.75">
      <c r="G860" s="63"/>
      <c r="H860" s="63"/>
    </row>
    <row r="861" spans="7:8" ht="12.75">
      <c r="G861" s="63"/>
      <c r="H861" s="63"/>
    </row>
    <row r="862" spans="7:8" ht="12.75">
      <c r="G862" s="63"/>
      <c r="H862" s="63"/>
    </row>
    <row r="863" spans="7:8" ht="12.75">
      <c r="G863" s="63"/>
      <c r="H863" s="63"/>
    </row>
    <row r="864" spans="7:8" ht="12.75">
      <c r="G864" s="63"/>
      <c r="H864" s="63"/>
    </row>
    <row r="865" spans="7:8" ht="12.75">
      <c r="G865" s="63"/>
      <c r="H865" s="63"/>
    </row>
    <row r="866" spans="7:8" ht="12.75">
      <c r="G866" s="63"/>
      <c r="H866" s="63"/>
    </row>
    <row r="867" spans="7:8" ht="12.75">
      <c r="G867" s="63"/>
      <c r="H867" s="63"/>
    </row>
    <row r="868" spans="7:8" ht="12.75">
      <c r="G868" s="63"/>
      <c r="H868" s="63"/>
    </row>
    <row r="869" spans="7:8" ht="12.75">
      <c r="G869" s="63"/>
      <c r="H869" s="63"/>
    </row>
    <row r="870" spans="7:8" ht="12.75">
      <c r="G870" s="63"/>
      <c r="H870" s="63"/>
    </row>
    <row r="871" spans="7:8" ht="12.75">
      <c r="G871" s="63"/>
      <c r="H871" s="63"/>
    </row>
    <row r="872" spans="7:8" ht="12.75">
      <c r="G872" s="63"/>
      <c r="H872" s="63"/>
    </row>
    <row r="873" spans="7:8" ht="12.75">
      <c r="G873" s="63"/>
      <c r="H873" s="63"/>
    </row>
    <row r="874" spans="7:8" ht="12.75">
      <c r="G874" s="63"/>
      <c r="H874" s="63"/>
    </row>
    <row r="875" spans="7:8" ht="12.75">
      <c r="G875" s="63"/>
      <c r="H875" s="63"/>
    </row>
    <row r="876" spans="7:8" ht="12.75">
      <c r="G876" s="63"/>
      <c r="H876" s="63"/>
    </row>
    <row r="877" spans="7:8" ht="12.75">
      <c r="G877" s="63"/>
      <c r="H877" s="63"/>
    </row>
    <row r="878" spans="7:8" ht="12.75">
      <c r="G878" s="63"/>
      <c r="H878" s="63"/>
    </row>
    <row r="879" spans="7:8" ht="12.75">
      <c r="G879" s="63"/>
      <c r="H879" s="63"/>
    </row>
    <row r="880" spans="7:8" ht="12.75">
      <c r="G880" s="63"/>
      <c r="H880" s="63"/>
    </row>
    <row r="881" spans="7:8" ht="12.75">
      <c r="G881" s="63"/>
      <c r="H881" s="63"/>
    </row>
    <row r="882" spans="7:8" ht="12.75">
      <c r="G882" s="63"/>
      <c r="H882" s="63"/>
    </row>
    <row r="883" spans="7:8" ht="12.75">
      <c r="G883" s="63"/>
      <c r="H883" s="63"/>
    </row>
    <row r="884" spans="7:8" ht="12.75">
      <c r="G884" s="63"/>
      <c r="H884" s="63"/>
    </row>
    <row r="885" spans="7:8" ht="12.75">
      <c r="G885" s="63"/>
      <c r="H885" s="63"/>
    </row>
    <row r="886" spans="7:8" ht="12.75">
      <c r="G886" s="63"/>
      <c r="H886" s="63"/>
    </row>
    <row r="887" spans="7:8" ht="12.75">
      <c r="G887" s="63"/>
      <c r="H887" s="63"/>
    </row>
    <row r="888" spans="7:8" ht="12.75">
      <c r="G888" s="63"/>
      <c r="H888" s="63"/>
    </row>
    <row r="889" spans="7:8" ht="12.75">
      <c r="G889" s="63"/>
      <c r="H889" s="63"/>
    </row>
    <row r="890" spans="7:8" ht="12.75">
      <c r="G890" s="63"/>
      <c r="H890" s="63"/>
    </row>
    <row r="891" spans="7:8" ht="12.75">
      <c r="G891" s="63"/>
      <c r="H891" s="63"/>
    </row>
    <row r="892" spans="7:8" ht="12.75">
      <c r="G892" s="63"/>
      <c r="H892" s="63"/>
    </row>
    <row r="893" spans="7:8" ht="12.75">
      <c r="G893" s="63"/>
      <c r="H893" s="63"/>
    </row>
    <row r="894" spans="7:8" ht="12.75">
      <c r="G894" s="63"/>
      <c r="H894" s="63"/>
    </row>
    <row r="895" spans="7:8" ht="12.75">
      <c r="G895" s="63"/>
      <c r="H895" s="63"/>
    </row>
    <row r="896" spans="7:8" ht="12.75">
      <c r="G896" s="63"/>
      <c r="H896" s="63"/>
    </row>
    <row r="897" spans="7:8" ht="12.75">
      <c r="G897" s="63"/>
      <c r="H897" s="63"/>
    </row>
    <row r="898" spans="7:8" ht="12.75">
      <c r="G898" s="63"/>
      <c r="H898" s="63"/>
    </row>
    <row r="899" spans="7:8" ht="12.75">
      <c r="G899" s="63"/>
      <c r="H899" s="63"/>
    </row>
    <row r="900" spans="7:8" ht="12.75">
      <c r="G900" s="63"/>
      <c r="H900" s="63"/>
    </row>
    <row r="901" spans="7:8" ht="12.75">
      <c r="G901" s="63"/>
      <c r="H901" s="63"/>
    </row>
    <row r="902" spans="7:8" ht="12.75">
      <c r="G902" s="63"/>
      <c r="H902" s="63"/>
    </row>
    <row r="903" spans="7:8" ht="12.75">
      <c r="G903" s="63"/>
      <c r="H903" s="63"/>
    </row>
    <row r="904" spans="7:8" ht="12.75">
      <c r="G904" s="63"/>
      <c r="H904" s="63"/>
    </row>
    <row r="905" spans="7:8" ht="12.75">
      <c r="G905" s="63"/>
      <c r="H905" s="63"/>
    </row>
    <row r="906" spans="7:8" ht="12.75">
      <c r="G906" s="63"/>
      <c r="H906" s="63"/>
    </row>
    <row r="907" spans="7:8" ht="12.75">
      <c r="G907" s="63"/>
      <c r="H907" s="63"/>
    </row>
    <row r="908" spans="7:8" ht="12.75">
      <c r="G908" s="63"/>
      <c r="H908" s="63"/>
    </row>
    <row r="909" spans="7:8" ht="12.75">
      <c r="G909" s="63"/>
      <c r="H909" s="63"/>
    </row>
    <row r="910" spans="7:8" ht="12.75">
      <c r="G910" s="63"/>
      <c r="H910" s="63"/>
    </row>
    <row r="911" spans="7:8" ht="12.75">
      <c r="G911" s="63"/>
      <c r="H911" s="63"/>
    </row>
    <row r="912" spans="7:8" ht="12.75">
      <c r="G912" s="63"/>
      <c r="H912" s="63"/>
    </row>
    <row r="913" spans="7:8" ht="12.75">
      <c r="G913" s="63"/>
      <c r="H913" s="63"/>
    </row>
    <row r="914" spans="7:8" ht="12.75">
      <c r="G914" s="63"/>
      <c r="H914" s="63"/>
    </row>
    <row r="915" spans="7:8" ht="12.75">
      <c r="G915" s="63"/>
      <c r="H915" s="63"/>
    </row>
    <row r="916" spans="7:8" ht="12.75">
      <c r="G916" s="63"/>
      <c r="H916" s="63"/>
    </row>
    <row r="917" spans="7:8" ht="12.75">
      <c r="G917" s="63"/>
      <c r="H917" s="63"/>
    </row>
    <row r="918" spans="7:8" ht="12.75">
      <c r="G918" s="63"/>
      <c r="H918" s="63"/>
    </row>
    <row r="919" spans="7:8" ht="12.75">
      <c r="G919" s="63"/>
      <c r="H919" s="63"/>
    </row>
    <row r="920" spans="7:8" ht="12.75">
      <c r="G920" s="63"/>
      <c r="H920" s="63"/>
    </row>
    <row r="921" spans="7:8" ht="12.75">
      <c r="G921" s="63"/>
      <c r="H921" s="63"/>
    </row>
    <row r="922" spans="7:8" ht="12.75">
      <c r="G922" s="63"/>
      <c r="H922" s="63"/>
    </row>
    <row r="923" spans="7:8" ht="12.75">
      <c r="G923" s="63"/>
      <c r="H923" s="63"/>
    </row>
    <row r="924" spans="7:8" ht="12.75">
      <c r="G924" s="63"/>
      <c r="H924" s="63"/>
    </row>
    <row r="925" spans="7:8" ht="12.75">
      <c r="G925" s="63"/>
      <c r="H925" s="63"/>
    </row>
    <row r="926" spans="7:8" ht="12.75">
      <c r="G926" s="63"/>
      <c r="H926" s="63"/>
    </row>
    <row r="927" spans="7:8" ht="12.75">
      <c r="G927" s="63"/>
      <c r="H927" s="63"/>
    </row>
    <row r="928" spans="7:8" ht="12.75">
      <c r="G928" s="63"/>
      <c r="H928" s="63"/>
    </row>
    <row r="929" spans="7:8" ht="12.75">
      <c r="G929" s="63"/>
      <c r="H929" s="63"/>
    </row>
    <row r="930" spans="7:8" ht="12.75">
      <c r="G930" s="63"/>
      <c r="H930" s="63"/>
    </row>
    <row r="931" spans="7:8" ht="12.75">
      <c r="G931" s="63"/>
      <c r="H931" s="63"/>
    </row>
    <row r="932" spans="7:8" ht="12.75">
      <c r="G932" s="63"/>
      <c r="H932" s="63"/>
    </row>
    <row r="933" spans="7:8" ht="12.75">
      <c r="G933" s="63"/>
      <c r="H933" s="63"/>
    </row>
    <row r="934" spans="7:8" ht="12.75">
      <c r="G934" s="63"/>
      <c r="H934" s="63"/>
    </row>
    <row r="935" spans="7:8" ht="12.75">
      <c r="G935" s="63"/>
      <c r="H935" s="63"/>
    </row>
    <row r="936" spans="7:8" ht="12.75">
      <c r="G936" s="63"/>
      <c r="H936" s="63"/>
    </row>
    <row r="937" spans="7:8" ht="12.75">
      <c r="G937" s="63"/>
      <c r="H937" s="63"/>
    </row>
    <row r="938" spans="7:8" ht="12.75">
      <c r="G938" s="63"/>
      <c r="H938" s="63"/>
    </row>
    <row r="939" spans="7:8" ht="12.75">
      <c r="G939" s="63"/>
      <c r="H939" s="63"/>
    </row>
    <row r="940" spans="7:8" ht="12.75">
      <c r="G940" s="63"/>
      <c r="H940" s="63"/>
    </row>
    <row r="941" spans="7:8" ht="12.75">
      <c r="G941" s="63"/>
      <c r="H941" s="63"/>
    </row>
    <row r="942" spans="7:8" ht="12.75">
      <c r="G942" s="63"/>
      <c r="H942" s="63"/>
    </row>
    <row r="943" spans="7:8" ht="12.75">
      <c r="G943" s="63"/>
      <c r="H943" s="63"/>
    </row>
    <row r="944" spans="7:8" ht="12.75">
      <c r="G944" s="63"/>
      <c r="H944" s="63"/>
    </row>
    <row r="945" spans="7:8" ht="12.75">
      <c r="G945" s="63"/>
      <c r="H945" s="63"/>
    </row>
    <row r="946" spans="7:8" ht="12.75">
      <c r="G946" s="63"/>
      <c r="H946" s="63"/>
    </row>
    <row r="947" spans="7:8" ht="12.75">
      <c r="G947" s="63"/>
      <c r="H947" s="63"/>
    </row>
    <row r="948" spans="7:8" ht="12.75">
      <c r="G948" s="63"/>
      <c r="H948" s="63"/>
    </row>
    <row r="949" spans="7:8" ht="12.75">
      <c r="G949" s="63"/>
      <c r="H949" s="63"/>
    </row>
    <row r="950" spans="7:8" ht="12.75">
      <c r="G950" s="63"/>
      <c r="H950" s="63"/>
    </row>
    <row r="951" spans="7:8" ht="12.75">
      <c r="G951" s="63"/>
      <c r="H951" s="63"/>
    </row>
    <row r="952" spans="7:8" ht="12.75">
      <c r="G952" s="63"/>
      <c r="H952" s="63"/>
    </row>
    <row r="953" spans="7:8" ht="12.75">
      <c r="G953" s="63"/>
      <c r="H953" s="63"/>
    </row>
    <row r="954" spans="7:8" ht="12.75">
      <c r="G954" s="63"/>
      <c r="H954" s="63"/>
    </row>
    <row r="955" spans="7:8" ht="12.75">
      <c r="G955" s="63"/>
      <c r="H955" s="63"/>
    </row>
    <row r="956" spans="7:8" ht="12.75">
      <c r="G956" s="63"/>
      <c r="H956" s="63"/>
    </row>
    <row r="957" spans="7:8" ht="12.75">
      <c r="G957" s="63"/>
      <c r="H957" s="63"/>
    </row>
    <row r="958" spans="7:8" ht="12.75">
      <c r="G958" s="63"/>
      <c r="H958" s="63"/>
    </row>
    <row r="959" spans="7:8" ht="12.75">
      <c r="G959" s="63"/>
      <c r="H959" s="63"/>
    </row>
    <row r="960" spans="7:8" ht="12.75">
      <c r="G960" s="63"/>
      <c r="H960" s="63"/>
    </row>
    <row r="961" spans="7:8" ht="12.75">
      <c r="G961" s="63"/>
      <c r="H961" s="63"/>
    </row>
    <row r="962" spans="7:8" ht="12.75">
      <c r="G962" s="63"/>
      <c r="H962" s="63"/>
    </row>
    <row r="963" spans="7:8" ht="12.75">
      <c r="G963" s="63"/>
      <c r="H963" s="63"/>
    </row>
    <row r="964" spans="7:8" ht="12.75">
      <c r="G964" s="63"/>
      <c r="H964" s="63"/>
    </row>
    <row r="965" spans="7:8" ht="12.75">
      <c r="G965" s="63"/>
      <c r="H965" s="63"/>
    </row>
    <row r="966" spans="7:8" ht="12.75">
      <c r="G966" s="63"/>
      <c r="H966" s="63"/>
    </row>
  </sheetData>
  <hyperlinks>
    <hyperlink ref="I2" r:id="rId1" xr:uid="{00000000-0004-0000-1900-000000000000}"/>
    <hyperlink ref="I3" r:id="rId2" xr:uid="{00000000-0004-0000-1900-000001000000}"/>
    <hyperlink ref="I4" r:id="rId3" xr:uid="{00000000-0004-0000-1900-000002000000}"/>
    <hyperlink ref="I5" r:id="rId4" xr:uid="{00000000-0004-0000-1900-000003000000}"/>
    <hyperlink ref="I6" r:id="rId5" xr:uid="{00000000-0004-0000-1900-000004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E13"/>
  <sheetViews>
    <sheetView workbookViewId="0"/>
  </sheetViews>
  <sheetFormatPr defaultColWidth="12.5703125" defaultRowHeight="15.75" customHeight="1"/>
  <sheetData>
    <row r="1" spans="1:5" ht="15.75" customHeight="1">
      <c r="A1" s="10" t="s">
        <v>682</v>
      </c>
      <c r="B1" s="10"/>
      <c r="C1" s="10"/>
      <c r="D1" s="10"/>
    </row>
    <row r="2" spans="1:5" ht="15.75" customHeight="1">
      <c r="A2" s="10"/>
      <c r="B2" s="10" t="s">
        <v>19</v>
      </c>
      <c r="C2" s="10" t="s">
        <v>9</v>
      </c>
      <c r="D2" s="10" t="s">
        <v>13</v>
      </c>
      <c r="E2" s="10" t="s">
        <v>94</v>
      </c>
    </row>
    <row r="3" spans="1:5" ht="15.75" customHeight="1">
      <c r="A3" s="10" t="s">
        <v>91</v>
      </c>
      <c r="B3" s="10">
        <v>-43</v>
      </c>
      <c r="D3" s="10">
        <v>-43</v>
      </c>
    </row>
    <row r="4" spans="1:5" ht="15.75" customHeight="1">
      <c r="A4" s="10" t="s">
        <v>79</v>
      </c>
      <c r="B4" s="10">
        <v>-47</v>
      </c>
      <c r="C4" s="10">
        <v>-45</v>
      </c>
      <c r="D4" s="10">
        <v>-46</v>
      </c>
      <c r="E4" s="10">
        <v>-45</v>
      </c>
    </row>
    <row r="5" spans="1:5" ht="15.75" customHeight="1">
      <c r="A5" s="10" t="s">
        <v>11</v>
      </c>
      <c r="B5" s="10">
        <v>-53</v>
      </c>
      <c r="C5" s="10">
        <v>-53</v>
      </c>
      <c r="D5" s="10">
        <v>-54</v>
      </c>
      <c r="E5" s="10">
        <v>-53</v>
      </c>
    </row>
    <row r="6" spans="1:5" ht="15.75" customHeight="1">
      <c r="A6" s="10" t="s">
        <v>683</v>
      </c>
      <c r="B6" s="10">
        <v>-35</v>
      </c>
      <c r="C6" s="10">
        <v>-34</v>
      </c>
      <c r="D6" s="10">
        <v>-35</v>
      </c>
      <c r="E6" s="10">
        <v>-34</v>
      </c>
    </row>
    <row r="8" spans="1:5" ht="15.75" customHeight="1">
      <c r="A8" s="10" t="s">
        <v>684</v>
      </c>
      <c r="B8" s="10"/>
      <c r="C8" s="10"/>
      <c r="D8" s="10"/>
    </row>
    <row r="9" spans="1:5" ht="15.75" customHeight="1">
      <c r="A9" s="10"/>
      <c r="B9" s="10" t="s">
        <v>19</v>
      </c>
      <c r="C9" s="10" t="s">
        <v>9</v>
      </c>
      <c r="D9" s="10" t="s">
        <v>13</v>
      </c>
      <c r="E9" s="10" t="s">
        <v>94</v>
      </c>
    </row>
    <row r="10" spans="1:5" ht="15.75" customHeight="1">
      <c r="A10" s="10" t="s">
        <v>91</v>
      </c>
      <c r="B10" s="10">
        <v>0</v>
      </c>
      <c r="C10" s="10">
        <v>1</v>
      </c>
      <c r="E10" s="10">
        <v>1</v>
      </c>
    </row>
    <row r="11" spans="1:5" ht="15.75" customHeight="1">
      <c r="A11" s="10" t="s">
        <v>79</v>
      </c>
      <c r="B11" s="10">
        <v>-3</v>
      </c>
      <c r="C11" s="10">
        <v>-2</v>
      </c>
      <c r="E11" s="10">
        <v>0</v>
      </c>
    </row>
    <row r="12" spans="1:5" ht="15.75" customHeight="1">
      <c r="A12" s="10" t="s">
        <v>11</v>
      </c>
      <c r="B12" s="10">
        <v>9</v>
      </c>
      <c r="C12" s="10">
        <v>9</v>
      </c>
      <c r="E12" s="10">
        <v>10</v>
      </c>
    </row>
    <row r="13" spans="1:5" ht="15.75" customHeight="1">
      <c r="A13" s="10" t="s">
        <v>683</v>
      </c>
      <c r="B13" s="10">
        <v>-9</v>
      </c>
      <c r="C13" s="10">
        <v>-9</v>
      </c>
      <c r="E13" s="10">
        <v>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Y17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7.85546875" customWidth="1"/>
    <col min="5" max="5" width="25.5703125" customWidth="1"/>
    <col min="6" max="6" width="10.140625" customWidth="1"/>
    <col min="7" max="7" width="20.855468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413</v>
      </c>
      <c r="J1" s="1" t="s">
        <v>414</v>
      </c>
      <c r="K1" s="1" t="s">
        <v>415</v>
      </c>
      <c r="L1" s="1" t="s">
        <v>8</v>
      </c>
      <c r="M1" s="2"/>
    </row>
    <row r="2" spans="1:25" ht="15" hidden="1">
      <c r="A2" s="3">
        <v>75</v>
      </c>
      <c r="B2" s="3">
        <v>375</v>
      </c>
      <c r="C2" s="3">
        <f t="shared" ref="C2:C11" si="0">B2/A2</f>
        <v>5</v>
      </c>
      <c r="D2" s="3">
        <v>183</v>
      </c>
      <c r="E2" s="3" t="s">
        <v>9</v>
      </c>
      <c r="F2" s="3" t="s">
        <v>10</v>
      </c>
      <c r="G2" s="3" t="s">
        <v>11</v>
      </c>
      <c r="H2" s="4">
        <v>3.2280092592592589E-2</v>
      </c>
      <c r="I2" s="35"/>
      <c r="J2" s="35"/>
      <c r="K2" s="35"/>
      <c r="L2" s="5" t="s">
        <v>12</v>
      </c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" hidden="1">
      <c r="A3" s="3">
        <v>75</v>
      </c>
      <c r="B3" s="3">
        <v>375</v>
      </c>
      <c r="C3" s="3">
        <f t="shared" si="0"/>
        <v>5</v>
      </c>
      <c r="D3" s="3">
        <v>183</v>
      </c>
      <c r="E3" s="3" t="s">
        <v>13</v>
      </c>
      <c r="F3" s="3" t="s">
        <v>10</v>
      </c>
      <c r="G3" s="3" t="s">
        <v>14</v>
      </c>
      <c r="H3" s="4">
        <v>3.2511574074074075E-2</v>
      </c>
      <c r="I3" s="35"/>
      <c r="J3" s="35"/>
      <c r="K3" s="35"/>
      <c r="L3" s="8" t="s">
        <v>15</v>
      </c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" hidden="1">
      <c r="A4" s="3">
        <v>75</v>
      </c>
      <c r="B4" s="3">
        <v>375</v>
      </c>
      <c r="C4" s="3">
        <f t="shared" si="0"/>
        <v>5</v>
      </c>
      <c r="D4" s="3">
        <v>183</v>
      </c>
      <c r="E4" s="3" t="s">
        <v>16</v>
      </c>
      <c r="F4" s="3" t="s">
        <v>10</v>
      </c>
      <c r="G4" s="3" t="s">
        <v>17</v>
      </c>
      <c r="H4" s="4">
        <v>3.3055555555555553E-2</v>
      </c>
      <c r="I4" s="35"/>
      <c r="J4" s="35"/>
      <c r="K4" s="35"/>
      <c r="L4" s="8" t="s">
        <v>18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" hidden="1">
      <c r="A5" s="3">
        <v>100</v>
      </c>
      <c r="B5" s="3">
        <v>400</v>
      </c>
      <c r="C5" s="3">
        <f t="shared" si="0"/>
        <v>4</v>
      </c>
      <c r="D5" s="3">
        <v>183</v>
      </c>
      <c r="E5" s="3" t="s">
        <v>19</v>
      </c>
      <c r="F5" s="3" t="s">
        <v>10</v>
      </c>
      <c r="G5" s="3" t="s">
        <v>17</v>
      </c>
      <c r="H5" s="4">
        <v>3.3900462962962966E-2</v>
      </c>
      <c r="I5" s="36"/>
      <c r="J5" s="36"/>
      <c r="K5" s="36"/>
      <c r="L5" s="9" t="s">
        <v>20</v>
      </c>
      <c r="M5" s="2"/>
    </row>
    <row r="6" spans="1:25" ht="15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73</v>
      </c>
      <c r="F6" s="3" t="s">
        <v>10</v>
      </c>
      <c r="G6" s="3" t="s">
        <v>73</v>
      </c>
      <c r="H6" s="4">
        <v>4.9444444444444444E-2</v>
      </c>
      <c r="I6" s="37">
        <v>4.8726851851851848E-3</v>
      </c>
      <c r="J6" s="37">
        <v>4.7453703703703703E-3</v>
      </c>
      <c r="K6" s="37">
        <v>8.7037037037037031E-3</v>
      </c>
      <c r="L6" s="8" t="s">
        <v>416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13</v>
      </c>
      <c r="F7" s="3" t="s">
        <v>10</v>
      </c>
      <c r="G7" s="3" t="s">
        <v>14</v>
      </c>
      <c r="H7" s="4">
        <v>4.9606481481481481E-2</v>
      </c>
      <c r="I7" s="37">
        <v>4.8611111111111112E-3</v>
      </c>
      <c r="J7" s="37">
        <v>4.7453703703703703E-3</v>
      </c>
      <c r="K7" s="37">
        <v>8.7037037037037031E-3</v>
      </c>
      <c r="L7" s="8" t="s">
        <v>417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">
      <c r="A8" s="3">
        <v>75</v>
      </c>
      <c r="B8" s="3">
        <v>300</v>
      </c>
      <c r="C8" s="3">
        <f t="shared" si="0"/>
        <v>4</v>
      </c>
      <c r="D8" s="3">
        <v>183</v>
      </c>
      <c r="E8" s="3" t="s">
        <v>94</v>
      </c>
      <c r="F8" s="3" t="s">
        <v>10</v>
      </c>
      <c r="G8" s="3" t="s">
        <v>133</v>
      </c>
      <c r="H8" s="4">
        <v>4.9872685185185187E-2</v>
      </c>
      <c r="I8" s="37">
        <v>4.8611111111111112E-3</v>
      </c>
      <c r="J8" s="37">
        <v>4.7337962962962967E-3</v>
      </c>
      <c r="K8" s="37">
        <v>8.7037037037037031E-3</v>
      </c>
      <c r="L8" s="8" t="s">
        <v>418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">
      <c r="A9" s="3">
        <v>75</v>
      </c>
      <c r="B9" s="3">
        <v>300</v>
      </c>
      <c r="C9" s="3">
        <f t="shared" si="0"/>
        <v>4</v>
      </c>
      <c r="D9" s="3">
        <v>183</v>
      </c>
      <c r="E9" s="3" t="s">
        <v>9</v>
      </c>
      <c r="F9" s="3" t="s">
        <v>10</v>
      </c>
      <c r="G9" s="3" t="s">
        <v>124</v>
      </c>
      <c r="H9" s="4">
        <v>4.9652777777777775E-2</v>
      </c>
      <c r="I9" s="37">
        <v>4.8726851851851848E-3</v>
      </c>
      <c r="J9" s="37">
        <v>4.7453703703703703E-3</v>
      </c>
      <c r="K9" s="37">
        <v>8.7152777777777784E-3</v>
      </c>
      <c r="L9" s="8" t="s">
        <v>419</v>
      </c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">
      <c r="A10" s="3">
        <v>75</v>
      </c>
      <c r="B10" s="3">
        <v>300</v>
      </c>
      <c r="C10" s="3">
        <f t="shared" si="0"/>
        <v>4</v>
      </c>
      <c r="D10" s="3">
        <v>183</v>
      </c>
      <c r="E10" s="3" t="s">
        <v>9</v>
      </c>
      <c r="F10" s="3" t="s">
        <v>10</v>
      </c>
      <c r="G10" s="3" t="s">
        <v>11</v>
      </c>
      <c r="H10" s="4">
        <v>4.9502314814814811E-2</v>
      </c>
      <c r="I10" s="37">
        <v>4.8842592592592592E-3</v>
      </c>
      <c r="J10" s="37">
        <v>4.7685185185185183E-3</v>
      </c>
      <c r="K10" s="37">
        <v>8.7384259259259255E-3</v>
      </c>
      <c r="L10" s="9" t="s">
        <v>420</v>
      </c>
      <c r="M10" s="2"/>
    </row>
    <row r="11" spans="1:25" ht="15">
      <c r="A11" s="3">
        <v>75</v>
      </c>
      <c r="B11" s="3">
        <v>300</v>
      </c>
      <c r="C11" s="3">
        <f t="shared" si="0"/>
        <v>4</v>
      </c>
      <c r="D11" s="3">
        <v>183</v>
      </c>
      <c r="E11" s="3" t="s">
        <v>16</v>
      </c>
      <c r="F11" s="3" t="s">
        <v>10</v>
      </c>
      <c r="G11" s="3" t="s">
        <v>17</v>
      </c>
      <c r="H11" s="4">
        <v>5.0497685185185187E-2</v>
      </c>
      <c r="I11" s="37">
        <v>4.9421296296296297E-3</v>
      </c>
      <c r="J11" s="37">
        <v>4.8379629629629632E-3</v>
      </c>
      <c r="K11" s="37">
        <v>8.8773148148148153E-3</v>
      </c>
      <c r="L11" s="8" t="s">
        <v>421</v>
      </c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5">
      <c r="A12" s="3"/>
      <c r="B12" s="3"/>
      <c r="C12" s="3"/>
      <c r="D12" s="3"/>
      <c r="E12" s="3"/>
      <c r="F12" s="3"/>
      <c r="G12" s="3"/>
      <c r="H12" s="4"/>
      <c r="I12" s="38"/>
      <c r="J12" s="38"/>
      <c r="K12" s="38"/>
      <c r="L12" s="2"/>
      <c r="M12" s="2"/>
    </row>
    <row r="13" spans="1:25" ht="15">
      <c r="A13" s="3"/>
      <c r="B13" s="3"/>
      <c r="C13" s="3"/>
      <c r="D13" s="3"/>
      <c r="E13" s="3"/>
      <c r="F13" s="3"/>
      <c r="G13" s="3"/>
      <c r="H13" s="4"/>
      <c r="I13" s="38"/>
      <c r="J13" s="38"/>
      <c r="K13" s="38"/>
      <c r="L13" s="2"/>
      <c r="M13" s="2"/>
    </row>
    <row r="14" spans="1:25" ht="15">
      <c r="A14" s="3"/>
      <c r="B14" s="3"/>
      <c r="C14" s="3"/>
      <c r="D14" s="3"/>
      <c r="E14" s="3"/>
      <c r="F14" s="3"/>
      <c r="G14" s="3"/>
      <c r="H14" s="4"/>
      <c r="I14" s="38"/>
      <c r="J14" s="38"/>
      <c r="K14" s="38"/>
      <c r="L14" s="2"/>
      <c r="M14" s="2"/>
    </row>
    <row r="15" spans="1:25" ht="15">
      <c r="A15" s="3"/>
      <c r="B15" s="3"/>
      <c r="C15" s="3"/>
      <c r="D15" s="3"/>
      <c r="E15" s="3"/>
      <c r="F15" s="3"/>
      <c r="G15" s="3"/>
      <c r="H15" s="4"/>
      <c r="I15" s="38"/>
      <c r="J15" s="38"/>
      <c r="K15" s="38"/>
      <c r="L15" s="2"/>
      <c r="M15" s="2"/>
    </row>
    <row r="16" spans="1:25" ht="15">
      <c r="A16" s="3"/>
      <c r="B16" s="3"/>
      <c r="C16" s="3"/>
      <c r="D16" s="3"/>
      <c r="E16" s="3"/>
      <c r="F16" s="3"/>
      <c r="G16" s="3"/>
      <c r="H16" s="4"/>
      <c r="I16" s="38"/>
      <c r="J16" s="38"/>
      <c r="K16" s="38"/>
      <c r="L16" s="2"/>
      <c r="M16" s="2"/>
    </row>
    <row r="17" spans="1:25" ht="15">
      <c r="A17" s="3"/>
      <c r="B17" s="3"/>
      <c r="C17" s="3"/>
      <c r="D17" s="3"/>
      <c r="E17" s="3"/>
      <c r="F17" s="3"/>
      <c r="G17" s="3"/>
      <c r="H17" s="4"/>
      <c r="I17" s="38"/>
      <c r="J17" s="38"/>
      <c r="K17" s="38"/>
      <c r="L17" s="2"/>
      <c r="M17" s="2"/>
    </row>
    <row r="18" spans="1:25" ht="15">
      <c r="A18" s="3"/>
      <c r="B18" s="3"/>
      <c r="C18" s="3"/>
      <c r="D18" s="3"/>
      <c r="E18" s="3"/>
      <c r="F18" s="3"/>
      <c r="G18" s="3"/>
      <c r="H18" s="4"/>
      <c r="I18" s="38"/>
      <c r="J18" s="38"/>
      <c r="K18" s="38"/>
      <c r="L18" s="2"/>
      <c r="M18" s="2"/>
    </row>
    <row r="19" spans="1:25" ht="15">
      <c r="A19" s="3"/>
      <c r="B19" s="3"/>
      <c r="C19" s="3"/>
      <c r="D19" s="3"/>
      <c r="E19" s="3"/>
      <c r="F19" s="3"/>
      <c r="G19" s="3"/>
      <c r="H19" s="36"/>
      <c r="I19" s="36"/>
      <c r="J19" s="36"/>
      <c r="K19" s="36"/>
      <c r="L19" s="2"/>
      <c r="M19" s="2"/>
    </row>
    <row r="20" spans="1:25" ht="15">
      <c r="A20" s="3"/>
      <c r="B20" s="3"/>
      <c r="C20" s="3"/>
      <c r="D20" s="3"/>
      <c r="E20" s="3"/>
      <c r="F20" s="3"/>
      <c r="G20" s="3"/>
      <c r="H20" s="36"/>
      <c r="I20" s="36"/>
      <c r="J20" s="36"/>
      <c r="K20" s="36"/>
      <c r="L20" s="2"/>
      <c r="M20" s="2"/>
    </row>
    <row r="21" spans="1:25" ht="15">
      <c r="A21" s="3"/>
      <c r="B21" s="3"/>
      <c r="C21" s="3"/>
      <c r="D21" s="3"/>
      <c r="E21" s="3"/>
      <c r="F21" s="3"/>
      <c r="G21" s="3"/>
      <c r="H21" s="36"/>
      <c r="I21" s="36"/>
      <c r="J21" s="36"/>
      <c r="K21" s="36"/>
      <c r="L21" s="8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">
      <c r="A22" s="3"/>
      <c r="B22" s="3"/>
      <c r="C22" s="3"/>
      <c r="D22" s="3"/>
      <c r="E22" s="3"/>
      <c r="F22" s="3"/>
      <c r="G22" s="3"/>
      <c r="H22" s="36"/>
      <c r="I22" s="36"/>
      <c r="J22" s="36"/>
      <c r="K22" s="36"/>
      <c r="L22" s="2"/>
      <c r="M22" s="2"/>
    </row>
    <row r="23" spans="1:25" ht="15">
      <c r="A23" s="3"/>
      <c r="B23" s="3"/>
      <c r="C23" s="3"/>
      <c r="D23" s="3"/>
      <c r="E23" s="3"/>
      <c r="F23" s="3"/>
      <c r="G23" s="3"/>
      <c r="H23" s="36"/>
      <c r="I23" s="36"/>
      <c r="J23" s="36"/>
      <c r="K23" s="36"/>
      <c r="L23" s="2"/>
      <c r="M23" s="2"/>
    </row>
    <row r="24" spans="1:25" ht="15">
      <c r="A24" s="3"/>
      <c r="B24" s="3"/>
      <c r="C24" s="3"/>
      <c r="D24" s="3"/>
      <c r="E24" s="3"/>
      <c r="F24" s="3"/>
      <c r="G24" s="3"/>
      <c r="H24" s="36"/>
      <c r="I24" s="36"/>
      <c r="J24" s="36"/>
      <c r="K24" s="36"/>
      <c r="L24" s="2"/>
      <c r="M24" s="2"/>
    </row>
    <row r="25" spans="1:25" ht="15">
      <c r="A25" s="3"/>
      <c r="B25" s="3"/>
      <c r="C25" s="3"/>
      <c r="D25" s="3"/>
      <c r="E25" s="3"/>
      <c r="F25" s="3"/>
      <c r="G25" s="3"/>
      <c r="H25" s="36"/>
      <c r="I25" s="36"/>
      <c r="J25" s="36"/>
      <c r="K25" s="36"/>
      <c r="L25" s="2"/>
      <c r="M25" s="2"/>
    </row>
    <row r="26" spans="1:25" ht="15">
      <c r="A26" s="3"/>
      <c r="B26" s="3"/>
      <c r="C26" s="3"/>
      <c r="D26" s="3"/>
      <c r="E26" s="3"/>
      <c r="F26" s="3"/>
      <c r="G26" s="3"/>
      <c r="H26" s="36"/>
      <c r="I26" s="36"/>
      <c r="J26" s="36"/>
      <c r="K26" s="36"/>
      <c r="L26" s="2"/>
      <c r="M26" s="2"/>
    </row>
    <row r="27" spans="1:25" ht="15">
      <c r="A27" s="3"/>
      <c r="B27" s="3"/>
      <c r="C27" s="3"/>
      <c r="D27" s="3"/>
      <c r="E27" s="3"/>
      <c r="F27" s="3"/>
      <c r="G27" s="3"/>
      <c r="H27" s="36"/>
      <c r="I27" s="36"/>
      <c r="J27" s="36"/>
      <c r="K27" s="36"/>
      <c r="L27" s="2"/>
      <c r="M27" s="2"/>
    </row>
    <row r="28" spans="1:25" ht="15">
      <c r="A28" s="3"/>
      <c r="B28" s="3"/>
      <c r="C28" s="3"/>
      <c r="D28" s="3"/>
      <c r="E28" s="3"/>
      <c r="F28" s="3"/>
      <c r="G28" s="3"/>
      <c r="H28" s="36"/>
      <c r="I28" s="36"/>
      <c r="J28" s="36"/>
      <c r="K28" s="36"/>
      <c r="L28" s="2"/>
      <c r="M28" s="2"/>
    </row>
    <row r="29" spans="1:25" ht="15">
      <c r="A29" s="3"/>
      <c r="B29" s="3"/>
      <c r="C29" s="3"/>
      <c r="D29" s="3"/>
      <c r="E29" s="3"/>
      <c r="F29" s="3"/>
      <c r="G29" s="3"/>
      <c r="H29" s="36"/>
      <c r="I29" s="36"/>
      <c r="J29" s="36"/>
      <c r="K29" s="36"/>
      <c r="L29" s="11"/>
      <c r="M29" s="2"/>
      <c r="O29" s="10"/>
    </row>
    <row r="30" spans="1:25" ht="15">
      <c r="A30" s="3"/>
      <c r="B30" s="3"/>
      <c r="C30" s="3"/>
      <c r="D30" s="3"/>
      <c r="E30" s="3"/>
      <c r="F30" s="3"/>
      <c r="G30" s="3"/>
      <c r="H30" s="36"/>
      <c r="I30" s="36"/>
      <c r="J30" s="36"/>
      <c r="K30" s="36"/>
      <c r="L30" s="2"/>
      <c r="M30" s="2"/>
    </row>
    <row r="31" spans="1:25" ht="15">
      <c r="A31" s="3"/>
      <c r="B31" s="3"/>
      <c r="C31" s="3"/>
      <c r="D31" s="3"/>
      <c r="E31" s="3"/>
      <c r="F31" s="3"/>
      <c r="G31" s="3"/>
      <c r="H31" s="36"/>
      <c r="I31" s="36"/>
      <c r="J31" s="36"/>
      <c r="K31" s="36"/>
      <c r="L31" s="2"/>
      <c r="M31" s="2"/>
    </row>
    <row r="32" spans="1:25" ht="15">
      <c r="A32" s="3"/>
      <c r="B32" s="3"/>
      <c r="C32" s="3"/>
      <c r="D32" s="3"/>
      <c r="E32" s="3"/>
      <c r="F32" s="3"/>
      <c r="G32" s="3"/>
      <c r="H32" s="36"/>
      <c r="I32" s="36"/>
      <c r="J32" s="36"/>
      <c r="K32" s="36"/>
      <c r="L32" s="2"/>
      <c r="M32" s="2"/>
    </row>
    <row r="33" spans="1:25" ht="15">
      <c r="A33" s="3"/>
      <c r="B33" s="3"/>
      <c r="C33" s="3"/>
      <c r="D33" s="3"/>
      <c r="E33" s="3"/>
      <c r="F33" s="3"/>
      <c r="G33" s="3"/>
      <c r="H33" s="36"/>
      <c r="I33" s="36"/>
      <c r="J33" s="36"/>
      <c r="K33" s="36"/>
      <c r="L33" s="2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">
      <c r="A34" s="3"/>
      <c r="B34" s="3"/>
      <c r="C34" s="3"/>
      <c r="D34" s="3"/>
      <c r="E34" s="3"/>
      <c r="F34" s="3"/>
      <c r="G34" s="3"/>
      <c r="H34" s="36"/>
      <c r="I34" s="36"/>
      <c r="J34" s="36"/>
      <c r="K34" s="36"/>
      <c r="L34" s="2"/>
      <c r="M34" s="2"/>
    </row>
    <row r="35" spans="1:25" ht="15">
      <c r="A35" s="3"/>
      <c r="B35" s="3"/>
      <c r="C35" s="3"/>
      <c r="D35" s="3"/>
      <c r="E35" s="3"/>
      <c r="F35" s="3"/>
      <c r="G35" s="3"/>
      <c r="H35" s="36"/>
      <c r="I35" s="36"/>
      <c r="J35" s="36"/>
      <c r="K35" s="36"/>
      <c r="L35" s="2"/>
      <c r="M35" s="2"/>
    </row>
    <row r="36" spans="1:25" ht="15">
      <c r="A36" s="3"/>
      <c r="B36" s="3"/>
      <c r="C36" s="3"/>
      <c r="D36" s="3"/>
      <c r="E36" s="3"/>
      <c r="F36" s="3"/>
      <c r="G36" s="3"/>
      <c r="H36" s="36"/>
      <c r="I36" s="36"/>
      <c r="J36" s="36"/>
      <c r="K36" s="36"/>
      <c r="L36" s="2"/>
      <c r="M36" s="2"/>
    </row>
    <row r="37" spans="1:25" ht="15">
      <c r="A37" s="3"/>
      <c r="B37" s="3"/>
      <c r="C37" s="3"/>
      <c r="D37" s="3"/>
      <c r="E37" s="3"/>
      <c r="F37" s="3"/>
      <c r="G37" s="3"/>
      <c r="H37" s="36"/>
      <c r="I37" s="36"/>
      <c r="J37" s="36"/>
      <c r="K37" s="36"/>
      <c r="L37" s="2"/>
      <c r="M37" s="2"/>
    </row>
    <row r="38" spans="1:25" ht="15">
      <c r="A38" s="3"/>
      <c r="B38" s="3"/>
      <c r="C38" s="3"/>
      <c r="D38" s="3"/>
      <c r="E38" s="3"/>
      <c r="F38" s="3"/>
      <c r="G38" s="3"/>
      <c r="H38" s="36"/>
      <c r="I38" s="36"/>
      <c r="J38" s="36"/>
      <c r="K38" s="36"/>
      <c r="L38" s="2"/>
      <c r="M38" s="2"/>
    </row>
    <row r="39" spans="1:25" ht="15">
      <c r="A39" s="3"/>
      <c r="B39" s="3"/>
      <c r="C39" s="3"/>
      <c r="D39" s="3"/>
      <c r="E39" s="3"/>
      <c r="F39" s="3"/>
      <c r="G39" s="3"/>
      <c r="H39" s="36"/>
      <c r="I39" s="36"/>
      <c r="J39" s="36"/>
      <c r="K39" s="36"/>
      <c r="L39" s="2"/>
      <c r="M39" s="2"/>
    </row>
    <row r="40" spans="1:25" ht="15">
      <c r="A40" s="3"/>
      <c r="B40" s="3"/>
      <c r="C40" s="3"/>
      <c r="D40" s="3"/>
      <c r="E40" s="3"/>
      <c r="F40" s="3"/>
      <c r="G40" s="3"/>
      <c r="H40" s="36"/>
      <c r="I40" s="36"/>
      <c r="J40" s="36"/>
      <c r="K40" s="36"/>
      <c r="L40" s="2"/>
      <c r="M40" s="2"/>
    </row>
    <row r="41" spans="1:25" ht="15">
      <c r="A41" s="3"/>
      <c r="B41" s="3"/>
      <c r="C41" s="3"/>
      <c r="D41" s="3"/>
      <c r="E41" s="3"/>
      <c r="F41" s="3"/>
      <c r="G41" s="3"/>
      <c r="H41" s="36"/>
      <c r="I41" s="36"/>
      <c r="J41" s="36"/>
      <c r="K41" s="36"/>
      <c r="L41" s="2"/>
      <c r="M41" s="2"/>
    </row>
    <row r="42" spans="1:25" ht="15">
      <c r="A42" s="3"/>
      <c r="B42" s="3"/>
      <c r="C42" s="3"/>
      <c r="D42" s="3"/>
      <c r="E42" s="3"/>
      <c r="F42" s="3"/>
      <c r="G42" s="3"/>
      <c r="H42" s="36"/>
      <c r="I42" s="36"/>
      <c r="J42" s="36"/>
      <c r="K42" s="36"/>
      <c r="L42" s="2"/>
      <c r="M42" s="2"/>
    </row>
    <row r="43" spans="1:25" ht="15">
      <c r="A43" s="3"/>
      <c r="B43" s="3"/>
      <c r="C43" s="3"/>
      <c r="D43" s="3"/>
      <c r="E43" s="3"/>
      <c r="F43" s="3"/>
      <c r="G43" s="3"/>
      <c r="H43" s="36"/>
      <c r="I43" s="36"/>
      <c r="J43" s="36"/>
      <c r="K43" s="36"/>
      <c r="L43" s="2"/>
      <c r="M43" s="2"/>
    </row>
    <row r="44" spans="1:25" ht="15">
      <c r="A44" s="3"/>
      <c r="B44" s="3"/>
      <c r="C44" s="3"/>
      <c r="D44" s="3"/>
      <c r="E44" s="3"/>
      <c r="F44" s="3"/>
      <c r="G44" s="3"/>
      <c r="H44" s="36"/>
      <c r="I44" s="36"/>
      <c r="J44" s="36"/>
      <c r="K44" s="36"/>
      <c r="L44" s="2"/>
      <c r="M44" s="2"/>
    </row>
    <row r="45" spans="1:25" ht="15">
      <c r="A45" s="3"/>
      <c r="B45" s="3"/>
      <c r="C45" s="3"/>
      <c r="D45" s="3"/>
      <c r="E45" s="3"/>
      <c r="F45" s="3"/>
      <c r="G45" s="3"/>
      <c r="H45" s="36"/>
      <c r="I45" s="36"/>
      <c r="J45" s="36"/>
      <c r="K45" s="36"/>
      <c r="L45" s="2"/>
      <c r="M45" s="2"/>
    </row>
    <row r="46" spans="1:25" ht="15">
      <c r="A46" s="3"/>
      <c r="B46" s="3"/>
      <c r="C46" s="3"/>
      <c r="D46" s="3"/>
      <c r="E46" s="3"/>
      <c r="F46" s="3"/>
      <c r="G46" s="3"/>
      <c r="H46" s="36"/>
      <c r="I46" s="36"/>
      <c r="J46" s="36"/>
      <c r="K46" s="36"/>
      <c r="L46" s="2"/>
      <c r="M46" s="2"/>
    </row>
    <row r="47" spans="1:25" ht="15">
      <c r="A47" s="3"/>
      <c r="B47" s="3"/>
      <c r="C47" s="3"/>
      <c r="D47" s="3"/>
      <c r="E47" s="3"/>
      <c r="F47" s="3"/>
      <c r="G47" s="3"/>
      <c r="H47" s="36"/>
      <c r="I47" s="36"/>
      <c r="J47" s="36"/>
      <c r="K47" s="36"/>
      <c r="L47" s="2"/>
      <c r="M47" s="2"/>
    </row>
    <row r="48" spans="1:25" ht="15">
      <c r="A48" s="3"/>
      <c r="B48" s="3"/>
      <c r="C48" s="3"/>
      <c r="D48" s="3"/>
      <c r="E48" s="3"/>
      <c r="F48" s="3"/>
      <c r="G48" s="3"/>
      <c r="H48" s="36"/>
      <c r="I48" s="36"/>
      <c r="J48" s="36"/>
      <c r="K48" s="36"/>
      <c r="L48" s="2"/>
      <c r="M48" s="2"/>
    </row>
    <row r="49" spans="1:25" ht="15">
      <c r="A49" s="3"/>
      <c r="B49" s="3"/>
      <c r="C49" s="3"/>
      <c r="D49" s="3"/>
      <c r="E49" s="3"/>
      <c r="F49" s="3"/>
      <c r="G49" s="3"/>
      <c r="H49" s="36"/>
      <c r="I49" s="36"/>
      <c r="J49" s="36"/>
      <c r="K49" s="36"/>
      <c r="L49" s="2"/>
      <c r="M49" s="2"/>
    </row>
    <row r="50" spans="1:25" ht="15">
      <c r="A50" s="3"/>
      <c r="B50" s="3"/>
      <c r="C50" s="3"/>
      <c r="D50" s="3"/>
      <c r="E50" s="3"/>
      <c r="F50" s="3"/>
      <c r="G50" s="3"/>
      <c r="H50" s="36"/>
      <c r="I50" s="36"/>
      <c r="J50" s="36"/>
      <c r="K50" s="36"/>
      <c r="L50" s="2"/>
      <c r="M50" s="2"/>
    </row>
    <row r="51" spans="1:25" ht="15">
      <c r="A51" s="3"/>
      <c r="B51" s="3"/>
      <c r="C51" s="3"/>
      <c r="D51" s="3"/>
      <c r="E51" s="3"/>
      <c r="F51" s="3"/>
      <c r="G51" s="3"/>
      <c r="H51" s="36"/>
      <c r="I51" s="36"/>
      <c r="J51" s="36"/>
      <c r="K51" s="36"/>
      <c r="L51" s="8"/>
      <c r="M51" s="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">
      <c r="A52" s="3"/>
      <c r="B52" s="3"/>
      <c r="C52" s="3"/>
      <c r="D52" s="3"/>
      <c r="E52" s="3"/>
      <c r="F52" s="3"/>
      <c r="G52" s="3"/>
      <c r="H52" s="36"/>
      <c r="I52" s="36"/>
      <c r="J52" s="36"/>
      <c r="K52" s="36"/>
      <c r="L52" s="2"/>
      <c r="M52" s="2"/>
    </row>
    <row r="53" spans="1:25" ht="15">
      <c r="A53" s="3"/>
      <c r="B53" s="3"/>
      <c r="C53" s="3"/>
      <c r="D53" s="3"/>
      <c r="E53" s="3"/>
      <c r="F53" s="3"/>
      <c r="G53" s="3"/>
      <c r="H53" s="36"/>
      <c r="I53" s="36"/>
      <c r="J53" s="36"/>
      <c r="K53" s="36"/>
      <c r="L53" s="2"/>
      <c r="M53" s="2"/>
    </row>
    <row r="54" spans="1:25" ht="15">
      <c r="A54" s="3"/>
      <c r="B54" s="3"/>
      <c r="C54" s="3"/>
      <c r="D54" s="3"/>
      <c r="E54" s="3"/>
      <c r="F54" s="3"/>
      <c r="G54" s="3"/>
      <c r="H54" s="36"/>
      <c r="I54" s="36"/>
      <c r="J54" s="36"/>
      <c r="K54" s="36"/>
      <c r="L54" s="2"/>
      <c r="M54" s="2"/>
    </row>
    <row r="55" spans="1:25" ht="15">
      <c r="A55" s="3"/>
      <c r="B55" s="3"/>
      <c r="C55" s="3"/>
      <c r="D55" s="3"/>
      <c r="E55" s="3"/>
      <c r="F55" s="3"/>
      <c r="G55" s="3"/>
      <c r="H55" s="36"/>
      <c r="I55" s="36"/>
      <c r="J55" s="36"/>
      <c r="K55" s="36"/>
      <c r="L55" s="2"/>
      <c r="M55" s="2"/>
    </row>
    <row r="56" spans="1:25" ht="15">
      <c r="A56" s="3"/>
      <c r="B56" s="3"/>
      <c r="C56" s="3"/>
      <c r="D56" s="3"/>
      <c r="E56" s="3"/>
      <c r="F56" s="3"/>
      <c r="G56" s="3"/>
      <c r="H56" s="36"/>
      <c r="I56" s="36"/>
      <c r="J56" s="36"/>
      <c r="K56" s="36"/>
      <c r="L56" s="2"/>
      <c r="M56" s="2"/>
    </row>
    <row r="57" spans="1:25" ht="15">
      <c r="A57" s="3"/>
      <c r="B57" s="3"/>
      <c r="C57" s="3"/>
      <c r="D57" s="3"/>
      <c r="E57" s="3"/>
      <c r="F57" s="3"/>
      <c r="G57" s="3"/>
      <c r="H57" s="36"/>
      <c r="I57" s="36"/>
      <c r="J57" s="36"/>
      <c r="K57" s="36"/>
      <c r="L57" s="2"/>
      <c r="M57" s="2"/>
    </row>
    <row r="58" spans="1:25" ht="15">
      <c r="A58" s="3"/>
      <c r="B58" s="3"/>
      <c r="C58" s="3"/>
      <c r="D58" s="3"/>
      <c r="E58" s="3"/>
      <c r="F58" s="3"/>
      <c r="G58" s="3"/>
      <c r="H58" s="36"/>
      <c r="I58" s="36"/>
      <c r="J58" s="36"/>
      <c r="K58" s="36"/>
      <c r="L58" s="2"/>
      <c r="M58" s="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">
      <c r="A59" s="3"/>
      <c r="B59" s="3"/>
      <c r="C59" s="3"/>
      <c r="D59" s="3"/>
      <c r="E59" s="3"/>
      <c r="F59" s="3"/>
      <c r="G59" s="3"/>
      <c r="H59" s="36"/>
      <c r="I59" s="36"/>
      <c r="J59" s="36"/>
      <c r="K59" s="36"/>
      <c r="L59" s="2"/>
      <c r="M59" s="2"/>
    </row>
    <row r="60" spans="1:25" ht="15">
      <c r="A60" s="3"/>
      <c r="B60" s="3"/>
      <c r="C60" s="3"/>
      <c r="D60" s="3"/>
      <c r="E60" s="3"/>
      <c r="F60" s="3"/>
      <c r="G60" s="3"/>
      <c r="H60" s="36"/>
      <c r="I60" s="36"/>
      <c r="J60" s="36"/>
      <c r="K60" s="36"/>
      <c r="L60" s="2"/>
      <c r="M60" s="2"/>
    </row>
    <row r="61" spans="1:25" ht="15">
      <c r="A61" s="3"/>
      <c r="B61" s="3"/>
      <c r="C61" s="3"/>
      <c r="D61" s="3"/>
      <c r="E61" s="3"/>
      <c r="F61" s="3"/>
      <c r="G61" s="3"/>
      <c r="H61" s="4"/>
      <c r="I61" s="36"/>
      <c r="J61" s="36"/>
      <c r="K61" s="36"/>
      <c r="L61" s="2"/>
      <c r="M61" s="2"/>
    </row>
    <row r="62" spans="1:25" ht="15">
      <c r="A62" s="3"/>
      <c r="B62" s="3"/>
      <c r="C62" s="3"/>
      <c r="D62" s="3"/>
      <c r="E62" s="3"/>
      <c r="F62" s="3"/>
      <c r="G62" s="3"/>
      <c r="H62" s="4"/>
      <c r="I62" s="36"/>
      <c r="J62" s="36"/>
      <c r="K62" s="36"/>
      <c r="L62" s="2"/>
      <c r="M62" s="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">
      <c r="A63" s="3"/>
      <c r="B63" s="3"/>
      <c r="C63" s="3"/>
      <c r="D63" s="3"/>
      <c r="E63" s="3"/>
      <c r="F63" s="3"/>
      <c r="G63" s="3"/>
      <c r="H63" s="4"/>
      <c r="I63" s="36"/>
      <c r="J63" s="36"/>
      <c r="K63" s="36"/>
      <c r="L63" s="2"/>
      <c r="M63" s="2"/>
    </row>
    <row r="64" spans="1:25" ht="15">
      <c r="A64" s="3"/>
      <c r="B64" s="3"/>
      <c r="C64" s="3"/>
      <c r="D64" s="3"/>
      <c r="E64" s="3"/>
      <c r="F64" s="3"/>
      <c r="G64" s="3"/>
      <c r="H64" s="4"/>
      <c r="I64" s="36"/>
      <c r="J64" s="36"/>
      <c r="K64" s="36"/>
      <c r="L64" s="2"/>
      <c r="M64" s="2"/>
    </row>
    <row r="65" spans="1:25" ht="15">
      <c r="A65" s="3"/>
      <c r="B65" s="3"/>
      <c r="C65" s="3"/>
      <c r="D65" s="3"/>
      <c r="E65" s="3"/>
      <c r="F65" s="3"/>
      <c r="G65" s="3"/>
      <c r="H65" s="4"/>
      <c r="I65" s="36"/>
      <c r="J65" s="36"/>
      <c r="K65" s="36"/>
      <c r="L65" s="2"/>
      <c r="M65" s="2"/>
    </row>
    <row r="66" spans="1:25" ht="15">
      <c r="A66" s="3"/>
      <c r="B66" s="3"/>
      <c r="C66" s="3"/>
      <c r="D66" s="3"/>
      <c r="E66" s="3"/>
      <c r="F66" s="3"/>
      <c r="G66" s="3"/>
      <c r="H66" s="4"/>
      <c r="I66" s="36"/>
      <c r="J66" s="36"/>
      <c r="K66" s="36"/>
      <c r="L66" s="2"/>
      <c r="M66" s="2"/>
    </row>
    <row r="67" spans="1:25" ht="15">
      <c r="A67" s="3"/>
      <c r="B67" s="3"/>
      <c r="C67" s="3"/>
      <c r="D67" s="3"/>
      <c r="E67" s="3"/>
      <c r="F67" s="3"/>
      <c r="G67" s="3"/>
      <c r="H67" s="4"/>
      <c r="I67" s="36"/>
      <c r="J67" s="36"/>
      <c r="K67" s="36"/>
      <c r="L67" s="2"/>
      <c r="M67" s="2"/>
    </row>
    <row r="68" spans="1:25" ht="15">
      <c r="A68" s="3"/>
      <c r="B68" s="3"/>
      <c r="C68" s="3"/>
      <c r="D68" s="3"/>
      <c r="E68" s="3"/>
      <c r="F68" s="3"/>
      <c r="G68" s="3"/>
      <c r="H68" s="4"/>
      <c r="I68" s="36"/>
      <c r="J68" s="36"/>
      <c r="K68" s="36"/>
      <c r="L68" s="2"/>
      <c r="M68" s="2"/>
    </row>
    <row r="69" spans="1:25" ht="15">
      <c r="A69" s="3"/>
      <c r="B69" s="3"/>
      <c r="C69" s="3"/>
      <c r="D69" s="3"/>
      <c r="E69" s="3"/>
      <c r="F69" s="3"/>
      <c r="G69" s="3"/>
      <c r="H69" s="4"/>
      <c r="I69" s="36"/>
      <c r="J69" s="36"/>
      <c r="K69" s="36"/>
      <c r="L69" s="2"/>
      <c r="M69" s="2"/>
    </row>
    <row r="70" spans="1:25" ht="15">
      <c r="A70" s="3"/>
      <c r="B70" s="3"/>
      <c r="C70" s="3"/>
      <c r="D70" s="3"/>
      <c r="E70" s="3"/>
      <c r="F70" s="3"/>
      <c r="G70" s="3"/>
      <c r="H70" s="4"/>
      <c r="I70" s="36"/>
      <c r="J70" s="36"/>
      <c r="K70" s="36"/>
      <c r="L70" s="2"/>
      <c r="M70" s="2"/>
    </row>
    <row r="71" spans="1:25" ht="15">
      <c r="A71" s="3"/>
      <c r="B71" s="3"/>
      <c r="C71" s="3"/>
      <c r="D71" s="3"/>
      <c r="E71" s="3"/>
      <c r="F71" s="3"/>
      <c r="G71" s="3"/>
      <c r="H71" s="4"/>
      <c r="I71" s="36"/>
      <c r="J71" s="36"/>
      <c r="K71" s="36"/>
      <c r="L71" s="2"/>
      <c r="M71" s="2"/>
    </row>
    <row r="72" spans="1:25" ht="15">
      <c r="A72" s="3"/>
      <c r="B72" s="3"/>
      <c r="C72" s="3"/>
      <c r="D72" s="3"/>
      <c r="E72" s="3"/>
      <c r="F72" s="3"/>
      <c r="G72" s="3"/>
      <c r="H72" s="4"/>
      <c r="I72" s="36"/>
      <c r="J72" s="36"/>
      <c r="K72" s="36"/>
      <c r="L72" s="2"/>
      <c r="M72" s="2"/>
    </row>
    <row r="73" spans="1:25" ht="15">
      <c r="A73" s="3"/>
      <c r="B73" s="3"/>
      <c r="C73" s="3"/>
      <c r="D73" s="3"/>
      <c r="E73" s="3"/>
      <c r="F73" s="3"/>
      <c r="G73" s="3"/>
      <c r="H73" s="4"/>
      <c r="I73" s="36"/>
      <c r="J73" s="36"/>
      <c r="K73" s="36"/>
      <c r="L73" s="11"/>
      <c r="M73" s="17"/>
    </row>
    <row r="74" spans="1:25" ht="15">
      <c r="A74" s="3"/>
      <c r="B74" s="3"/>
      <c r="C74" s="3"/>
      <c r="D74" s="3"/>
      <c r="E74" s="3"/>
      <c r="F74" s="3"/>
      <c r="G74" s="3"/>
      <c r="H74" s="4"/>
      <c r="I74" s="36"/>
      <c r="J74" s="36"/>
      <c r="K74" s="36"/>
      <c r="L74" s="2"/>
      <c r="M74" s="2"/>
    </row>
    <row r="75" spans="1:25" ht="15">
      <c r="A75" s="3"/>
      <c r="B75" s="3"/>
      <c r="C75" s="3"/>
      <c r="D75" s="3"/>
      <c r="E75" s="3"/>
      <c r="F75" s="3"/>
      <c r="G75" s="3"/>
      <c r="H75" s="4"/>
      <c r="I75" s="36"/>
      <c r="J75" s="36"/>
      <c r="K75" s="36"/>
      <c r="L75" s="2"/>
      <c r="M75" s="2"/>
    </row>
    <row r="76" spans="1:25" ht="15">
      <c r="A76" s="3"/>
      <c r="B76" s="3"/>
      <c r="C76" s="3"/>
      <c r="D76" s="3"/>
      <c r="E76" s="3"/>
      <c r="F76" s="3"/>
      <c r="G76" s="3"/>
      <c r="H76" s="4"/>
      <c r="I76" s="36"/>
      <c r="J76" s="36"/>
      <c r="K76" s="36"/>
      <c r="L76" s="2"/>
      <c r="M76" s="2"/>
    </row>
    <row r="77" spans="1:25" ht="15">
      <c r="A77" s="3"/>
      <c r="B77" s="3"/>
      <c r="C77" s="3"/>
      <c r="D77" s="3"/>
      <c r="E77" s="3"/>
      <c r="F77" s="3"/>
      <c r="G77" s="3"/>
      <c r="H77" s="4"/>
      <c r="I77" s="36"/>
      <c r="J77" s="36"/>
      <c r="K77" s="36"/>
      <c r="L77" s="2"/>
      <c r="M77" s="2"/>
    </row>
    <row r="78" spans="1:25" ht="15">
      <c r="A78" s="3"/>
      <c r="B78" s="3"/>
      <c r="C78" s="3"/>
      <c r="D78" s="3"/>
      <c r="E78" s="3"/>
      <c r="F78" s="3"/>
      <c r="G78" s="3"/>
      <c r="H78" s="4"/>
      <c r="I78" s="36"/>
      <c r="J78" s="36"/>
      <c r="K78" s="36"/>
      <c r="L78" s="2"/>
      <c r="M78" s="2"/>
    </row>
    <row r="79" spans="1:25" ht="15">
      <c r="A79" s="3"/>
      <c r="B79" s="3"/>
      <c r="C79" s="3"/>
      <c r="D79" s="3"/>
      <c r="E79" s="3"/>
      <c r="F79" s="3"/>
      <c r="G79" s="3"/>
      <c r="H79" s="4"/>
      <c r="I79" s="36"/>
      <c r="J79" s="36"/>
      <c r="K79" s="36"/>
      <c r="L79" s="2"/>
      <c r="M79" s="2"/>
    </row>
    <row r="80" spans="1:25" ht="15">
      <c r="A80" s="3"/>
      <c r="B80" s="3"/>
      <c r="C80" s="3"/>
      <c r="D80" s="3"/>
      <c r="E80" s="3"/>
      <c r="F80" s="3"/>
      <c r="G80" s="3"/>
      <c r="H80" s="4"/>
      <c r="I80" s="39"/>
      <c r="J80" s="39"/>
      <c r="K80" s="39"/>
      <c r="L80" s="2"/>
      <c r="M80" s="6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15" ht="15">
      <c r="A81" s="3"/>
      <c r="B81" s="3"/>
      <c r="C81" s="3"/>
      <c r="D81" s="3"/>
      <c r="E81" s="3"/>
      <c r="F81" s="3"/>
      <c r="G81" s="3"/>
      <c r="H81" s="4"/>
      <c r="I81" s="36"/>
      <c r="J81" s="36"/>
      <c r="K81" s="36"/>
      <c r="L81" s="2"/>
      <c r="M81" s="2"/>
    </row>
    <row r="82" spans="1:15" ht="15">
      <c r="A82" s="3"/>
      <c r="B82" s="3"/>
      <c r="C82" s="3"/>
      <c r="D82" s="3"/>
      <c r="E82" s="3"/>
      <c r="F82" s="3"/>
      <c r="G82" s="3"/>
      <c r="H82" s="4"/>
      <c r="I82" s="36"/>
      <c r="J82" s="36"/>
      <c r="K82" s="36"/>
      <c r="L82" s="2"/>
      <c r="M82" s="2"/>
    </row>
    <row r="83" spans="1:15" ht="15">
      <c r="A83" s="3"/>
      <c r="B83" s="3"/>
      <c r="C83" s="3"/>
      <c r="D83" s="3"/>
      <c r="E83" s="3"/>
      <c r="F83" s="3"/>
      <c r="G83" s="3"/>
      <c r="H83" s="4"/>
      <c r="I83" s="36"/>
      <c r="J83" s="36"/>
      <c r="K83" s="36"/>
      <c r="L83" s="2"/>
      <c r="M83" s="2"/>
    </row>
    <row r="84" spans="1:15" ht="15">
      <c r="A84" s="3"/>
      <c r="B84" s="3"/>
      <c r="C84" s="3"/>
      <c r="D84" s="3"/>
      <c r="E84" s="3"/>
      <c r="F84" s="3"/>
      <c r="G84" s="3"/>
      <c r="H84" s="4"/>
      <c r="I84" s="36"/>
      <c r="J84" s="36"/>
      <c r="K84" s="36"/>
      <c r="L84" s="2"/>
      <c r="M84" s="2"/>
    </row>
    <row r="85" spans="1:15" ht="15">
      <c r="A85" s="3"/>
      <c r="B85" s="3"/>
      <c r="C85" s="3"/>
      <c r="D85" s="3"/>
      <c r="E85" s="3"/>
      <c r="F85" s="3"/>
      <c r="G85" s="3"/>
      <c r="H85" s="4"/>
      <c r="I85" s="36"/>
      <c r="J85" s="36"/>
      <c r="K85" s="36"/>
      <c r="L85" s="2"/>
      <c r="M85" s="2"/>
    </row>
    <row r="86" spans="1:15" ht="15">
      <c r="A86" s="3"/>
      <c r="B86" s="3"/>
      <c r="C86" s="3"/>
      <c r="D86" s="3"/>
      <c r="E86" s="3"/>
      <c r="F86" s="3"/>
      <c r="G86" s="3"/>
      <c r="H86" s="4"/>
      <c r="I86" s="36"/>
      <c r="J86" s="36"/>
      <c r="K86" s="36"/>
      <c r="L86" s="2"/>
      <c r="M86" s="2"/>
    </row>
    <row r="87" spans="1:15" ht="15">
      <c r="A87" s="3"/>
      <c r="B87" s="3"/>
      <c r="C87" s="3"/>
      <c r="D87" s="3"/>
      <c r="E87" s="3"/>
      <c r="F87" s="3"/>
      <c r="G87" s="3"/>
      <c r="H87" s="4"/>
      <c r="I87" s="36"/>
      <c r="J87" s="36"/>
      <c r="K87" s="36"/>
      <c r="L87" s="2"/>
      <c r="M87" s="2"/>
      <c r="O87" s="10"/>
    </row>
    <row r="88" spans="1:15" ht="15">
      <c r="A88" s="3"/>
      <c r="B88" s="3"/>
      <c r="C88" s="3"/>
      <c r="D88" s="3"/>
      <c r="E88" s="3"/>
      <c r="F88" s="3"/>
      <c r="G88" s="3"/>
      <c r="H88" s="4"/>
      <c r="I88" s="36"/>
      <c r="J88" s="36"/>
      <c r="K88" s="36"/>
      <c r="L88" s="2"/>
      <c r="M88" s="2"/>
    </row>
    <row r="89" spans="1:15" ht="15">
      <c r="A89" s="3"/>
      <c r="B89" s="3"/>
      <c r="C89" s="3"/>
      <c r="D89" s="3"/>
      <c r="E89" s="3"/>
      <c r="F89" s="3"/>
      <c r="G89" s="3"/>
      <c r="H89" s="4"/>
      <c r="I89" s="36"/>
      <c r="J89" s="36"/>
      <c r="K89" s="36"/>
      <c r="L89" s="2"/>
      <c r="M89" s="2"/>
    </row>
    <row r="90" spans="1:15" ht="15">
      <c r="A90" s="3"/>
      <c r="B90" s="3"/>
      <c r="C90" s="3"/>
      <c r="D90" s="3"/>
      <c r="E90" s="3"/>
      <c r="F90" s="3"/>
      <c r="G90" s="3"/>
      <c r="H90" s="4"/>
      <c r="I90" s="36"/>
      <c r="J90" s="36"/>
      <c r="K90" s="36"/>
      <c r="L90" s="2"/>
      <c r="M90" s="2"/>
    </row>
    <row r="91" spans="1:15" ht="15">
      <c r="A91" s="3"/>
      <c r="B91" s="3"/>
      <c r="C91" s="3"/>
      <c r="D91" s="3"/>
      <c r="E91" s="3"/>
      <c r="F91" s="3"/>
      <c r="G91" s="3"/>
      <c r="H91" s="4"/>
      <c r="I91" s="36"/>
      <c r="J91" s="36"/>
      <c r="K91" s="36"/>
      <c r="L91" s="2"/>
      <c r="M91" s="2"/>
    </row>
    <row r="92" spans="1:15" ht="15">
      <c r="A92" s="3"/>
      <c r="B92" s="3"/>
      <c r="C92" s="3"/>
      <c r="D92" s="3"/>
      <c r="E92" s="3"/>
      <c r="F92" s="3"/>
      <c r="G92" s="3"/>
      <c r="H92" s="15"/>
      <c r="I92" s="36"/>
      <c r="J92" s="36"/>
      <c r="K92" s="36"/>
      <c r="L92" s="2"/>
      <c r="M92" s="2"/>
    </row>
    <row r="93" spans="1:15" ht="15">
      <c r="A93" s="3"/>
      <c r="B93" s="3"/>
      <c r="C93" s="3"/>
      <c r="D93" s="3"/>
      <c r="E93" s="3"/>
      <c r="F93" s="3"/>
      <c r="G93" s="3"/>
      <c r="H93" s="4"/>
      <c r="I93" s="36"/>
      <c r="J93" s="36"/>
      <c r="K93" s="36"/>
      <c r="L93" s="2"/>
      <c r="M93" s="2"/>
    </row>
    <row r="94" spans="1:15" ht="15">
      <c r="A94" s="3"/>
      <c r="B94" s="3"/>
      <c r="C94" s="3"/>
      <c r="D94" s="3"/>
      <c r="E94" s="3"/>
      <c r="F94" s="3"/>
      <c r="G94" s="3"/>
      <c r="H94" s="4"/>
      <c r="I94" s="36"/>
      <c r="J94" s="36"/>
      <c r="K94" s="36"/>
      <c r="L94" s="2"/>
      <c r="M94" s="2"/>
    </row>
    <row r="95" spans="1:15" ht="15">
      <c r="A95" s="3"/>
      <c r="B95" s="3"/>
      <c r="C95" s="3"/>
      <c r="D95" s="3"/>
      <c r="E95" s="3"/>
      <c r="F95" s="3"/>
      <c r="G95" s="3"/>
      <c r="H95" s="4"/>
      <c r="I95" s="36"/>
      <c r="J95" s="36"/>
      <c r="K95" s="36"/>
      <c r="L95" s="2"/>
      <c r="M95" s="2"/>
    </row>
    <row r="96" spans="1:15" ht="15">
      <c r="A96" s="3"/>
      <c r="B96" s="3"/>
      <c r="C96" s="3"/>
      <c r="D96" s="3"/>
      <c r="E96" s="3"/>
      <c r="F96" s="3"/>
      <c r="G96" s="3"/>
      <c r="H96" s="4"/>
      <c r="I96" s="36"/>
      <c r="J96" s="36"/>
      <c r="K96" s="36"/>
      <c r="L96" s="2"/>
      <c r="M96" s="2"/>
    </row>
    <row r="97" spans="1:25" ht="15">
      <c r="A97" s="3"/>
      <c r="B97" s="3"/>
      <c r="C97" s="3"/>
      <c r="D97" s="3"/>
      <c r="E97" s="3"/>
      <c r="F97" s="3"/>
      <c r="G97" s="3"/>
      <c r="H97" s="4"/>
      <c r="I97" s="36"/>
      <c r="J97" s="36"/>
      <c r="K97" s="36"/>
      <c r="L97" s="2"/>
      <c r="M97" s="2"/>
    </row>
    <row r="98" spans="1:25" ht="15">
      <c r="A98" s="3"/>
      <c r="B98" s="3"/>
      <c r="C98" s="3"/>
      <c r="D98" s="3"/>
      <c r="E98" s="3"/>
      <c r="F98" s="3"/>
      <c r="G98" s="3"/>
      <c r="H98" s="4"/>
      <c r="I98" s="36"/>
      <c r="J98" s="36"/>
      <c r="K98" s="36"/>
      <c r="L98" s="2"/>
      <c r="M98" s="2"/>
    </row>
    <row r="99" spans="1:25" ht="15">
      <c r="A99" s="3"/>
      <c r="B99" s="3"/>
      <c r="C99" s="3"/>
      <c r="D99" s="3"/>
      <c r="E99" s="3"/>
      <c r="F99" s="3"/>
      <c r="G99" s="3"/>
      <c r="H99" s="4"/>
      <c r="I99" s="36"/>
      <c r="J99" s="36"/>
      <c r="K99" s="36"/>
      <c r="L99" s="2"/>
      <c r="M99" s="2"/>
    </row>
    <row r="100" spans="1:25" ht="15">
      <c r="A100" s="3"/>
      <c r="B100" s="3"/>
      <c r="C100" s="3"/>
      <c r="D100" s="3"/>
      <c r="E100" s="3"/>
      <c r="F100" s="3"/>
      <c r="G100" s="3"/>
      <c r="H100" s="4"/>
      <c r="I100" s="36"/>
      <c r="J100" s="36"/>
      <c r="K100" s="36"/>
      <c r="L100" s="2"/>
      <c r="M100" s="2"/>
    </row>
    <row r="101" spans="1:25" ht="15">
      <c r="A101" s="3"/>
      <c r="B101" s="3"/>
      <c r="C101" s="3"/>
      <c r="D101" s="3"/>
      <c r="E101" s="3"/>
      <c r="F101" s="3"/>
      <c r="G101" s="3"/>
      <c r="H101" s="4"/>
      <c r="I101" s="36"/>
      <c r="J101" s="36"/>
      <c r="K101" s="36"/>
      <c r="L101" s="2"/>
      <c r="M101" s="2"/>
    </row>
    <row r="102" spans="1:25" ht="15">
      <c r="A102" s="3"/>
      <c r="B102" s="3"/>
      <c r="C102" s="3"/>
      <c r="D102" s="3"/>
      <c r="E102" s="3"/>
      <c r="F102" s="3"/>
      <c r="G102" s="3"/>
      <c r="H102" s="4"/>
      <c r="I102" s="36"/>
      <c r="J102" s="36"/>
      <c r="K102" s="36"/>
      <c r="L102" s="2"/>
      <c r="M102" s="2"/>
    </row>
    <row r="103" spans="1:25" ht="15">
      <c r="A103" s="3"/>
      <c r="B103" s="3"/>
      <c r="C103" s="3"/>
      <c r="D103" s="3"/>
      <c r="E103" s="3"/>
      <c r="F103" s="3"/>
      <c r="G103" s="3"/>
      <c r="H103" s="4"/>
      <c r="I103" s="36"/>
      <c r="J103" s="36"/>
      <c r="K103" s="36"/>
      <c r="L103" s="2"/>
      <c r="M103" s="2"/>
    </row>
    <row r="104" spans="1:25" ht="15">
      <c r="A104" s="3"/>
      <c r="B104" s="3"/>
      <c r="C104" s="3"/>
      <c r="D104" s="3"/>
      <c r="E104" s="3"/>
      <c r="F104" s="3"/>
      <c r="G104" s="3"/>
      <c r="H104" s="4"/>
      <c r="I104" s="36"/>
      <c r="J104" s="36"/>
      <c r="K104" s="36"/>
      <c r="L104" s="2"/>
      <c r="M104" s="2"/>
    </row>
    <row r="105" spans="1:25" ht="15">
      <c r="A105" s="3"/>
      <c r="B105" s="3"/>
      <c r="C105" s="3"/>
      <c r="D105" s="3"/>
      <c r="E105" s="3"/>
      <c r="F105" s="3"/>
      <c r="G105" s="3"/>
      <c r="H105" s="4"/>
      <c r="I105" s="36"/>
      <c r="J105" s="36"/>
      <c r="K105" s="36"/>
      <c r="L105" s="2"/>
      <c r="M105" s="2"/>
    </row>
    <row r="106" spans="1:25" ht="15">
      <c r="A106" s="3"/>
      <c r="B106" s="3"/>
      <c r="C106" s="3"/>
      <c r="D106" s="3"/>
      <c r="E106" s="3"/>
      <c r="F106" s="3"/>
      <c r="G106" s="3"/>
      <c r="H106" s="4"/>
      <c r="I106" s="36"/>
      <c r="J106" s="36"/>
      <c r="K106" s="36"/>
      <c r="L106" s="2"/>
      <c r="M106" s="2"/>
    </row>
    <row r="107" spans="1:25" ht="15">
      <c r="A107" s="3"/>
      <c r="B107" s="3"/>
      <c r="C107" s="3"/>
      <c r="D107" s="3"/>
      <c r="E107" s="3"/>
      <c r="F107" s="3"/>
      <c r="G107" s="3"/>
      <c r="H107" s="4"/>
      <c r="I107" s="36"/>
      <c r="J107" s="36"/>
      <c r="K107" s="36"/>
      <c r="L107" s="2"/>
      <c r="M107" s="2"/>
    </row>
    <row r="108" spans="1:25" ht="15">
      <c r="A108" s="3"/>
      <c r="B108" s="3"/>
      <c r="C108" s="3"/>
      <c r="D108" s="3"/>
      <c r="E108" s="3"/>
      <c r="F108" s="3"/>
      <c r="G108" s="3"/>
      <c r="H108" s="4"/>
      <c r="I108" s="36"/>
      <c r="J108" s="36"/>
      <c r="K108" s="36"/>
      <c r="L108" s="2"/>
      <c r="M108" s="2"/>
    </row>
    <row r="109" spans="1:25" ht="15">
      <c r="A109" s="3"/>
      <c r="B109" s="3"/>
      <c r="C109" s="3"/>
      <c r="D109" s="3"/>
      <c r="E109" s="3"/>
      <c r="F109" s="3"/>
      <c r="G109" s="3"/>
      <c r="H109" s="4"/>
      <c r="I109" s="36"/>
      <c r="J109" s="36"/>
      <c r="K109" s="36"/>
      <c r="L109" s="2"/>
      <c r="M109" s="2"/>
    </row>
    <row r="110" spans="1:25" ht="15">
      <c r="A110" s="3"/>
      <c r="B110" s="3"/>
      <c r="C110" s="3"/>
      <c r="D110" s="3"/>
      <c r="E110" s="3"/>
      <c r="F110" s="3"/>
      <c r="G110" s="3"/>
      <c r="H110" s="4"/>
      <c r="I110" s="36"/>
      <c r="J110" s="36"/>
      <c r="K110" s="36"/>
      <c r="L110" s="2"/>
      <c r="M110" s="6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">
      <c r="A111" s="3"/>
      <c r="B111" s="3"/>
      <c r="C111" s="3"/>
      <c r="D111" s="3"/>
      <c r="E111" s="3"/>
      <c r="F111" s="3"/>
      <c r="G111" s="3"/>
      <c r="H111" s="4"/>
      <c r="I111" s="36"/>
      <c r="J111" s="36"/>
      <c r="K111" s="36"/>
      <c r="L111" s="2"/>
      <c r="M111" s="2"/>
    </row>
    <row r="112" spans="1:25" ht="15">
      <c r="A112" s="3"/>
      <c r="B112" s="3"/>
      <c r="C112" s="3"/>
      <c r="D112" s="3"/>
      <c r="E112" s="3"/>
      <c r="F112" s="3"/>
      <c r="G112" s="3"/>
      <c r="H112" s="4"/>
      <c r="I112" s="36"/>
      <c r="J112" s="36"/>
      <c r="K112" s="36"/>
      <c r="L112" s="2"/>
      <c r="M112" s="2"/>
    </row>
    <row r="113" spans="1:13" ht="15">
      <c r="A113" s="3"/>
      <c r="B113" s="3"/>
      <c r="C113" s="3"/>
      <c r="D113" s="3"/>
      <c r="E113" s="3"/>
      <c r="F113" s="3"/>
      <c r="G113" s="3"/>
      <c r="H113" s="4"/>
      <c r="I113" s="36"/>
      <c r="J113" s="36"/>
      <c r="K113" s="36"/>
      <c r="L113" s="2"/>
      <c r="M113" s="2"/>
    </row>
    <row r="114" spans="1:13" ht="15">
      <c r="A114" s="3"/>
      <c r="B114" s="3"/>
      <c r="C114" s="3"/>
      <c r="D114" s="3"/>
      <c r="E114" s="3"/>
      <c r="F114" s="3"/>
      <c r="G114" s="3"/>
      <c r="H114" s="4"/>
      <c r="I114" s="36"/>
      <c r="J114" s="36"/>
      <c r="K114" s="36"/>
      <c r="L114" s="2"/>
      <c r="M114" s="2"/>
    </row>
    <row r="115" spans="1:13" ht="15">
      <c r="A115" s="3"/>
      <c r="B115" s="3"/>
      <c r="C115" s="3"/>
      <c r="D115" s="3"/>
      <c r="E115" s="3"/>
      <c r="F115" s="3"/>
      <c r="G115" s="3"/>
      <c r="H115" s="4"/>
      <c r="I115" s="36"/>
      <c r="J115" s="36"/>
      <c r="K115" s="36"/>
      <c r="L115" s="2"/>
      <c r="M115" s="2"/>
    </row>
    <row r="116" spans="1:13" ht="15">
      <c r="A116" s="3"/>
      <c r="B116" s="3"/>
      <c r="C116" s="3"/>
      <c r="D116" s="3"/>
      <c r="E116" s="3"/>
      <c r="F116" s="3"/>
      <c r="G116" s="3"/>
      <c r="H116" s="4"/>
      <c r="I116" s="36"/>
      <c r="J116" s="36"/>
      <c r="K116" s="36"/>
      <c r="L116" s="2"/>
      <c r="M116" s="2"/>
    </row>
    <row r="117" spans="1:13" ht="15">
      <c r="A117" s="3"/>
      <c r="B117" s="3"/>
      <c r="C117" s="3"/>
      <c r="D117" s="3"/>
      <c r="E117" s="3"/>
      <c r="F117" s="3"/>
      <c r="G117" s="3"/>
      <c r="H117" s="4"/>
      <c r="I117" s="36"/>
      <c r="J117" s="36"/>
      <c r="K117" s="36"/>
      <c r="L117" s="2"/>
      <c r="M117" s="2"/>
    </row>
    <row r="118" spans="1:13" ht="15">
      <c r="A118" s="3"/>
      <c r="B118" s="3"/>
      <c r="C118" s="3"/>
      <c r="D118" s="3"/>
      <c r="E118" s="3"/>
      <c r="F118" s="3"/>
      <c r="G118" s="3"/>
      <c r="H118" s="4"/>
      <c r="I118" s="36"/>
      <c r="J118" s="36"/>
      <c r="K118" s="36"/>
      <c r="L118" s="2"/>
      <c r="M118" s="2"/>
    </row>
    <row r="119" spans="1:13" ht="15">
      <c r="A119" s="3"/>
      <c r="B119" s="3"/>
      <c r="C119" s="3"/>
      <c r="D119" s="3"/>
      <c r="E119" s="3"/>
      <c r="F119" s="3"/>
      <c r="G119" s="3"/>
      <c r="H119" s="4"/>
      <c r="I119" s="36"/>
      <c r="J119" s="36"/>
      <c r="K119" s="36"/>
      <c r="L119" s="2"/>
      <c r="M119" s="2"/>
    </row>
    <row r="120" spans="1:13" ht="15">
      <c r="A120" s="3"/>
      <c r="B120" s="3"/>
      <c r="C120" s="3"/>
      <c r="D120" s="3"/>
      <c r="E120" s="3"/>
      <c r="F120" s="3"/>
      <c r="G120" s="3"/>
      <c r="H120" s="4"/>
      <c r="I120" s="36"/>
      <c r="J120" s="36"/>
      <c r="K120" s="36"/>
      <c r="L120" s="2"/>
      <c r="M120" s="2"/>
    </row>
    <row r="121" spans="1:13" ht="15">
      <c r="A121" s="3"/>
      <c r="B121" s="3"/>
      <c r="C121" s="3"/>
      <c r="D121" s="3"/>
      <c r="E121" s="3"/>
      <c r="F121" s="3"/>
      <c r="G121" s="3"/>
      <c r="H121" s="4"/>
      <c r="I121" s="36"/>
      <c r="J121" s="36"/>
      <c r="K121" s="36"/>
      <c r="L121" s="2"/>
      <c r="M121" s="2"/>
    </row>
    <row r="122" spans="1:13" ht="15">
      <c r="A122" s="3"/>
      <c r="B122" s="3"/>
      <c r="C122" s="3"/>
      <c r="D122" s="3"/>
      <c r="E122" s="3"/>
      <c r="F122" s="3"/>
      <c r="G122" s="3"/>
      <c r="H122" s="4"/>
      <c r="I122" s="36"/>
      <c r="J122" s="36"/>
      <c r="K122" s="36"/>
      <c r="L122" s="2"/>
      <c r="M122" s="2"/>
    </row>
    <row r="123" spans="1:13" ht="15">
      <c r="A123" s="3"/>
      <c r="B123" s="3"/>
      <c r="C123" s="3"/>
      <c r="D123" s="3"/>
      <c r="E123" s="3"/>
      <c r="F123" s="3"/>
      <c r="G123" s="3"/>
      <c r="H123" s="4"/>
      <c r="I123" s="36"/>
      <c r="J123" s="36"/>
      <c r="K123" s="36"/>
      <c r="L123" s="2"/>
      <c r="M123" s="2"/>
    </row>
    <row r="124" spans="1:13" ht="15">
      <c r="A124" s="3"/>
      <c r="B124" s="3"/>
      <c r="C124" s="3"/>
      <c r="D124" s="3"/>
      <c r="E124" s="3"/>
      <c r="F124" s="3"/>
      <c r="G124" s="3"/>
      <c r="H124" s="4"/>
      <c r="I124" s="36"/>
      <c r="J124" s="36"/>
      <c r="K124" s="36"/>
      <c r="L124" s="2"/>
      <c r="M124" s="2"/>
    </row>
    <row r="125" spans="1:13" ht="15">
      <c r="A125" s="3"/>
      <c r="B125" s="3"/>
      <c r="C125" s="3"/>
      <c r="D125" s="3"/>
      <c r="E125" s="3"/>
      <c r="F125" s="3"/>
      <c r="G125" s="3"/>
      <c r="H125" s="4"/>
      <c r="I125" s="36"/>
      <c r="J125" s="36"/>
      <c r="K125" s="36"/>
      <c r="L125" s="2"/>
      <c r="M125" s="2"/>
    </row>
    <row r="126" spans="1:13" ht="15">
      <c r="A126" s="3"/>
      <c r="B126" s="3"/>
      <c r="C126" s="3"/>
      <c r="D126" s="3"/>
      <c r="E126" s="3"/>
      <c r="F126" s="3"/>
      <c r="G126" s="3"/>
      <c r="H126" s="4"/>
      <c r="I126" s="36"/>
      <c r="J126" s="36"/>
      <c r="K126" s="36"/>
      <c r="L126" s="2"/>
      <c r="M126" s="2"/>
    </row>
    <row r="127" spans="1:13" ht="15">
      <c r="A127" s="3"/>
      <c r="B127" s="3"/>
      <c r="C127" s="3"/>
      <c r="D127" s="3"/>
      <c r="E127" s="3"/>
      <c r="F127" s="3"/>
      <c r="G127" s="3"/>
      <c r="H127" s="4"/>
      <c r="I127" s="36"/>
      <c r="J127" s="36"/>
      <c r="K127" s="36"/>
      <c r="L127" s="2"/>
      <c r="M127" s="2"/>
    </row>
    <row r="128" spans="1:13" ht="15">
      <c r="A128" s="3"/>
      <c r="B128" s="3"/>
      <c r="C128" s="3"/>
      <c r="D128" s="3"/>
      <c r="E128" s="3"/>
      <c r="F128" s="3"/>
      <c r="G128" s="3"/>
      <c r="H128" s="4"/>
      <c r="I128" s="36"/>
      <c r="J128" s="36"/>
      <c r="K128" s="36"/>
      <c r="L128" s="2"/>
      <c r="M128" s="2"/>
    </row>
    <row r="129" spans="1:13" ht="15">
      <c r="A129" s="3"/>
      <c r="B129" s="3"/>
      <c r="C129" s="3"/>
      <c r="D129" s="3"/>
      <c r="E129" s="3"/>
      <c r="F129" s="3"/>
      <c r="G129" s="3"/>
      <c r="H129" s="4"/>
      <c r="I129" s="36"/>
      <c r="J129" s="36"/>
      <c r="K129" s="36"/>
      <c r="L129" s="2"/>
      <c r="M129" s="2"/>
    </row>
    <row r="130" spans="1:13" ht="15">
      <c r="A130" s="3"/>
      <c r="B130" s="3"/>
      <c r="C130" s="3"/>
      <c r="D130" s="3"/>
      <c r="E130" s="3"/>
      <c r="F130" s="3"/>
      <c r="G130" s="3"/>
      <c r="H130" s="4"/>
      <c r="I130" s="36"/>
      <c r="J130" s="36"/>
      <c r="K130" s="36"/>
      <c r="L130" s="2"/>
      <c r="M130" s="2"/>
    </row>
    <row r="131" spans="1:13" ht="15">
      <c r="A131" s="3"/>
      <c r="B131" s="3"/>
      <c r="C131" s="3"/>
      <c r="D131" s="3"/>
      <c r="E131" s="3"/>
      <c r="F131" s="3"/>
      <c r="G131" s="3"/>
      <c r="H131" s="4"/>
      <c r="I131" s="36"/>
      <c r="J131" s="36"/>
      <c r="K131" s="36"/>
      <c r="L131" s="2"/>
      <c r="M131" s="2"/>
    </row>
    <row r="132" spans="1:13" ht="15">
      <c r="A132" s="3"/>
      <c r="B132" s="3"/>
      <c r="C132" s="3"/>
      <c r="D132" s="3"/>
      <c r="E132" s="3"/>
      <c r="F132" s="3"/>
      <c r="G132" s="3"/>
      <c r="H132" s="4"/>
      <c r="I132" s="36"/>
      <c r="J132" s="36"/>
      <c r="K132" s="36"/>
      <c r="L132" s="2"/>
      <c r="M132" s="2"/>
    </row>
    <row r="133" spans="1:13" ht="15">
      <c r="A133" s="3"/>
      <c r="B133" s="3"/>
      <c r="C133" s="3"/>
      <c r="D133" s="3"/>
      <c r="E133" s="3"/>
      <c r="F133" s="3"/>
      <c r="G133" s="3"/>
      <c r="H133" s="4"/>
      <c r="I133" s="36"/>
      <c r="J133" s="36"/>
      <c r="K133" s="36"/>
      <c r="L133" s="2"/>
      <c r="M133" s="2"/>
    </row>
    <row r="134" spans="1:13" ht="15">
      <c r="A134" s="3"/>
      <c r="B134" s="3"/>
      <c r="C134" s="3"/>
      <c r="D134" s="3"/>
      <c r="E134" s="3"/>
      <c r="F134" s="3"/>
      <c r="G134" s="3"/>
      <c r="H134" s="4"/>
      <c r="I134" s="36"/>
      <c r="J134" s="36"/>
      <c r="K134" s="36"/>
      <c r="L134" s="2"/>
      <c r="M134" s="2"/>
    </row>
    <row r="135" spans="1:13" ht="15">
      <c r="A135" s="3"/>
      <c r="B135" s="3"/>
      <c r="C135" s="3"/>
      <c r="D135" s="3"/>
      <c r="E135" s="3"/>
      <c r="F135" s="3"/>
      <c r="G135" s="3"/>
      <c r="H135" s="4"/>
      <c r="I135" s="36"/>
      <c r="J135" s="36"/>
      <c r="K135" s="36"/>
      <c r="L135" s="2"/>
      <c r="M135" s="2"/>
    </row>
    <row r="136" spans="1:13" ht="15">
      <c r="A136" s="3"/>
      <c r="B136" s="3"/>
      <c r="C136" s="3"/>
      <c r="D136" s="3"/>
      <c r="E136" s="3"/>
      <c r="F136" s="3"/>
      <c r="G136" s="3"/>
      <c r="H136" s="4"/>
      <c r="I136" s="36"/>
      <c r="J136" s="36"/>
      <c r="K136" s="36"/>
      <c r="L136" s="2"/>
      <c r="M136" s="2"/>
    </row>
    <row r="137" spans="1:13" ht="15">
      <c r="A137" s="3"/>
      <c r="B137" s="3"/>
      <c r="C137" s="3"/>
      <c r="D137" s="3"/>
      <c r="E137" s="3"/>
      <c r="F137" s="3"/>
      <c r="G137" s="3"/>
      <c r="H137" s="4"/>
      <c r="I137" s="36"/>
      <c r="J137" s="36"/>
      <c r="K137" s="36"/>
      <c r="L137" s="2"/>
      <c r="M137" s="2"/>
    </row>
    <row r="138" spans="1:13" ht="15">
      <c r="A138" s="3"/>
      <c r="B138" s="3"/>
      <c r="C138" s="3"/>
      <c r="D138" s="3"/>
      <c r="E138" s="3"/>
      <c r="F138" s="3"/>
      <c r="G138" s="3"/>
      <c r="H138" s="4"/>
      <c r="I138" s="36"/>
      <c r="J138" s="36"/>
      <c r="K138" s="36"/>
      <c r="L138" s="2"/>
      <c r="M138" s="2"/>
    </row>
    <row r="139" spans="1:13" ht="15">
      <c r="A139" s="3"/>
      <c r="B139" s="3"/>
      <c r="C139" s="3"/>
      <c r="D139" s="3"/>
      <c r="E139" s="3"/>
      <c r="F139" s="3"/>
      <c r="G139" s="3"/>
      <c r="H139" s="4"/>
      <c r="I139" s="36"/>
      <c r="J139" s="36"/>
      <c r="K139" s="36"/>
      <c r="L139" s="2"/>
      <c r="M139" s="2"/>
    </row>
    <row r="140" spans="1:13" ht="15">
      <c r="A140" s="3"/>
      <c r="B140" s="3"/>
      <c r="C140" s="3"/>
      <c r="D140" s="3"/>
      <c r="E140" s="3"/>
      <c r="F140" s="3"/>
      <c r="G140" s="3"/>
      <c r="H140" s="4"/>
      <c r="I140" s="36"/>
      <c r="J140" s="36"/>
      <c r="K140" s="36"/>
      <c r="L140" s="2"/>
      <c r="M140" s="2"/>
    </row>
    <row r="141" spans="1:13" ht="15">
      <c r="A141" s="3"/>
      <c r="B141" s="3"/>
      <c r="C141" s="3"/>
      <c r="D141" s="3"/>
      <c r="E141" s="3"/>
      <c r="F141" s="3"/>
      <c r="G141" s="3"/>
      <c r="H141" s="4"/>
      <c r="I141" s="36"/>
      <c r="J141" s="36"/>
      <c r="K141" s="36"/>
      <c r="L141" s="2"/>
      <c r="M141" s="2"/>
    </row>
    <row r="142" spans="1:13" ht="15">
      <c r="A142" s="3"/>
      <c r="B142" s="3"/>
      <c r="C142" s="3"/>
      <c r="D142" s="3"/>
      <c r="E142" s="3"/>
      <c r="F142" s="3"/>
      <c r="G142" s="3"/>
      <c r="H142" s="4"/>
      <c r="I142" s="36"/>
      <c r="J142" s="36"/>
      <c r="K142" s="36"/>
      <c r="L142" s="2"/>
      <c r="M142" s="2"/>
    </row>
    <row r="143" spans="1:13" ht="15">
      <c r="A143" s="3"/>
      <c r="B143" s="3"/>
      <c r="C143" s="3"/>
      <c r="D143" s="3"/>
      <c r="E143" s="3"/>
      <c r="F143" s="3"/>
      <c r="G143" s="3"/>
      <c r="H143" s="4"/>
      <c r="I143" s="36"/>
      <c r="J143" s="36"/>
      <c r="K143" s="36"/>
      <c r="L143" s="2"/>
      <c r="M143" s="2"/>
    </row>
    <row r="144" spans="1:13" ht="15">
      <c r="A144" s="3"/>
      <c r="B144" s="3"/>
      <c r="C144" s="3"/>
      <c r="D144" s="3"/>
      <c r="E144" s="3"/>
      <c r="F144" s="3"/>
      <c r="G144" s="3"/>
      <c r="H144" s="4"/>
      <c r="I144" s="36"/>
      <c r="J144" s="36"/>
      <c r="K144" s="36"/>
      <c r="L144" s="2"/>
      <c r="M144" s="2"/>
    </row>
    <row r="145" spans="1:25" ht="15">
      <c r="A145" s="3"/>
      <c r="B145" s="3"/>
      <c r="C145" s="3"/>
      <c r="D145" s="3"/>
      <c r="E145" s="3"/>
      <c r="F145" s="3"/>
      <c r="G145" s="3"/>
      <c r="H145" s="4"/>
      <c r="I145" s="39"/>
      <c r="J145" s="39"/>
      <c r="K145" s="39"/>
      <c r="L145" s="8"/>
      <c r="M145" s="6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">
      <c r="A146" s="3"/>
      <c r="B146" s="3"/>
      <c r="C146" s="3"/>
      <c r="D146" s="3"/>
      <c r="E146" s="3"/>
      <c r="F146" s="3"/>
      <c r="G146" s="3"/>
      <c r="H146" s="4"/>
      <c r="I146" s="36"/>
      <c r="J146" s="36"/>
      <c r="K146" s="36"/>
      <c r="L146" s="2"/>
      <c r="M146" s="2"/>
    </row>
    <row r="147" spans="1:25" ht="15" hidden="1">
      <c r="A147" s="3">
        <v>100</v>
      </c>
      <c r="B147" s="3">
        <v>300</v>
      </c>
      <c r="C147" s="3">
        <f t="shared" ref="C147:C148" si="1">B147/A147</f>
        <v>3</v>
      </c>
      <c r="D147" s="3">
        <v>183</v>
      </c>
      <c r="E147" s="3" t="s">
        <v>19</v>
      </c>
      <c r="F147" s="3" t="s">
        <v>10</v>
      </c>
      <c r="G147" s="3" t="s">
        <v>17</v>
      </c>
      <c r="H147" s="4">
        <v>3.7696759259259256E-2</v>
      </c>
      <c r="I147" s="36"/>
      <c r="J147" s="36"/>
      <c r="K147" s="36"/>
      <c r="L147" s="9" t="s">
        <v>308</v>
      </c>
      <c r="M147" s="2"/>
    </row>
    <row r="148" spans="1:25" ht="15" hidden="1">
      <c r="A148" s="3">
        <v>50</v>
      </c>
      <c r="B148" s="3">
        <v>200</v>
      </c>
      <c r="C148" s="3">
        <f t="shared" si="1"/>
        <v>4</v>
      </c>
      <c r="D148" s="3">
        <v>183</v>
      </c>
      <c r="E148" s="3" t="s">
        <v>19</v>
      </c>
      <c r="F148" s="3" t="s">
        <v>10</v>
      </c>
      <c r="G148" s="3" t="s">
        <v>17</v>
      </c>
      <c r="H148" s="4">
        <v>3.8449074074074073E-2</v>
      </c>
      <c r="I148" s="36"/>
      <c r="J148" s="36"/>
      <c r="K148" s="36"/>
      <c r="L148" s="9" t="s">
        <v>255</v>
      </c>
      <c r="M148" s="2"/>
    </row>
    <row r="149" spans="1:25" ht="15">
      <c r="A149" s="3"/>
      <c r="B149" s="3"/>
      <c r="C149" s="3"/>
      <c r="D149" s="3"/>
      <c r="E149" s="3"/>
      <c r="F149" s="3"/>
      <c r="G149" s="3"/>
      <c r="H149" s="4"/>
      <c r="I149" s="36"/>
      <c r="J149" s="36"/>
      <c r="K149" s="36"/>
      <c r="L149" s="2"/>
      <c r="M149" s="2"/>
    </row>
    <row r="150" spans="1:25" ht="15">
      <c r="A150" s="3"/>
      <c r="B150" s="3"/>
      <c r="C150" s="3"/>
      <c r="D150" s="3"/>
      <c r="E150" s="3"/>
      <c r="F150" s="3"/>
      <c r="G150" s="3"/>
      <c r="H150" s="4"/>
      <c r="I150" s="36"/>
      <c r="J150" s="36"/>
      <c r="K150" s="36"/>
      <c r="L150" s="2"/>
      <c r="M150" s="2"/>
    </row>
    <row r="151" spans="1:25" ht="15">
      <c r="A151" s="3"/>
      <c r="B151" s="3"/>
      <c r="C151" s="3"/>
      <c r="D151" s="3"/>
      <c r="E151" s="3"/>
      <c r="F151" s="3"/>
      <c r="G151" s="3"/>
      <c r="H151" s="4"/>
      <c r="I151" s="36"/>
      <c r="J151" s="36"/>
      <c r="K151" s="36"/>
      <c r="L151" s="2"/>
      <c r="M151" s="2"/>
    </row>
    <row r="152" spans="1:25" ht="15">
      <c r="A152" s="3"/>
      <c r="B152" s="3"/>
      <c r="C152" s="3"/>
      <c r="D152" s="3"/>
      <c r="E152" s="3"/>
      <c r="F152" s="3"/>
      <c r="G152" s="3"/>
      <c r="H152" s="4"/>
      <c r="I152" s="36"/>
      <c r="J152" s="36"/>
      <c r="K152" s="36"/>
      <c r="L152" s="20"/>
      <c r="M152" s="17"/>
    </row>
    <row r="153" spans="1:25" ht="15">
      <c r="A153" s="3"/>
      <c r="B153" s="3"/>
      <c r="C153" s="3"/>
      <c r="D153" s="3"/>
      <c r="E153" s="3"/>
      <c r="F153" s="3"/>
      <c r="G153" s="3"/>
      <c r="H153" s="4"/>
      <c r="I153" s="36"/>
      <c r="J153" s="36"/>
      <c r="K153" s="36"/>
      <c r="L153" s="20"/>
      <c r="M153" s="17"/>
    </row>
    <row r="154" spans="1:25" ht="15">
      <c r="A154" s="3"/>
      <c r="B154" s="3"/>
      <c r="C154" s="3"/>
      <c r="D154" s="3"/>
      <c r="E154" s="3"/>
      <c r="F154" s="3"/>
      <c r="G154" s="3"/>
      <c r="H154" s="4"/>
      <c r="I154" s="40"/>
      <c r="J154" s="40"/>
      <c r="K154" s="40"/>
      <c r="L154" s="18"/>
      <c r="M154" s="1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">
      <c r="A155" s="3"/>
      <c r="B155" s="3"/>
      <c r="C155" s="3"/>
      <c r="D155" s="3"/>
      <c r="E155" s="3"/>
      <c r="F155" s="3"/>
      <c r="G155" s="3"/>
      <c r="H155" s="4"/>
      <c r="I155" s="36"/>
      <c r="J155" s="36"/>
      <c r="K155" s="36"/>
      <c r="L155" s="2"/>
      <c r="M155" s="2"/>
    </row>
    <row r="156" spans="1:25" ht="15">
      <c r="A156" s="3"/>
      <c r="B156" s="3"/>
      <c r="C156" s="3"/>
      <c r="D156" s="3"/>
      <c r="E156" s="3"/>
      <c r="F156" s="3"/>
      <c r="G156" s="3"/>
      <c r="H156" s="4"/>
      <c r="I156" s="41"/>
      <c r="J156" s="41"/>
      <c r="K156" s="41"/>
      <c r="L156" s="8"/>
      <c r="M156" s="6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">
      <c r="A157" s="3"/>
      <c r="B157" s="3"/>
      <c r="C157" s="3"/>
      <c r="D157" s="3"/>
      <c r="E157" s="3"/>
      <c r="F157" s="3"/>
      <c r="G157" s="3"/>
      <c r="H157" s="4"/>
      <c r="I157" s="42"/>
      <c r="J157" s="42"/>
      <c r="K157" s="42"/>
      <c r="L157" s="18"/>
      <c r="M157" s="1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" hidden="1">
      <c r="A158" s="3">
        <v>75</v>
      </c>
      <c r="B158" s="3">
        <v>225</v>
      </c>
      <c r="C158" s="3">
        <f t="shared" ref="C158:C170" si="2">B158/A158</f>
        <v>3</v>
      </c>
      <c r="D158" s="3">
        <v>183</v>
      </c>
      <c r="E158" s="3" t="s">
        <v>9</v>
      </c>
      <c r="F158" s="3" t="s">
        <v>10</v>
      </c>
      <c r="G158" s="3" t="s">
        <v>11</v>
      </c>
      <c r="H158" s="4">
        <v>3.8900462962962963E-2</v>
      </c>
      <c r="I158" s="39"/>
      <c r="J158" s="39"/>
      <c r="K158" s="39"/>
      <c r="L158" s="18" t="s">
        <v>12</v>
      </c>
      <c r="M158" s="1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" hidden="1">
      <c r="A159" s="3">
        <v>75</v>
      </c>
      <c r="B159" s="3">
        <v>225</v>
      </c>
      <c r="C159" s="3">
        <f t="shared" si="2"/>
        <v>3</v>
      </c>
      <c r="D159" s="3">
        <v>183</v>
      </c>
      <c r="E159" s="3" t="s">
        <v>13</v>
      </c>
      <c r="F159" s="3" t="s">
        <v>10</v>
      </c>
      <c r="G159" s="3" t="s">
        <v>14</v>
      </c>
      <c r="H159" s="4">
        <v>3.9189814814814816E-2</v>
      </c>
      <c r="I159" s="39"/>
      <c r="J159" s="39"/>
      <c r="K159" s="39"/>
      <c r="L159" s="18" t="s">
        <v>15</v>
      </c>
      <c r="M159" s="1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" hidden="1">
      <c r="A160" s="3">
        <v>75</v>
      </c>
      <c r="B160" s="3">
        <v>225</v>
      </c>
      <c r="C160" s="3">
        <f t="shared" si="2"/>
        <v>3</v>
      </c>
      <c r="D160" s="3">
        <v>183</v>
      </c>
      <c r="E160" s="3" t="s">
        <v>19</v>
      </c>
      <c r="F160" s="3" t="s">
        <v>10</v>
      </c>
      <c r="G160" s="3" t="s">
        <v>17</v>
      </c>
      <c r="H160" s="4">
        <v>3.9699074074074074E-2</v>
      </c>
      <c r="I160" s="36"/>
      <c r="J160" s="36"/>
      <c r="K160" s="36"/>
      <c r="L160" s="16" t="s">
        <v>276</v>
      </c>
      <c r="M160" s="17"/>
    </row>
    <row r="161" spans="1:25" ht="15" hidden="1">
      <c r="A161" s="3">
        <v>75</v>
      </c>
      <c r="B161" s="3">
        <v>225</v>
      </c>
      <c r="C161" s="3">
        <f t="shared" si="2"/>
        <v>3</v>
      </c>
      <c r="D161" s="3">
        <v>183</v>
      </c>
      <c r="E161" s="3" t="s">
        <v>16</v>
      </c>
      <c r="F161" s="3" t="s">
        <v>10</v>
      </c>
      <c r="G161" s="3" t="s">
        <v>17</v>
      </c>
      <c r="H161" s="4">
        <v>3.9837962962962964E-2</v>
      </c>
      <c r="I161" s="39"/>
      <c r="J161" s="39"/>
      <c r="K161" s="39"/>
      <c r="L161" s="18" t="s">
        <v>18</v>
      </c>
      <c r="M161" s="1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" hidden="1">
      <c r="A162" s="3">
        <v>50</v>
      </c>
      <c r="B162" s="3">
        <v>150</v>
      </c>
      <c r="C162" s="3">
        <f t="shared" si="2"/>
        <v>3</v>
      </c>
      <c r="D162" s="3">
        <v>183</v>
      </c>
      <c r="E162" s="3" t="s">
        <v>19</v>
      </c>
      <c r="F162" s="3" t="s">
        <v>10</v>
      </c>
      <c r="G162" s="3" t="s">
        <v>17</v>
      </c>
      <c r="H162" s="4">
        <v>4.2719907407407408E-2</v>
      </c>
      <c r="I162" s="36"/>
      <c r="J162" s="36"/>
      <c r="K162" s="36"/>
      <c r="L162" s="16" t="s">
        <v>277</v>
      </c>
      <c r="M162" s="17"/>
    </row>
    <row r="163" spans="1:25" ht="15" hidden="1">
      <c r="A163" s="3">
        <v>100</v>
      </c>
      <c r="B163" s="3">
        <v>200</v>
      </c>
      <c r="C163" s="3">
        <f t="shared" si="2"/>
        <v>2</v>
      </c>
      <c r="D163" s="3">
        <v>183</v>
      </c>
      <c r="E163" s="3" t="s">
        <v>19</v>
      </c>
      <c r="F163" s="3" t="s">
        <v>10</v>
      </c>
      <c r="G163" s="3" t="s">
        <v>17</v>
      </c>
      <c r="H163" s="4">
        <v>4.3969907407407409E-2</v>
      </c>
      <c r="I163" s="36"/>
      <c r="J163" s="36"/>
      <c r="K163" s="36"/>
      <c r="L163" s="16" t="s">
        <v>278</v>
      </c>
      <c r="M163" s="17"/>
    </row>
    <row r="164" spans="1:25" ht="15" hidden="1">
      <c r="A164" s="3">
        <v>75</v>
      </c>
      <c r="B164" s="3">
        <v>150</v>
      </c>
      <c r="C164" s="3">
        <f t="shared" si="2"/>
        <v>2</v>
      </c>
      <c r="D164" s="3">
        <v>183</v>
      </c>
      <c r="E164" s="3" t="s">
        <v>9</v>
      </c>
      <c r="F164" s="3" t="s">
        <v>10</v>
      </c>
      <c r="G164" s="3" t="s">
        <v>11</v>
      </c>
      <c r="H164" s="4">
        <v>4.5358796296296293E-2</v>
      </c>
      <c r="I164" s="35"/>
      <c r="J164" s="35"/>
      <c r="K164" s="35"/>
      <c r="L164" s="19" t="s">
        <v>12</v>
      </c>
      <c r="M164" s="14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" hidden="1">
      <c r="A165" s="3">
        <v>75</v>
      </c>
      <c r="B165" s="3">
        <v>150</v>
      </c>
      <c r="C165" s="3">
        <f t="shared" si="2"/>
        <v>2</v>
      </c>
      <c r="D165" s="3">
        <v>183</v>
      </c>
      <c r="E165" s="3" t="s">
        <v>9</v>
      </c>
      <c r="F165" s="3" t="s">
        <v>10</v>
      </c>
      <c r="G165" s="3" t="s">
        <v>11</v>
      </c>
      <c r="H165" s="4">
        <v>4.5381944444444447E-2</v>
      </c>
      <c r="I165" s="36"/>
      <c r="J165" s="36"/>
      <c r="K165" s="36"/>
      <c r="L165" s="16" t="s">
        <v>279</v>
      </c>
      <c r="M165" s="17"/>
    </row>
    <row r="166" spans="1:25" ht="15" hidden="1">
      <c r="A166" s="3">
        <v>75</v>
      </c>
      <c r="B166" s="3">
        <v>150</v>
      </c>
      <c r="C166" s="3">
        <f t="shared" si="2"/>
        <v>2</v>
      </c>
      <c r="D166" s="3">
        <v>183</v>
      </c>
      <c r="E166" s="3" t="s">
        <v>73</v>
      </c>
      <c r="F166" s="3" t="s">
        <v>10</v>
      </c>
      <c r="G166" s="3" t="s">
        <v>73</v>
      </c>
      <c r="H166" s="4">
        <v>4.5428240740740741E-2</v>
      </c>
      <c r="I166" s="36"/>
      <c r="J166" s="36"/>
      <c r="K166" s="36"/>
      <c r="L166" s="16" t="s">
        <v>280</v>
      </c>
      <c r="M166" s="17"/>
    </row>
    <row r="167" spans="1:25" ht="15" hidden="1">
      <c r="A167" s="3">
        <v>75</v>
      </c>
      <c r="B167" s="3">
        <v>150</v>
      </c>
      <c r="C167" s="3">
        <f t="shared" si="2"/>
        <v>2</v>
      </c>
      <c r="D167" s="3">
        <v>183</v>
      </c>
      <c r="E167" s="3" t="s">
        <v>13</v>
      </c>
      <c r="F167" s="3" t="s">
        <v>10</v>
      </c>
      <c r="G167" s="3" t="s">
        <v>14</v>
      </c>
      <c r="H167" s="4">
        <v>4.5682870370370374E-2</v>
      </c>
      <c r="I167" s="35"/>
      <c r="J167" s="35"/>
      <c r="K167" s="35"/>
      <c r="L167" s="18" t="s">
        <v>15</v>
      </c>
      <c r="M167" s="1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" hidden="1">
      <c r="A168" s="3">
        <v>75</v>
      </c>
      <c r="B168" s="3">
        <v>150</v>
      </c>
      <c r="C168" s="3">
        <f t="shared" si="2"/>
        <v>2</v>
      </c>
      <c r="D168" s="3">
        <v>183</v>
      </c>
      <c r="E168" s="3" t="s">
        <v>19</v>
      </c>
      <c r="F168" s="3" t="s">
        <v>10</v>
      </c>
      <c r="G168" s="3" t="s">
        <v>17</v>
      </c>
      <c r="H168" s="4">
        <v>4.628472222222222E-2</v>
      </c>
      <c r="I168" s="36"/>
      <c r="J168" s="36"/>
      <c r="K168" s="36"/>
      <c r="L168" s="16" t="s">
        <v>281</v>
      </c>
      <c r="M168" s="17"/>
    </row>
    <row r="169" spans="1:25" ht="15" hidden="1">
      <c r="A169" s="3">
        <v>75</v>
      </c>
      <c r="B169" s="3">
        <v>150</v>
      </c>
      <c r="C169" s="3">
        <f t="shared" si="2"/>
        <v>2</v>
      </c>
      <c r="D169" s="3">
        <v>183</v>
      </c>
      <c r="E169" s="3" t="s">
        <v>16</v>
      </c>
      <c r="F169" s="3" t="s">
        <v>10</v>
      </c>
      <c r="G169" s="3" t="s">
        <v>17</v>
      </c>
      <c r="H169" s="4">
        <v>4.6435185185185184E-2</v>
      </c>
      <c r="I169" s="35"/>
      <c r="J169" s="35"/>
      <c r="K169" s="35"/>
      <c r="L169" s="18" t="s">
        <v>18</v>
      </c>
      <c r="M169" s="1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" hidden="1">
      <c r="A170" s="3">
        <v>50</v>
      </c>
      <c r="B170" s="3">
        <v>100</v>
      </c>
      <c r="C170" s="3">
        <f t="shared" si="2"/>
        <v>2</v>
      </c>
      <c r="D170" s="3">
        <v>183</v>
      </c>
      <c r="E170" s="3" t="s">
        <v>19</v>
      </c>
      <c r="F170" s="3" t="s">
        <v>10</v>
      </c>
      <c r="G170" s="3" t="s">
        <v>17</v>
      </c>
      <c r="H170" s="4">
        <v>4.9780092592592591E-2</v>
      </c>
      <c r="I170" s="36"/>
      <c r="J170" s="36"/>
      <c r="K170" s="36"/>
      <c r="L170" s="16" t="s">
        <v>282</v>
      </c>
      <c r="M170" s="17"/>
    </row>
    <row r="171" spans="1:25" ht="15">
      <c r="A171" s="3"/>
      <c r="B171" s="3"/>
      <c r="C171" s="3"/>
      <c r="D171" s="3"/>
      <c r="E171" s="3"/>
      <c r="F171" s="3"/>
      <c r="G171" s="3"/>
      <c r="H171" s="4"/>
      <c r="I171" s="42"/>
      <c r="J171" s="42"/>
      <c r="K171" s="42"/>
      <c r="L171" s="18"/>
      <c r="M171" s="1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" hidden="1">
      <c r="A172" s="3">
        <v>75</v>
      </c>
      <c r="B172" s="3">
        <v>150</v>
      </c>
      <c r="C172" s="3">
        <f>B172/A172</f>
        <v>2</v>
      </c>
      <c r="D172" s="3">
        <v>183</v>
      </c>
      <c r="E172" s="3" t="s">
        <v>16</v>
      </c>
      <c r="F172" s="3" t="s">
        <v>10</v>
      </c>
      <c r="G172" s="3" t="s">
        <v>17</v>
      </c>
      <c r="H172" s="4">
        <v>4.6435185185185184E-2</v>
      </c>
      <c r="I172" s="35"/>
      <c r="J172" s="35"/>
      <c r="K172" s="35"/>
      <c r="L172" s="18" t="s">
        <v>18</v>
      </c>
      <c r="M172" s="1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">
      <c r="A173" s="3"/>
      <c r="B173" s="3"/>
      <c r="C173" s="3"/>
      <c r="D173" s="3"/>
      <c r="E173" s="3"/>
      <c r="F173" s="3"/>
      <c r="G173" s="3"/>
      <c r="H173" s="4"/>
      <c r="I173" s="39"/>
      <c r="J173" s="39"/>
      <c r="K173" s="39"/>
      <c r="L173" s="8"/>
      <c r="M173" s="6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">
      <c r="A174" s="3"/>
      <c r="B174" s="3"/>
      <c r="C174" s="3"/>
      <c r="D174" s="3"/>
      <c r="E174" s="3"/>
      <c r="F174" s="3"/>
      <c r="G174" s="3"/>
      <c r="H174" s="4"/>
      <c r="I174" s="36"/>
      <c r="J174" s="36"/>
      <c r="K174" s="36"/>
      <c r="L174" s="2"/>
      <c r="M174" s="2"/>
    </row>
  </sheetData>
  <autoFilter ref="A1:K174" xr:uid="{00000000-0009-0000-0000-000002000000}">
    <filterColumn colId="0">
      <filters blank="1">
        <filter val="75"/>
      </filters>
    </filterColumn>
    <filterColumn colId="1">
      <filters blank="1">
        <filter val="100"/>
        <filter val="200"/>
        <filter val="300"/>
        <filter val="400"/>
      </filters>
    </filterColumn>
  </autoFilter>
  <customSheetViews>
    <customSheetView guid="{5B966157-D76D-4ACD-A64E-35B71110F4A8}" filter="1" showAutoFilter="1">
      <pageMargins left="0.7" right="0.7" top="0.75" bottom="0.75" header="0.3" footer="0.3"/>
      <autoFilter ref="A1:K155" xr:uid="{14D248E8-E937-46B5-A9C6-A1AAEE2432BA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Canyon Aeroad 2021"/>
            <filter val="Specialized Tarmac Pro"/>
            <filter val="Specialized Venge S-Works"/>
            <filter val="Tron (Concept Z1)"/>
            <filter val="Zwift Carbon"/>
          </filters>
        </filterColumn>
        <filterColumn colId="6">
          <filters blank="1">
            <filter val="32mm Carbon"/>
            <filter val="DT Swiss ARC 62"/>
            <filter val="Lightweight Meilenstein"/>
            <filter val="Tron (Concept Z1)"/>
            <filter val="Zipp 353 NSW"/>
            <filter val="Zipp 858/Super9"/>
          </filters>
        </filterColumn>
      </autoFilter>
    </customSheetView>
  </customSheetViews>
  <conditionalFormatting sqref="I1:K5 I12:K300 H19:H60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L2" r:id="rId1" xr:uid="{00000000-0004-0000-0200-000000000000}"/>
    <hyperlink ref="L3" r:id="rId2" xr:uid="{00000000-0004-0000-0200-000001000000}"/>
    <hyperlink ref="L4" r:id="rId3" xr:uid="{00000000-0004-0000-0200-000002000000}"/>
    <hyperlink ref="L5" r:id="rId4" xr:uid="{00000000-0004-0000-0200-000003000000}"/>
    <hyperlink ref="L6" r:id="rId5" xr:uid="{00000000-0004-0000-0200-000004000000}"/>
    <hyperlink ref="L7" r:id="rId6" xr:uid="{00000000-0004-0000-0200-000005000000}"/>
    <hyperlink ref="L8" r:id="rId7" xr:uid="{00000000-0004-0000-0200-000006000000}"/>
    <hyperlink ref="L9" r:id="rId8" xr:uid="{00000000-0004-0000-0200-000007000000}"/>
    <hyperlink ref="L10" r:id="rId9" xr:uid="{00000000-0004-0000-0200-000008000000}"/>
    <hyperlink ref="L11" r:id="rId10" xr:uid="{00000000-0004-0000-0200-000009000000}"/>
    <hyperlink ref="L147" r:id="rId11" xr:uid="{00000000-0004-0000-0200-00000A000000}"/>
    <hyperlink ref="L148" r:id="rId12" xr:uid="{00000000-0004-0000-0200-00000B000000}"/>
    <hyperlink ref="L158" r:id="rId13" xr:uid="{00000000-0004-0000-0200-00000C000000}"/>
    <hyperlink ref="L159" r:id="rId14" xr:uid="{00000000-0004-0000-0200-00000D000000}"/>
    <hyperlink ref="L160" r:id="rId15" xr:uid="{00000000-0004-0000-0200-00000E000000}"/>
    <hyperlink ref="L161" r:id="rId16" xr:uid="{00000000-0004-0000-0200-00000F000000}"/>
    <hyperlink ref="L162" r:id="rId17" xr:uid="{00000000-0004-0000-0200-000010000000}"/>
    <hyperlink ref="L163" r:id="rId18" xr:uid="{00000000-0004-0000-0200-000011000000}"/>
    <hyperlink ref="L164" r:id="rId19" xr:uid="{00000000-0004-0000-0200-000012000000}"/>
    <hyperlink ref="L165" r:id="rId20" xr:uid="{00000000-0004-0000-0200-000013000000}"/>
    <hyperlink ref="L166" r:id="rId21" xr:uid="{00000000-0004-0000-0200-000014000000}"/>
    <hyperlink ref="L167" r:id="rId22" xr:uid="{00000000-0004-0000-0200-000015000000}"/>
    <hyperlink ref="L168" r:id="rId23" xr:uid="{00000000-0004-0000-0200-000016000000}"/>
    <hyperlink ref="L169" r:id="rId24" xr:uid="{00000000-0004-0000-0200-000017000000}"/>
    <hyperlink ref="L170" r:id="rId25" xr:uid="{00000000-0004-0000-0200-000018000000}"/>
    <hyperlink ref="L172" r:id="rId26" xr:uid="{00000000-0004-0000-0200-00001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119"/>
  <sheetViews>
    <sheetView workbookViewId="0">
      <pane ySplit="1" topLeftCell="A2" activePane="bottomLeft" state="frozen"/>
      <selection pane="bottomLeft" activeCell="F36" sqref="F36"/>
    </sheetView>
  </sheetViews>
  <sheetFormatPr defaultColWidth="12.5703125" defaultRowHeight="15.75" customHeight="1"/>
  <cols>
    <col min="1" max="4" width="7.85546875" customWidth="1"/>
    <col min="5" max="5" width="25.5703125" customWidth="1"/>
    <col min="6" max="6" width="28.140625" customWidth="1"/>
  </cols>
  <sheetData>
    <row r="1" spans="1:20">
      <c r="A1" s="1" t="s">
        <v>0</v>
      </c>
      <c r="B1" s="1" t="s">
        <v>1</v>
      </c>
      <c r="C1" s="43" t="s">
        <v>2</v>
      </c>
      <c r="D1" s="1" t="s">
        <v>3</v>
      </c>
      <c r="E1" s="1" t="s">
        <v>4</v>
      </c>
      <c r="F1" s="1" t="s">
        <v>6</v>
      </c>
      <c r="G1" s="1" t="s">
        <v>422</v>
      </c>
      <c r="H1" s="1" t="s">
        <v>7</v>
      </c>
      <c r="I1" s="1" t="s">
        <v>8</v>
      </c>
    </row>
    <row r="2" spans="1:20" ht="15">
      <c r="A2" s="3">
        <v>75</v>
      </c>
      <c r="B2" s="3">
        <v>750</v>
      </c>
      <c r="C2" s="44">
        <f t="shared" ref="C2:C60" si="0">B2/A2</f>
        <v>10</v>
      </c>
      <c r="D2" s="3">
        <v>183</v>
      </c>
      <c r="E2" s="3" t="s">
        <v>58</v>
      </c>
      <c r="F2" s="3" t="s">
        <v>79</v>
      </c>
      <c r="G2" s="3" t="s">
        <v>423</v>
      </c>
      <c r="H2" s="3">
        <v>13.74</v>
      </c>
    </row>
    <row r="3" spans="1:20" ht="15">
      <c r="A3" s="3">
        <v>75</v>
      </c>
      <c r="B3" s="3">
        <v>750</v>
      </c>
      <c r="C3" s="44">
        <f t="shared" si="0"/>
        <v>10</v>
      </c>
      <c r="D3" s="3">
        <v>183</v>
      </c>
      <c r="E3" s="3" t="s">
        <v>58</v>
      </c>
      <c r="F3" s="3" t="s">
        <v>79</v>
      </c>
      <c r="G3" s="4"/>
      <c r="H3" s="3">
        <v>14.34</v>
      </c>
    </row>
    <row r="4" spans="1:20" ht="15">
      <c r="A4" s="3">
        <v>75</v>
      </c>
      <c r="B4" s="3">
        <v>750</v>
      </c>
      <c r="C4" s="44">
        <f t="shared" si="0"/>
        <v>10</v>
      </c>
      <c r="D4" s="3">
        <v>183</v>
      </c>
      <c r="E4" s="3" t="s">
        <v>61</v>
      </c>
      <c r="F4" s="3" t="s">
        <v>11</v>
      </c>
      <c r="G4" s="3" t="s">
        <v>423</v>
      </c>
      <c r="H4" s="3">
        <v>13.72</v>
      </c>
    </row>
    <row r="5" spans="1:20" ht="15">
      <c r="A5" s="3">
        <v>75</v>
      </c>
      <c r="B5" s="3">
        <v>750</v>
      </c>
      <c r="C5" s="44">
        <f t="shared" si="0"/>
        <v>10</v>
      </c>
      <c r="D5" s="3">
        <v>183</v>
      </c>
      <c r="E5" s="3" t="s">
        <v>61</v>
      </c>
      <c r="F5" s="3" t="s">
        <v>79</v>
      </c>
      <c r="G5" s="3" t="s">
        <v>423</v>
      </c>
      <c r="H5" s="3">
        <v>13.75</v>
      </c>
    </row>
    <row r="6" spans="1:20" ht="15">
      <c r="A6" s="3">
        <v>75</v>
      </c>
      <c r="B6" s="3">
        <v>750</v>
      </c>
      <c r="C6" s="44">
        <f t="shared" si="0"/>
        <v>10</v>
      </c>
      <c r="D6" s="3">
        <v>183</v>
      </c>
      <c r="E6" s="3" t="s">
        <v>61</v>
      </c>
      <c r="F6" s="3" t="s">
        <v>88</v>
      </c>
      <c r="G6" s="3" t="s">
        <v>423</v>
      </c>
      <c r="H6" s="3">
        <v>13.76</v>
      </c>
    </row>
    <row r="7" spans="1:20" ht="15">
      <c r="A7" s="3">
        <v>75</v>
      </c>
      <c r="B7" s="3">
        <v>750</v>
      </c>
      <c r="C7" s="44">
        <f t="shared" si="0"/>
        <v>10</v>
      </c>
      <c r="D7" s="3">
        <v>183</v>
      </c>
      <c r="E7" s="3" t="s">
        <v>61</v>
      </c>
      <c r="F7" s="3" t="s">
        <v>11</v>
      </c>
      <c r="G7" s="3" t="s">
        <v>424</v>
      </c>
      <c r="H7" s="3">
        <v>14.14</v>
      </c>
    </row>
    <row r="8" spans="1:20" ht="15">
      <c r="A8" s="3">
        <v>75</v>
      </c>
      <c r="B8" s="3">
        <v>750</v>
      </c>
      <c r="C8" s="44">
        <f t="shared" si="0"/>
        <v>10</v>
      </c>
      <c r="D8" s="3">
        <v>183</v>
      </c>
      <c r="E8" s="3" t="s">
        <v>61</v>
      </c>
      <c r="F8" s="3" t="s">
        <v>11</v>
      </c>
      <c r="G8" s="4"/>
      <c r="H8" s="3">
        <v>14.31</v>
      </c>
    </row>
    <row r="9" spans="1:20" ht="15">
      <c r="A9" s="3">
        <v>75</v>
      </c>
      <c r="B9" s="3">
        <v>750</v>
      </c>
      <c r="C9" s="44">
        <f t="shared" si="0"/>
        <v>10</v>
      </c>
      <c r="D9" s="3">
        <v>183</v>
      </c>
      <c r="E9" s="3" t="s">
        <v>61</v>
      </c>
      <c r="F9" s="3" t="s">
        <v>79</v>
      </c>
      <c r="G9" s="4"/>
      <c r="H9" s="3">
        <v>14.34</v>
      </c>
    </row>
    <row r="10" spans="1:20" ht="15">
      <c r="A10" s="3">
        <v>75</v>
      </c>
      <c r="B10" s="3">
        <v>750</v>
      </c>
      <c r="C10" s="44">
        <f t="shared" si="0"/>
        <v>10</v>
      </c>
      <c r="D10" s="3">
        <v>183</v>
      </c>
      <c r="E10" s="3" t="s">
        <v>61</v>
      </c>
      <c r="F10" s="3" t="s">
        <v>79</v>
      </c>
      <c r="G10" s="4"/>
      <c r="H10" s="3">
        <v>14.36</v>
      </c>
      <c r="I10" s="10" t="s">
        <v>425</v>
      </c>
    </row>
    <row r="11" spans="1:20" ht="15">
      <c r="A11" s="3">
        <v>75</v>
      </c>
      <c r="B11" s="3">
        <v>750</v>
      </c>
      <c r="C11" s="44">
        <f t="shared" si="0"/>
        <v>10</v>
      </c>
      <c r="D11" s="3">
        <v>183</v>
      </c>
      <c r="E11" s="3" t="s">
        <v>61</v>
      </c>
      <c r="F11" s="3" t="s">
        <v>88</v>
      </c>
      <c r="G11" s="4"/>
      <c r="H11" s="3">
        <v>14.36</v>
      </c>
    </row>
    <row r="12" spans="1:20" ht="15">
      <c r="A12" s="3">
        <v>75</v>
      </c>
      <c r="B12" s="3">
        <v>750</v>
      </c>
      <c r="C12" s="44">
        <f t="shared" si="0"/>
        <v>10</v>
      </c>
      <c r="D12" s="3">
        <v>183</v>
      </c>
      <c r="E12" s="3" t="s">
        <v>61</v>
      </c>
      <c r="F12" s="3" t="s">
        <v>426</v>
      </c>
      <c r="G12" s="4"/>
      <c r="H12" s="3">
        <v>14.36</v>
      </c>
    </row>
    <row r="13" spans="1:20" ht="15">
      <c r="A13" s="3">
        <v>75</v>
      </c>
      <c r="B13" s="3">
        <v>750</v>
      </c>
      <c r="C13" s="44">
        <f t="shared" si="0"/>
        <v>10</v>
      </c>
      <c r="D13" s="3">
        <v>183</v>
      </c>
      <c r="E13" s="3" t="s">
        <v>61</v>
      </c>
      <c r="F13" s="3" t="s">
        <v>91</v>
      </c>
      <c r="G13" s="4"/>
      <c r="H13" s="3">
        <v>14.36</v>
      </c>
    </row>
    <row r="14" spans="1:20" ht="15">
      <c r="A14" s="3">
        <v>75</v>
      </c>
      <c r="B14" s="3">
        <v>750</v>
      </c>
      <c r="C14" s="44">
        <f t="shared" si="0"/>
        <v>10</v>
      </c>
      <c r="D14" s="3">
        <v>183</v>
      </c>
      <c r="E14" s="3" t="s">
        <v>61</v>
      </c>
      <c r="F14" s="3" t="s">
        <v>113</v>
      </c>
      <c r="G14" s="4"/>
      <c r="H14" s="3">
        <v>14.39</v>
      </c>
    </row>
    <row r="15" spans="1:20" ht="15">
      <c r="A15" s="3">
        <v>75</v>
      </c>
      <c r="B15" s="3">
        <v>750</v>
      </c>
      <c r="C15" s="44">
        <f t="shared" si="0"/>
        <v>10</v>
      </c>
      <c r="D15" s="3">
        <v>183</v>
      </c>
      <c r="E15" s="3" t="s">
        <v>61</v>
      </c>
      <c r="F15" s="3" t="s">
        <v>17</v>
      </c>
      <c r="G15" s="4"/>
      <c r="H15" s="3">
        <v>14.58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5">
      <c r="A16" s="3">
        <v>75</v>
      </c>
      <c r="B16" s="3">
        <v>760</v>
      </c>
      <c r="C16" s="44">
        <f t="shared" si="0"/>
        <v>10.133333333333333</v>
      </c>
      <c r="D16" s="3">
        <v>183</v>
      </c>
      <c r="E16" s="3" t="s">
        <v>61</v>
      </c>
      <c r="F16" s="3" t="s">
        <v>11</v>
      </c>
      <c r="G16" s="4"/>
      <c r="H16" s="3">
        <v>14.12</v>
      </c>
    </row>
    <row r="17" spans="1:9" ht="15">
      <c r="A17" s="3">
        <v>75</v>
      </c>
      <c r="B17" s="3">
        <v>790</v>
      </c>
      <c r="C17" s="44">
        <f t="shared" si="0"/>
        <v>10.533333333333333</v>
      </c>
      <c r="D17" s="3">
        <v>183</v>
      </c>
      <c r="E17" s="3" t="s">
        <v>61</v>
      </c>
      <c r="F17" s="3" t="s">
        <v>11</v>
      </c>
      <c r="G17" s="4"/>
      <c r="H17" s="3">
        <v>14.07</v>
      </c>
    </row>
    <row r="18" spans="1:9" ht="15">
      <c r="A18" s="3">
        <v>75</v>
      </c>
      <c r="B18" s="3">
        <v>825</v>
      </c>
      <c r="C18" s="44">
        <f t="shared" si="0"/>
        <v>11</v>
      </c>
      <c r="D18" s="3">
        <v>183</v>
      </c>
      <c r="E18" s="3" t="s">
        <v>61</v>
      </c>
      <c r="F18" s="3" t="s">
        <v>11</v>
      </c>
      <c r="G18" s="4"/>
      <c r="H18" s="3">
        <v>13.86</v>
      </c>
    </row>
    <row r="19" spans="1:9" ht="15">
      <c r="A19" s="3">
        <v>75</v>
      </c>
      <c r="B19" s="3">
        <v>850</v>
      </c>
      <c r="C19" s="44">
        <f t="shared" si="0"/>
        <v>11.333333333333334</v>
      </c>
      <c r="D19" s="3">
        <v>183</v>
      </c>
      <c r="E19" s="3" t="s">
        <v>61</v>
      </c>
      <c r="F19" s="3" t="s">
        <v>11</v>
      </c>
      <c r="G19" s="4"/>
      <c r="H19" s="3">
        <v>13.71</v>
      </c>
    </row>
    <row r="20" spans="1:9" ht="15">
      <c r="A20" s="3">
        <v>75</v>
      </c>
      <c r="B20" s="3">
        <v>850</v>
      </c>
      <c r="C20" s="44">
        <f t="shared" si="0"/>
        <v>11.333333333333334</v>
      </c>
      <c r="D20" s="3">
        <v>183</v>
      </c>
      <c r="E20" s="3" t="s">
        <v>61</v>
      </c>
      <c r="F20" s="3" t="s">
        <v>11</v>
      </c>
      <c r="G20" s="4"/>
      <c r="H20" s="3">
        <v>13.72</v>
      </c>
    </row>
    <row r="21" spans="1:9" ht="15">
      <c r="A21" s="3">
        <v>75</v>
      </c>
      <c r="B21" s="3">
        <v>750</v>
      </c>
      <c r="C21" s="44">
        <f t="shared" si="0"/>
        <v>10</v>
      </c>
      <c r="D21" s="3">
        <v>183</v>
      </c>
      <c r="E21" s="3" t="s">
        <v>9</v>
      </c>
      <c r="F21" s="3" t="s">
        <v>11</v>
      </c>
      <c r="G21" s="3" t="s">
        <v>423</v>
      </c>
      <c r="H21" s="3">
        <v>13.71</v>
      </c>
    </row>
    <row r="22" spans="1:9" ht="15">
      <c r="A22" s="3">
        <v>75</v>
      </c>
      <c r="B22" s="3">
        <v>750</v>
      </c>
      <c r="C22" s="44">
        <f t="shared" si="0"/>
        <v>10</v>
      </c>
      <c r="D22" s="3">
        <v>183</v>
      </c>
      <c r="E22" s="3" t="s">
        <v>9</v>
      </c>
      <c r="F22" s="3" t="s">
        <v>79</v>
      </c>
      <c r="G22" s="3" t="s">
        <v>423</v>
      </c>
      <c r="H22" s="3">
        <v>13.76</v>
      </c>
    </row>
    <row r="23" spans="1:9" ht="15">
      <c r="A23" s="3">
        <v>75</v>
      </c>
      <c r="B23" s="3">
        <v>750</v>
      </c>
      <c r="C23" s="44">
        <f t="shared" si="0"/>
        <v>10</v>
      </c>
      <c r="D23" s="3">
        <v>183</v>
      </c>
      <c r="E23" s="3" t="s">
        <v>9</v>
      </c>
      <c r="F23" s="3" t="s">
        <v>79</v>
      </c>
      <c r="G23" s="3" t="s">
        <v>424</v>
      </c>
      <c r="H23" s="3">
        <v>14.17</v>
      </c>
    </row>
    <row r="24" spans="1:9" ht="15">
      <c r="A24" s="3">
        <v>75</v>
      </c>
      <c r="B24" s="3">
        <v>750</v>
      </c>
      <c r="C24" s="44">
        <f t="shared" si="0"/>
        <v>10</v>
      </c>
      <c r="D24" s="3">
        <v>183</v>
      </c>
      <c r="E24" s="3" t="s">
        <v>9</v>
      </c>
      <c r="F24" s="3" t="s">
        <v>11</v>
      </c>
      <c r="G24" s="4"/>
      <c r="H24" s="3">
        <v>14.31</v>
      </c>
    </row>
    <row r="25" spans="1:9" ht="15">
      <c r="A25" s="3">
        <v>75</v>
      </c>
      <c r="B25" s="3">
        <v>750</v>
      </c>
      <c r="C25" s="44">
        <f t="shared" si="0"/>
        <v>10</v>
      </c>
      <c r="D25" s="3">
        <v>183</v>
      </c>
      <c r="E25" s="3" t="s">
        <v>9</v>
      </c>
      <c r="F25" s="3" t="s">
        <v>79</v>
      </c>
      <c r="G25" s="3"/>
      <c r="H25" s="3">
        <v>14.34</v>
      </c>
    </row>
    <row r="26" spans="1:9" ht="15">
      <c r="A26" s="3">
        <v>75</v>
      </c>
      <c r="B26" s="3">
        <v>750</v>
      </c>
      <c r="C26" s="44">
        <f t="shared" si="0"/>
        <v>10</v>
      </c>
      <c r="D26" s="3">
        <v>183</v>
      </c>
      <c r="E26" s="3" t="s">
        <v>9</v>
      </c>
      <c r="F26" s="3" t="s">
        <v>79</v>
      </c>
      <c r="G26" s="3"/>
      <c r="H26" s="3">
        <v>14.36</v>
      </c>
      <c r="I26" s="10" t="s">
        <v>425</v>
      </c>
    </row>
    <row r="27" spans="1:9" ht="15">
      <c r="A27" s="3">
        <v>75</v>
      </c>
      <c r="B27" s="3">
        <v>750</v>
      </c>
      <c r="C27" s="44">
        <f t="shared" si="0"/>
        <v>10</v>
      </c>
      <c r="D27" s="3">
        <v>183</v>
      </c>
      <c r="E27" s="3" t="s">
        <v>9</v>
      </c>
      <c r="F27" s="3" t="s">
        <v>88</v>
      </c>
      <c r="G27" s="4"/>
      <c r="H27" s="3">
        <v>14.36</v>
      </c>
    </row>
    <row r="28" spans="1:9" ht="15">
      <c r="A28" s="3">
        <v>75</v>
      </c>
      <c r="B28" s="3">
        <v>750</v>
      </c>
      <c r="C28" s="44">
        <f t="shared" si="0"/>
        <v>10</v>
      </c>
      <c r="D28" s="3">
        <v>183</v>
      </c>
      <c r="E28" s="3" t="s">
        <v>63</v>
      </c>
      <c r="F28" s="3" t="s">
        <v>79</v>
      </c>
      <c r="G28" s="3" t="s">
        <v>424</v>
      </c>
      <c r="H28" s="3">
        <v>14.19</v>
      </c>
    </row>
    <row r="29" spans="1:9" ht="15">
      <c r="A29" s="3">
        <v>75</v>
      </c>
      <c r="B29" s="3">
        <v>750</v>
      </c>
      <c r="C29" s="44">
        <f t="shared" si="0"/>
        <v>10</v>
      </c>
      <c r="D29" s="3">
        <v>183</v>
      </c>
      <c r="E29" s="3" t="s">
        <v>63</v>
      </c>
      <c r="F29" s="3" t="s">
        <v>79</v>
      </c>
      <c r="G29" s="4"/>
      <c r="H29" s="3">
        <v>14.35</v>
      </c>
    </row>
    <row r="30" spans="1:9" ht="15">
      <c r="A30" s="3">
        <v>75</v>
      </c>
      <c r="B30" s="3">
        <v>750</v>
      </c>
      <c r="C30" s="44">
        <f t="shared" si="0"/>
        <v>10</v>
      </c>
      <c r="D30" s="3">
        <v>183</v>
      </c>
      <c r="E30" s="3" t="s">
        <v>73</v>
      </c>
      <c r="F30" s="3" t="s">
        <v>73</v>
      </c>
      <c r="G30" s="3" t="s">
        <v>423</v>
      </c>
      <c r="H30" s="3">
        <v>13.72</v>
      </c>
    </row>
    <row r="31" spans="1:9" ht="15">
      <c r="A31" s="3">
        <v>75</v>
      </c>
      <c r="B31" s="3">
        <v>750</v>
      </c>
      <c r="C31" s="44">
        <f t="shared" si="0"/>
        <v>10</v>
      </c>
      <c r="D31" s="3">
        <v>153</v>
      </c>
      <c r="E31" s="3" t="s">
        <v>73</v>
      </c>
      <c r="F31" s="3" t="s">
        <v>73</v>
      </c>
      <c r="G31" s="3"/>
      <c r="H31" s="3">
        <v>13.76</v>
      </c>
    </row>
    <row r="32" spans="1:9" ht="15">
      <c r="A32" s="3">
        <v>75</v>
      </c>
      <c r="B32" s="3">
        <v>750</v>
      </c>
      <c r="C32" s="44">
        <f t="shared" si="0"/>
        <v>10</v>
      </c>
      <c r="D32" s="3">
        <v>163</v>
      </c>
      <c r="E32" s="3" t="s">
        <v>73</v>
      </c>
      <c r="F32" s="3" t="s">
        <v>73</v>
      </c>
      <c r="G32" s="3"/>
      <c r="H32" s="3">
        <v>13.97</v>
      </c>
    </row>
    <row r="33" spans="1:8" ht="15">
      <c r="A33" s="3">
        <v>75</v>
      </c>
      <c r="B33" s="3">
        <v>750</v>
      </c>
      <c r="C33" s="44">
        <f t="shared" si="0"/>
        <v>10</v>
      </c>
      <c r="D33" s="3">
        <v>173</v>
      </c>
      <c r="E33" s="3" t="s">
        <v>73</v>
      </c>
      <c r="F33" s="3" t="s">
        <v>73</v>
      </c>
      <c r="G33" s="3"/>
      <c r="H33" s="3">
        <v>14.13</v>
      </c>
    </row>
    <row r="34" spans="1:8" ht="15">
      <c r="A34" s="3">
        <v>75</v>
      </c>
      <c r="B34" s="3">
        <v>750</v>
      </c>
      <c r="C34" s="44">
        <f t="shared" si="0"/>
        <v>10</v>
      </c>
      <c r="D34" s="3">
        <v>183</v>
      </c>
      <c r="E34" s="3" t="s">
        <v>73</v>
      </c>
      <c r="F34" s="3" t="s">
        <v>73</v>
      </c>
      <c r="G34" s="3" t="s">
        <v>424</v>
      </c>
      <c r="H34" s="3">
        <v>14.16</v>
      </c>
    </row>
    <row r="35" spans="1:8" ht="15.75" customHeight="1">
      <c r="A35" s="3">
        <v>75</v>
      </c>
      <c r="B35" s="3">
        <v>750</v>
      </c>
      <c r="C35" s="44">
        <f t="shared" si="0"/>
        <v>10</v>
      </c>
      <c r="D35" s="3">
        <v>183</v>
      </c>
      <c r="E35" s="3" t="s">
        <v>73</v>
      </c>
      <c r="F35" s="3" t="s">
        <v>73</v>
      </c>
      <c r="G35" s="4"/>
      <c r="H35" s="3">
        <v>14.32</v>
      </c>
    </row>
    <row r="36" spans="1:8" ht="15">
      <c r="A36" s="3">
        <v>75</v>
      </c>
      <c r="B36" s="3">
        <v>750</v>
      </c>
      <c r="C36" s="44">
        <f t="shared" si="0"/>
        <v>10</v>
      </c>
      <c r="D36" s="3">
        <v>193</v>
      </c>
      <c r="E36" s="3" t="s">
        <v>73</v>
      </c>
      <c r="F36" s="3" t="s">
        <v>73</v>
      </c>
      <c r="G36" s="3"/>
      <c r="H36" s="3">
        <v>14.5</v>
      </c>
    </row>
    <row r="37" spans="1:8" ht="15">
      <c r="A37" s="3">
        <v>75</v>
      </c>
      <c r="B37" s="3">
        <v>750</v>
      </c>
      <c r="C37" s="44">
        <f t="shared" si="0"/>
        <v>10</v>
      </c>
      <c r="D37" s="3">
        <v>203</v>
      </c>
      <c r="E37" s="3" t="s">
        <v>73</v>
      </c>
      <c r="F37" s="3" t="s">
        <v>73</v>
      </c>
      <c r="G37" s="3"/>
      <c r="H37" s="3">
        <v>14.66</v>
      </c>
    </row>
    <row r="38" spans="1:8" ht="15">
      <c r="A38" s="3">
        <v>75</v>
      </c>
      <c r="B38" s="3">
        <v>850</v>
      </c>
      <c r="C38" s="44">
        <f t="shared" si="0"/>
        <v>11.333333333333334</v>
      </c>
      <c r="D38" s="3">
        <v>183</v>
      </c>
      <c r="E38" s="3" t="s">
        <v>73</v>
      </c>
      <c r="F38" s="3" t="s">
        <v>73</v>
      </c>
      <c r="G38" s="4"/>
      <c r="H38" s="3">
        <v>13.72</v>
      </c>
    </row>
    <row r="39" spans="1:8" ht="15">
      <c r="A39" s="3">
        <v>90</v>
      </c>
      <c r="B39" s="3">
        <v>900</v>
      </c>
      <c r="C39" s="44">
        <f t="shared" si="0"/>
        <v>10</v>
      </c>
      <c r="D39" s="3">
        <v>183</v>
      </c>
      <c r="E39" s="3" t="s">
        <v>73</v>
      </c>
      <c r="F39" s="3" t="s">
        <v>73</v>
      </c>
      <c r="G39" s="4"/>
      <c r="H39" s="3">
        <v>13.89</v>
      </c>
    </row>
    <row r="40" spans="1:8" ht="15">
      <c r="A40" s="3">
        <v>60</v>
      </c>
      <c r="B40" s="3">
        <v>600</v>
      </c>
      <c r="C40" s="44">
        <f t="shared" si="0"/>
        <v>10</v>
      </c>
      <c r="D40" s="3">
        <v>183</v>
      </c>
      <c r="E40" s="3" t="s">
        <v>73</v>
      </c>
      <c r="F40" s="3" t="s">
        <v>73</v>
      </c>
      <c r="G40" s="4"/>
      <c r="H40" s="3">
        <v>14.87</v>
      </c>
    </row>
    <row r="41" spans="1:8" ht="15">
      <c r="A41" s="3">
        <v>60</v>
      </c>
      <c r="B41" s="3">
        <v>600</v>
      </c>
      <c r="C41" s="44">
        <f t="shared" si="0"/>
        <v>10</v>
      </c>
      <c r="D41" s="3">
        <v>183</v>
      </c>
      <c r="E41" s="3" t="s">
        <v>73</v>
      </c>
      <c r="F41" s="3" t="s">
        <v>73</v>
      </c>
      <c r="G41" s="3" t="s">
        <v>423</v>
      </c>
      <c r="H41" s="3">
        <v>14.21</v>
      </c>
    </row>
    <row r="42" spans="1:8" ht="15">
      <c r="A42" s="3">
        <v>60</v>
      </c>
      <c r="B42" s="3">
        <v>700</v>
      </c>
      <c r="C42" s="44">
        <f t="shared" si="0"/>
        <v>11.666666666666666</v>
      </c>
      <c r="D42" s="3">
        <v>183</v>
      </c>
      <c r="E42" s="3" t="s">
        <v>73</v>
      </c>
      <c r="F42" s="3" t="s">
        <v>73</v>
      </c>
      <c r="G42" s="4"/>
      <c r="H42" s="3">
        <v>14.09</v>
      </c>
    </row>
    <row r="43" spans="1:8" ht="15">
      <c r="A43" s="3">
        <v>60</v>
      </c>
      <c r="B43" s="3">
        <v>680</v>
      </c>
      <c r="C43" s="44">
        <f t="shared" si="0"/>
        <v>11.333333333333334</v>
      </c>
      <c r="D43" s="3">
        <v>183</v>
      </c>
      <c r="E43" s="3" t="s">
        <v>73</v>
      </c>
      <c r="F43" s="3" t="s">
        <v>73</v>
      </c>
      <c r="G43" s="4"/>
      <c r="H43" s="3">
        <v>14.24</v>
      </c>
    </row>
    <row r="44" spans="1:8" ht="15">
      <c r="A44" s="3">
        <v>90</v>
      </c>
      <c r="B44" s="3">
        <v>900</v>
      </c>
      <c r="C44" s="44">
        <f t="shared" si="0"/>
        <v>10</v>
      </c>
      <c r="D44" s="3">
        <v>183</v>
      </c>
      <c r="E44" s="3" t="s">
        <v>73</v>
      </c>
      <c r="F44" s="3" t="s">
        <v>73</v>
      </c>
      <c r="G44" s="3" t="s">
        <v>423</v>
      </c>
      <c r="H44" s="3">
        <v>13.34</v>
      </c>
    </row>
    <row r="45" spans="1:8" ht="15">
      <c r="A45" s="3">
        <v>90</v>
      </c>
      <c r="B45" s="3">
        <v>1010</v>
      </c>
      <c r="C45" s="44">
        <f t="shared" si="0"/>
        <v>11.222222222222221</v>
      </c>
      <c r="D45" s="3">
        <v>183</v>
      </c>
      <c r="E45" s="3" t="s">
        <v>73</v>
      </c>
      <c r="F45" s="3" t="s">
        <v>73</v>
      </c>
      <c r="G45" s="4"/>
      <c r="H45" s="3">
        <v>13.34</v>
      </c>
    </row>
    <row r="46" spans="1:8" ht="15">
      <c r="A46" s="3">
        <v>75</v>
      </c>
      <c r="B46" s="3">
        <v>900</v>
      </c>
      <c r="C46" s="44">
        <f t="shared" si="0"/>
        <v>12</v>
      </c>
      <c r="D46" s="3">
        <v>183</v>
      </c>
      <c r="E46" s="3" t="s">
        <v>73</v>
      </c>
      <c r="F46" s="3" t="s">
        <v>73</v>
      </c>
      <c r="G46" s="3" t="s">
        <v>423</v>
      </c>
      <c r="H46" s="3">
        <v>12.89</v>
      </c>
    </row>
    <row r="47" spans="1:8" ht="15">
      <c r="A47" s="3">
        <v>75</v>
      </c>
      <c r="B47" s="3">
        <v>900</v>
      </c>
      <c r="C47" s="44">
        <f t="shared" si="0"/>
        <v>12</v>
      </c>
      <c r="D47" s="3">
        <v>183</v>
      </c>
      <c r="E47" s="3" t="s">
        <v>73</v>
      </c>
      <c r="F47" s="3" t="s">
        <v>73</v>
      </c>
      <c r="G47" s="3"/>
      <c r="H47" s="3">
        <v>13.45</v>
      </c>
    </row>
    <row r="48" spans="1:8" ht="15">
      <c r="A48" s="3">
        <v>75</v>
      </c>
      <c r="B48" s="3">
        <v>1015</v>
      </c>
      <c r="C48" s="44">
        <f t="shared" si="0"/>
        <v>13.533333333333333</v>
      </c>
      <c r="D48" s="3">
        <v>183</v>
      </c>
      <c r="E48" s="3" t="s">
        <v>73</v>
      </c>
      <c r="F48" s="3" t="s">
        <v>73</v>
      </c>
      <c r="G48" s="3"/>
      <c r="H48" s="3">
        <v>12.91</v>
      </c>
    </row>
    <row r="49" spans="1:9" ht="15">
      <c r="A49" s="3">
        <v>75</v>
      </c>
      <c r="B49" s="3">
        <v>600</v>
      </c>
      <c r="C49" s="44">
        <f t="shared" si="0"/>
        <v>8</v>
      </c>
      <c r="D49" s="3">
        <v>183</v>
      </c>
      <c r="E49" s="3" t="s">
        <v>73</v>
      </c>
      <c r="F49" s="3" t="s">
        <v>73</v>
      </c>
      <c r="G49" s="3" t="s">
        <v>423</v>
      </c>
      <c r="H49" s="3">
        <v>14.84</v>
      </c>
    </row>
    <row r="50" spans="1:9" ht="15">
      <c r="A50" s="3">
        <v>75</v>
      </c>
      <c r="B50" s="3">
        <v>600</v>
      </c>
      <c r="C50" s="44">
        <f t="shared" si="0"/>
        <v>8</v>
      </c>
      <c r="D50" s="3">
        <v>183</v>
      </c>
      <c r="E50" s="3" t="s">
        <v>73</v>
      </c>
      <c r="F50" s="3" t="s">
        <v>73</v>
      </c>
      <c r="G50" s="3"/>
      <c r="H50" s="3">
        <v>15.47</v>
      </c>
      <c r="I50" s="10" t="s">
        <v>427</v>
      </c>
    </row>
    <row r="51" spans="1:9" ht="15">
      <c r="A51" s="3">
        <v>75</v>
      </c>
      <c r="B51" s="3">
        <v>690</v>
      </c>
      <c r="C51" s="44">
        <f t="shared" si="0"/>
        <v>9.1999999999999993</v>
      </c>
      <c r="D51" s="3">
        <v>183</v>
      </c>
      <c r="E51" s="3" t="s">
        <v>73</v>
      </c>
      <c r="F51" s="3" t="s">
        <v>73</v>
      </c>
      <c r="G51" s="3"/>
      <c r="H51" s="3">
        <v>14.76</v>
      </c>
    </row>
    <row r="52" spans="1:9" ht="15">
      <c r="A52" s="3">
        <v>75</v>
      </c>
      <c r="B52" s="3">
        <v>680</v>
      </c>
      <c r="C52" s="44">
        <f t="shared" si="0"/>
        <v>9.0666666666666664</v>
      </c>
      <c r="D52" s="3">
        <v>183</v>
      </c>
      <c r="E52" s="3" t="s">
        <v>73</v>
      </c>
      <c r="F52" s="3" t="s">
        <v>73</v>
      </c>
      <c r="G52" s="3"/>
      <c r="H52" s="3">
        <v>14.82</v>
      </c>
    </row>
    <row r="53" spans="1:9" ht="15">
      <c r="A53" s="3">
        <v>75</v>
      </c>
      <c r="B53" s="3">
        <v>900</v>
      </c>
      <c r="C53" s="44">
        <f t="shared" si="0"/>
        <v>12</v>
      </c>
      <c r="D53" s="3">
        <v>183</v>
      </c>
      <c r="E53" s="3" t="s">
        <v>73</v>
      </c>
      <c r="F53" s="3" t="s">
        <v>73</v>
      </c>
      <c r="G53" s="3" t="s">
        <v>424</v>
      </c>
      <c r="H53" s="3">
        <v>13.29</v>
      </c>
    </row>
    <row r="54" spans="1:9" ht="15">
      <c r="A54" s="3">
        <v>75</v>
      </c>
      <c r="B54" s="3">
        <v>600</v>
      </c>
      <c r="C54" s="44">
        <f t="shared" si="0"/>
        <v>8</v>
      </c>
      <c r="D54" s="3">
        <v>183</v>
      </c>
      <c r="E54" s="3" t="s">
        <v>73</v>
      </c>
      <c r="F54" s="3" t="s">
        <v>73</v>
      </c>
      <c r="G54" s="3" t="s">
        <v>424</v>
      </c>
      <c r="H54" s="3">
        <v>15.37</v>
      </c>
    </row>
    <row r="55" spans="1:9" ht="15">
      <c r="A55" s="3">
        <v>75</v>
      </c>
      <c r="B55" s="3">
        <v>750</v>
      </c>
      <c r="C55" s="44">
        <f t="shared" si="0"/>
        <v>10</v>
      </c>
      <c r="D55" s="3">
        <v>183</v>
      </c>
      <c r="E55" s="3" t="s">
        <v>16</v>
      </c>
      <c r="F55" s="3" t="s">
        <v>17</v>
      </c>
      <c r="G55" s="3" t="s">
        <v>423</v>
      </c>
      <c r="H55" s="3">
        <v>14.06</v>
      </c>
    </row>
    <row r="56" spans="1:9" ht="15">
      <c r="A56" s="3">
        <v>75</v>
      </c>
      <c r="B56" s="3">
        <v>750</v>
      </c>
      <c r="C56" s="44">
        <f t="shared" si="0"/>
        <v>10</v>
      </c>
      <c r="D56" s="3">
        <v>183</v>
      </c>
      <c r="E56" s="3" t="s">
        <v>16</v>
      </c>
      <c r="F56" s="3" t="s">
        <v>17</v>
      </c>
      <c r="G56" s="3" t="s">
        <v>424</v>
      </c>
      <c r="H56" s="3">
        <v>14.47</v>
      </c>
    </row>
    <row r="57" spans="1:9" ht="15">
      <c r="A57" s="3">
        <v>75</v>
      </c>
      <c r="B57" s="3">
        <v>750</v>
      </c>
      <c r="C57" s="44">
        <f t="shared" si="0"/>
        <v>10</v>
      </c>
      <c r="D57" s="3">
        <v>183</v>
      </c>
      <c r="E57" s="3" t="s">
        <v>16</v>
      </c>
      <c r="F57" s="3" t="s">
        <v>17</v>
      </c>
      <c r="G57" s="3"/>
      <c r="H57" s="3">
        <v>14.64</v>
      </c>
    </row>
    <row r="58" spans="1:9" ht="15.75" customHeight="1">
      <c r="A58" s="3">
        <v>75</v>
      </c>
      <c r="B58" s="3">
        <v>750</v>
      </c>
      <c r="C58" s="44">
        <f t="shared" si="0"/>
        <v>10</v>
      </c>
      <c r="D58" s="3">
        <v>183</v>
      </c>
      <c r="E58" s="3" t="s">
        <v>73</v>
      </c>
      <c r="F58" s="3" t="s">
        <v>73</v>
      </c>
      <c r="G58" s="4"/>
      <c r="H58" s="3">
        <v>14.34</v>
      </c>
    </row>
    <row r="59" spans="1:9" ht="15.75" customHeight="1">
      <c r="A59" s="3">
        <v>75</v>
      </c>
      <c r="B59" s="3">
        <v>750</v>
      </c>
      <c r="C59" s="44">
        <f t="shared" si="0"/>
        <v>10</v>
      </c>
      <c r="D59" s="3">
        <v>183</v>
      </c>
      <c r="E59" s="3" t="s">
        <v>73</v>
      </c>
      <c r="F59" s="3" t="s">
        <v>73</v>
      </c>
      <c r="G59" s="4"/>
      <c r="H59" s="3">
        <v>14.33</v>
      </c>
    </row>
    <row r="60" spans="1:9" ht="15">
      <c r="A60" s="3">
        <v>75</v>
      </c>
      <c r="B60" s="3">
        <v>750</v>
      </c>
      <c r="C60" s="44">
        <f t="shared" si="0"/>
        <v>10</v>
      </c>
      <c r="D60" s="3">
        <v>183</v>
      </c>
      <c r="E60" s="3" t="s">
        <v>9</v>
      </c>
      <c r="F60" s="3" t="s">
        <v>65</v>
      </c>
      <c r="G60" s="4"/>
      <c r="H60" s="3">
        <v>14.32</v>
      </c>
    </row>
    <row r="61" spans="1:9" ht="15">
      <c r="A61" s="3"/>
      <c r="B61" s="3"/>
      <c r="C61" s="3"/>
      <c r="D61" s="3"/>
      <c r="E61" s="3"/>
      <c r="F61" s="3"/>
      <c r="G61" s="4"/>
      <c r="H61" s="4"/>
    </row>
    <row r="62" spans="1:9" ht="15">
      <c r="A62" s="3"/>
      <c r="B62" s="3"/>
      <c r="C62" s="3"/>
      <c r="D62" s="3"/>
      <c r="E62" s="3"/>
      <c r="F62" s="3"/>
      <c r="G62" s="4"/>
      <c r="H62" s="4"/>
    </row>
    <row r="63" spans="1:9" ht="15">
      <c r="A63" s="3"/>
      <c r="B63" s="3"/>
      <c r="C63" s="3"/>
      <c r="D63" s="3"/>
      <c r="E63" s="3"/>
      <c r="F63" s="3"/>
      <c r="G63" s="4"/>
      <c r="H63" s="4"/>
    </row>
    <row r="64" spans="1:9" ht="15">
      <c r="A64" s="3"/>
      <c r="B64" s="3"/>
      <c r="C64" s="3"/>
      <c r="D64" s="3"/>
      <c r="E64" s="3"/>
      <c r="F64" s="3"/>
      <c r="G64" s="4"/>
      <c r="H64" s="4"/>
    </row>
    <row r="65" spans="1:8" ht="15">
      <c r="A65" s="3"/>
      <c r="B65" s="3"/>
      <c r="C65" s="3"/>
      <c r="D65" s="3"/>
      <c r="E65" s="3"/>
      <c r="F65" s="3"/>
      <c r="G65" s="4"/>
      <c r="H65" s="4"/>
    </row>
    <row r="66" spans="1:8" ht="15">
      <c r="A66" s="3"/>
      <c r="B66" s="3"/>
      <c r="C66" s="3"/>
      <c r="D66" s="3"/>
      <c r="E66" s="3"/>
      <c r="F66" s="3"/>
      <c r="G66" s="4"/>
      <c r="H66" s="4"/>
    </row>
    <row r="67" spans="1:8" ht="15">
      <c r="A67" s="3"/>
      <c r="B67" s="3"/>
      <c r="C67" s="3"/>
      <c r="D67" s="3"/>
      <c r="E67" s="3"/>
      <c r="F67" s="3"/>
      <c r="G67" s="4"/>
      <c r="H67" s="4"/>
    </row>
    <row r="68" spans="1:8" ht="15">
      <c r="A68" s="3"/>
      <c r="B68" s="3"/>
      <c r="C68" s="3"/>
      <c r="D68" s="3"/>
      <c r="E68" s="3"/>
      <c r="F68" s="3"/>
      <c r="G68" s="4"/>
      <c r="H68" s="4"/>
    </row>
    <row r="69" spans="1:8" ht="15">
      <c r="A69" s="3"/>
      <c r="B69" s="3"/>
      <c r="C69" s="3"/>
      <c r="D69" s="3"/>
      <c r="E69" s="3"/>
      <c r="F69" s="3"/>
      <c r="G69" s="4"/>
      <c r="H69" s="4"/>
    </row>
    <row r="70" spans="1:8" ht="15">
      <c r="A70" s="3"/>
      <c r="B70" s="3"/>
      <c r="C70" s="3"/>
      <c r="D70" s="3"/>
      <c r="E70" s="3"/>
      <c r="F70" s="3"/>
      <c r="G70" s="4"/>
      <c r="H70" s="4"/>
    </row>
    <row r="71" spans="1:8" ht="15">
      <c r="A71" s="3"/>
      <c r="B71" s="3"/>
      <c r="C71" s="3"/>
      <c r="D71" s="3"/>
      <c r="E71" s="3"/>
      <c r="F71" s="3"/>
      <c r="G71" s="4"/>
      <c r="H71" s="4"/>
    </row>
    <row r="72" spans="1:8" ht="15">
      <c r="A72" s="3"/>
      <c r="B72" s="3"/>
      <c r="C72" s="3"/>
      <c r="D72" s="3"/>
      <c r="E72" s="3"/>
      <c r="F72" s="3"/>
      <c r="G72" s="4"/>
      <c r="H72" s="4"/>
    </row>
    <row r="73" spans="1:8" ht="15">
      <c r="A73" s="3"/>
      <c r="B73" s="3"/>
      <c r="C73" s="3"/>
      <c r="D73" s="3"/>
      <c r="E73" s="3"/>
      <c r="F73" s="3"/>
      <c r="G73" s="4"/>
      <c r="H73" s="4"/>
    </row>
    <row r="74" spans="1:8" ht="15">
      <c r="A74" s="3"/>
      <c r="B74" s="3"/>
      <c r="C74" s="3"/>
      <c r="D74" s="3"/>
      <c r="E74" s="3"/>
      <c r="F74" s="3"/>
      <c r="G74" s="4"/>
      <c r="H74" s="4"/>
    </row>
    <row r="75" spans="1:8" ht="15">
      <c r="A75" s="3"/>
      <c r="B75" s="3"/>
      <c r="C75" s="3"/>
      <c r="D75" s="3"/>
      <c r="E75" s="3"/>
      <c r="F75" s="3"/>
      <c r="G75" s="4"/>
      <c r="H75" s="4"/>
    </row>
    <row r="76" spans="1:8" ht="15">
      <c r="A76" s="3"/>
      <c r="B76" s="3"/>
      <c r="C76" s="3"/>
      <c r="D76" s="3"/>
      <c r="E76" s="3"/>
      <c r="F76" s="3"/>
      <c r="G76" s="4"/>
      <c r="H76" s="4"/>
    </row>
    <row r="77" spans="1:8" ht="15">
      <c r="A77" s="3"/>
      <c r="B77" s="3"/>
      <c r="C77" s="3"/>
      <c r="D77" s="3"/>
      <c r="E77" s="3"/>
      <c r="F77" s="3"/>
      <c r="G77" s="4"/>
      <c r="H77" s="4"/>
    </row>
    <row r="78" spans="1:8" ht="15">
      <c r="A78" s="3"/>
      <c r="B78" s="3"/>
      <c r="C78" s="3"/>
      <c r="D78" s="3"/>
      <c r="E78" s="3"/>
      <c r="F78" s="3"/>
      <c r="G78" s="4"/>
      <c r="H78" s="4"/>
    </row>
    <row r="79" spans="1:8" ht="15">
      <c r="A79" s="3"/>
      <c r="B79" s="3"/>
      <c r="C79" s="3"/>
      <c r="D79" s="3"/>
      <c r="E79" s="3"/>
      <c r="F79" s="3"/>
      <c r="G79" s="4"/>
      <c r="H79" s="4"/>
    </row>
    <row r="80" spans="1:8" ht="15">
      <c r="A80" s="3"/>
      <c r="B80" s="3"/>
      <c r="C80" s="3"/>
      <c r="D80" s="3"/>
      <c r="E80" s="3"/>
      <c r="F80" s="3"/>
      <c r="G80" s="4"/>
      <c r="H80" s="4"/>
    </row>
    <row r="81" spans="1:8" ht="15">
      <c r="A81" s="3"/>
      <c r="B81" s="3"/>
      <c r="C81" s="3"/>
      <c r="D81" s="3"/>
      <c r="E81" s="3"/>
      <c r="F81" s="3"/>
      <c r="G81" s="4"/>
      <c r="H81" s="4"/>
    </row>
    <row r="82" spans="1:8" ht="15">
      <c r="A82" s="3"/>
      <c r="B82" s="3"/>
      <c r="C82" s="3"/>
      <c r="D82" s="3"/>
      <c r="E82" s="3"/>
      <c r="F82" s="3"/>
      <c r="G82" s="4"/>
      <c r="H82" s="4"/>
    </row>
    <row r="83" spans="1:8" ht="15">
      <c r="A83" s="3"/>
      <c r="B83" s="3"/>
      <c r="C83" s="3"/>
      <c r="D83" s="3"/>
      <c r="E83" s="3"/>
      <c r="F83" s="3"/>
      <c r="G83" s="4"/>
      <c r="H83" s="4"/>
    </row>
    <row r="84" spans="1:8" ht="15">
      <c r="A84" s="3"/>
      <c r="B84" s="3"/>
      <c r="C84" s="3"/>
      <c r="D84" s="3"/>
      <c r="E84" s="3"/>
      <c r="F84" s="3"/>
      <c r="G84" s="4"/>
      <c r="H84" s="4"/>
    </row>
    <row r="85" spans="1:8" ht="15">
      <c r="A85" s="3"/>
      <c r="B85" s="3"/>
      <c r="C85" s="3"/>
      <c r="D85" s="3"/>
      <c r="E85" s="3"/>
      <c r="F85" s="3"/>
      <c r="G85" s="4"/>
      <c r="H85" s="4"/>
    </row>
    <row r="86" spans="1:8" ht="15">
      <c r="A86" s="3"/>
      <c r="B86" s="3"/>
      <c r="C86" s="3"/>
      <c r="D86" s="3"/>
      <c r="E86" s="3"/>
      <c r="F86" s="3"/>
      <c r="G86" s="4"/>
      <c r="H86" s="4"/>
    </row>
    <row r="87" spans="1:8" ht="15">
      <c r="A87" s="3"/>
      <c r="B87" s="3"/>
      <c r="C87" s="3"/>
      <c r="D87" s="3"/>
      <c r="E87" s="3"/>
      <c r="F87" s="3"/>
      <c r="G87" s="4"/>
      <c r="H87" s="4"/>
    </row>
    <row r="88" spans="1:8" ht="15">
      <c r="A88" s="3"/>
      <c r="B88" s="3"/>
      <c r="C88" s="3"/>
      <c r="D88" s="3"/>
      <c r="E88" s="3"/>
      <c r="F88" s="3"/>
      <c r="G88" s="4"/>
      <c r="H88" s="4"/>
    </row>
    <row r="957" spans="10:10" ht="12.75">
      <c r="J957" s="34"/>
    </row>
    <row r="977" spans="3:3" ht="12.75">
      <c r="C977" s="45"/>
    </row>
    <row r="978" spans="3:3" ht="12.75">
      <c r="C978" s="45"/>
    </row>
    <row r="979" spans="3:3" ht="12.75">
      <c r="C979" s="45"/>
    </row>
    <row r="980" spans="3:3" ht="12.75">
      <c r="C980" s="45"/>
    </row>
    <row r="981" spans="3:3" ht="12.75">
      <c r="C981" s="45"/>
    </row>
    <row r="982" spans="3:3" ht="12.75">
      <c r="C982" s="45"/>
    </row>
    <row r="983" spans="3:3" ht="12.75">
      <c r="C983" s="45"/>
    </row>
    <row r="984" spans="3:3" ht="12.75">
      <c r="C984" s="45"/>
    </row>
    <row r="985" spans="3:3" ht="12.75">
      <c r="C985" s="45"/>
    </row>
    <row r="986" spans="3:3" ht="12.75">
      <c r="C986" s="45"/>
    </row>
    <row r="987" spans="3:3" ht="12.75">
      <c r="C987" s="45"/>
    </row>
    <row r="988" spans="3:3" ht="12.75">
      <c r="C988" s="45"/>
    </row>
    <row r="989" spans="3:3" ht="12.75">
      <c r="C989" s="45"/>
    </row>
    <row r="990" spans="3:3" ht="12.75">
      <c r="C990" s="45"/>
    </row>
    <row r="991" spans="3:3" ht="12.75">
      <c r="C991" s="45"/>
    </row>
    <row r="992" spans="3:3" ht="12.75">
      <c r="C992" s="45"/>
    </row>
    <row r="993" spans="3:3" ht="12.75">
      <c r="C993" s="45"/>
    </row>
    <row r="994" spans="3:3" ht="12.75">
      <c r="C994" s="45"/>
    </row>
    <row r="995" spans="3:3" ht="12.75">
      <c r="C995" s="45"/>
    </row>
    <row r="996" spans="3:3" ht="12.75">
      <c r="C996" s="45"/>
    </row>
    <row r="997" spans="3:3" ht="12.75">
      <c r="C997" s="45"/>
    </row>
    <row r="998" spans="3:3" ht="12.75">
      <c r="C998" s="45"/>
    </row>
    <row r="999" spans="3:3" ht="12.75">
      <c r="C999" s="45"/>
    </row>
    <row r="1000" spans="3:3" ht="12.75">
      <c r="C1000" s="45"/>
    </row>
    <row r="1001" spans="3:3" ht="12.75">
      <c r="C1001" s="45"/>
    </row>
    <row r="1002" spans="3:3" ht="12.75">
      <c r="C1002" s="45"/>
    </row>
    <row r="1003" spans="3:3" ht="12.75">
      <c r="C1003" s="45"/>
    </row>
    <row r="1004" spans="3:3" ht="12.75">
      <c r="C1004" s="45"/>
    </row>
    <row r="1005" spans="3:3" ht="12.75">
      <c r="C1005" s="45"/>
    </row>
    <row r="1006" spans="3:3" ht="12.75">
      <c r="C1006" s="45"/>
    </row>
    <row r="1007" spans="3:3" ht="12.75">
      <c r="C1007" s="45"/>
    </row>
    <row r="1008" spans="3:3" ht="12.75">
      <c r="C1008" s="45"/>
    </row>
    <row r="1009" spans="3:3" ht="12.75">
      <c r="C1009" s="45"/>
    </row>
    <row r="1010" spans="3:3" ht="12.75">
      <c r="C1010" s="45"/>
    </row>
    <row r="1011" spans="3:3" ht="12.75">
      <c r="C1011" s="45"/>
    </row>
    <row r="1012" spans="3:3" ht="12.75">
      <c r="C1012" s="45"/>
    </row>
    <row r="1013" spans="3:3" ht="12.75">
      <c r="C1013" s="45"/>
    </row>
    <row r="1014" spans="3:3" ht="12.75">
      <c r="C1014" s="45"/>
    </row>
    <row r="1015" spans="3:3" ht="12.75">
      <c r="C1015" s="45"/>
    </row>
    <row r="1016" spans="3:3" ht="12.75">
      <c r="C1016" s="45"/>
    </row>
    <row r="1017" spans="3:3" ht="12.75">
      <c r="C1017" s="45"/>
    </row>
    <row r="1018" spans="3:3" ht="12.75">
      <c r="C1018" s="45"/>
    </row>
    <row r="1019" spans="3:3" ht="12.75">
      <c r="C1019" s="45"/>
    </row>
    <row r="1020" spans="3:3" ht="12.75">
      <c r="C1020" s="45"/>
    </row>
    <row r="1021" spans="3:3" ht="12.75">
      <c r="C1021" s="45"/>
    </row>
    <row r="1022" spans="3:3" ht="12.75">
      <c r="C1022" s="45"/>
    </row>
    <row r="1023" spans="3:3" ht="12.75">
      <c r="C1023" s="45"/>
    </row>
    <row r="1024" spans="3:3" ht="12.75">
      <c r="C1024" s="45"/>
    </row>
    <row r="1025" spans="3:3" ht="12.75">
      <c r="C1025" s="45"/>
    </row>
    <row r="1026" spans="3:3" ht="12.75">
      <c r="C1026" s="45"/>
    </row>
    <row r="1027" spans="3:3" ht="12.75">
      <c r="C1027" s="45"/>
    </row>
    <row r="1028" spans="3:3" ht="12.75">
      <c r="C1028" s="45"/>
    </row>
    <row r="1029" spans="3:3" ht="12.75">
      <c r="C1029" s="45"/>
    </row>
    <row r="1030" spans="3:3" ht="12.75">
      <c r="C1030" s="45"/>
    </row>
    <row r="1031" spans="3:3" ht="12.75">
      <c r="C1031" s="45"/>
    </row>
    <row r="1032" spans="3:3" ht="12.75">
      <c r="C1032" s="45"/>
    </row>
    <row r="1033" spans="3:3" ht="12.75">
      <c r="C1033" s="45"/>
    </row>
    <row r="1034" spans="3:3" ht="12.75">
      <c r="C1034" s="45"/>
    </row>
    <row r="1035" spans="3:3" ht="12.75">
      <c r="C1035" s="45"/>
    </row>
    <row r="1036" spans="3:3" ht="12.75">
      <c r="C1036" s="45"/>
    </row>
    <row r="1037" spans="3:3" ht="12.75">
      <c r="C1037" s="45"/>
    </row>
    <row r="1038" spans="3:3" ht="12.75">
      <c r="C1038" s="45"/>
    </row>
    <row r="1039" spans="3:3" ht="12.75">
      <c r="C1039" s="45"/>
    </row>
    <row r="1040" spans="3:3" ht="12.75">
      <c r="C1040" s="45"/>
    </row>
    <row r="1041" spans="3:3" ht="12.75">
      <c r="C1041" s="45"/>
    </row>
    <row r="1042" spans="3:3" ht="12.75">
      <c r="C1042" s="45"/>
    </row>
    <row r="1043" spans="3:3" ht="12.75">
      <c r="C1043" s="45"/>
    </row>
    <row r="1044" spans="3:3" ht="12.75">
      <c r="C1044" s="45"/>
    </row>
    <row r="1045" spans="3:3" ht="12.75">
      <c r="C1045" s="45"/>
    </row>
    <row r="1046" spans="3:3" ht="12.75">
      <c r="C1046" s="45"/>
    </row>
    <row r="1047" spans="3:3" ht="12.75">
      <c r="C1047" s="45"/>
    </row>
    <row r="1048" spans="3:3" ht="12.75">
      <c r="C1048" s="45"/>
    </row>
    <row r="1049" spans="3:3" ht="12.75">
      <c r="C1049" s="45"/>
    </row>
    <row r="1050" spans="3:3" ht="12.75">
      <c r="C1050" s="45"/>
    </row>
    <row r="1051" spans="3:3" ht="12.75">
      <c r="C1051" s="45"/>
    </row>
    <row r="1052" spans="3:3" ht="12.75">
      <c r="C1052" s="45"/>
    </row>
    <row r="1053" spans="3:3" ht="12.75">
      <c r="C1053" s="45"/>
    </row>
    <row r="1054" spans="3:3" ht="12.75">
      <c r="C1054" s="45"/>
    </row>
    <row r="1055" spans="3:3" ht="12.75">
      <c r="C1055" s="45"/>
    </row>
    <row r="1056" spans="3:3" ht="12.75">
      <c r="C1056" s="45"/>
    </row>
    <row r="1057" spans="3:3" ht="12.75">
      <c r="C1057" s="45"/>
    </row>
    <row r="1058" spans="3:3" ht="12.75">
      <c r="C1058" s="45"/>
    </row>
    <row r="1059" spans="3:3" ht="12.75">
      <c r="C1059" s="45"/>
    </row>
    <row r="1060" spans="3:3" ht="12.75">
      <c r="C1060" s="45"/>
    </row>
    <row r="1061" spans="3:3" ht="12.75">
      <c r="C1061" s="45"/>
    </row>
    <row r="1062" spans="3:3" ht="12.75">
      <c r="C1062" s="45"/>
    </row>
    <row r="1063" spans="3:3" ht="12.75">
      <c r="C1063" s="45"/>
    </row>
    <row r="1064" spans="3:3" ht="12.75">
      <c r="C1064" s="45"/>
    </row>
    <row r="1065" spans="3:3" ht="12.75">
      <c r="C1065" s="45"/>
    </row>
    <row r="1066" spans="3:3" ht="12.75">
      <c r="C1066" s="45"/>
    </row>
    <row r="1067" spans="3:3" ht="12.75">
      <c r="C1067" s="45"/>
    </row>
    <row r="1068" spans="3:3" ht="12.75">
      <c r="C1068" s="45"/>
    </row>
    <row r="1069" spans="3:3" ht="12.75">
      <c r="C1069" s="45"/>
    </row>
    <row r="1070" spans="3:3" ht="12.75">
      <c r="C1070" s="45"/>
    </row>
    <row r="1071" spans="3:3" ht="12.75">
      <c r="C1071" s="45"/>
    </row>
    <row r="1072" spans="3:3" ht="12.75">
      <c r="C1072" s="45"/>
    </row>
    <row r="1073" spans="3:3" ht="12.75">
      <c r="C1073" s="45"/>
    </row>
    <row r="1074" spans="3:3" ht="12.75">
      <c r="C1074" s="45"/>
    </row>
    <row r="1075" spans="3:3" ht="12.75">
      <c r="C1075" s="45"/>
    </row>
    <row r="1076" spans="3:3" ht="12.75">
      <c r="C1076" s="45"/>
    </row>
    <row r="1077" spans="3:3" ht="12.75">
      <c r="C1077" s="45"/>
    </row>
    <row r="1078" spans="3:3" ht="12.75">
      <c r="C1078" s="45"/>
    </row>
    <row r="1079" spans="3:3" ht="12.75">
      <c r="C1079" s="45"/>
    </row>
    <row r="1080" spans="3:3" ht="12.75">
      <c r="C1080" s="45"/>
    </row>
    <row r="1081" spans="3:3" ht="12.75">
      <c r="C1081" s="45"/>
    </row>
    <row r="1082" spans="3:3" ht="12.75">
      <c r="C1082" s="45"/>
    </row>
    <row r="1083" spans="3:3" ht="12.75">
      <c r="C1083" s="45"/>
    </row>
    <row r="1084" spans="3:3" ht="12.75">
      <c r="C1084" s="45"/>
    </row>
    <row r="1085" spans="3:3" ht="12.75">
      <c r="C1085" s="45"/>
    </row>
    <row r="1086" spans="3:3" ht="12.75">
      <c r="C1086" s="45"/>
    </row>
    <row r="1087" spans="3:3" ht="12.75">
      <c r="C1087" s="45"/>
    </row>
    <row r="1088" spans="3:3" ht="12.75">
      <c r="C1088" s="45"/>
    </row>
    <row r="1089" spans="3:3" ht="12.75">
      <c r="C1089" s="45"/>
    </row>
    <row r="1090" spans="3:3" ht="12.75">
      <c r="C1090" s="45"/>
    </row>
    <row r="1091" spans="3:3" ht="12.75">
      <c r="C1091" s="45"/>
    </row>
    <row r="1092" spans="3:3" ht="12.75">
      <c r="C1092" s="45"/>
    </row>
    <row r="1093" spans="3:3" ht="12.75">
      <c r="C1093" s="45"/>
    </row>
    <row r="1094" spans="3:3" ht="12.75">
      <c r="C1094" s="45"/>
    </row>
    <row r="1095" spans="3:3" ht="12.75">
      <c r="C1095" s="45"/>
    </row>
    <row r="1096" spans="3:3" ht="12.75">
      <c r="C1096" s="45"/>
    </row>
    <row r="1097" spans="3:3" ht="12.75">
      <c r="C1097" s="45"/>
    </row>
    <row r="1098" spans="3:3" ht="12.75">
      <c r="C1098" s="45"/>
    </row>
    <row r="1099" spans="3:3" ht="12.75">
      <c r="C1099" s="45"/>
    </row>
    <row r="1100" spans="3:3" ht="12.75">
      <c r="C1100" s="45"/>
    </row>
    <row r="1101" spans="3:3" ht="12.75">
      <c r="C1101" s="45"/>
    </row>
    <row r="1102" spans="3:3" ht="12.75">
      <c r="C1102" s="45"/>
    </row>
    <row r="1103" spans="3:3" ht="12.75">
      <c r="C1103" s="45"/>
    </row>
    <row r="1104" spans="3:3" ht="12.75">
      <c r="C1104" s="45"/>
    </row>
    <row r="1105" spans="3:3" ht="12.75">
      <c r="C1105" s="45"/>
    </row>
    <row r="1106" spans="3:3" ht="12.75">
      <c r="C1106" s="45"/>
    </row>
    <row r="1107" spans="3:3" ht="12.75">
      <c r="C1107" s="45"/>
    </row>
    <row r="1108" spans="3:3" ht="12.75">
      <c r="C1108" s="45"/>
    </row>
    <row r="1109" spans="3:3" ht="12.75">
      <c r="C1109" s="45"/>
    </row>
    <row r="1110" spans="3:3" ht="12.75">
      <c r="C1110" s="45"/>
    </row>
    <row r="1111" spans="3:3" ht="12.75">
      <c r="C1111" s="45"/>
    </row>
    <row r="1112" spans="3:3" ht="12.75">
      <c r="C1112" s="45"/>
    </row>
    <row r="1113" spans="3:3" ht="12.75">
      <c r="C1113" s="45"/>
    </row>
    <row r="1114" spans="3:3" ht="12.75">
      <c r="C1114" s="45"/>
    </row>
    <row r="1115" spans="3:3" ht="12.75">
      <c r="C1115" s="45"/>
    </row>
    <row r="1116" spans="3:3" ht="12.75">
      <c r="C1116" s="45"/>
    </row>
    <row r="1117" spans="3:3" ht="12.75">
      <c r="C1117" s="45"/>
    </row>
    <row r="1118" spans="3:3" ht="12.75">
      <c r="C1118" s="45"/>
    </row>
    <row r="1119" spans="3:3" ht="12.75">
      <c r="C1119" s="45"/>
    </row>
  </sheetData>
  <autoFilter ref="A1:H976" xr:uid="{00000000-0009-0000-0000-000003000000}"/>
  <customSheetViews>
    <customSheetView guid="{5B966157-D76D-4ACD-A64E-35B71110F4A8}" filter="1" showAutoFilter="1">
      <pageMargins left="0.7" right="0.7" top="0.75" bottom="0.75" header="0.3" footer="0.3"/>
      <autoFilter ref="A1:H976" xr:uid="{64FC2161-5511-4092-AA62-C337E8838662}">
        <filterColumn colId="0">
          <filters blank="1">
            <filter val="60"/>
            <filter val="75"/>
            <filter val="90"/>
          </filters>
        </filterColumn>
        <filterColumn colId="1">
          <filters blank="1">
            <filter val="1010"/>
            <filter val="1015"/>
            <filter val="600"/>
            <filter val="680"/>
            <filter val="690"/>
            <filter val="700"/>
            <filter val="750"/>
            <filter val="760"/>
            <filter val="790"/>
            <filter val="825"/>
            <filter val="850"/>
            <filter val="900"/>
          </filters>
        </filterColumn>
        <filterColumn colId="3">
          <filters blank="1">
            <filter val="163"/>
            <filter val="173"/>
            <filter val="183"/>
            <filter val="193"/>
            <filter val="203"/>
          </filters>
        </filterColumn>
        <filterColumn colId="4">
          <filters blank="1">
            <filter val="Felt AR"/>
            <filter val="Specialized Venge S-Works"/>
            <filter val="Tron (Concept Z1)"/>
            <filter val="Zwift Carbon"/>
          </filters>
        </filterColumn>
        <filterColumn colId="5">
          <filters blank="1">
            <filter val="32mm Carbon"/>
            <filter val="ENVE 7.8"/>
            <filter val="ENVE 8.9"/>
            <filter val="Tron (Concept Z1)"/>
            <filter val="Zipp 454"/>
            <filter val="Zipp 808/Super9"/>
            <filter val="Zipp 858"/>
            <filter val="Zipp 858/Super9"/>
          </filters>
        </filterColumn>
      </autoFilter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7.85546875" customWidth="1"/>
    <col min="5" max="5" width="25.5703125" customWidth="1"/>
    <col min="6" max="6" width="7.42578125" customWidth="1"/>
    <col min="7" max="7" width="28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428</v>
      </c>
      <c r="J1" s="1" t="s">
        <v>429</v>
      </c>
      <c r="K1" s="1" t="s">
        <v>430</v>
      </c>
      <c r="L1" s="1" t="s">
        <v>8</v>
      </c>
    </row>
    <row r="2" spans="1:12" ht="15.75" customHeight="1">
      <c r="A2" s="3">
        <v>75</v>
      </c>
      <c r="B2" s="3">
        <v>300</v>
      </c>
      <c r="C2" s="3">
        <f t="shared" ref="C2:C10" si="0">B2/A2</f>
        <v>4</v>
      </c>
      <c r="D2" s="3">
        <v>183</v>
      </c>
      <c r="E2" s="3" t="s">
        <v>9</v>
      </c>
      <c r="F2" s="3" t="s">
        <v>10</v>
      </c>
      <c r="G2" s="3" t="s">
        <v>11</v>
      </c>
      <c r="H2" s="4">
        <v>3.1516203703703706E-2</v>
      </c>
      <c r="I2" s="4">
        <v>3.2407407407407406E-3</v>
      </c>
      <c r="J2" s="4">
        <v>1.8287037037037037E-3</v>
      </c>
      <c r="K2" s="36">
        <f t="shared" ref="K2:K10" si="1">1-(PERCENTRANK(H:H,H2,4))</f>
        <v>1</v>
      </c>
      <c r="L2" s="21" t="s">
        <v>431</v>
      </c>
    </row>
    <row r="3" spans="1:12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73</v>
      </c>
      <c r="F3" s="3" t="s">
        <v>10</v>
      </c>
      <c r="G3" s="3" t="s">
        <v>73</v>
      </c>
      <c r="H3" s="4">
        <v>3.1539351851851853E-2</v>
      </c>
      <c r="I3" s="4">
        <v>3.2407407407407406E-3</v>
      </c>
      <c r="J3" s="4">
        <v>1.8171296296296297E-3</v>
      </c>
      <c r="K3" s="36">
        <f t="shared" si="1"/>
        <v>0.5</v>
      </c>
      <c r="L3" s="21" t="s">
        <v>432</v>
      </c>
    </row>
    <row r="4" spans="1:12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 t="s">
        <v>94</v>
      </c>
      <c r="F4" s="3" t="s">
        <v>10</v>
      </c>
      <c r="G4" s="3" t="s">
        <v>11</v>
      </c>
      <c r="H4" s="4">
        <v>3.1655092592592596E-2</v>
      </c>
      <c r="I4" s="4">
        <v>3.2407407407407406E-3</v>
      </c>
      <c r="J4" s="4">
        <v>1.8287037037037037E-3</v>
      </c>
      <c r="K4" s="36">
        <f t="shared" si="1"/>
        <v>0.25</v>
      </c>
      <c r="L4" s="21" t="s">
        <v>433</v>
      </c>
    </row>
    <row r="5" spans="1:12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3" t="s">
        <v>19</v>
      </c>
      <c r="F5" s="3" t="s">
        <v>10</v>
      </c>
      <c r="G5" s="3" t="s">
        <v>91</v>
      </c>
      <c r="H5" s="4">
        <v>3.1724537037037037E-2</v>
      </c>
      <c r="I5" s="4">
        <v>3.2523148148148147E-3</v>
      </c>
      <c r="J5" s="4">
        <v>1.8402777777777777E-3</v>
      </c>
      <c r="K5" s="36">
        <f t="shared" si="1"/>
        <v>0.125</v>
      </c>
      <c r="L5" s="21" t="s">
        <v>434</v>
      </c>
    </row>
    <row r="6" spans="1:12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94</v>
      </c>
      <c r="F6" s="3" t="s">
        <v>10</v>
      </c>
      <c r="G6" s="3" t="s">
        <v>133</v>
      </c>
      <c r="H6" s="4">
        <v>3.2025462962962964E-2</v>
      </c>
      <c r="I6" s="4">
        <v>3.2638888888888891E-3</v>
      </c>
      <c r="J6" s="4">
        <v>1.8171296296296297E-3</v>
      </c>
      <c r="K6" s="36">
        <f t="shared" si="1"/>
        <v>0</v>
      </c>
      <c r="L6" s="21" t="s">
        <v>435</v>
      </c>
    </row>
    <row r="7" spans="1:12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9</v>
      </c>
      <c r="F7" s="3" t="s">
        <v>10</v>
      </c>
      <c r="G7" s="3" t="s">
        <v>79</v>
      </c>
      <c r="H7" s="4">
        <v>3.1585648148148147E-2</v>
      </c>
      <c r="I7" s="4">
        <v>3.2407407407407406E-3</v>
      </c>
      <c r="J7" s="4">
        <v>1.8171296296296297E-3</v>
      </c>
      <c r="K7" s="36">
        <f t="shared" si="1"/>
        <v>0.375</v>
      </c>
      <c r="L7" s="21" t="s">
        <v>436</v>
      </c>
    </row>
    <row r="8" spans="1:12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/>
      <c r="F8" s="3" t="s">
        <v>10</v>
      </c>
      <c r="G8" s="3"/>
      <c r="H8" s="4">
        <v>3.1516203703703706E-2</v>
      </c>
      <c r="I8" s="4">
        <v>3.2407407407407406E-3</v>
      </c>
      <c r="J8" s="4">
        <v>1.8287037037037037E-3</v>
      </c>
      <c r="K8" s="36">
        <f t="shared" si="1"/>
        <v>1</v>
      </c>
    </row>
    <row r="9" spans="1:12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3"/>
      <c r="F9" s="3" t="s">
        <v>10</v>
      </c>
      <c r="G9" s="3"/>
      <c r="H9" s="4">
        <v>3.1516203703703706E-2</v>
      </c>
      <c r="I9" s="4">
        <v>3.2407407407407406E-3</v>
      </c>
      <c r="J9" s="4">
        <v>1.8287037037037037E-3</v>
      </c>
      <c r="K9" s="36">
        <f t="shared" si="1"/>
        <v>1</v>
      </c>
    </row>
    <row r="10" spans="1:12" ht="15.75" customHeight="1">
      <c r="A10" s="3">
        <v>75</v>
      </c>
      <c r="B10" s="3">
        <v>300</v>
      </c>
      <c r="C10" s="3">
        <f t="shared" si="0"/>
        <v>4</v>
      </c>
      <c r="D10" s="3">
        <v>183</v>
      </c>
      <c r="E10" s="3"/>
      <c r="F10" s="3" t="s">
        <v>10</v>
      </c>
      <c r="G10" s="3"/>
      <c r="H10" s="4">
        <v>3.1516203703703706E-2</v>
      </c>
      <c r="I10" s="4">
        <v>3.2407407407407406E-3</v>
      </c>
      <c r="J10" s="4">
        <v>1.8287037037037037E-3</v>
      </c>
      <c r="K10" s="36">
        <f t="shared" si="1"/>
        <v>1</v>
      </c>
    </row>
    <row r="11" spans="1:12" ht="15.75" customHeight="1">
      <c r="A11" s="3"/>
      <c r="B11" s="3"/>
      <c r="C11" s="3"/>
      <c r="D11" s="3"/>
      <c r="E11" s="3"/>
      <c r="F11" s="3"/>
      <c r="G11" s="3"/>
      <c r="H11" s="4"/>
      <c r="I11" s="4"/>
      <c r="J11" s="4"/>
      <c r="K11" s="36"/>
    </row>
    <row r="12" spans="1:12" ht="15.75" customHeight="1">
      <c r="A12" s="3"/>
      <c r="B12" s="3"/>
      <c r="C12" s="3"/>
      <c r="D12" s="3"/>
      <c r="E12" s="3"/>
      <c r="F12" s="3"/>
      <c r="G12" s="3"/>
      <c r="H12" s="4"/>
      <c r="I12" s="4"/>
      <c r="J12" s="4"/>
      <c r="K12" s="36"/>
    </row>
    <row r="13" spans="1:12" ht="15.75" customHeight="1">
      <c r="A13" s="3"/>
      <c r="B13" s="3"/>
      <c r="C13" s="3"/>
      <c r="D13" s="3"/>
      <c r="E13" s="3"/>
      <c r="F13" s="3"/>
      <c r="G13" s="3"/>
      <c r="H13" s="4"/>
      <c r="I13" s="4"/>
      <c r="J13" s="4"/>
      <c r="K13" s="36"/>
    </row>
    <row r="14" spans="1:12" ht="15.75" customHeight="1">
      <c r="A14" s="3"/>
      <c r="B14" s="3"/>
      <c r="C14" s="3"/>
      <c r="D14" s="3"/>
      <c r="E14" s="3"/>
      <c r="F14" s="3"/>
      <c r="G14" s="3"/>
      <c r="H14" s="4"/>
      <c r="I14" s="4"/>
      <c r="J14" s="4"/>
      <c r="K14" s="36"/>
    </row>
    <row r="15" spans="1:12" ht="15.75" customHeight="1">
      <c r="A15" s="3"/>
      <c r="B15" s="3"/>
      <c r="C15" s="3"/>
      <c r="D15" s="3"/>
      <c r="E15" s="3"/>
      <c r="F15" s="3"/>
      <c r="G15" s="3"/>
      <c r="H15" s="4"/>
      <c r="I15" s="4"/>
      <c r="J15" s="4"/>
      <c r="K15" s="36"/>
    </row>
    <row r="16" spans="1:12" ht="15.75" customHeight="1">
      <c r="A16" s="3"/>
      <c r="B16" s="3"/>
      <c r="C16" s="3"/>
      <c r="D16" s="3"/>
      <c r="E16" s="3"/>
      <c r="F16" s="3"/>
      <c r="G16" s="3"/>
      <c r="H16" s="4"/>
      <c r="I16" s="4"/>
      <c r="J16" s="4"/>
      <c r="K16" s="36"/>
    </row>
    <row r="17" spans="1:23" ht="15.75" customHeight="1">
      <c r="A17" s="3"/>
      <c r="B17" s="3"/>
      <c r="C17" s="3"/>
      <c r="D17" s="3"/>
      <c r="E17" s="3"/>
      <c r="F17" s="3"/>
      <c r="G17" s="3"/>
      <c r="H17" s="4"/>
      <c r="I17" s="4"/>
      <c r="J17" s="4"/>
      <c r="K17" s="36"/>
    </row>
    <row r="18" spans="1:23" ht="15.75" customHeight="1">
      <c r="A18" s="3"/>
      <c r="B18" s="3"/>
      <c r="C18" s="3"/>
      <c r="D18" s="3"/>
      <c r="E18" s="3"/>
      <c r="F18" s="3"/>
      <c r="G18" s="3"/>
      <c r="H18" s="4"/>
      <c r="I18" s="4"/>
      <c r="J18" s="4"/>
      <c r="K18" s="36"/>
    </row>
    <row r="19" spans="1:23" ht="15.75" customHeight="1">
      <c r="A19" s="3"/>
      <c r="B19" s="3"/>
      <c r="C19" s="3"/>
      <c r="D19" s="3"/>
      <c r="E19" s="3"/>
      <c r="F19" s="3"/>
      <c r="G19" s="3"/>
      <c r="H19" s="4"/>
      <c r="I19" s="4"/>
      <c r="J19" s="4"/>
      <c r="K19" s="36"/>
    </row>
    <row r="20" spans="1:23" ht="15.75" customHeight="1">
      <c r="A20" s="3"/>
      <c r="B20" s="3"/>
      <c r="C20" s="3"/>
      <c r="D20" s="3"/>
      <c r="E20" s="3"/>
      <c r="F20" s="3"/>
      <c r="G20" s="3"/>
      <c r="H20" s="4"/>
      <c r="I20" s="36"/>
      <c r="J20" s="36"/>
      <c r="K20" s="36"/>
    </row>
    <row r="21" spans="1:23" ht="15.75" customHeight="1">
      <c r="A21" s="3"/>
      <c r="B21" s="3"/>
      <c r="C21" s="3"/>
      <c r="D21" s="3"/>
      <c r="E21" s="3"/>
      <c r="F21" s="3"/>
      <c r="G21" s="3"/>
      <c r="H21" s="4"/>
      <c r="I21" s="36"/>
      <c r="J21" s="36"/>
      <c r="K21" s="36"/>
    </row>
    <row r="22" spans="1:23" ht="15.75" customHeight="1">
      <c r="A22" s="3"/>
      <c r="B22" s="3"/>
      <c r="C22" s="3"/>
      <c r="D22" s="3"/>
      <c r="E22" s="3"/>
      <c r="F22" s="3"/>
      <c r="G22" s="3"/>
      <c r="H22" s="4"/>
      <c r="I22" s="36"/>
      <c r="J22" s="36"/>
      <c r="K22" s="36"/>
    </row>
    <row r="23" spans="1:23" ht="15.75" customHeight="1">
      <c r="A23" s="3"/>
      <c r="B23" s="3"/>
      <c r="C23" s="3"/>
      <c r="D23" s="3"/>
      <c r="E23" s="3"/>
      <c r="F23" s="3"/>
      <c r="G23" s="3"/>
      <c r="H23" s="4"/>
      <c r="I23" s="36"/>
      <c r="J23" s="36"/>
      <c r="K23" s="36"/>
    </row>
    <row r="24" spans="1:23" ht="15.75" customHeight="1">
      <c r="A24" s="3"/>
      <c r="B24" s="3"/>
      <c r="C24" s="3"/>
      <c r="D24" s="3"/>
      <c r="E24" s="3"/>
      <c r="F24" s="3"/>
      <c r="G24" s="3"/>
      <c r="H24" s="4"/>
      <c r="I24" s="36"/>
      <c r="J24" s="36"/>
      <c r="K24" s="36"/>
    </row>
    <row r="25" spans="1:23" ht="15.75" customHeight="1">
      <c r="A25" s="3"/>
      <c r="B25" s="3"/>
      <c r="C25" s="3"/>
      <c r="D25" s="3"/>
      <c r="E25" s="3"/>
      <c r="F25" s="3"/>
      <c r="G25" s="3"/>
      <c r="H25" s="4"/>
      <c r="I25" s="36"/>
      <c r="J25" s="36"/>
      <c r="K25" s="36"/>
    </row>
    <row r="26" spans="1:23" ht="15.75" customHeight="1">
      <c r="A26" s="3"/>
      <c r="B26" s="3"/>
      <c r="C26" s="3"/>
      <c r="D26" s="3"/>
      <c r="E26" s="3"/>
      <c r="F26" s="3"/>
      <c r="G26" s="3"/>
      <c r="H26" s="4"/>
      <c r="I26" s="36"/>
      <c r="J26" s="36"/>
      <c r="K26" s="36"/>
    </row>
    <row r="27" spans="1:23" ht="15.75" customHeight="1">
      <c r="A27" s="3"/>
      <c r="B27" s="3"/>
      <c r="C27" s="3"/>
      <c r="D27" s="3"/>
      <c r="E27" s="3"/>
      <c r="F27" s="3"/>
      <c r="G27" s="3"/>
      <c r="H27" s="4"/>
      <c r="I27" s="36"/>
      <c r="J27" s="36"/>
      <c r="K27" s="36"/>
    </row>
    <row r="28" spans="1:23" ht="15.75" customHeight="1">
      <c r="A28" s="3"/>
      <c r="B28" s="3"/>
      <c r="C28" s="3"/>
      <c r="D28" s="3"/>
      <c r="E28" s="3"/>
      <c r="F28" s="3"/>
      <c r="G28" s="3"/>
      <c r="H28" s="4"/>
      <c r="I28" s="36"/>
      <c r="J28" s="36"/>
      <c r="K28" s="36"/>
    </row>
    <row r="29" spans="1:23" ht="15.75" customHeight="1">
      <c r="A29" s="3"/>
      <c r="B29" s="3"/>
      <c r="C29" s="3"/>
      <c r="D29" s="3"/>
      <c r="E29" s="46"/>
      <c r="F29" s="46"/>
      <c r="G29" s="3"/>
      <c r="H29" s="4"/>
      <c r="I29" s="47"/>
      <c r="J29" s="47"/>
      <c r="K29" s="4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5.75" customHeight="1">
      <c r="A30" s="3"/>
      <c r="B30" s="3"/>
      <c r="C30" s="3"/>
      <c r="D30" s="3"/>
      <c r="E30" s="3"/>
      <c r="F30" s="3"/>
      <c r="G30" s="3"/>
      <c r="H30" s="4"/>
      <c r="I30" s="36"/>
      <c r="J30" s="36"/>
      <c r="K30" s="36"/>
    </row>
    <row r="31" spans="1:23" ht="15.75" customHeight="1">
      <c r="A31" s="3"/>
      <c r="B31" s="3"/>
      <c r="C31" s="3"/>
      <c r="D31" s="3"/>
      <c r="E31" s="3"/>
      <c r="F31" s="3"/>
      <c r="G31" s="3"/>
      <c r="H31" s="4"/>
      <c r="I31" s="36"/>
      <c r="J31" s="36"/>
      <c r="K31" s="36"/>
    </row>
    <row r="32" spans="1:23" ht="15.75" customHeight="1">
      <c r="A32" s="3"/>
      <c r="B32" s="3"/>
      <c r="C32" s="3"/>
      <c r="D32" s="3"/>
      <c r="E32" s="3"/>
      <c r="F32" s="3"/>
      <c r="G32" s="3"/>
      <c r="H32" s="4"/>
      <c r="I32" s="36"/>
      <c r="J32" s="36"/>
      <c r="K32" s="36"/>
    </row>
    <row r="33" spans="1:23" ht="15.75" customHeight="1">
      <c r="A33" s="3"/>
      <c r="B33" s="3"/>
      <c r="C33" s="3"/>
      <c r="D33" s="3"/>
      <c r="E33" s="3"/>
      <c r="F33" s="3"/>
      <c r="G33" s="3"/>
      <c r="H33" s="4"/>
      <c r="I33" s="36"/>
      <c r="J33" s="36"/>
      <c r="K33" s="36"/>
    </row>
    <row r="34" spans="1:23" ht="15.75" customHeight="1">
      <c r="A34" s="3"/>
      <c r="B34" s="3"/>
      <c r="C34" s="3"/>
      <c r="D34" s="3"/>
      <c r="E34" s="3"/>
      <c r="F34" s="3"/>
      <c r="G34" s="3"/>
      <c r="H34" s="4"/>
      <c r="I34" s="36"/>
      <c r="J34" s="36"/>
      <c r="K34" s="36"/>
    </row>
    <row r="35" spans="1:23" ht="15.75" customHeight="1">
      <c r="A35" s="3"/>
      <c r="B35" s="3"/>
      <c r="C35" s="3"/>
      <c r="D35" s="3"/>
      <c r="E35" s="3"/>
      <c r="F35" s="3"/>
      <c r="G35" s="3"/>
      <c r="H35" s="4"/>
      <c r="I35" s="36"/>
      <c r="J35" s="36"/>
      <c r="K35" s="36"/>
    </row>
    <row r="36" spans="1:23" ht="15.75" customHeight="1">
      <c r="A36" s="3"/>
      <c r="B36" s="3"/>
      <c r="C36" s="3"/>
      <c r="D36" s="3"/>
      <c r="E36" s="3"/>
      <c r="F36" s="3"/>
      <c r="G36" s="3"/>
      <c r="H36" s="4"/>
      <c r="I36" s="36"/>
      <c r="J36" s="36"/>
      <c r="K36" s="36"/>
    </row>
    <row r="37" spans="1:23" ht="15">
      <c r="A37" s="3"/>
      <c r="B37" s="3"/>
      <c r="C37" s="3"/>
      <c r="D37" s="3"/>
      <c r="E37" s="3"/>
      <c r="F37" s="3"/>
      <c r="G37" s="3"/>
      <c r="H37" s="4"/>
      <c r="I37" s="36"/>
      <c r="J37" s="36"/>
      <c r="K37" s="36"/>
    </row>
    <row r="38" spans="1:23" ht="15">
      <c r="A38" s="3"/>
      <c r="B38" s="3"/>
      <c r="C38" s="3"/>
      <c r="D38" s="3"/>
      <c r="E38" s="3"/>
      <c r="F38" s="3"/>
      <c r="G38" s="3"/>
      <c r="H38" s="4"/>
      <c r="I38" s="36"/>
      <c r="J38" s="36"/>
      <c r="K38" s="3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5">
      <c r="A39" s="3"/>
      <c r="B39" s="3"/>
      <c r="C39" s="3"/>
      <c r="D39" s="3"/>
      <c r="E39" s="3"/>
      <c r="F39" s="3"/>
      <c r="G39" s="3"/>
      <c r="H39" s="4"/>
      <c r="I39" s="36"/>
      <c r="J39" s="36"/>
      <c r="K39" s="36"/>
    </row>
    <row r="40" spans="1:23" ht="15">
      <c r="A40" s="3"/>
      <c r="B40" s="3"/>
      <c r="C40" s="3"/>
      <c r="D40" s="3"/>
      <c r="E40" s="3"/>
      <c r="F40" s="3"/>
      <c r="G40" s="3"/>
      <c r="H40" s="4"/>
      <c r="I40" s="36"/>
      <c r="J40" s="36"/>
      <c r="K40" s="36"/>
    </row>
    <row r="41" spans="1:23" ht="15">
      <c r="A41" s="3"/>
      <c r="B41" s="3"/>
      <c r="C41" s="3"/>
      <c r="D41" s="3"/>
      <c r="E41" s="3"/>
      <c r="F41" s="3"/>
      <c r="G41" s="3"/>
      <c r="H41" s="4"/>
      <c r="I41" s="36"/>
      <c r="J41" s="36"/>
      <c r="K41" s="36"/>
    </row>
    <row r="42" spans="1:23" ht="15">
      <c r="A42" s="3"/>
      <c r="B42" s="3"/>
      <c r="C42" s="3"/>
      <c r="D42" s="3"/>
      <c r="E42" s="3"/>
      <c r="F42" s="3"/>
      <c r="G42" s="3"/>
      <c r="H42" s="4"/>
      <c r="I42" s="36"/>
      <c r="J42" s="36"/>
      <c r="K42" s="36"/>
    </row>
    <row r="43" spans="1:23" ht="15">
      <c r="A43" s="3"/>
      <c r="B43" s="3"/>
      <c r="C43" s="3"/>
      <c r="D43" s="3"/>
      <c r="E43" s="3"/>
      <c r="F43" s="3"/>
      <c r="G43" s="3"/>
      <c r="H43" s="4"/>
      <c r="I43" s="36"/>
      <c r="J43" s="36"/>
      <c r="K43" s="36"/>
    </row>
    <row r="44" spans="1:23" ht="15">
      <c r="A44" s="3"/>
      <c r="B44" s="3"/>
      <c r="C44" s="3"/>
      <c r="D44" s="3"/>
      <c r="E44" s="3"/>
      <c r="F44" s="3"/>
      <c r="G44" s="3"/>
      <c r="H44" s="4"/>
      <c r="I44" s="36"/>
      <c r="J44" s="36"/>
      <c r="K44" s="36"/>
    </row>
    <row r="45" spans="1:23" ht="15">
      <c r="A45" s="3"/>
      <c r="B45" s="3"/>
      <c r="C45" s="3"/>
      <c r="D45" s="3"/>
      <c r="E45" s="3"/>
      <c r="F45" s="3"/>
      <c r="G45" s="3"/>
      <c r="H45" s="4"/>
      <c r="I45" s="36"/>
      <c r="J45" s="36"/>
      <c r="K45" s="36"/>
    </row>
    <row r="46" spans="1:23" ht="15">
      <c r="A46" s="3"/>
      <c r="B46" s="3"/>
      <c r="C46" s="3"/>
      <c r="D46" s="3"/>
      <c r="E46" s="3"/>
      <c r="F46" s="3"/>
      <c r="G46" s="3"/>
      <c r="H46" s="4"/>
      <c r="I46" s="36"/>
      <c r="J46" s="36"/>
      <c r="K46" s="36"/>
    </row>
    <row r="47" spans="1:23" ht="15">
      <c r="A47" s="3"/>
      <c r="B47" s="3"/>
      <c r="C47" s="3"/>
      <c r="D47" s="3"/>
      <c r="E47" s="3"/>
      <c r="F47" s="3"/>
      <c r="G47" s="3"/>
      <c r="H47" s="4"/>
      <c r="I47" s="36"/>
      <c r="J47" s="36"/>
      <c r="K47" s="36"/>
    </row>
    <row r="48" spans="1:23" ht="15">
      <c r="A48" s="3"/>
      <c r="B48" s="3"/>
      <c r="C48" s="3"/>
      <c r="D48" s="3"/>
      <c r="E48" s="3"/>
      <c r="F48" s="3"/>
      <c r="G48" s="3"/>
      <c r="H48" s="4"/>
      <c r="I48" s="36"/>
      <c r="J48" s="36"/>
      <c r="K48" s="36"/>
    </row>
    <row r="49" spans="1:11" ht="15">
      <c r="A49" s="3"/>
      <c r="B49" s="3"/>
      <c r="C49" s="3"/>
      <c r="D49" s="3"/>
      <c r="E49" s="3"/>
      <c r="F49" s="3"/>
      <c r="G49" s="3"/>
      <c r="H49" s="4"/>
      <c r="I49" s="36"/>
      <c r="J49" s="36"/>
      <c r="K49" s="36"/>
    </row>
    <row r="50" spans="1:11" ht="15">
      <c r="A50" s="3"/>
      <c r="B50" s="3"/>
      <c r="C50" s="3"/>
      <c r="D50" s="3"/>
      <c r="E50" s="3"/>
      <c r="F50" s="3"/>
      <c r="G50" s="3"/>
      <c r="H50" s="4"/>
      <c r="I50" s="36"/>
      <c r="J50" s="36"/>
      <c r="K50" s="36"/>
    </row>
    <row r="51" spans="1:11" ht="15">
      <c r="A51" s="3"/>
      <c r="B51" s="3"/>
      <c r="C51" s="3"/>
      <c r="D51" s="3"/>
      <c r="E51" s="3"/>
      <c r="F51" s="3"/>
      <c r="G51" s="3"/>
      <c r="H51" s="4"/>
      <c r="I51" s="36"/>
      <c r="J51" s="36"/>
      <c r="K51" s="36"/>
    </row>
    <row r="52" spans="1:11" ht="15">
      <c r="A52" s="3"/>
      <c r="B52" s="3"/>
      <c r="C52" s="3"/>
      <c r="D52" s="3"/>
      <c r="E52" s="3"/>
      <c r="F52" s="3"/>
      <c r="G52" s="3"/>
      <c r="H52" s="4"/>
      <c r="I52" s="36"/>
      <c r="J52" s="36"/>
      <c r="K52" s="36"/>
    </row>
    <row r="53" spans="1:11" ht="15">
      <c r="A53" s="3"/>
      <c r="B53" s="3"/>
      <c r="C53" s="3"/>
      <c r="D53" s="3"/>
      <c r="E53" s="3"/>
      <c r="F53" s="3"/>
      <c r="G53" s="3"/>
      <c r="H53" s="4"/>
      <c r="I53" s="36"/>
      <c r="J53" s="36"/>
      <c r="K53" s="36"/>
    </row>
    <row r="54" spans="1:11" ht="15">
      <c r="A54" s="3"/>
      <c r="B54" s="3"/>
      <c r="C54" s="3"/>
      <c r="D54" s="3"/>
      <c r="E54" s="3"/>
      <c r="F54" s="3"/>
      <c r="G54" s="3"/>
      <c r="H54" s="4"/>
      <c r="I54" s="36"/>
      <c r="J54" s="36"/>
      <c r="K54" s="36"/>
    </row>
    <row r="55" spans="1:11" ht="15">
      <c r="A55" s="3"/>
      <c r="B55" s="3"/>
      <c r="C55" s="3"/>
      <c r="D55" s="3"/>
      <c r="E55" s="3"/>
      <c r="F55" s="3"/>
      <c r="G55" s="3"/>
      <c r="H55" s="4"/>
      <c r="I55" s="36"/>
      <c r="J55" s="36"/>
      <c r="K55" s="36"/>
    </row>
    <row r="56" spans="1:11" ht="15">
      <c r="A56" s="3"/>
      <c r="B56" s="3"/>
      <c r="C56" s="3"/>
      <c r="D56" s="3"/>
      <c r="E56" s="3"/>
      <c r="F56" s="3"/>
      <c r="G56" s="3"/>
      <c r="H56" s="4"/>
      <c r="I56" s="36"/>
      <c r="J56" s="36"/>
      <c r="K56" s="36"/>
    </row>
    <row r="57" spans="1:11" ht="15">
      <c r="A57" s="3"/>
      <c r="B57" s="3"/>
      <c r="C57" s="3"/>
      <c r="D57" s="3"/>
      <c r="E57" s="3"/>
      <c r="F57" s="3"/>
      <c r="G57" s="3"/>
      <c r="H57" s="4"/>
      <c r="I57" s="36"/>
      <c r="J57" s="36"/>
      <c r="K57" s="36"/>
    </row>
    <row r="58" spans="1:11" ht="15">
      <c r="A58" s="3"/>
      <c r="B58" s="3"/>
      <c r="C58" s="3"/>
      <c r="D58" s="3"/>
      <c r="E58" s="3"/>
      <c r="F58" s="3"/>
      <c r="G58" s="3"/>
      <c r="H58" s="4"/>
      <c r="I58" s="36"/>
      <c r="J58" s="36"/>
      <c r="K58" s="36"/>
    </row>
    <row r="59" spans="1:11" ht="15">
      <c r="A59" s="3"/>
      <c r="B59" s="3"/>
      <c r="C59" s="3"/>
      <c r="D59" s="3"/>
      <c r="E59" s="3"/>
      <c r="F59" s="3"/>
      <c r="G59" s="3"/>
      <c r="H59" s="4"/>
      <c r="I59" s="36"/>
      <c r="J59" s="36"/>
      <c r="K59" s="36"/>
    </row>
    <row r="60" spans="1:11" ht="15">
      <c r="A60" s="3"/>
      <c r="B60" s="3"/>
      <c r="C60" s="3"/>
      <c r="D60" s="3"/>
      <c r="E60" s="3"/>
      <c r="F60" s="3"/>
      <c r="G60" s="3"/>
      <c r="H60" s="4"/>
      <c r="I60" s="36"/>
      <c r="J60" s="36"/>
      <c r="K60" s="36"/>
    </row>
    <row r="61" spans="1:11" ht="15">
      <c r="A61" s="3"/>
      <c r="B61" s="3"/>
      <c r="C61" s="3"/>
      <c r="D61" s="3"/>
      <c r="E61" s="3"/>
      <c r="F61" s="3"/>
      <c r="G61" s="3"/>
      <c r="H61" s="4"/>
      <c r="I61" s="36"/>
      <c r="J61" s="36"/>
      <c r="K61" s="36"/>
    </row>
    <row r="62" spans="1:11" ht="15">
      <c r="A62" s="3"/>
      <c r="B62" s="3"/>
      <c r="C62" s="3"/>
      <c r="D62" s="3"/>
      <c r="E62" s="3"/>
      <c r="F62" s="3"/>
      <c r="G62" s="3"/>
      <c r="H62" s="4"/>
      <c r="I62" s="36"/>
      <c r="J62" s="36"/>
      <c r="K62" s="36"/>
    </row>
    <row r="63" spans="1:11" ht="15">
      <c r="A63" s="3"/>
      <c r="B63" s="3"/>
      <c r="C63" s="3"/>
      <c r="D63" s="3"/>
      <c r="E63" s="3"/>
      <c r="F63" s="3"/>
      <c r="G63" s="3"/>
      <c r="H63" s="4"/>
      <c r="I63" s="36"/>
      <c r="J63" s="36"/>
      <c r="K63" s="36"/>
    </row>
    <row r="64" spans="1:11" ht="15">
      <c r="A64" s="3"/>
      <c r="B64" s="3"/>
      <c r="C64" s="3"/>
      <c r="D64" s="3"/>
      <c r="E64" s="3"/>
      <c r="F64" s="3"/>
      <c r="G64" s="3"/>
      <c r="H64" s="4"/>
      <c r="I64" s="36"/>
      <c r="J64" s="36"/>
      <c r="K64" s="36"/>
    </row>
    <row r="65" spans="1:23" ht="15">
      <c r="A65" s="3"/>
      <c r="B65" s="3"/>
      <c r="C65" s="3"/>
      <c r="D65" s="3"/>
      <c r="E65" s="3"/>
      <c r="F65" s="3"/>
      <c r="G65" s="3"/>
      <c r="H65" s="4"/>
      <c r="I65" s="36"/>
      <c r="J65" s="36"/>
      <c r="K65" s="36"/>
    </row>
    <row r="66" spans="1:23" ht="15">
      <c r="A66" s="3"/>
      <c r="B66" s="3"/>
      <c r="C66" s="3"/>
      <c r="D66" s="3"/>
      <c r="E66" s="3"/>
      <c r="F66" s="3"/>
      <c r="G66" s="3"/>
      <c r="H66" s="4"/>
      <c r="I66" s="36"/>
      <c r="J66" s="36"/>
      <c r="K66" s="36"/>
    </row>
    <row r="67" spans="1:23" ht="15">
      <c r="A67" s="3"/>
      <c r="B67" s="3"/>
      <c r="C67" s="3"/>
      <c r="D67" s="3"/>
      <c r="E67" s="3"/>
      <c r="F67" s="3"/>
      <c r="G67" s="3"/>
      <c r="H67" s="4"/>
      <c r="I67" s="36"/>
      <c r="J67" s="36"/>
      <c r="K67" s="36"/>
    </row>
    <row r="68" spans="1:23" ht="15">
      <c r="A68" s="3"/>
      <c r="B68" s="3"/>
      <c r="C68" s="3"/>
      <c r="D68" s="3"/>
      <c r="E68" s="3"/>
      <c r="F68" s="3"/>
      <c r="G68" s="3"/>
      <c r="H68" s="4"/>
      <c r="I68" s="36"/>
      <c r="J68" s="36"/>
      <c r="K68" s="36"/>
    </row>
    <row r="69" spans="1:23" ht="15">
      <c r="A69" s="3"/>
      <c r="B69" s="3"/>
      <c r="C69" s="3"/>
      <c r="D69" s="3"/>
      <c r="E69" s="3"/>
      <c r="F69" s="3"/>
      <c r="G69" s="3"/>
      <c r="H69" s="4"/>
      <c r="I69" s="36"/>
      <c r="J69" s="36"/>
      <c r="K69" s="36"/>
    </row>
    <row r="70" spans="1:23" ht="15">
      <c r="A70" s="3"/>
      <c r="B70" s="3"/>
      <c r="C70" s="3"/>
      <c r="D70" s="3"/>
      <c r="E70" s="3"/>
      <c r="F70" s="3"/>
      <c r="G70" s="3"/>
      <c r="H70" s="4"/>
      <c r="I70" s="36"/>
      <c r="J70" s="36"/>
      <c r="K70" s="36"/>
    </row>
    <row r="71" spans="1:23" ht="15">
      <c r="A71" s="3"/>
      <c r="B71" s="3"/>
      <c r="C71" s="3"/>
      <c r="D71" s="3"/>
      <c r="E71" s="3"/>
      <c r="F71" s="3"/>
      <c r="G71" s="3"/>
      <c r="H71" s="4"/>
      <c r="I71" s="36"/>
      <c r="J71" s="36"/>
      <c r="K71" s="36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5">
      <c r="A72" s="3"/>
      <c r="B72" s="3"/>
      <c r="C72" s="3"/>
      <c r="D72" s="3"/>
      <c r="E72" s="3"/>
      <c r="F72" s="3"/>
      <c r="G72" s="3"/>
      <c r="H72" s="4"/>
      <c r="I72" s="36"/>
      <c r="J72" s="36"/>
      <c r="K72" s="36"/>
    </row>
    <row r="73" spans="1:23" ht="15">
      <c r="A73" s="3"/>
      <c r="B73" s="3"/>
      <c r="C73" s="3"/>
      <c r="D73" s="3"/>
      <c r="E73" s="3"/>
      <c r="F73" s="3"/>
      <c r="G73" s="3"/>
      <c r="H73" s="4"/>
      <c r="I73" s="36"/>
      <c r="J73" s="36"/>
      <c r="K73" s="36"/>
    </row>
    <row r="74" spans="1:23" ht="15">
      <c r="A74" s="3"/>
      <c r="B74" s="3"/>
      <c r="C74" s="3"/>
      <c r="D74" s="3"/>
      <c r="E74" s="3"/>
      <c r="F74" s="3"/>
      <c r="G74" s="3"/>
      <c r="H74" s="4"/>
      <c r="I74" s="36"/>
      <c r="J74" s="36"/>
      <c r="K74" s="36"/>
    </row>
    <row r="75" spans="1:23" ht="15">
      <c r="A75" s="3"/>
      <c r="B75" s="3"/>
      <c r="C75" s="3"/>
      <c r="D75" s="3"/>
      <c r="E75" s="3"/>
      <c r="F75" s="3"/>
      <c r="G75" s="3"/>
      <c r="H75" s="4"/>
      <c r="I75" s="36"/>
      <c r="J75" s="36"/>
      <c r="K75" s="36"/>
    </row>
    <row r="76" spans="1:23" ht="15">
      <c r="A76" s="3"/>
      <c r="B76" s="3"/>
      <c r="C76" s="3"/>
      <c r="D76" s="3"/>
      <c r="E76" s="3"/>
      <c r="F76" s="3"/>
      <c r="G76" s="3"/>
      <c r="H76" s="4"/>
      <c r="I76" s="36"/>
      <c r="J76" s="36"/>
      <c r="K76" s="36"/>
    </row>
    <row r="77" spans="1:23" ht="15">
      <c r="A77" s="3"/>
      <c r="B77" s="3"/>
      <c r="C77" s="3"/>
      <c r="D77" s="3"/>
      <c r="E77" s="3"/>
      <c r="F77" s="3"/>
      <c r="G77" s="3"/>
      <c r="H77" s="4"/>
      <c r="I77" s="36"/>
      <c r="J77" s="36"/>
      <c r="K77" s="36"/>
    </row>
    <row r="78" spans="1:23" ht="15">
      <c r="A78" s="3"/>
      <c r="B78" s="3"/>
      <c r="C78" s="3"/>
      <c r="D78" s="3"/>
      <c r="E78" s="3"/>
      <c r="F78" s="3"/>
      <c r="G78" s="3"/>
      <c r="H78" s="4"/>
      <c r="I78" s="36"/>
      <c r="J78" s="36"/>
      <c r="K78" s="36"/>
      <c r="M78" s="34"/>
    </row>
    <row r="79" spans="1:23" ht="15">
      <c r="A79" s="3"/>
      <c r="B79" s="3"/>
      <c r="C79" s="3"/>
      <c r="D79" s="3"/>
      <c r="E79" s="3"/>
      <c r="F79" s="3"/>
      <c r="G79" s="3"/>
      <c r="H79" s="4"/>
      <c r="I79" s="36"/>
      <c r="J79" s="36"/>
      <c r="K79" s="36"/>
    </row>
    <row r="80" spans="1:23" ht="15">
      <c r="A80" s="3"/>
      <c r="B80" s="3"/>
      <c r="C80" s="3"/>
      <c r="D80" s="3"/>
      <c r="E80" s="3"/>
      <c r="F80" s="3"/>
      <c r="G80" s="3"/>
      <c r="H80" s="4"/>
      <c r="I80" s="36"/>
      <c r="J80" s="36"/>
      <c r="K80" s="36"/>
    </row>
    <row r="81" spans="1:11" ht="15">
      <c r="A81" s="3"/>
      <c r="B81" s="3"/>
      <c r="C81" s="3"/>
      <c r="D81" s="3"/>
      <c r="E81" s="3"/>
      <c r="F81" s="3"/>
      <c r="G81" s="3"/>
      <c r="H81" s="4"/>
      <c r="I81" s="36"/>
      <c r="J81" s="36"/>
      <c r="K81" s="36"/>
    </row>
    <row r="82" spans="1:11" ht="15">
      <c r="A82" s="3"/>
      <c r="B82" s="3"/>
      <c r="C82" s="3"/>
      <c r="D82" s="3"/>
      <c r="E82" s="3"/>
      <c r="F82" s="3"/>
      <c r="G82" s="3"/>
      <c r="H82" s="4"/>
      <c r="I82" s="36"/>
      <c r="J82" s="36"/>
      <c r="K82" s="36"/>
    </row>
    <row r="83" spans="1:11" ht="15">
      <c r="A83" s="3"/>
      <c r="B83" s="3"/>
      <c r="C83" s="3"/>
      <c r="D83" s="3"/>
      <c r="E83" s="3"/>
      <c r="F83" s="3"/>
      <c r="G83" s="3"/>
      <c r="H83" s="4"/>
      <c r="I83" s="36"/>
      <c r="J83" s="36"/>
      <c r="K83" s="36"/>
    </row>
    <row r="84" spans="1:11" ht="15">
      <c r="A84" s="3"/>
      <c r="B84" s="3"/>
      <c r="C84" s="3"/>
      <c r="D84" s="3"/>
      <c r="E84" s="3"/>
      <c r="F84" s="3"/>
      <c r="G84" s="3"/>
      <c r="H84" s="4"/>
      <c r="I84" s="36"/>
      <c r="J84" s="36"/>
      <c r="K84" s="36"/>
    </row>
    <row r="85" spans="1:11" ht="15">
      <c r="A85" s="3"/>
      <c r="B85" s="3"/>
      <c r="C85" s="3"/>
      <c r="D85" s="3"/>
      <c r="E85" s="3"/>
      <c r="F85" s="3"/>
      <c r="G85" s="3"/>
      <c r="H85" s="4"/>
      <c r="I85" s="36"/>
      <c r="J85" s="36"/>
      <c r="K85" s="36"/>
    </row>
    <row r="86" spans="1:11" ht="15">
      <c r="A86" s="3"/>
      <c r="B86" s="3"/>
      <c r="C86" s="3"/>
      <c r="D86" s="3"/>
      <c r="E86" s="3"/>
      <c r="F86" s="3"/>
      <c r="G86" s="3"/>
      <c r="H86" s="4"/>
      <c r="I86" s="36"/>
      <c r="J86" s="36"/>
      <c r="K86" s="36"/>
    </row>
    <row r="87" spans="1:11" ht="15">
      <c r="A87" s="3"/>
      <c r="B87" s="3"/>
      <c r="C87" s="3"/>
      <c r="D87" s="3"/>
      <c r="E87" s="3"/>
      <c r="F87" s="3"/>
      <c r="G87" s="3"/>
      <c r="H87" s="4"/>
      <c r="I87" s="36"/>
      <c r="J87" s="36"/>
      <c r="K87" s="36"/>
    </row>
    <row r="88" spans="1:11" ht="15">
      <c r="A88" s="3"/>
      <c r="B88" s="3"/>
      <c r="C88" s="3"/>
      <c r="D88" s="3"/>
      <c r="E88" s="3"/>
      <c r="F88" s="3"/>
      <c r="G88" s="3"/>
      <c r="H88" s="4"/>
      <c r="I88" s="36"/>
      <c r="J88" s="36"/>
      <c r="K88" s="36"/>
    </row>
    <row r="89" spans="1:11" ht="15">
      <c r="A89" s="3"/>
      <c r="B89" s="3"/>
      <c r="C89" s="3"/>
      <c r="D89" s="3"/>
      <c r="E89" s="3"/>
      <c r="F89" s="3"/>
      <c r="G89" s="3"/>
      <c r="H89" s="4"/>
      <c r="I89" s="36"/>
      <c r="J89" s="36"/>
      <c r="K89" s="36"/>
    </row>
    <row r="90" spans="1:11" ht="15">
      <c r="A90" s="3"/>
      <c r="B90" s="3"/>
      <c r="C90" s="3"/>
      <c r="D90" s="3"/>
      <c r="E90" s="3"/>
      <c r="F90" s="3"/>
      <c r="G90" s="3"/>
      <c r="H90" s="4"/>
      <c r="I90" s="36"/>
      <c r="J90" s="36"/>
      <c r="K90" s="36"/>
    </row>
    <row r="91" spans="1:11" ht="15">
      <c r="A91" s="3"/>
      <c r="B91" s="3"/>
      <c r="C91" s="3"/>
      <c r="D91" s="3"/>
      <c r="E91" s="3"/>
      <c r="F91" s="3"/>
      <c r="G91" s="3"/>
      <c r="H91" s="4"/>
      <c r="I91" s="36"/>
      <c r="J91" s="36"/>
      <c r="K91" s="36"/>
    </row>
    <row r="92" spans="1:11" ht="15">
      <c r="A92" s="3"/>
      <c r="B92" s="3"/>
      <c r="C92" s="3"/>
      <c r="D92" s="3"/>
      <c r="E92" s="3"/>
      <c r="F92" s="3"/>
      <c r="G92" s="3"/>
      <c r="H92" s="4"/>
      <c r="I92" s="36"/>
      <c r="J92" s="36"/>
      <c r="K92" s="36"/>
    </row>
    <row r="93" spans="1:11" ht="15">
      <c r="A93" s="3"/>
      <c r="B93" s="3"/>
      <c r="C93" s="3"/>
      <c r="D93" s="3"/>
      <c r="E93" s="3"/>
      <c r="F93" s="3"/>
      <c r="G93" s="3"/>
      <c r="H93" s="4"/>
      <c r="I93" s="36"/>
      <c r="J93" s="36"/>
      <c r="K93" s="36"/>
    </row>
    <row r="94" spans="1:11" ht="15">
      <c r="A94" s="3"/>
      <c r="B94" s="3"/>
      <c r="C94" s="3"/>
      <c r="D94" s="3"/>
      <c r="E94" s="3"/>
      <c r="F94" s="3"/>
      <c r="G94" s="3"/>
      <c r="H94" s="4"/>
      <c r="I94" s="36"/>
      <c r="J94" s="36"/>
      <c r="K94" s="36"/>
    </row>
    <row r="95" spans="1:11" ht="15">
      <c r="A95" s="3"/>
      <c r="B95" s="3"/>
      <c r="C95" s="3"/>
      <c r="D95" s="3"/>
      <c r="E95" s="3"/>
      <c r="F95" s="3"/>
      <c r="G95" s="3"/>
      <c r="H95" s="4"/>
      <c r="I95" s="36"/>
      <c r="J95" s="36"/>
      <c r="K95" s="36"/>
    </row>
    <row r="96" spans="1:11" ht="15">
      <c r="A96" s="3"/>
      <c r="B96" s="3"/>
      <c r="C96" s="3"/>
      <c r="D96" s="3"/>
      <c r="E96" s="3"/>
      <c r="F96" s="3"/>
      <c r="G96" s="3"/>
      <c r="H96" s="4"/>
      <c r="I96" s="36"/>
      <c r="J96" s="36"/>
      <c r="K96" s="36"/>
    </row>
    <row r="97" spans="1:11" ht="15">
      <c r="A97" s="3"/>
      <c r="B97" s="3"/>
      <c r="C97" s="3"/>
      <c r="D97" s="3"/>
      <c r="E97" s="3"/>
      <c r="F97" s="3"/>
      <c r="G97" s="3"/>
      <c r="H97" s="4"/>
      <c r="I97" s="36"/>
      <c r="J97" s="36"/>
      <c r="K97" s="36"/>
    </row>
    <row r="98" spans="1:11" ht="15">
      <c r="A98" s="3"/>
      <c r="B98" s="3"/>
      <c r="C98" s="3"/>
      <c r="D98" s="3"/>
      <c r="E98" s="3"/>
      <c r="F98" s="3"/>
      <c r="G98" s="3"/>
      <c r="H98" s="4"/>
      <c r="I98" s="36"/>
      <c r="J98" s="36"/>
      <c r="K98" s="36"/>
    </row>
    <row r="99" spans="1:11" ht="15">
      <c r="A99" s="3"/>
      <c r="B99" s="3"/>
      <c r="C99" s="3"/>
      <c r="D99" s="3"/>
      <c r="E99" s="3"/>
      <c r="F99" s="3"/>
      <c r="G99" s="3"/>
      <c r="H99" s="4"/>
      <c r="I99" s="36"/>
      <c r="J99" s="36"/>
      <c r="K99" s="36"/>
    </row>
    <row r="100" spans="1:11" ht="15">
      <c r="A100" s="3"/>
      <c r="B100" s="3"/>
      <c r="C100" s="3"/>
      <c r="D100" s="3"/>
      <c r="E100" s="3"/>
      <c r="F100" s="3"/>
      <c r="G100" s="3"/>
      <c r="H100" s="4"/>
      <c r="I100" s="36"/>
      <c r="J100" s="36"/>
      <c r="K100" s="36"/>
    </row>
    <row r="101" spans="1:11" ht="15">
      <c r="A101" s="3"/>
      <c r="B101" s="3"/>
      <c r="C101" s="3"/>
      <c r="D101" s="3"/>
      <c r="E101" s="3"/>
      <c r="F101" s="3"/>
      <c r="G101" s="3"/>
      <c r="H101" s="4"/>
      <c r="I101" s="36"/>
      <c r="J101" s="36"/>
      <c r="K101" s="36"/>
    </row>
    <row r="102" spans="1:11" ht="15">
      <c r="A102" s="3"/>
      <c r="B102" s="3"/>
      <c r="C102" s="3"/>
      <c r="D102" s="3"/>
      <c r="E102" s="3"/>
      <c r="F102" s="3"/>
      <c r="G102" s="3"/>
      <c r="H102" s="4"/>
      <c r="I102" s="36"/>
      <c r="J102" s="36"/>
      <c r="K102" s="36"/>
    </row>
    <row r="103" spans="1:11" ht="15">
      <c r="A103" s="3"/>
      <c r="B103" s="3"/>
      <c r="C103" s="3"/>
      <c r="D103" s="3"/>
      <c r="E103" s="3"/>
      <c r="F103" s="3"/>
      <c r="G103" s="3"/>
      <c r="H103" s="4"/>
      <c r="I103" s="36"/>
      <c r="J103" s="36"/>
      <c r="K103" s="36"/>
    </row>
    <row r="104" spans="1:11" ht="15">
      <c r="A104" s="3"/>
      <c r="B104" s="3"/>
      <c r="C104" s="3"/>
      <c r="D104" s="3"/>
      <c r="E104" s="3"/>
      <c r="F104" s="3"/>
      <c r="G104" s="3"/>
      <c r="H104" s="4"/>
      <c r="I104" s="36"/>
      <c r="J104" s="36"/>
      <c r="K104" s="36"/>
    </row>
    <row r="105" spans="1:11" ht="15">
      <c r="A105" s="3"/>
      <c r="B105" s="3"/>
      <c r="C105" s="3"/>
      <c r="D105" s="3"/>
      <c r="E105" s="3"/>
      <c r="F105" s="3"/>
      <c r="G105" s="3"/>
      <c r="H105" s="4"/>
      <c r="I105" s="36"/>
      <c r="J105" s="36"/>
      <c r="K105" s="36"/>
    </row>
    <row r="106" spans="1:11" ht="15">
      <c r="A106" s="3"/>
      <c r="B106" s="3"/>
      <c r="C106" s="3"/>
      <c r="D106" s="3"/>
      <c r="E106" s="3"/>
      <c r="F106" s="3"/>
      <c r="G106" s="3"/>
      <c r="H106" s="4"/>
      <c r="I106" s="36"/>
      <c r="J106" s="36"/>
      <c r="K106" s="36"/>
    </row>
    <row r="107" spans="1:11" ht="15">
      <c r="A107" s="3"/>
      <c r="B107" s="3"/>
      <c r="C107" s="3"/>
      <c r="D107" s="3"/>
      <c r="E107" s="3"/>
      <c r="F107" s="3"/>
      <c r="G107" s="3"/>
      <c r="H107" s="4"/>
      <c r="I107" s="36"/>
      <c r="J107" s="36"/>
      <c r="K107" s="36"/>
    </row>
    <row r="108" spans="1:11" ht="15">
      <c r="A108" s="3"/>
      <c r="B108" s="3"/>
      <c r="C108" s="3"/>
      <c r="D108" s="3"/>
      <c r="E108" s="3"/>
      <c r="F108" s="3"/>
      <c r="G108" s="3"/>
      <c r="H108" s="4"/>
      <c r="I108" s="36"/>
      <c r="J108" s="36"/>
      <c r="K108" s="36"/>
    </row>
    <row r="109" spans="1:11" ht="15">
      <c r="A109" s="3"/>
      <c r="B109" s="3"/>
      <c r="C109" s="3"/>
      <c r="D109" s="3"/>
      <c r="E109" s="3"/>
      <c r="F109" s="3"/>
      <c r="G109" s="3"/>
      <c r="H109" s="4"/>
      <c r="I109" s="36"/>
      <c r="J109" s="36"/>
      <c r="K109" s="36"/>
    </row>
    <row r="110" spans="1:11" ht="15">
      <c r="A110" s="3"/>
      <c r="B110" s="3"/>
      <c r="C110" s="3"/>
      <c r="D110" s="3"/>
      <c r="E110" s="3"/>
      <c r="F110" s="3"/>
      <c r="G110" s="3"/>
      <c r="H110" s="4"/>
      <c r="I110" s="36"/>
      <c r="J110" s="36"/>
      <c r="K110" s="36"/>
    </row>
    <row r="111" spans="1:11" ht="15">
      <c r="A111" s="3"/>
      <c r="B111" s="3"/>
      <c r="C111" s="3"/>
      <c r="D111" s="3"/>
      <c r="E111" s="3"/>
      <c r="F111" s="3"/>
      <c r="G111" s="3"/>
      <c r="H111" s="4"/>
      <c r="I111" s="36"/>
      <c r="J111" s="36"/>
      <c r="K111" s="36"/>
    </row>
    <row r="112" spans="1:11" ht="15">
      <c r="A112" s="3"/>
      <c r="B112" s="3"/>
      <c r="C112" s="3"/>
      <c r="D112" s="3"/>
      <c r="E112" s="3"/>
      <c r="F112" s="3"/>
      <c r="G112" s="3"/>
      <c r="H112" s="4"/>
      <c r="I112" s="36"/>
      <c r="J112" s="36"/>
      <c r="K112" s="36"/>
    </row>
    <row r="113" spans="1:11" ht="15">
      <c r="A113" s="3"/>
      <c r="B113" s="3"/>
      <c r="C113" s="3"/>
      <c r="D113" s="3"/>
      <c r="E113" s="3"/>
      <c r="F113" s="3"/>
      <c r="G113" s="3"/>
      <c r="H113" s="4"/>
      <c r="I113" s="36"/>
      <c r="J113" s="36"/>
      <c r="K113" s="36"/>
    </row>
    <row r="114" spans="1:11" ht="15">
      <c r="A114" s="3"/>
      <c r="B114" s="3"/>
      <c r="C114" s="3"/>
      <c r="D114" s="3"/>
      <c r="E114" s="3"/>
      <c r="F114" s="3"/>
      <c r="G114" s="3"/>
      <c r="H114" s="4"/>
      <c r="I114" s="36"/>
      <c r="J114" s="36"/>
      <c r="K114" s="36"/>
    </row>
    <row r="115" spans="1:11" ht="15">
      <c r="A115" s="3"/>
      <c r="B115" s="3"/>
      <c r="C115" s="3"/>
      <c r="D115" s="3"/>
      <c r="E115" s="3"/>
      <c r="F115" s="3"/>
      <c r="G115" s="3"/>
      <c r="H115" s="4"/>
      <c r="I115" s="36"/>
      <c r="J115" s="36"/>
      <c r="K115" s="36"/>
    </row>
    <row r="116" spans="1:11" ht="15">
      <c r="A116" s="3"/>
      <c r="B116" s="3"/>
      <c r="C116" s="3"/>
      <c r="D116" s="3"/>
      <c r="E116" s="3"/>
      <c r="F116" s="3"/>
      <c r="G116" s="3"/>
      <c r="H116" s="4"/>
      <c r="I116" s="36"/>
      <c r="J116" s="36"/>
      <c r="K116" s="36"/>
    </row>
    <row r="117" spans="1:11" ht="15">
      <c r="A117" s="3"/>
      <c r="B117" s="3"/>
      <c r="C117" s="3"/>
      <c r="D117" s="3"/>
      <c r="E117" s="3"/>
      <c r="F117" s="3"/>
      <c r="G117" s="3"/>
      <c r="H117" s="4"/>
      <c r="I117" s="36"/>
      <c r="J117" s="36"/>
      <c r="K117" s="36"/>
    </row>
    <row r="118" spans="1:11" ht="15">
      <c r="A118" s="3"/>
      <c r="B118" s="3"/>
      <c r="C118" s="3"/>
      <c r="D118" s="3"/>
      <c r="E118" s="3"/>
      <c r="F118" s="3"/>
      <c r="G118" s="3"/>
      <c r="H118" s="4"/>
      <c r="I118" s="36"/>
      <c r="J118" s="36"/>
      <c r="K118" s="36"/>
    </row>
    <row r="119" spans="1:11" ht="15">
      <c r="A119" s="3"/>
      <c r="B119" s="3"/>
      <c r="C119" s="3"/>
      <c r="D119" s="3"/>
      <c r="E119" s="3"/>
      <c r="F119" s="3"/>
      <c r="G119" s="3"/>
      <c r="H119" s="4"/>
      <c r="I119" s="36"/>
      <c r="J119" s="36"/>
      <c r="K119" s="36"/>
    </row>
  </sheetData>
  <autoFilter ref="A1:K1010" xr:uid="{00000000-0009-0000-0000-000004000000}"/>
  <customSheetViews>
    <customSheetView guid="{5B966157-D76D-4ACD-A64E-35B71110F4A8}" filter="1" showAutoFilter="1">
      <pageMargins left="0.7" right="0.7" top="0.75" bottom="0.75" header="0.3" footer="0.3"/>
      <autoFilter ref="A1:K1010" xr:uid="{4EAFFF7A-372C-4F4D-85BA-CAFDD7AD8F9A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Specialized Tarmac Pro"/>
            <filter val="Specialized Venge S-Works"/>
            <filter val="Tron (Concept Z1)"/>
          </filters>
        </filterColumn>
        <filterColumn colId="6">
          <filters blank="1">
            <filter val="Lightweight Meilenstein"/>
            <filter val="Tron (Concept Z1)"/>
            <filter val="Zipp 858"/>
            <filter val="Zipp 858/Super9"/>
          </filters>
        </filterColumn>
      </autoFilter>
    </customSheetView>
  </customSheetViews>
  <conditionalFormatting sqref="I1:J1 K1:K1176 I20:J1176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L2" r:id="rId1" xr:uid="{00000000-0004-0000-0400-000000000000}"/>
    <hyperlink ref="L3" r:id="rId2" xr:uid="{00000000-0004-0000-0400-000001000000}"/>
    <hyperlink ref="L4" r:id="rId3" xr:uid="{00000000-0004-0000-0400-000002000000}"/>
    <hyperlink ref="L5" r:id="rId4" xr:uid="{00000000-0004-0000-0400-000003000000}"/>
    <hyperlink ref="L6" r:id="rId5" xr:uid="{00000000-0004-0000-0400-000004000000}"/>
    <hyperlink ref="L7" r:id="rId6" xr:uid="{00000000-0004-0000-04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7.85546875" customWidth="1"/>
    <col min="5" max="5" width="25.5703125" customWidth="1"/>
    <col min="6" max="6" width="7.42578125" customWidth="1"/>
    <col min="7" max="7" width="28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429</v>
      </c>
      <c r="J1" s="1" t="s">
        <v>430</v>
      </c>
      <c r="K1" s="1" t="s">
        <v>8</v>
      </c>
    </row>
    <row r="2" spans="1:11" ht="15.75" customHeight="1">
      <c r="A2" s="3">
        <v>75</v>
      </c>
      <c r="B2" s="3">
        <v>300</v>
      </c>
      <c r="C2" s="3">
        <f t="shared" ref="C2:C10" si="0">B2/A2</f>
        <v>4</v>
      </c>
      <c r="D2" s="3">
        <v>183</v>
      </c>
      <c r="E2" s="3" t="s">
        <v>19</v>
      </c>
      <c r="F2" s="3" t="s">
        <v>10</v>
      </c>
      <c r="G2" s="3" t="s">
        <v>91</v>
      </c>
      <c r="H2" s="4">
        <v>1.5833333333333335E-2</v>
      </c>
      <c r="I2" s="4">
        <v>2.2916666666666667E-3</v>
      </c>
      <c r="J2" s="36">
        <f t="shared" ref="J2:J10" si="1">1-(PERCENTRANK(H:H,H2,4))</f>
        <v>0.19999999999999996</v>
      </c>
      <c r="K2" s="21" t="s">
        <v>437</v>
      </c>
    </row>
    <row r="3" spans="1:11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94</v>
      </c>
      <c r="F3" s="3" t="s">
        <v>10</v>
      </c>
      <c r="G3" s="3" t="s">
        <v>111</v>
      </c>
      <c r="H3" s="4">
        <v>1.5879629629629629E-2</v>
      </c>
      <c r="I3" s="4">
        <v>2.2800925925925927E-3</v>
      </c>
      <c r="J3" s="36">
        <f t="shared" si="1"/>
        <v>0</v>
      </c>
      <c r="K3" s="21" t="s">
        <v>438</v>
      </c>
    </row>
    <row r="4" spans="1:11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 t="s">
        <v>9</v>
      </c>
      <c r="F4" s="3" t="s">
        <v>10</v>
      </c>
      <c r="G4" s="3" t="s">
        <v>11</v>
      </c>
      <c r="H4" s="4">
        <v>1.5717592592592592E-2</v>
      </c>
      <c r="I4" s="4">
        <v>2.2800925925925927E-3</v>
      </c>
      <c r="J4" s="36">
        <f t="shared" si="1"/>
        <v>1</v>
      </c>
      <c r="K4" s="21" t="s">
        <v>439</v>
      </c>
    </row>
    <row r="5" spans="1:11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3" t="s">
        <v>351</v>
      </c>
      <c r="F5" s="3" t="s">
        <v>10</v>
      </c>
      <c r="G5" s="3" t="s">
        <v>351</v>
      </c>
      <c r="H5" s="4">
        <v>1.5717592592592592E-2</v>
      </c>
      <c r="I5" s="4">
        <v>2.2685185185185187E-3</v>
      </c>
      <c r="J5" s="36">
        <f t="shared" si="1"/>
        <v>1</v>
      </c>
      <c r="K5" s="21" t="s">
        <v>440</v>
      </c>
    </row>
    <row r="6" spans="1:11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 t="s">
        <v>9</v>
      </c>
      <c r="F6" s="3"/>
      <c r="G6" s="3" t="s">
        <v>79</v>
      </c>
      <c r="H6" s="4">
        <v>1.5740740740740739E-2</v>
      </c>
      <c r="I6" s="4">
        <v>2.2685185185185187E-3</v>
      </c>
      <c r="J6" s="36">
        <f t="shared" si="1"/>
        <v>0.6</v>
      </c>
      <c r="K6" s="21" t="s">
        <v>441</v>
      </c>
    </row>
    <row r="7" spans="1:11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 t="s">
        <v>94</v>
      </c>
      <c r="F7" s="3"/>
      <c r="G7" s="3" t="s">
        <v>88</v>
      </c>
      <c r="H7" s="4">
        <v>1.579861111111111E-2</v>
      </c>
      <c r="I7" s="4">
        <v>2.2685185185185187E-3</v>
      </c>
      <c r="J7" s="36">
        <f t="shared" si="1"/>
        <v>0.4</v>
      </c>
      <c r="K7" s="21" t="s">
        <v>442</v>
      </c>
    </row>
    <row r="8" spans="1:11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/>
      <c r="F8" s="3"/>
      <c r="G8" s="3"/>
      <c r="H8" s="4"/>
      <c r="I8" s="4"/>
      <c r="J8" s="36" t="e">
        <f t="shared" si="1"/>
        <v>#N/A</v>
      </c>
    </row>
    <row r="9" spans="1:11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3"/>
      <c r="F9" s="3"/>
      <c r="G9" s="3"/>
      <c r="H9" s="4"/>
      <c r="I9" s="4"/>
      <c r="J9" s="36" t="e">
        <f t="shared" si="1"/>
        <v>#N/A</v>
      </c>
    </row>
    <row r="10" spans="1:11" ht="15.75" customHeight="1">
      <c r="A10" s="3">
        <v>75</v>
      </c>
      <c r="B10" s="3">
        <v>300</v>
      </c>
      <c r="C10" s="3">
        <f t="shared" si="0"/>
        <v>4</v>
      </c>
      <c r="D10" s="3">
        <v>183</v>
      </c>
      <c r="E10" s="3"/>
      <c r="F10" s="3"/>
      <c r="G10" s="3"/>
      <c r="H10" s="4"/>
      <c r="I10" s="4"/>
      <c r="J10" s="36" t="e">
        <f t="shared" si="1"/>
        <v>#N/A</v>
      </c>
    </row>
    <row r="11" spans="1:11" ht="15.75" customHeight="1">
      <c r="A11" s="3"/>
      <c r="B11" s="3"/>
      <c r="C11" s="3"/>
      <c r="D11" s="3"/>
      <c r="E11" s="3"/>
      <c r="F11" s="3"/>
      <c r="G11" s="3"/>
      <c r="H11" s="4"/>
      <c r="I11" s="4"/>
      <c r="J11" s="36"/>
    </row>
    <row r="12" spans="1:11" ht="15.75" customHeight="1">
      <c r="A12" s="3"/>
      <c r="B12" s="3"/>
      <c r="C12" s="3"/>
      <c r="D12" s="3"/>
      <c r="E12" s="3"/>
      <c r="F12" s="3"/>
      <c r="G12" s="3"/>
      <c r="H12" s="4"/>
      <c r="I12" s="4"/>
      <c r="J12" s="36"/>
    </row>
    <row r="13" spans="1:11" ht="15.75" customHeight="1">
      <c r="A13" s="3"/>
      <c r="B13" s="3"/>
      <c r="C13" s="3"/>
      <c r="D13" s="3"/>
      <c r="E13" s="3"/>
      <c r="F13" s="3"/>
      <c r="G13" s="3"/>
      <c r="H13" s="4"/>
      <c r="I13" s="4"/>
      <c r="J13" s="36"/>
    </row>
    <row r="14" spans="1:11" ht="15.75" customHeight="1">
      <c r="A14" s="3"/>
      <c r="B14" s="3"/>
      <c r="C14" s="3"/>
      <c r="D14" s="3"/>
      <c r="E14" s="3"/>
      <c r="F14" s="3"/>
      <c r="G14" s="3"/>
      <c r="H14" s="4"/>
      <c r="I14" s="4"/>
      <c r="J14" s="36"/>
    </row>
    <row r="15" spans="1:11" ht="15.75" customHeight="1">
      <c r="A15" s="3"/>
      <c r="B15" s="3"/>
      <c r="C15" s="3"/>
      <c r="D15" s="3"/>
      <c r="E15" s="3"/>
      <c r="F15" s="3"/>
      <c r="G15" s="3"/>
      <c r="H15" s="4"/>
      <c r="I15" s="4"/>
      <c r="J15" s="36"/>
    </row>
    <row r="16" spans="1:11" ht="15.75" customHeight="1">
      <c r="A16" s="3"/>
      <c r="B16" s="3"/>
      <c r="C16" s="3"/>
      <c r="D16" s="3"/>
      <c r="E16" s="3"/>
      <c r="F16" s="3"/>
      <c r="G16" s="3"/>
      <c r="H16" s="4"/>
      <c r="I16" s="4"/>
      <c r="J16" s="36"/>
    </row>
    <row r="17" spans="1:22" ht="15.75" customHeight="1">
      <c r="A17" s="3"/>
      <c r="B17" s="3"/>
      <c r="C17" s="3"/>
      <c r="D17" s="3"/>
      <c r="E17" s="3"/>
      <c r="F17" s="3"/>
      <c r="G17" s="3"/>
      <c r="H17" s="4"/>
      <c r="I17" s="4"/>
      <c r="J17" s="36"/>
    </row>
    <row r="18" spans="1:22" ht="15.75" customHeight="1">
      <c r="A18" s="3"/>
      <c r="B18" s="3"/>
      <c r="C18" s="3"/>
      <c r="D18" s="3"/>
      <c r="E18" s="3"/>
      <c r="F18" s="3"/>
      <c r="G18" s="3"/>
      <c r="H18" s="4"/>
      <c r="I18" s="4"/>
      <c r="J18" s="36"/>
    </row>
    <row r="19" spans="1:22" ht="15.75" customHeight="1">
      <c r="A19" s="3"/>
      <c r="B19" s="3"/>
      <c r="C19" s="3"/>
      <c r="D19" s="3"/>
      <c r="E19" s="3"/>
      <c r="F19" s="3"/>
      <c r="G19" s="3"/>
      <c r="H19" s="4"/>
      <c r="I19" s="4"/>
      <c r="J19" s="36"/>
    </row>
    <row r="20" spans="1:22" ht="15.75" customHeight="1">
      <c r="A20" s="3"/>
      <c r="B20" s="3"/>
      <c r="C20" s="3"/>
      <c r="D20" s="3"/>
      <c r="E20" s="3"/>
      <c r="F20" s="3"/>
      <c r="G20" s="3"/>
      <c r="H20" s="4"/>
      <c r="I20" s="36"/>
      <c r="J20" s="36"/>
    </row>
    <row r="21" spans="1:22" ht="15.75" customHeight="1">
      <c r="A21" s="3"/>
      <c r="B21" s="3"/>
      <c r="C21" s="3"/>
      <c r="D21" s="3"/>
      <c r="E21" s="3"/>
      <c r="F21" s="3"/>
      <c r="G21" s="3"/>
      <c r="H21" s="4"/>
      <c r="I21" s="36"/>
      <c r="J21" s="36"/>
    </row>
    <row r="22" spans="1:22" ht="15.75" customHeight="1">
      <c r="A22" s="3"/>
      <c r="B22" s="3"/>
      <c r="C22" s="3"/>
      <c r="D22" s="3"/>
      <c r="E22" s="3"/>
      <c r="F22" s="3"/>
      <c r="G22" s="3"/>
      <c r="H22" s="4"/>
      <c r="I22" s="36"/>
      <c r="J22" s="36"/>
    </row>
    <row r="23" spans="1:22" ht="15.75" customHeight="1">
      <c r="A23" s="3"/>
      <c r="B23" s="3"/>
      <c r="C23" s="3"/>
      <c r="D23" s="3"/>
      <c r="E23" s="3"/>
      <c r="F23" s="3"/>
      <c r="G23" s="3"/>
      <c r="H23" s="4"/>
      <c r="I23" s="36"/>
      <c r="J23" s="36"/>
    </row>
    <row r="24" spans="1:22" ht="15.75" customHeight="1">
      <c r="A24" s="3"/>
      <c r="B24" s="3"/>
      <c r="C24" s="3"/>
      <c r="D24" s="3"/>
      <c r="E24" s="3"/>
      <c r="F24" s="3"/>
      <c r="G24" s="3"/>
      <c r="H24" s="4"/>
      <c r="I24" s="36"/>
      <c r="J24" s="36"/>
    </row>
    <row r="25" spans="1:22" ht="15.75" customHeight="1">
      <c r="A25" s="3"/>
      <c r="B25" s="3"/>
      <c r="C25" s="3"/>
      <c r="D25" s="3"/>
      <c r="E25" s="3"/>
      <c r="F25" s="3"/>
      <c r="G25" s="3"/>
      <c r="H25" s="4"/>
      <c r="I25" s="36"/>
      <c r="J25" s="36"/>
    </row>
    <row r="26" spans="1:22" ht="15.75" customHeight="1">
      <c r="A26" s="3"/>
      <c r="B26" s="3"/>
      <c r="C26" s="3"/>
      <c r="D26" s="3"/>
      <c r="E26" s="3"/>
      <c r="F26" s="3"/>
      <c r="G26" s="3"/>
      <c r="H26" s="4"/>
      <c r="I26" s="36"/>
      <c r="J26" s="36"/>
    </row>
    <row r="27" spans="1:22" ht="15.75" customHeight="1">
      <c r="A27" s="3"/>
      <c r="B27" s="3"/>
      <c r="C27" s="3"/>
      <c r="D27" s="3"/>
      <c r="E27" s="3"/>
      <c r="F27" s="3"/>
      <c r="G27" s="3"/>
      <c r="H27" s="4"/>
      <c r="I27" s="36"/>
      <c r="J27" s="36"/>
    </row>
    <row r="28" spans="1:22" ht="15.75" customHeight="1">
      <c r="A28" s="3"/>
      <c r="B28" s="3"/>
      <c r="C28" s="3"/>
      <c r="D28" s="3"/>
      <c r="E28" s="3"/>
      <c r="F28" s="3"/>
      <c r="G28" s="3"/>
      <c r="H28" s="4"/>
      <c r="I28" s="36"/>
      <c r="J28" s="36"/>
    </row>
    <row r="29" spans="1:22" ht="15.75" customHeight="1">
      <c r="A29" s="3"/>
      <c r="B29" s="3"/>
      <c r="C29" s="3"/>
      <c r="D29" s="3"/>
      <c r="E29" s="46"/>
      <c r="F29" s="46"/>
      <c r="G29" s="3"/>
      <c r="H29" s="4"/>
      <c r="I29" s="47"/>
      <c r="J29" s="4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5.75" customHeight="1">
      <c r="A30" s="3"/>
      <c r="B30" s="3"/>
      <c r="C30" s="3"/>
      <c r="D30" s="3"/>
      <c r="E30" s="3"/>
      <c r="F30" s="3"/>
      <c r="G30" s="3"/>
      <c r="H30" s="4"/>
      <c r="I30" s="36"/>
      <c r="J30" s="36"/>
    </row>
    <row r="31" spans="1:22" ht="15.75" customHeight="1">
      <c r="A31" s="3"/>
      <c r="B31" s="3"/>
      <c r="C31" s="3"/>
      <c r="D31" s="3"/>
      <c r="E31" s="3"/>
      <c r="F31" s="3"/>
      <c r="G31" s="3"/>
      <c r="H31" s="4"/>
      <c r="I31" s="36"/>
      <c r="J31" s="36"/>
    </row>
    <row r="32" spans="1:22" ht="15.75" customHeight="1">
      <c r="A32" s="3"/>
      <c r="B32" s="3"/>
      <c r="C32" s="3"/>
      <c r="D32" s="3"/>
      <c r="E32" s="3"/>
      <c r="F32" s="3"/>
      <c r="G32" s="3"/>
      <c r="H32" s="4"/>
      <c r="I32" s="36"/>
      <c r="J32" s="36"/>
    </row>
    <row r="33" spans="1:22" ht="15.75" customHeight="1">
      <c r="A33" s="3"/>
      <c r="B33" s="3"/>
      <c r="C33" s="3"/>
      <c r="D33" s="3"/>
      <c r="E33" s="3"/>
      <c r="F33" s="3"/>
      <c r="G33" s="3"/>
      <c r="H33" s="4"/>
      <c r="I33" s="36"/>
      <c r="J33" s="36"/>
    </row>
    <row r="34" spans="1:22" ht="15.75" customHeight="1">
      <c r="A34" s="3"/>
      <c r="B34" s="3"/>
      <c r="C34" s="3"/>
      <c r="D34" s="3"/>
      <c r="E34" s="3"/>
      <c r="F34" s="3"/>
      <c r="G34" s="3"/>
      <c r="H34" s="4"/>
      <c r="I34" s="36"/>
      <c r="J34" s="36"/>
    </row>
    <row r="35" spans="1:22" ht="15.75" customHeight="1">
      <c r="A35" s="3"/>
      <c r="B35" s="3"/>
      <c r="C35" s="3"/>
      <c r="D35" s="3"/>
      <c r="E35" s="3"/>
      <c r="F35" s="3"/>
      <c r="G35" s="3"/>
      <c r="H35" s="4"/>
      <c r="I35" s="36"/>
      <c r="J35" s="36"/>
    </row>
    <row r="36" spans="1:22" ht="15.75" customHeight="1">
      <c r="A36" s="3"/>
      <c r="B36" s="3"/>
      <c r="C36" s="3"/>
      <c r="D36" s="3"/>
      <c r="E36" s="3"/>
      <c r="F36" s="3"/>
      <c r="G36" s="3"/>
      <c r="H36" s="4"/>
      <c r="I36" s="36"/>
      <c r="J36" s="36"/>
    </row>
    <row r="37" spans="1:22" ht="15">
      <c r="A37" s="3"/>
      <c r="B37" s="3"/>
      <c r="C37" s="3"/>
      <c r="D37" s="3"/>
      <c r="E37" s="3"/>
      <c r="F37" s="3"/>
      <c r="G37" s="3"/>
      <c r="H37" s="4"/>
      <c r="I37" s="36"/>
      <c r="J37" s="36"/>
    </row>
    <row r="38" spans="1:22" ht="15">
      <c r="A38" s="3"/>
      <c r="B38" s="3"/>
      <c r="C38" s="3"/>
      <c r="D38" s="3"/>
      <c r="E38" s="3"/>
      <c r="F38" s="3"/>
      <c r="G38" s="3"/>
      <c r="H38" s="4"/>
      <c r="I38" s="36"/>
      <c r="J38" s="3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5">
      <c r="A39" s="3"/>
      <c r="B39" s="3"/>
      <c r="C39" s="3"/>
      <c r="D39" s="3"/>
      <c r="E39" s="3"/>
      <c r="F39" s="3"/>
      <c r="G39" s="3"/>
      <c r="H39" s="4"/>
      <c r="I39" s="36"/>
      <c r="J39" s="36"/>
    </row>
    <row r="40" spans="1:22" ht="15">
      <c r="A40" s="3"/>
      <c r="B40" s="3"/>
      <c r="C40" s="3"/>
      <c r="D40" s="3"/>
      <c r="E40" s="3"/>
      <c r="F40" s="3"/>
      <c r="G40" s="3"/>
      <c r="H40" s="4"/>
      <c r="I40" s="36"/>
      <c r="J40" s="36"/>
    </row>
    <row r="41" spans="1:22" ht="15">
      <c r="A41" s="3"/>
      <c r="B41" s="3"/>
      <c r="C41" s="3"/>
      <c r="D41" s="3"/>
      <c r="E41" s="3"/>
      <c r="F41" s="3"/>
      <c r="G41" s="3"/>
      <c r="H41" s="4"/>
      <c r="I41" s="36"/>
      <c r="J41" s="36"/>
    </row>
    <row r="42" spans="1:22" ht="15">
      <c r="A42" s="3"/>
      <c r="B42" s="3"/>
      <c r="C42" s="3"/>
      <c r="D42" s="3"/>
      <c r="E42" s="3"/>
      <c r="F42" s="3"/>
      <c r="G42" s="3"/>
      <c r="H42" s="4"/>
      <c r="I42" s="36"/>
      <c r="J42" s="36"/>
    </row>
    <row r="43" spans="1:22" ht="15">
      <c r="A43" s="3"/>
      <c r="B43" s="3"/>
      <c r="C43" s="3"/>
      <c r="D43" s="3"/>
      <c r="E43" s="3"/>
      <c r="F43" s="3"/>
      <c r="G43" s="3"/>
      <c r="H43" s="4"/>
      <c r="I43" s="36"/>
      <c r="J43" s="36"/>
    </row>
    <row r="44" spans="1:22" ht="15">
      <c r="A44" s="3"/>
      <c r="B44" s="3"/>
      <c r="C44" s="3"/>
      <c r="D44" s="3"/>
      <c r="E44" s="3"/>
      <c r="F44" s="3"/>
      <c r="G44" s="3"/>
      <c r="H44" s="4"/>
      <c r="I44" s="36"/>
      <c r="J44" s="36"/>
    </row>
    <row r="45" spans="1:22" ht="15">
      <c r="A45" s="3"/>
      <c r="B45" s="3"/>
      <c r="C45" s="3"/>
      <c r="D45" s="3"/>
      <c r="E45" s="3"/>
      <c r="F45" s="3"/>
      <c r="G45" s="3"/>
      <c r="H45" s="4"/>
      <c r="I45" s="36"/>
      <c r="J45" s="36"/>
    </row>
    <row r="46" spans="1:22" ht="15">
      <c r="A46" s="3"/>
      <c r="B46" s="3"/>
      <c r="C46" s="3"/>
      <c r="D46" s="3"/>
      <c r="E46" s="3"/>
      <c r="F46" s="3"/>
      <c r="G46" s="3"/>
      <c r="H46" s="4"/>
      <c r="I46" s="36"/>
      <c r="J46" s="36"/>
    </row>
    <row r="47" spans="1:22" ht="15">
      <c r="A47" s="3"/>
      <c r="B47" s="3"/>
      <c r="C47" s="3"/>
      <c r="D47" s="3"/>
      <c r="E47" s="3"/>
      <c r="F47" s="3"/>
      <c r="G47" s="3"/>
      <c r="H47" s="4"/>
      <c r="I47" s="36"/>
      <c r="J47" s="36"/>
    </row>
    <row r="48" spans="1:22" ht="15">
      <c r="A48" s="3"/>
      <c r="B48" s="3"/>
      <c r="C48" s="3"/>
      <c r="D48" s="3"/>
      <c r="E48" s="3"/>
      <c r="F48" s="3"/>
      <c r="G48" s="3"/>
      <c r="H48" s="4"/>
      <c r="I48" s="36"/>
      <c r="J48" s="36"/>
    </row>
    <row r="49" spans="1:10" ht="15">
      <c r="A49" s="3"/>
      <c r="B49" s="3"/>
      <c r="C49" s="3"/>
      <c r="D49" s="3"/>
      <c r="E49" s="3"/>
      <c r="F49" s="3"/>
      <c r="G49" s="3"/>
      <c r="H49" s="4"/>
      <c r="I49" s="36"/>
      <c r="J49" s="36"/>
    </row>
    <row r="50" spans="1:10" ht="15">
      <c r="A50" s="3"/>
      <c r="B50" s="3"/>
      <c r="C50" s="3"/>
      <c r="D50" s="3"/>
      <c r="E50" s="3"/>
      <c r="F50" s="3"/>
      <c r="G50" s="3"/>
      <c r="H50" s="4"/>
      <c r="I50" s="36"/>
      <c r="J50" s="36"/>
    </row>
    <row r="51" spans="1:10" ht="15">
      <c r="A51" s="3"/>
      <c r="B51" s="3"/>
      <c r="C51" s="3"/>
      <c r="D51" s="3"/>
      <c r="E51" s="3"/>
      <c r="F51" s="3"/>
      <c r="G51" s="3"/>
      <c r="H51" s="4"/>
      <c r="I51" s="36"/>
      <c r="J51" s="36"/>
    </row>
    <row r="52" spans="1:10" ht="15">
      <c r="A52" s="3"/>
      <c r="B52" s="3"/>
      <c r="C52" s="3"/>
      <c r="D52" s="3"/>
      <c r="E52" s="3"/>
      <c r="F52" s="3"/>
      <c r="G52" s="3"/>
      <c r="H52" s="4"/>
      <c r="I52" s="36"/>
      <c r="J52" s="36"/>
    </row>
    <row r="53" spans="1:10" ht="15">
      <c r="A53" s="3"/>
      <c r="B53" s="3"/>
      <c r="C53" s="3"/>
      <c r="D53" s="3"/>
      <c r="E53" s="3"/>
      <c r="F53" s="3"/>
      <c r="G53" s="3"/>
      <c r="H53" s="4"/>
      <c r="I53" s="36"/>
      <c r="J53" s="36"/>
    </row>
    <row r="54" spans="1:10" ht="15">
      <c r="A54" s="3"/>
      <c r="B54" s="3"/>
      <c r="C54" s="3"/>
      <c r="D54" s="3"/>
      <c r="E54" s="3"/>
      <c r="F54" s="3"/>
      <c r="G54" s="3"/>
      <c r="H54" s="4"/>
      <c r="I54" s="36"/>
      <c r="J54" s="36"/>
    </row>
    <row r="55" spans="1:10" ht="15">
      <c r="A55" s="3"/>
      <c r="B55" s="3"/>
      <c r="C55" s="3"/>
      <c r="D55" s="3"/>
      <c r="E55" s="3"/>
      <c r="F55" s="3"/>
      <c r="G55" s="3"/>
      <c r="H55" s="4"/>
      <c r="I55" s="36"/>
      <c r="J55" s="36"/>
    </row>
    <row r="56" spans="1:10" ht="15">
      <c r="A56" s="3"/>
      <c r="B56" s="3"/>
      <c r="C56" s="3"/>
      <c r="D56" s="3"/>
      <c r="E56" s="3"/>
      <c r="F56" s="3"/>
      <c r="G56" s="3"/>
      <c r="H56" s="4"/>
      <c r="I56" s="36"/>
      <c r="J56" s="36"/>
    </row>
    <row r="57" spans="1:10" ht="15">
      <c r="A57" s="3"/>
      <c r="B57" s="3"/>
      <c r="C57" s="3"/>
      <c r="D57" s="3"/>
      <c r="E57" s="3"/>
      <c r="F57" s="3"/>
      <c r="G57" s="3"/>
      <c r="H57" s="4"/>
      <c r="I57" s="36"/>
      <c r="J57" s="36"/>
    </row>
    <row r="58" spans="1:10" ht="15">
      <c r="A58" s="3"/>
      <c r="B58" s="3"/>
      <c r="C58" s="3"/>
      <c r="D58" s="3"/>
      <c r="E58" s="3"/>
      <c r="F58" s="3"/>
      <c r="G58" s="3"/>
      <c r="H58" s="4"/>
      <c r="I58" s="36"/>
      <c r="J58" s="36"/>
    </row>
    <row r="59" spans="1:10" ht="15">
      <c r="A59" s="3"/>
      <c r="B59" s="3"/>
      <c r="C59" s="3"/>
      <c r="D59" s="3"/>
      <c r="E59" s="3"/>
      <c r="F59" s="3"/>
      <c r="G59" s="3"/>
      <c r="H59" s="4"/>
      <c r="I59" s="36"/>
      <c r="J59" s="36"/>
    </row>
    <row r="60" spans="1:10" ht="15">
      <c r="A60" s="3"/>
      <c r="B60" s="3"/>
      <c r="C60" s="3"/>
      <c r="D60" s="3"/>
      <c r="E60" s="3"/>
      <c r="F60" s="3"/>
      <c r="G60" s="3"/>
      <c r="H60" s="4"/>
      <c r="I60" s="36"/>
      <c r="J60" s="36"/>
    </row>
    <row r="61" spans="1:10" ht="15">
      <c r="A61" s="3"/>
      <c r="B61" s="3"/>
      <c r="C61" s="3"/>
      <c r="D61" s="3"/>
      <c r="E61" s="3"/>
      <c r="F61" s="3"/>
      <c r="G61" s="3"/>
      <c r="H61" s="4"/>
      <c r="I61" s="36"/>
      <c r="J61" s="36"/>
    </row>
    <row r="62" spans="1:10" ht="15">
      <c r="A62" s="3"/>
      <c r="B62" s="3"/>
      <c r="C62" s="3"/>
      <c r="D62" s="3"/>
      <c r="E62" s="3"/>
      <c r="F62" s="3"/>
      <c r="G62" s="3"/>
      <c r="H62" s="4"/>
      <c r="I62" s="36"/>
      <c r="J62" s="36"/>
    </row>
    <row r="63" spans="1:10" ht="15">
      <c r="A63" s="3"/>
      <c r="B63" s="3"/>
      <c r="C63" s="3"/>
      <c r="D63" s="3"/>
      <c r="E63" s="3"/>
      <c r="F63" s="3"/>
      <c r="G63" s="3"/>
      <c r="H63" s="4"/>
      <c r="I63" s="36"/>
      <c r="J63" s="36"/>
    </row>
    <row r="64" spans="1:10" ht="15">
      <c r="A64" s="3"/>
      <c r="B64" s="3"/>
      <c r="C64" s="3"/>
      <c r="D64" s="3"/>
      <c r="E64" s="3"/>
      <c r="F64" s="3"/>
      <c r="G64" s="3"/>
      <c r="H64" s="4"/>
      <c r="I64" s="36"/>
      <c r="J64" s="36"/>
    </row>
    <row r="65" spans="1:22" ht="15">
      <c r="A65" s="3"/>
      <c r="B65" s="3"/>
      <c r="C65" s="3"/>
      <c r="D65" s="3"/>
      <c r="E65" s="3"/>
      <c r="F65" s="3"/>
      <c r="G65" s="3"/>
      <c r="H65" s="4"/>
      <c r="I65" s="36"/>
      <c r="J65" s="36"/>
    </row>
    <row r="66" spans="1:22" ht="15">
      <c r="A66" s="3"/>
      <c r="B66" s="3"/>
      <c r="C66" s="3"/>
      <c r="D66" s="3"/>
      <c r="E66" s="3"/>
      <c r="F66" s="3"/>
      <c r="G66" s="3"/>
      <c r="H66" s="4"/>
      <c r="I66" s="36"/>
      <c r="J66" s="36"/>
    </row>
    <row r="67" spans="1:22" ht="15">
      <c r="A67" s="3"/>
      <c r="B67" s="3"/>
      <c r="C67" s="3"/>
      <c r="D67" s="3"/>
      <c r="E67" s="3"/>
      <c r="F67" s="3"/>
      <c r="G67" s="3"/>
      <c r="H67" s="4"/>
      <c r="I67" s="36"/>
      <c r="J67" s="36"/>
    </row>
    <row r="68" spans="1:22" ht="15">
      <c r="A68" s="3"/>
      <c r="B68" s="3"/>
      <c r="C68" s="3"/>
      <c r="D68" s="3"/>
      <c r="E68" s="3"/>
      <c r="F68" s="3"/>
      <c r="G68" s="3"/>
      <c r="H68" s="4"/>
      <c r="I68" s="36"/>
      <c r="J68" s="36"/>
    </row>
    <row r="69" spans="1:22" ht="15">
      <c r="A69" s="3"/>
      <c r="B69" s="3"/>
      <c r="C69" s="3"/>
      <c r="D69" s="3"/>
      <c r="E69" s="3"/>
      <c r="F69" s="3"/>
      <c r="G69" s="3"/>
      <c r="H69" s="4"/>
      <c r="I69" s="36"/>
      <c r="J69" s="36"/>
    </row>
    <row r="70" spans="1:22" ht="15">
      <c r="A70" s="3"/>
      <c r="B70" s="3"/>
      <c r="C70" s="3"/>
      <c r="D70" s="3"/>
      <c r="E70" s="3"/>
      <c r="F70" s="3"/>
      <c r="G70" s="3"/>
      <c r="H70" s="4"/>
      <c r="I70" s="36"/>
      <c r="J70" s="36"/>
    </row>
    <row r="71" spans="1:22" ht="15">
      <c r="A71" s="3"/>
      <c r="B71" s="3"/>
      <c r="C71" s="3"/>
      <c r="D71" s="3"/>
      <c r="E71" s="3"/>
      <c r="F71" s="3"/>
      <c r="G71" s="3"/>
      <c r="H71" s="4"/>
      <c r="I71" s="36"/>
      <c r="J71" s="36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">
      <c r="A72" s="3"/>
      <c r="B72" s="3"/>
      <c r="C72" s="3"/>
      <c r="D72" s="3"/>
      <c r="E72" s="3"/>
      <c r="F72" s="3"/>
      <c r="G72" s="3"/>
      <c r="H72" s="4"/>
      <c r="I72" s="36"/>
      <c r="J72" s="36"/>
    </row>
    <row r="73" spans="1:22" ht="15">
      <c r="A73" s="3"/>
      <c r="B73" s="3"/>
      <c r="C73" s="3"/>
      <c r="D73" s="3"/>
      <c r="E73" s="3"/>
      <c r="F73" s="3"/>
      <c r="G73" s="3"/>
      <c r="H73" s="4"/>
      <c r="I73" s="36"/>
      <c r="J73" s="36"/>
    </row>
    <row r="74" spans="1:22" ht="15">
      <c r="A74" s="3"/>
      <c r="B74" s="3"/>
      <c r="C74" s="3"/>
      <c r="D74" s="3"/>
      <c r="E74" s="3"/>
      <c r="F74" s="3"/>
      <c r="G74" s="3"/>
      <c r="H74" s="4"/>
      <c r="I74" s="36"/>
      <c r="J74" s="36"/>
    </row>
    <row r="75" spans="1:22" ht="15">
      <c r="A75" s="3"/>
      <c r="B75" s="3"/>
      <c r="C75" s="3"/>
      <c r="D75" s="3"/>
      <c r="E75" s="3"/>
      <c r="F75" s="3"/>
      <c r="G75" s="3"/>
      <c r="H75" s="4"/>
      <c r="I75" s="36"/>
      <c r="J75" s="36"/>
    </row>
    <row r="76" spans="1:22" ht="15">
      <c r="A76" s="3"/>
      <c r="B76" s="3"/>
      <c r="C76" s="3"/>
      <c r="D76" s="3"/>
      <c r="E76" s="3"/>
      <c r="F76" s="3"/>
      <c r="G76" s="3"/>
      <c r="H76" s="4"/>
      <c r="I76" s="36"/>
      <c r="J76" s="36"/>
    </row>
    <row r="77" spans="1:22" ht="15">
      <c r="A77" s="3"/>
      <c r="B77" s="3"/>
      <c r="C77" s="3"/>
      <c r="D77" s="3"/>
      <c r="E77" s="3"/>
      <c r="F77" s="3"/>
      <c r="G77" s="3"/>
      <c r="H77" s="4"/>
      <c r="I77" s="36"/>
      <c r="J77" s="36"/>
    </row>
    <row r="78" spans="1:22" ht="15">
      <c r="A78" s="3"/>
      <c r="B78" s="3"/>
      <c r="C78" s="3"/>
      <c r="D78" s="3"/>
      <c r="E78" s="3"/>
      <c r="F78" s="3"/>
      <c r="G78" s="3"/>
      <c r="H78" s="4"/>
      <c r="I78" s="36"/>
      <c r="J78" s="36"/>
      <c r="L78" s="34"/>
    </row>
    <row r="79" spans="1:22" ht="15">
      <c r="A79" s="3"/>
      <c r="B79" s="3"/>
      <c r="C79" s="3"/>
      <c r="D79" s="3"/>
      <c r="E79" s="3"/>
      <c r="F79" s="3"/>
      <c r="G79" s="3"/>
      <c r="H79" s="4"/>
      <c r="I79" s="36"/>
      <c r="J79" s="36"/>
    </row>
    <row r="80" spans="1:22" ht="15">
      <c r="A80" s="3"/>
      <c r="B80" s="3"/>
      <c r="C80" s="3"/>
      <c r="D80" s="3"/>
      <c r="E80" s="3"/>
      <c r="F80" s="3"/>
      <c r="G80" s="3"/>
      <c r="H80" s="4"/>
      <c r="I80" s="36"/>
      <c r="J80" s="36"/>
    </row>
    <row r="81" spans="1:10" ht="15">
      <c r="A81" s="3"/>
      <c r="B81" s="3"/>
      <c r="C81" s="3"/>
      <c r="D81" s="3"/>
      <c r="E81" s="3"/>
      <c r="F81" s="3"/>
      <c r="G81" s="3"/>
      <c r="H81" s="4"/>
      <c r="I81" s="36"/>
      <c r="J81" s="36"/>
    </row>
    <row r="82" spans="1:10" ht="15">
      <c r="A82" s="3"/>
      <c r="B82" s="3"/>
      <c r="C82" s="3"/>
      <c r="D82" s="3"/>
      <c r="E82" s="3"/>
      <c r="F82" s="3"/>
      <c r="G82" s="3"/>
      <c r="H82" s="4"/>
      <c r="I82" s="36"/>
      <c r="J82" s="36"/>
    </row>
    <row r="83" spans="1:10" ht="15">
      <c r="A83" s="3"/>
      <c r="B83" s="3"/>
      <c r="C83" s="3"/>
      <c r="D83" s="3"/>
      <c r="E83" s="3"/>
      <c r="F83" s="3"/>
      <c r="G83" s="3"/>
      <c r="H83" s="4"/>
      <c r="I83" s="36"/>
      <c r="J83" s="36"/>
    </row>
    <row r="84" spans="1:10" ht="15">
      <c r="A84" s="3"/>
      <c r="B84" s="3"/>
      <c r="C84" s="3"/>
      <c r="D84" s="3"/>
      <c r="E84" s="3"/>
      <c r="F84" s="3"/>
      <c r="G84" s="3"/>
      <c r="H84" s="4"/>
      <c r="I84" s="36"/>
      <c r="J84" s="36"/>
    </row>
    <row r="85" spans="1:10" ht="15">
      <c r="A85" s="3"/>
      <c r="B85" s="3"/>
      <c r="C85" s="3"/>
      <c r="D85" s="3"/>
      <c r="E85" s="3"/>
      <c r="F85" s="3"/>
      <c r="G85" s="3"/>
      <c r="H85" s="4"/>
      <c r="I85" s="36"/>
      <c r="J85" s="36"/>
    </row>
    <row r="86" spans="1:10" ht="15">
      <c r="A86" s="3"/>
      <c r="B86" s="3"/>
      <c r="C86" s="3"/>
      <c r="D86" s="3"/>
      <c r="E86" s="3"/>
      <c r="F86" s="3"/>
      <c r="G86" s="3"/>
      <c r="H86" s="4"/>
      <c r="I86" s="36"/>
      <c r="J86" s="36"/>
    </row>
    <row r="87" spans="1:10" ht="15">
      <c r="A87" s="3"/>
      <c r="B87" s="3"/>
      <c r="C87" s="3"/>
      <c r="D87" s="3"/>
      <c r="E87" s="3"/>
      <c r="F87" s="3"/>
      <c r="G87" s="3"/>
      <c r="H87" s="4"/>
      <c r="I87" s="36"/>
      <c r="J87" s="36"/>
    </row>
    <row r="88" spans="1:10" ht="15">
      <c r="A88" s="3"/>
      <c r="B88" s="3"/>
      <c r="C88" s="3"/>
      <c r="D88" s="3"/>
      <c r="E88" s="3"/>
      <c r="F88" s="3"/>
      <c r="G88" s="3"/>
      <c r="H88" s="4"/>
      <c r="I88" s="36"/>
      <c r="J88" s="36"/>
    </row>
    <row r="89" spans="1:10" ht="15">
      <c r="A89" s="3"/>
      <c r="B89" s="3"/>
      <c r="C89" s="3"/>
      <c r="D89" s="3"/>
      <c r="E89" s="3"/>
      <c r="F89" s="3"/>
      <c r="G89" s="3"/>
      <c r="H89" s="4"/>
      <c r="I89" s="36"/>
      <c r="J89" s="36"/>
    </row>
    <row r="90" spans="1:10" ht="15">
      <c r="A90" s="3"/>
      <c r="B90" s="3"/>
      <c r="C90" s="3"/>
      <c r="D90" s="3"/>
      <c r="E90" s="3"/>
      <c r="F90" s="3"/>
      <c r="G90" s="3"/>
      <c r="H90" s="4"/>
      <c r="I90" s="36"/>
      <c r="J90" s="36"/>
    </row>
    <row r="91" spans="1:10" ht="15">
      <c r="A91" s="3"/>
      <c r="B91" s="3"/>
      <c r="C91" s="3"/>
      <c r="D91" s="3"/>
      <c r="E91" s="3"/>
      <c r="F91" s="3"/>
      <c r="G91" s="3"/>
      <c r="H91" s="4"/>
      <c r="I91" s="36"/>
      <c r="J91" s="36"/>
    </row>
    <row r="92" spans="1:10" ht="15">
      <c r="A92" s="3"/>
      <c r="B92" s="3"/>
      <c r="C92" s="3"/>
      <c r="D92" s="3"/>
      <c r="E92" s="3"/>
      <c r="F92" s="3"/>
      <c r="G92" s="3"/>
      <c r="H92" s="4"/>
      <c r="I92" s="36"/>
      <c r="J92" s="36"/>
    </row>
    <row r="93" spans="1:10" ht="15">
      <c r="A93" s="3"/>
      <c r="B93" s="3"/>
      <c r="C93" s="3"/>
      <c r="D93" s="3"/>
      <c r="E93" s="3"/>
      <c r="F93" s="3"/>
      <c r="G93" s="3"/>
      <c r="H93" s="4"/>
      <c r="I93" s="36"/>
      <c r="J93" s="36"/>
    </row>
    <row r="94" spans="1:10" ht="15">
      <c r="A94" s="3"/>
      <c r="B94" s="3"/>
      <c r="C94" s="3"/>
      <c r="D94" s="3"/>
      <c r="E94" s="3"/>
      <c r="F94" s="3"/>
      <c r="G94" s="3"/>
      <c r="H94" s="4"/>
      <c r="I94" s="36"/>
      <c r="J94" s="36"/>
    </row>
    <row r="95" spans="1:10" ht="15">
      <c r="A95" s="3"/>
      <c r="B95" s="3"/>
      <c r="C95" s="3"/>
      <c r="D95" s="3"/>
      <c r="E95" s="3"/>
      <c r="F95" s="3"/>
      <c r="G95" s="3"/>
      <c r="H95" s="4"/>
      <c r="I95" s="36"/>
      <c r="J95" s="36"/>
    </row>
    <row r="96" spans="1:10" ht="15">
      <c r="A96" s="3"/>
      <c r="B96" s="3"/>
      <c r="C96" s="3"/>
      <c r="D96" s="3"/>
      <c r="E96" s="3"/>
      <c r="F96" s="3"/>
      <c r="G96" s="3"/>
      <c r="H96" s="4"/>
      <c r="I96" s="36"/>
      <c r="J96" s="36"/>
    </row>
    <row r="97" spans="1:10" ht="15">
      <c r="A97" s="3"/>
      <c r="B97" s="3"/>
      <c r="C97" s="3"/>
      <c r="D97" s="3"/>
      <c r="E97" s="3"/>
      <c r="F97" s="3"/>
      <c r="G97" s="3"/>
      <c r="H97" s="4"/>
      <c r="I97" s="36"/>
      <c r="J97" s="36"/>
    </row>
    <row r="98" spans="1:10" ht="15">
      <c r="A98" s="3"/>
      <c r="B98" s="3"/>
      <c r="C98" s="3"/>
      <c r="D98" s="3"/>
      <c r="E98" s="3"/>
      <c r="F98" s="3"/>
      <c r="G98" s="3"/>
      <c r="H98" s="4"/>
      <c r="I98" s="36"/>
      <c r="J98" s="36"/>
    </row>
    <row r="99" spans="1:10" ht="15">
      <c r="A99" s="3"/>
      <c r="B99" s="3"/>
      <c r="C99" s="3"/>
      <c r="D99" s="3"/>
      <c r="E99" s="3"/>
      <c r="F99" s="3"/>
      <c r="G99" s="3"/>
      <c r="H99" s="4"/>
      <c r="I99" s="36"/>
      <c r="J99" s="36"/>
    </row>
    <row r="100" spans="1:10" ht="15">
      <c r="A100" s="3"/>
      <c r="B100" s="3"/>
      <c r="C100" s="3"/>
      <c r="D100" s="3"/>
      <c r="E100" s="3"/>
      <c r="F100" s="3"/>
      <c r="G100" s="3"/>
      <c r="H100" s="4"/>
      <c r="I100" s="36"/>
      <c r="J100" s="36"/>
    </row>
    <row r="101" spans="1:10" ht="15">
      <c r="A101" s="3"/>
      <c r="B101" s="3"/>
      <c r="C101" s="3"/>
      <c r="D101" s="3"/>
      <c r="E101" s="3"/>
      <c r="F101" s="3"/>
      <c r="G101" s="3"/>
      <c r="H101" s="4"/>
      <c r="I101" s="36"/>
      <c r="J101" s="36"/>
    </row>
    <row r="102" spans="1:10" ht="15">
      <c r="A102" s="3"/>
      <c r="B102" s="3"/>
      <c r="C102" s="3"/>
      <c r="D102" s="3"/>
      <c r="E102" s="3"/>
      <c r="F102" s="3"/>
      <c r="G102" s="3"/>
      <c r="H102" s="4"/>
      <c r="I102" s="36"/>
      <c r="J102" s="36"/>
    </row>
    <row r="103" spans="1:10" ht="15">
      <c r="A103" s="3"/>
      <c r="B103" s="3"/>
      <c r="C103" s="3"/>
      <c r="D103" s="3"/>
      <c r="E103" s="3"/>
      <c r="F103" s="3"/>
      <c r="G103" s="3"/>
      <c r="H103" s="4"/>
      <c r="I103" s="36"/>
      <c r="J103" s="36"/>
    </row>
    <row r="104" spans="1:10" ht="15">
      <c r="A104" s="3"/>
      <c r="B104" s="3"/>
      <c r="C104" s="3"/>
      <c r="D104" s="3"/>
      <c r="E104" s="3"/>
      <c r="F104" s="3"/>
      <c r="G104" s="3"/>
      <c r="H104" s="4"/>
      <c r="I104" s="36"/>
      <c r="J104" s="36"/>
    </row>
    <row r="105" spans="1:10" ht="15">
      <c r="A105" s="3"/>
      <c r="B105" s="3"/>
      <c r="C105" s="3"/>
      <c r="D105" s="3"/>
      <c r="E105" s="3"/>
      <c r="F105" s="3"/>
      <c r="G105" s="3"/>
      <c r="H105" s="4"/>
      <c r="I105" s="36"/>
      <c r="J105" s="36"/>
    </row>
    <row r="106" spans="1:10" ht="15">
      <c r="A106" s="3"/>
      <c r="B106" s="3"/>
      <c r="C106" s="3"/>
      <c r="D106" s="3"/>
      <c r="E106" s="3"/>
      <c r="F106" s="3"/>
      <c r="G106" s="3"/>
      <c r="H106" s="4"/>
      <c r="I106" s="36"/>
      <c r="J106" s="36"/>
    </row>
    <row r="107" spans="1:10" ht="15">
      <c r="A107" s="3"/>
      <c r="B107" s="3"/>
      <c r="C107" s="3"/>
      <c r="D107" s="3"/>
      <c r="E107" s="3"/>
      <c r="F107" s="3"/>
      <c r="G107" s="3"/>
      <c r="H107" s="4"/>
      <c r="I107" s="36"/>
      <c r="J107" s="36"/>
    </row>
    <row r="108" spans="1:10" ht="15">
      <c r="A108" s="3"/>
      <c r="B108" s="3"/>
      <c r="C108" s="3"/>
      <c r="D108" s="3"/>
      <c r="E108" s="3"/>
      <c r="F108" s="3"/>
      <c r="G108" s="3"/>
      <c r="H108" s="4"/>
      <c r="I108" s="36"/>
      <c r="J108" s="36"/>
    </row>
    <row r="109" spans="1:10" ht="15">
      <c r="A109" s="3"/>
      <c r="B109" s="3"/>
      <c r="C109" s="3"/>
      <c r="D109" s="3"/>
      <c r="E109" s="3"/>
      <c r="F109" s="3"/>
      <c r="G109" s="3"/>
      <c r="H109" s="4"/>
      <c r="I109" s="36"/>
      <c r="J109" s="36"/>
    </row>
    <row r="110" spans="1:10" ht="15">
      <c r="A110" s="3"/>
      <c r="B110" s="3"/>
      <c r="C110" s="3"/>
      <c r="D110" s="3"/>
      <c r="E110" s="3"/>
      <c r="F110" s="3"/>
      <c r="G110" s="3"/>
      <c r="H110" s="4"/>
      <c r="I110" s="36"/>
      <c r="J110" s="36"/>
    </row>
    <row r="111" spans="1:10" ht="15">
      <c r="A111" s="3"/>
      <c r="B111" s="3"/>
      <c r="C111" s="3"/>
      <c r="D111" s="3"/>
      <c r="E111" s="3"/>
      <c r="F111" s="3"/>
      <c r="G111" s="3"/>
      <c r="H111" s="4"/>
      <c r="I111" s="36"/>
      <c r="J111" s="36"/>
    </row>
    <row r="112" spans="1:10" ht="15">
      <c r="A112" s="3"/>
      <c r="B112" s="3"/>
      <c r="C112" s="3"/>
      <c r="D112" s="3"/>
      <c r="E112" s="3"/>
      <c r="F112" s="3"/>
      <c r="G112" s="3"/>
      <c r="H112" s="4"/>
      <c r="I112" s="36"/>
      <c r="J112" s="36"/>
    </row>
    <row r="113" spans="1:10" ht="15">
      <c r="A113" s="3"/>
      <c r="B113" s="3"/>
      <c r="C113" s="3"/>
      <c r="D113" s="3"/>
      <c r="E113" s="3"/>
      <c r="F113" s="3"/>
      <c r="G113" s="3"/>
      <c r="H113" s="4"/>
      <c r="I113" s="36"/>
      <c r="J113" s="36"/>
    </row>
    <row r="114" spans="1:10" ht="15">
      <c r="A114" s="3"/>
      <c r="B114" s="3"/>
      <c r="C114" s="3"/>
      <c r="D114" s="3"/>
      <c r="E114" s="3"/>
      <c r="F114" s="3"/>
      <c r="G114" s="3"/>
      <c r="H114" s="4"/>
      <c r="I114" s="36"/>
      <c r="J114" s="36"/>
    </row>
    <row r="115" spans="1:10" ht="15">
      <c r="A115" s="3"/>
      <c r="B115" s="3"/>
      <c r="C115" s="3"/>
      <c r="D115" s="3"/>
      <c r="E115" s="3"/>
      <c r="F115" s="3"/>
      <c r="G115" s="3"/>
      <c r="H115" s="4"/>
      <c r="I115" s="36"/>
      <c r="J115" s="36"/>
    </row>
    <row r="116" spans="1:10" ht="15">
      <c r="A116" s="3"/>
      <c r="B116" s="3"/>
      <c r="C116" s="3"/>
      <c r="D116" s="3"/>
      <c r="E116" s="3"/>
      <c r="F116" s="3"/>
      <c r="G116" s="3"/>
      <c r="H116" s="4"/>
      <c r="I116" s="36"/>
      <c r="J116" s="36"/>
    </row>
    <row r="117" spans="1:10" ht="15">
      <c r="A117" s="3"/>
      <c r="B117" s="3"/>
      <c r="C117" s="3"/>
      <c r="D117" s="3"/>
      <c r="E117" s="3"/>
      <c r="F117" s="3"/>
      <c r="G117" s="3"/>
      <c r="H117" s="4"/>
      <c r="I117" s="36"/>
      <c r="J117" s="36"/>
    </row>
    <row r="118" spans="1:10" ht="15">
      <c r="A118" s="3"/>
      <c r="B118" s="3"/>
      <c r="C118" s="3"/>
      <c r="D118" s="3"/>
      <c r="E118" s="3"/>
      <c r="F118" s="3"/>
      <c r="G118" s="3"/>
      <c r="H118" s="4"/>
      <c r="I118" s="36"/>
      <c r="J118" s="36"/>
    </row>
    <row r="119" spans="1:10" ht="15">
      <c r="A119" s="3"/>
      <c r="B119" s="3"/>
      <c r="C119" s="3"/>
      <c r="D119" s="3"/>
      <c r="E119" s="3"/>
      <c r="F119" s="3"/>
      <c r="G119" s="3"/>
      <c r="H119" s="4"/>
      <c r="I119" s="36"/>
      <c r="J119" s="36"/>
    </row>
  </sheetData>
  <autoFilter ref="A1:J1010" xr:uid="{00000000-0009-0000-0000-000005000000}"/>
  <customSheetViews>
    <customSheetView guid="{5B966157-D76D-4ACD-A64E-35B71110F4A8}" filter="1" showAutoFilter="1">
      <pageMargins left="0.7" right="0.7" top="0.75" bottom="0.75" header="0.3" footer="0.3"/>
      <autoFilter ref="A1:J1010" xr:uid="{2B2D66DC-045D-4CB8-B5A6-6CBAFBB49461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Specialized Tarmac Pro"/>
            <filter val="Specialized Venge S-Works"/>
            <filter val="Tron"/>
          </filters>
        </filterColumn>
        <filterColumn colId="6">
          <filters blank="1">
            <filter val="ENVE 3.4"/>
            <filter val="ENVE 7.8"/>
            <filter val="Tron"/>
            <filter val="Zipp 858"/>
            <filter val="Zipp 858/Super9"/>
          </filters>
        </filterColumn>
      </autoFilter>
    </customSheetView>
  </customSheetViews>
  <conditionalFormatting sqref="J1:J1176 I1 I20:I1176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K2" r:id="rId1" xr:uid="{00000000-0004-0000-0500-000000000000}"/>
    <hyperlink ref="K3" r:id="rId2" xr:uid="{00000000-0004-0000-0500-000001000000}"/>
    <hyperlink ref="K4" r:id="rId3" xr:uid="{00000000-0004-0000-0500-000002000000}"/>
    <hyperlink ref="K5" r:id="rId4" xr:uid="{00000000-0004-0000-0500-000003000000}"/>
    <hyperlink ref="K6" r:id="rId5" xr:uid="{00000000-0004-0000-0500-000004000000}"/>
    <hyperlink ref="K7" r:id="rId6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7.85546875" customWidth="1"/>
    <col min="5" max="5" width="25.5703125" customWidth="1"/>
    <col min="6" max="6" width="7.42578125" customWidth="1"/>
    <col min="7" max="7" width="28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429</v>
      </c>
      <c r="J1" s="1" t="s">
        <v>430</v>
      </c>
      <c r="K1" s="1" t="s">
        <v>8</v>
      </c>
    </row>
    <row r="2" spans="1:11" ht="15.75" customHeight="1">
      <c r="A2" s="3">
        <v>75</v>
      </c>
      <c r="B2" s="3">
        <v>300</v>
      </c>
      <c r="C2" s="3">
        <f t="shared" ref="C2:C10" si="0">B2/A2</f>
        <v>4</v>
      </c>
      <c r="D2" s="3">
        <v>183</v>
      </c>
      <c r="E2" s="3" t="s">
        <v>9</v>
      </c>
      <c r="F2" s="3" t="s">
        <v>10</v>
      </c>
      <c r="G2" s="3" t="s">
        <v>79</v>
      </c>
      <c r="H2" s="4">
        <v>2.9722222222222223E-2</v>
      </c>
      <c r="I2" s="4">
        <v>1.5150462962962963E-2</v>
      </c>
      <c r="J2" s="36">
        <f t="shared" ref="J2:J10" si="1">1-(PERCENTRANK(H:H,H2,4))</f>
        <v>1</v>
      </c>
      <c r="K2" s="21" t="s">
        <v>443</v>
      </c>
    </row>
    <row r="3" spans="1:11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94</v>
      </c>
      <c r="F3" s="3" t="s">
        <v>10</v>
      </c>
      <c r="G3" s="3" t="s">
        <v>79</v>
      </c>
      <c r="H3" s="4">
        <v>2.9780092592592594E-2</v>
      </c>
      <c r="I3" s="4">
        <v>1.5127314814814816E-2</v>
      </c>
      <c r="J3" s="36">
        <f t="shared" si="1"/>
        <v>0.875</v>
      </c>
      <c r="K3" s="21" t="s">
        <v>443</v>
      </c>
    </row>
    <row r="4" spans="1:11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 t="s">
        <v>94</v>
      </c>
      <c r="F4" s="3" t="s">
        <v>10</v>
      </c>
      <c r="G4" s="3" t="s">
        <v>444</v>
      </c>
      <c r="H4" s="4">
        <v>2.9930555555555554E-2</v>
      </c>
      <c r="I4" s="4">
        <v>1.5092592592592593E-2</v>
      </c>
      <c r="J4" s="36">
        <f t="shared" si="1"/>
        <v>0.625</v>
      </c>
      <c r="K4" s="21" t="s">
        <v>445</v>
      </c>
    </row>
    <row r="5" spans="1:11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3" t="s">
        <v>94</v>
      </c>
      <c r="F5" s="3" t="s">
        <v>10</v>
      </c>
      <c r="G5" s="3" t="s">
        <v>446</v>
      </c>
      <c r="H5" s="4">
        <v>2.9872685185185186E-2</v>
      </c>
      <c r="I5" s="4">
        <v>1.511574074074074E-2</v>
      </c>
      <c r="J5" s="36">
        <f t="shared" si="1"/>
        <v>0.75</v>
      </c>
      <c r="K5" s="21" t="s">
        <v>445</v>
      </c>
    </row>
    <row r="6" spans="1:11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/>
      <c r="F6" s="3"/>
      <c r="G6" s="3"/>
      <c r="H6" s="4">
        <v>3.2025462962962964E-2</v>
      </c>
      <c r="I6" s="4">
        <v>1.8171296296296297E-3</v>
      </c>
      <c r="J6" s="36">
        <f t="shared" si="1"/>
        <v>0</v>
      </c>
    </row>
    <row r="7" spans="1:11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/>
      <c r="F7" s="3"/>
      <c r="G7" s="3"/>
      <c r="H7" s="4">
        <v>3.1585648148148147E-2</v>
      </c>
      <c r="I7" s="4">
        <v>1.8171296296296297E-3</v>
      </c>
      <c r="J7" s="36">
        <f t="shared" si="1"/>
        <v>0.125</v>
      </c>
    </row>
    <row r="8" spans="1:11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/>
      <c r="F8" s="3"/>
      <c r="G8" s="3"/>
      <c r="H8" s="4">
        <v>3.1516203703703706E-2</v>
      </c>
      <c r="I8" s="4">
        <v>1.8287037037037037E-3</v>
      </c>
      <c r="J8" s="36">
        <f t="shared" si="1"/>
        <v>0.5</v>
      </c>
    </row>
    <row r="9" spans="1:11" ht="15.75" customHeight="1">
      <c r="A9" s="3">
        <v>75</v>
      </c>
      <c r="B9" s="3">
        <v>300</v>
      </c>
      <c r="C9" s="3">
        <f t="shared" si="0"/>
        <v>4</v>
      </c>
      <c r="D9" s="3">
        <v>183</v>
      </c>
      <c r="E9" s="3"/>
      <c r="F9" s="3"/>
      <c r="G9" s="3"/>
      <c r="H9" s="4">
        <v>3.1516203703703706E-2</v>
      </c>
      <c r="I9" s="4">
        <v>1.8287037037037037E-3</v>
      </c>
      <c r="J9" s="36">
        <f t="shared" si="1"/>
        <v>0.5</v>
      </c>
    </row>
    <row r="10" spans="1:11" ht="15.75" customHeight="1">
      <c r="A10" s="3">
        <v>75</v>
      </c>
      <c r="B10" s="3">
        <v>300</v>
      </c>
      <c r="C10" s="3">
        <f t="shared" si="0"/>
        <v>4</v>
      </c>
      <c r="D10" s="3">
        <v>183</v>
      </c>
      <c r="E10" s="3"/>
      <c r="F10" s="3"/>
      <c r="G10" s="3"/>
      <c r="H10" s="4">
        <v>3.1516203703703706E-2</v>
      </c>
      <c r="I10" s="4">
        <v>1.8287037037037037E-3</v>
      </c>
      <c r="J10" s="36">
        <f t="shared" si="1"/>
        <v>0.5</v>
      </c>
    </row>
    <row r="11" spans="1:11" ht="15.75" customHeight="1">
      <c r="A11" s="3"/>
      <c r="B11" s="3"/>
      <c r="C11" s="3"/>
      <c r="D11" s="3"/>
      <c r="E11" s="3"/>
      <c r="F11" s="3"/>
      <c r="G11" s="3"/>
      <c r="H11" s="4"/>
      <c r="I11" s="4"/>
      <c r="J11" s="36"/>
    </row>
    <row r="12" spans="1:11" ht="15.75" customHeight="1">
      <c r="A12" s="3"/>
      <c r="B12" s="3"/>
      <c r="C12" s="3"/>
      <c r="D12" s="3"/>
      <c r="E12" s="3"/>
      <c r="F12" s="3"/>
      <c r="G12" s="3"/>
      <c r="H12" s="4"/>
      <c r="I12" s="4"/>
      <c r="J12" s="36"/>
    </row>
    <row r="13" spans="1:11" ht="15.75" customHeight="1">
      <c r="A13" s="3"/>
      <c r="B13" s="3"/>
      <c r="C13" s="3"/>
      <c r="D13" s="3"/>
      <c r="E13" s="3"/>
      <c r="F13" s="3"/>
      <c r="G13" s="3"/>
      <c r="H13" s="4"/>
      <c r="I13" s="4"/>
      <c r="J13" s="36"/>
    </row>
    <row r="14" spans="1:11" ht="15.75" customHeight="1">
      <c r="A14" s="3"/>
      <c r="B14" s="3"/>
      <c r="C14" s="3"/>
      <c r="D14" s="3"/>
      <c r="E14" s="3"/>
      <c r="F14" s="3"/>
      <c r="G14" s="3"/>
      <c r="H14" s="4"/>
      <c r="I14" s="4"/>
      <c r="J14" s="36"/>
    </row>
    <row r="15" spans="1:11" ht="15.75" customHeight="1">
      <c r="A15" s="3"/>
      <c r="B15" s="3"/>
      <c r="C15" s="3"/>
      <c r="D15" s="3"/>
      <c r="E15" s="3"/>
      <c r="F15" s="3"/>
      <c r="G15" s="3"/>
      <c r="H15" s="4"/>
      <c r="I15" s="4"/>
      <c r="J15" s="36"/>
    </row>
    <row r="16" spans="1:11" ht="15.75" customHeight="1">
      <c r="A16" s="3"/>
      <c r="B16" s="3"/>
      <c r="C16" s="3"/>
      <c r="D16" s="3"/>
      <c r="E16" s="3"/>
      <c r="F16" s="3"/>
      <c r="G16" s="3"/>
      <c r="H16" s="4"/>
      <c r="I16" s="4"/>
      <c r="J16" s="36"/>
    </row>
    <row r="17" spans="1:22" ht="15.75" customHeight="1">
      <c r="A17" s="3"/>
      <c r="B17" s="3"/>
      <c r="C17" s="3"/>
      <c r="D17" s="3"/>
      <c r="E17" s="3"/>
      <c r="F17" s="3"/>
      <c r="G17" s="3"/>
      <c r="H17" s="4"/>
      <c r="I17" s="4"/>
      <c r="J17" s="36"/>
    </row>
    <row r="18" spans="1:22" ht="15.75" customHeight="1">
      <c r="A18" s="3"/>
      <c r="B18" s="3"/>
      <c r="C18" s="3"/>
      <c r="D18" s="3"/>
      <c r="E18" s="3"/>
      <c r="F18" s="3"/>
      <c r="G18" s="3"/>
      <c r="H18" s="4"/>
      <c r="I18" s="4"/>
      <c r="J18" s="36"/>
    </row>
    <row r="19" spans="1:22" ht="15.75" customHeight="1">
      <c r="A19" s="3"/>
      <c r="B19" s="3"/>
      <c r="C19" s="3"/>
      <c r="D19" s="3"/>
      <c r="E19" s="3"/>
      <c r="F19" s="3"/>
      <c r="G19" s="3"/>
      <c r="H19" s="4"/>
      <c r="I19" s="4"/>
      <c r="J19" s="36"/>
    </row>
    <row r="20" spans="1:22" ht="15.75" customHeight="1">
      <c r="A20" s="3"/>
      <c r="B20" s="3"/>
      <c r="C20" s="3"/>
      <c r="D20" s="3"/>
      <c r="E20" s="3"/>
      <c r="F20" s="3"/>
      <c r="G20" s="3"/>
      <c r="H20" s="4"/>
      <c r="I20" s="36"/>
      <c r="J20" s="36"/>
    </row>
    <row r="21" spans="1:22" ht="15.75" customHeight="1">
      <c r="A21" s="3"/>
      <c r="B21" s="3"/>
      <c r="C21" s="3"/>
      <c r="D21" s="3"/>
      <c r="E21" s="3"/>
      <c r="F21" s="3"/>
      <c r="G21" s="3"/>
      <c r="H21" s="4"/>
      <c r="I21" s="36"/>
      <c r="J21" s="36"/>
    </row>
    <row r="22" spans="1:22" ht="15.75" customHeight="1">
      <c r="A22" s="3"/>
      <c r="B22" s="3"/>
      <c r="C22" s="3"/>
      <c r="D22" s="3"/>
      <c r="E22" s="3"/>
      <c r="F22" s="3"/>
      <c r="G22" s="3"/>
      <c r="H22" s="4"/>
      <c r="I22" s="36"/>
      <c r="J22" s="36"/>
    </row>
    <row r="23" spans="1:22" ht="15.75" customHeight="1">
      <c r="A23" s="3"/>
      <c r="B23" s="3"/>
      <c r="C23" s="3"/>
      <c r="D23" s="3"/>
      <c r="E23" s="3"/>
      <c r="F23" s="3"/>
      <c r="G23" s="3"/>
      <c r="H23" s="4"/>
      <c r="I23" s="36"/>
      <c r="J23" s="36"/>
    </row>
    <row r="24" spans="1:22" ht="15.75" customHeight="1">
      <c r="A24" s="3"/>
      <c r="B24" s="3"/>
      <c r="C24" s="3"/>
      <c r="D24" s="3"/>
      <c r="E24" s="3"/>
      <c r="F24" s="3"/>
      <c r="G24" s="3"/>
      <c r="H24" s="4"/>
      <c r="I24" s="36"/>
      <c r="J24" s="36"/>
    </row>
    <row r="25" spans="1:22" ht="15.75" customHeight="1">
      <c r="A25" s="3"/>
      <c r="B25" s="3"/>
      <c r="C25" s="3"/>
      <c r="D25" s="3"/>
      <c r="E25" s="3"/>
      <c r="F25" s="3"/>
      <c r="G25" s="3"/>
      <c r="H25" s="4"/>
      <c r="I25" s="36"/>
      <c r="J25" s="36"/>
    </row>
    <row r="26" spans="1:22" ht="15.75" customHeight="1">
      <c r="A26" s="3"/>
      <c r="B26" s="3"/>
      <c r="C26" s="3"/>
      <c r="D26" s="3"/>
      <c r="E26" s="3"/>
      <c r="F26" s="3"/>
      <c r="G26" s="3"/>
      <c r="H26" s="4"/>
      <c r="I26" s="36"/>
      <c r="J26" s="36"/>
    </row>
    <row r="27" spans="1:22" ht="15.75" customHeight="1">
      <c r="A27" s="3"/>
      <c r="B27" s="3"/>
      <c r="C27" s="3"/>
      <c r="D27" s="3"/>
      <c r="E27" s="3"/>
      <c r="F27" s="3"/>
      <c r="G27" s="3"/>
      <c r="H27" s="4"/>
      <c r="I27" s="36"/>
      <c r="J27" s="36"/>
    </row>
    <row r="28" spans="1:22" ht="15.75" customHeight="1">
      <c r="A28" s="3"/>
      <c r="B28" s="3"/>
      <c r="C28" s="3"/>
      <c r="D28" s="3"/>
      <c r="E28" s="3"/>
      <c r="F28" s="3"/>
      <c r="G28" s="3"/>
      <c r="H28" s="4"/>
      <c r="I28" s="36"/>
      <c r="J28" s="36"/>
    </row>
    <row r="29" spans="1:22" ht="15.75" customHeight="1">
      <c r="A29" s="3"/>
      <c r="B29" s="3"/>
      <c r="C29" s="3"/>
      <c r="D29" s="3"/>
      <c r="E29" s="46"/>
      <c r="F29" s="46"/>
      <c r="G29" s="3"/>
      <c r="H29" s="4"/>
      <c r="I29" s="47"/>
      <c r="J29" s="4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5.75" customHeight="1">
      <c r="A30" s="3"/>
      <c r="B30" s="3"/>
      <c r="C30" s="3"/>
      <c r="D30" s="3"/>
      <c r="E30" s="3"/>
      <c r="F30" s="3"/>
      <c r="G30" s="3"/>
      <c r="H30" s="4"/>
      <c r="I30" s="36"/>
      <c r="J30" s="36"/>
    </row>
    <row r="31" spans="1:22" ht="15.75" customHeight="1">
      <c r="A31" s="3"/>
      <c r="B31" s="3"/>
      <c r="C31" s="3"/>
      <c r="D31" s="3"/>
      <c r="E31" s="3"/>
      <c r="F31" s="3"/>
      <c r="G31" s="3"/>
      <c r="H31" s="4"/>
      <c r="I31" s="36"/>
      <c r="J31" s="36"/>
    </row>
    <row r="32" spans="1:22" ht="15.75" customHeight="1">
      <c r="A32" s="3"/>
      <c r="B32" s="3"/>
      <c r="C32" s="3"/>
      <c r="D32" s="3"/>
      <c r="E32" s="3"/>
      <c r="F32" s="3"/>
      <c r="G32" s="3"/>
      <c r="H32" s="4"/>
      <c r="I32" s="36"/>
      <c r="J32" s="36"/>
    </row>
    <row r="33" spans="1:22" ht="15.75" customHeight="1">
      <c r="A33" s="3"/>
      <c r="B33" s="3"/>
      <c r="C33" s="3"/>
      <c r="D33" s="3"/>
      <c r="E33" s="3"/>
      <c r="F33" s="3"/>
      <c r="G33" s="3"/>
      <c r="H33" s="4"/>
      <c r="I33" s="36"/>
      <c r="J33" s="36"/>
    </row>
    <row r="34" spans="1:22" ht="15.75" customHeight="1">
      <c r="A34" s="3"/>
      <c r="B34" s="3"/>
      <c r="C34" s="3"/>
      <c r="D34" s="3"/>
      <c r="E34" s="3"/>
      <c r="F34" s="3"/>
      <c r="G34" s="3"/>
      <c r="H34" s="4"/>
      <c r="I34" s="36"/>
      <c r="J34" s="36"/>
    </row>
    <row r="35" spans="1:22" ht="15.75" customHeight="1">
      <c r="A35" s="3"/>
      <c r="B35" s="3"/>
      <c r="C35" s="3"/>
      <c r="D35" s="3"/>
      <c r="E35" s="3"/>
      <c r="F35" s="3"/>
      <c r="G35" s="3"/>
      <c r="H35" s="4"/>
      <c r="I35" s="36"/>
      <c r="J35" s="36"/>
    </row>
    <row r="36" spans="1:22" ht="15.75" customHeight="1">
      <c r="A36" s="3"/>
      <c r="B36" s="3"/>
      <c r="C36" s="3"/>
      <c r="D36" s="3"/>
      <c r="E36" s="3"/>
      <c r="F36" s="3"/>
      <c r="G36" s="3"/>
      <c r="H36" s="4"/>
      <c r="I36" s="36"/>
      <c r="J36" s="36"/>
    </row>
    <row r="37" spans="1:22" ht="15">
      <c r="A37" s="3"/>
      <c r="B37" s="3"/>
      <c r="C37" s="3"/>
      <c r="D37" s="3"/>
      <c r="E37" s="3"/>
      <c r="F37" s="3"/>
      <c r="G37" s="3"/>
      <c r="H37" s="4"/>
      <c r="I37" s="36"/>
      <c r="J37" s="36"/>
    </row>
    <row r="38" spans="1:22" ht="15">
      <c r="A38" s="3"/>
      <c r="B38" s="3"/>
      <c r="C38" s="3"/>
      <c r="D38" s="3"/>
      <c r="E38" s="3"/>
      <c r="F38" s="3"/>
      <c r="G38" s="3"/>
      <c r="H38" s="4"/>
      <c r="I38" s="36"/>
      <c r="J38" s="3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5">
      <c r="A39" s="3"/>
      <c r="B39" s="3"/>
      <c r="C39" s="3"/>
      <c r="D39" s="3"/>
      <c r="E39" s="3"/>
      <c r="F39" s="3"/>
      <c r="G39" s="3"/>
      <c r="H39" s="4"/>
      <c r="I39" s="36"/>
      <c r="J39" s="36"/>
    </row>
    <row r="40" spans="1:22" ht="15">
      <c r="A40" s="3"/>
      <c r="B40" s="3"/>
      <c r="C40" s="3"/>
      <c r="D40" s="3"/>
      <c r="E40" s="3"/>
      <c r="F40" s="3"/>
      <c r="G40" s="3"/>
      <c r="H40" s="4"/>
      <c r="I40" s="36"/>
      <c r="J40" s="36"/>
    </row>
    <row r="41" spans="1:22" ht="15">
      <c r="A41" s="3"/>
      <c r="B41" s="3"/>
      <c r="C41" s="3"/>
      <c r="D41" s="3"/>
      <c r="E41" s="3"/>
      <c r="F41" s="3"/>
      <c r="G41" s="3"/>
      <c r="H41" s="4"/>
      <c r="I41" s="36"/>
      <c r="J41" s="36"/>
    </row>
    <row r="42" spans="1:22" ht="15">
      <c r="A42" s="3"/>
      <c r="B42" s="3"/>
      <c r="C42" s="3"/>
      <c r="D42" s="3"/>
      <c r="E42" s="3"/>
      <c r="F42" s="3"/>
      <c r="G42" s="3"/>
      <c r="H42" s="4"/>
      <c r="I42" s="36"/>
      <c r="J42" s="36"/>
    </row>
    <row r="43" spans="1:22" ht="15">
      <c r="A43" s="3"/>
      <c r="B43" s="3"/>
      <c r="C43" s="3"/>
      <c r="D43" s="3"/>
      <c r="E43" s="3"/>
      <c r="F43" s="3"/>
      <c r="G43" s="3"/>
      <c r="H43" s="4"/>
      <c r="I43" s="36"/>
      <c r="J43" s="36"/>
    </row>
    <row r="44" spans="1:22" ht="15">
      <c r="A44" s="3"/>
      <c r="B44" s="3"/>
      <c r="C44" s="3"/>
      <c r="D44" s="3"/>
      <c r="E44" s="3"/>
      <c r="F44" s="3"/>
      <c r="G44" s="3"/>
      <c r="H44" s="4"/>
      <c r="I44" s="36"/>
      <c r="J44" s="36"/>
    </row>
    <row r="45" spans="1:22" ht="15">
      <c r="A45" s="3"/>
      <c r="B45" s="3"/>
      <c r="C45" s="3"/>
      <c r="D45" s="3"/>
      <c r="E45" s="3"/>
      <c r="F45" s="3"/>
      <c r="G45" s="3"/>
      <c r="H45" s="4"/>
      <c r="I45" s="36"/>
      <c r="J45" s="36"/>
    </row>
    <row r="46" spans="1:22" ht="15">
      <c r="A46" s="3"/>
      <c r="B46" s="3"/>
      <c r="C46" s="3"/>
      <c r="D46" s="3"/>
      <c r="E46" s="3"/>
      <c r="F46" s="3"/>
      <c r="G46" s="3"/>
      <c r="H46" s="4"/>
      <c r="I46" s="36"/>
      <c r="J46" s="36"/>
    </row>
    <row r="47" spans="1:22" ht="15">
      <c r="A47" s="3"/>
      <c r="B47" s="3"/>
      <c r="C47" s="3"/>
      <c r="D47" s="3"/>
      <c r="E47" s="3"/>
      <c r="F47" s="3"/>
      <c r="G47" s="3"/>
      <c r="H47" s="4"/>
      <c r="I47" s="36"/>
      <c r="J47" s="36"/>
    </row>
    <row r="48" spans="1:22" ht="15">
      <c r="A48" s="3"/>
      <c r="B48" s="3"/>
      <c r="C48" s="3"/>
      <c r="D48" s="3"/>
      <c r="E48" s="3"/>
      <c r="F48" s="3"/>
      <c r="G48" s="3"/>
      <c r="H48" s="4"/>
      <c r="I48" s="36"/>
      <c r="J48" s="36"/>
    </row>
    <row r="49" spans="1:10" ht="15">
      <c r="A49" s="3"/>
      <c r="B49" s="3"/>
      <c r="C49" s="3"/>
      <c r="D49" s="3"/>
      <c r="E49" s="3"/>
      <c r="F49" s="3"/>
      <c r="G49" s="3"/>
      <c r="H49" s="4"/>
      <c r="I49" s="36"/>
      <c r="J49" s="36"/>
    </row>
    <row r="50" spans="1:10" ht="15">
      <c r="A50" s="3"/>
      <c r="B50" s="3"/>
      <c r="C50" s="3"/>
      <c r="D50" s="3"/>
      <c r="E50" s="3"/>
      <c r="F50" s="3"/>
      <c r="G50" s="3"/>
      <c r="H50" s="4"/>
      <c r="I50" s="36"/>
      <c r="J50" s="36"/>
    </row>
    <row r="51" spans="1:10" ht="15">
      <c r="A51" s="3"/>
      <c r="B51" s="3"/>
      <c r="C51" s="3"/>
      <c r="D51" s="3"/>
      <c r="E51" s="3"/>
      <c r="F51" s="3"/>
      <c r="G51" s="3"/>
      <c r="H51" s="4"/>
      <c r="I51" s="36"/>
      <c r="J51" s="36"/>
    </row>
    <row r="52" spans="1:10" ht="15">
      <c r="A52" s="3"/>
      <c r="B52" s="3"/>
      <c r="C52" s="3"/>
      <c r="D52" s="3"/>
      <c r="E52" s="3"/>
      <c r="F52" s="3"/>
      <c r="G52" s="3"/>
      <c r="H52" s="4"/>
      <c r="I52" s="36"/>
      <c r="J52" s="36"/>
    </row>
    <row r="53" spans="1:10" ht="15">
      <c r="A53" s="3"/>
      <c r="B53" s="3"/>
      <c r="C53" s="3"/>
      <c r="D53" s="3"/>
      <c r="E53" s="3"/>
      <c r="F53" s="3"/>
      <c r="G53" s="3"/>
      <c r="H53" s="4"/>
      <c r="I53" s="36"/>
      <c r="J53" s="36"/>
    </row>
    <row r="54" spans="1:10" ht="15">
      <c r="A54" s="3"/>
      <c r="B54" s="3"/>
      <c r="C54" s="3"/>
      <c r="D54" s="3"/>
      <c r="E54" s="3"/>
      <c r="F54" s="3"/>
      <c r="G54" s="3"/>
      <c r="H54" s="4"/>
      <c r="I54" s="36"/>
      <c r="J54" s="36"/>
    </row>
    <row r="55" spans="1:10" ht="15">
      <c r="A55" s="3"/>
      <c r="B55" s="3"/>
      <c r="C55" s="3"/>
      <c r="D55" s="3"/>
      <c r="E55" s="3"/>
      <c r="F55" s="3"/>
      <c r="G55" s="3"/>
      <c r="H55" s="4"/>
      <c r="I55" s="36"/>
      <c r="J55" s="36"/>
    </row>
    <row r="56" spans="1:10" ht="15">
      <c r="A56" s="3"/>
      <c r="B56" s="3"/>
      <c r="C56" s="3"/>
      <c r="D56" s="3"/>
      <c r="E56" s="3"/>
      <c r="F56" s="3"/>
      <c r="G56" s="3"/>
      <c r="H56" s="4"/>
      <c r="I56" s="36"/>
      <c r="J56" s="36"/>
    </row>
    <row r="57" spans="1:10" ht="15">
      <c r="A57" s="3"/>
      <c r="B57" s="3"/>
      <c r="C57" s="3"/>
      <c r="D57" s="3"/>
      <c r="E57" s="3"/>
      <c r="F57" s="3"/>
      <c r="G57" s="3"/>
      <c r="H57" s="4"/>
      <c r="I57" s="36"/>
      <c r="J57" s="36"/>
    </row>
    <row r="58" spans="1:10" ht="15">
      <c r="A58" s="3"/>
      <c r="B58" s="3"/>
      <c r="C58" s="3"/>
      <c r="D58" s="3"/>
      <c r="E58" s="3"/>
      <c r="F58" s="3"/>
      <c r="G58" s="3"/>
      <c r="H58" s="4"/>
      <c r="I58" s="36"/>
      <c r="J58" s="36"/>
    </row>
    <row r="59" spans="1:10" ht="15">
      <c r="A59" s="3"/>
      <c r="B59" s="3"/>
      <c r="C59" s="3"/>
      <c r="D59" s="3"/>
      <c r="E59" s="3"/>
      <c r="F59" s="3"/>
      <c r="G59" s="3"/>
      <c r="H59" s="4"/>
      <c r="I59" s="36"/>
      <c r="J59" s="36"/>
    </row>
    <row r="60" spans="1:10" ht="15">
      <c r="A60" s="3"/>
      <c r="B60" s="3"/>
      <c r="C60" s="3"/>
      <c r="D60" s="3"/>
      <c r="E60" s="3"/>
      <c r="F60" s="3"/>
      <c r="G60" s="3"/>
      <c r="H60" s="4"/>
      <c r="I60" s="36"/>
      <c r="J60" s="36"/>
    </row>
    <row r="61" spans="1:10" ht="15">
      <c r="A61" s="3"/>
      <c r="B61" s="3"/>
      <c r="C61" s="3"/>
      <c r="D61" s="3"/>
      <c r="E61" s="3"/>
      <c r="F61" s="3"/>
      <c r="G61" s="3"/>
      <c r="H61" s="4"/>
      <c r="I61" s="36"/>
      <c r="J61" s="36"/>
    </row>
    <row r="62" spans="1:10" ht="15">
      <c r="A62" s="3"/>
      <c r="B62" s="3"/>
      <c r="C62" s="3"/>
      <c r="D62" s="3"/>
      <c r="E62" s="3"/>
      <c r="F62" s="3"/>
      <c r="G62" s="3"/>
      <c r="H62" s="4"/>
      <c r="I62" s="36"/>
      <c r="J62" s="36"/>
    </row>
    <row r="63" spans="1:10" ht="15">
      <c r="A63" s="3"/>
      <c r="B63" s="3"/>
      <c r="C63" s="3"/>
      <c r="D63" s="3"/>
      <c r="E63" s="3"/>
      <c r="F63" s="3"/>
      <c r="G63" s="3"/>
      <c r="H63" s="4"/>
      <c r="I63" s="36"/>
      <c r="J63" s="36"/>
    </row>
    <row r="64" spans="1:10" ht="15">
      <c r="A64" s="3"/>
      <c r="B64" s="3"/>
      <c r="C64" s="3"/>
      <c r="D64" s="3"/>
      <c r="E64" s="3"/>
      <c r="F64" s="3"/>
      <c r="G64" s="3"/>
      <c r="H64" s="4"/>
      <c r="I64" s="36"/>
      <c r="J64" s="36"/>
    </row>
    <row r="65" spans="1:22" ht="15">
      <c r="A65" s="3"/>
      <c r="B65" s="3"/>
      <c r="C65" s="3"/>
      <c r="D65" s="3"/>
      <c r="E65" s="3"/>
      <c r="F65" s="3"/>
      <c r="G65" s="3"/>
      <c r="H65" s="4"/>
      <c r="I65" s="36"/>
      <c r="J65" s="36"/>
    </row>
    <row r="66" spans="1:22" ht="15">
      <c r="A66" s="3"/>
      <c r="B66" s="3"/>
      <c r="C66" s="3"/>
      <c r="D66" s="3"/>
      <c r="E66" s="3"/>
      <c r="F66" s="3"/>
      <c r="G66" s="3"/>
      <c r="H66" s="4"/>
      <c r="I66" s="36"/>
      <c r="J66" s="36"/>
    </row>
    <row r="67" spans="1:22" ht="15">
      <c r="A67" s="3"/>
      <c r="B67" s="3"/>
      <c r="C67" s="3"/>
      <c r="D67" s="3"/>
      <c r="E67" s="3"/>
      <c r="F67" s="3"/>
      <c r="G67" s="3"/>
      <c r="H67" s="4"/>
      <c r="I67" s="36"/>
      <c r="J67" s="36"/>
    </row>
    <row r="68" spans="1:22" ht="15">
      <c r="A68" s="3"/>
      <c r="B68" s="3"/>
      <c r="C68" s="3"/>
      <c r="D68" s="3"/>
      <c r="E68" s="3"/>
      <c r="F68" s="3"/>
      <c r="G68" s="3"/>
      <c r="H68" s="4"/>
      <c r="I68" s="36"/>
      <c r="J68" s="36"/>
    </row>
    <row r="69" spans="1:22" ht="15">
      <c r="A69" s="3"/>
      <c r="B69" s="3"/>
      <c r="C69" s="3"/>
      <c r="D69" s="3"/>
      <c r="E69" s="3"/>
      <c r="F69" s="3"/>
      <c r="G69" s="3"/>
      <c r="H69" s="4"/>
      <c r="I69" s="36"/>
      <c r="J69" s="36"/>
    </row>
    <row r="70" spans="1:22" ht="15">
      <c r="A70" s="3"/>
      <c r="B70" s="3"/>
      <c r="C70" s="3"/>
      <c r="D70" s="3"/>
      <c r="E70" s="3"/>
      <c r="F70" s="3"/>
      <c r="G70" s="3"/>
      <c r="H70" s="4"/>
      <c r="I70" s="36"/>
      <c r="J70" s="36"/>
    </row>
    <row r="71" spans="1:22" ht="15">
      <c r="A71" s="3"/>
      <c r="B71" s="3"/>
      <c r="C71" s="3"/>
      <c r="D71" s="3"/>
      <c r="E71" s="3"/>
      <c r="F71" s="3"/>
      <c r="G71" s="3"/>
      <c r="H71" s="4"/>
      <c r="I71" s="36"/>
      <c r="J71" s="36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">
      <c r="A72" s="3"/>
      <c r="B72" s="3"/>
      <c r="C72" s="3"/>
      <c r="D72" s="3"/>
      <c r="E72" s="3"/>
      <c r="F72" s="3"/>
      <c r="G72" s="3"/>
      <c r="H72" s="4"/>
      <c r="I72" s="36"/>
      <c r="J72" s="36"/>
    </row>
    <row r="73" spans="1:22" ht="15">
      <c r="A73" s="3"/>
      <c r="B73" s="3"/>
      <c r="C73" s="3"/>
      <c r="D73" s="3"/>
      <c r="E73" s="3"/>
      <c r="F73" s="3"/>
      <c r="G73" s="3"/>
      <c r="H73" s="4"/>
      <c r="I73" s="36"/>
      <c r="J73" s="36"/>
    </row>
    <row r="74" spans="1:22" ht="15">
      <c r="A74" s="3"/>
      <c r="B74" s="3"/>
      <c r="C74" s="3"/>
      <c r="D74" s="3"/>
      <c r="E74" s="3"/>
      <c r="F74" s="3"/>
      <c r="G74" s="3"/>
      <c r="H74" s="4"/>
      <c r="I74" s="36"/>
      <c r="J74" s="36"/>
    </row>
    <row r="75" spans="1:22" ht="15">
      <c r="A75" s="3"/>
      <c r="B75" s="3"/>
      <c r="C75" s="3"/>
      <c r="D75" s="3"/>
      <c r="E75" s="3"/>
      <c r="F75" s="3"/>
      <c r="G75" s="3"/>
      <c r="H75" s="4"/>
      <c r="I75" s="36"/>
      <c r="J75" s="36"/>
    </row>
    <row r="76" spans="1:22" ht="15">
      <c r="A76" s="3"/>
      <c r="B76" s="3"/>
      <c r="C76" s="3"/>
      <c r="D76" s="3"/>
      <c r="E76" s="3"/>
      <c r="F76" s="3"/>
      <c r="G76" s="3"/>
      <c r="H76" s="4"/>
      <c r="I76" s="36"/>
      <c r="J76" s="36"/>
    </row>
    <row r="77" spans="1:22" ht="15">
      <c r="A77" s="3"/>
      <c r="B77" s="3"/>
      <c r="C77" s="3"/>
      <c r="D77" s="3"/>
      <c r="E77" s="3"/>
      <c r="F77" s="3"/>
      <c r="G77" s="3"/>
      <c r="H77" s="4"/>
      <c r="I77" s="36"/>
      <c r="J77" s="36"/>
    </row>
    <row r="78" spans="1:22" ht="15">
      <c r="A78" s="3"/>
      <c r="B78" s="3"/>
      <c r="C78" s="3"/>
      <c r="D78" s="3"/>
      <c r="E78" s="3"/>
      <c r="F78" s="3"/>
      <c r="G78" s="3"/>
      <c r="H78" s="4"/>
      <c r="I78" s="36"/>
      <c r="J78" s="36"/>
      <c r="L78" s="34"/>
    </row>
    <row r="79" spans="1:22" ht="15">
      <c r="A79" s="3"/>
      <c r="B79" s="3"/>
      <c r="C79" s="3"/>
      <c r="D79" s="3"/>
      <c r="E79" s="3"/>
      <c r="F79" s="3"/>
      <c r="G79" s="3"/>
      <c r="H79" s="4"/>
      <c r="I79" s="36"/>
      <c r="J79" s="36"/>
    </row>
    <row r="80" spans="1:22" ht="15">
      <c r="A80" s="3"/>
      <c r="B80" s="3"/>
      <c r="C80" s="3"/>
      <c r="D80" s="3"/>
      <c r="E80" s="3"/>
      <c r="F80" s="3"/>
      <c r="G80" s="3"/>
      <c r="H80" s="4"/>
      <c r="I80" s="36"/>
      <c r="J80" s="36"/>
    </row>
    <row r="81" spans="1:10" ht="15">
      <c r="A81" s="3"/>
      <c r="B81" s="3"/>
      <c r="C81" s="3"/>
      <c r="D81" s="3"/>
      <c r="E81" s="3"/>
      <c r="F81" s="3"/>
      <c r="G81" s="3"/>
      <c r="H81" s="4"/>
      <c r="I81" s="36"/>
      <c r="J81" s="36"/>
    </row>
    <row r="82" spans="1:10" ht="15">
      <c r="A82" s="3"/>
      <c r="B82" s="3"/>
      <c r="C82" s="3"/>
      <c r="D82" s="3"/>
      <c r="E82" s="3"/>
      <c r="F82" s="3"/>
      <c r="G82" s="3"/>
      <c r="H82" s="4"/>
      <c r="I82" s="36"/>
      <c r="J82" s="36"/>
    </row>
    <row r="83" spans="1:10" ht="15">
      <c r="A83" s="3"/>
      <c r="B83" s="3"/>
      <c r="C83" s="3"/>
      <c r="D83" s="3"/>
      <c r="E83" s="3"/>
      <c r="F83" s="3"/>
      <c r="G83" s="3"/>
      <c r="H83" s="4"/>
      <c r="I83" s="36"/>
      <c r="J83" s="36"/>
    </row>
    <row r="84" spans="1:10" ht="15">
      <c r="A84" s="3"/>
      <c r="B84" s="3"/>
      <c r="C84" s="3"/>
      <c r="D84" s="3"/>
      <c r="E84" s="3"/>
      <c r="F84" s="3"/>
      <c r="G84" s="3"/>
      <c r="H84" s="4"/>
      <c r="I84" s="36"/>
      <c r="J84" s="36"/>
    </row>
    <row r="85" spans="1:10" ht="15">
      <c r="A85" s="3"/>
      <c r="B85" s="3"/>
      <c r="C85" s="3"/>
      <c r="D85" s="3"/>
      <c r="E85" s="3"/>
      <c r="F85" s="3"/>
      <c r="G85" s="3"/>
      <c r="H85" s="4"/>
      <c r="I85" s="36"/>
      <c r="J85" s="36"/>
    </row>
    <row r="86" spans="1:10" ht="15">
      <c r="A86" s="3"/>
      <c r="B86" s="3"/>
      <c r="C86" s="3"/>
      <c r="D86" s="3"/>
      <c r="E86" s="3"/>
      <c r="F86" s="3"/>
      <c r="G86" s="3"/>
      <c r="H86" s="4"/>
      <c r="I86" s="36"/>
      <c r="J86" s="36"/>
    </row>
    <row r="87" spans="1:10" ht="15">
      <c r="A87" s="3"/>
      <c r="B87" s="3"/>
      <c r="C87" s="3"/>
      <c r="D87" s="3"/>
      <c r="E87" s="3"/>
      <c r="F87" s="3"/>
      <c r="G87" s="3"/>
      <c r="H87" s="4"/>
      <c r="I87" s="36"/>
      <c r="J87" s="36"/>
    </row>
    <row r="88" spans="1:10" ht="15">
      <c r="A88" s="3"/>
      <c r="B88" s="3"/>
      <c r="C88" s="3"/>
      <c r="D88" s="3"/>
      <c r="E88" s="3"/>
      <c r="F88" s="3"/>
      <c r="G88" s="3"/>
      <c r="H88" s="4"/>
      <c r="I88" s="36"/>
      <c r="J88" s="36"/>
    </row>
    <row r="89" spans="1:10" ht="15">
      <c r="A89" s="3"/>
      <c r="B89" s="3"/>
      <c r="C89" s="3"/>
      <c r="D89" s="3"/>
      <c r="E89" s="3"/>
      <c r="F89" s="3"/>
      <c r="G89" s="3"/>
      <c r="H89" s="4"/>
      <c r="I89" s="36"/>
      <c r="J89" s="36"/>
    </row>
    <row r="90" spans="1:10" ht="15">
      <c r="A90" s="3"/>
      <c r="B90" s="3"/>
      <c r="C90" s="3"/>
      <c r="D90" s="3"/>
      <c r="E90" s="3"/>
      <c r="F90" s="3"/>
      <c r="G90" s="3"/>
      <c r="H90" s="4"/>
      <c r="I90" s="36"/>
      <c r="J90" s="36"/>
    </row>
    <row r="91" spans="1:10" ht="15">
      <c r="A91" s="3"/>
      <c r="B91" s="3"/>
      <c r="C91" s="3"/>
      <c r="D91" s="3"/>
      <c r="E91" s="3"/>
      <c r="F91" s="3"/>
      <c r="G91" s="3"/>
      <c r="H91" s="4"/>
      <c r="I91" s="36"/>
      <c r="J91" s="36"/>
    </row>
    <row r="92" spans="1:10" ht="15">
      <c r="A92" s="3"/>
      <c r="B92" s="3"/>
      <c r="C92" s="3"/>
      <c r="D92" s="3"/>
      <c r="E92" s="3"/>
      <c r="F92" s="3"/>
      <c r="G92" s="3"/>
      <c r="H92" s="4"/>
      <c r="I92" s="36"/>
      <c r="J92" s="36"/>
    </row>
    <row r="93" spans="1:10" ht="15">
      <c r="A93" s="3"/>
      <c r="B93" s="3"/>
      <c r="C93" s="3"/>
      <c r="D93" s="3"/>
      <c r="E93" s="3"/>
      <c r="F93" s="3"/>
      <c r="G93" s="3"/>
      <c r="H93" s="4"/>
      <c r="I93" s="36"/>
      <c r="J93" s="36"/>
    </row>
    <row r="94" spans="1:10" ht="15">
      <c r="A94" s="3"/>
      <c r="B94" s="3"/>
      <c r="C94" s="3"/>
      <c r="D94" s="3"/>
      <c r="E94" s="3"/>
      <c r="F94" s="3"/>
      <c r="G94" s="3"/>
      <c r="H94" s="4"/>
      <c r="I94" s="36"/>
      <c r="J94" s="36"/>
    </row>
    <row r="95" spans="1:10" ht="15">
      <c r="A95" s="3"/>
      <c r="B95" s="3"/>
      <c r="C95" s="3"/>
      <c r="D95" s="3"/>
      <c r="E95" s="3"/>
      <c r="F95" s="3"/>
      <c r="G95" s="3"/>
      <c r="H95" s="4"/>
      <c r="I95" s="36"/>
      <c r="J95" s="36"/>
    </row>
    <row r="96" spans="1:10" ht="15">
      <c r="A96" s="3"/>
      <c r="B96" s="3"/>
      <c r="C96" s="3"/>
      <c r="D96" s="3"/>
      <c r="E96" s="3"/>
      <c r="F96" s="3"/>
      <c r="G96" s="3"/>
      <c r="H96" s="4"/>
      <c r="I96" s="36"/>
      <c r="J96" s="36"/>
    </row>
    <row r="97" spans="1:10" ht="15">
      <c r="A97" s="3"/>
      <c r="B97" s="3"/>
      <c r="C97" s="3"/>
      <c r="D97" s="3"/>
      <c r="E97" s="3"/>
      <c r="F97" s="3"/>
      <c r="G97" s="3"/>
      <c r="H97" s="4"/>
      <c r="I97" s="36"/>
      <c r="J97" s="36"/>
    </row>
    <row r="98" spans="1:10" ht="15">
      <c r="A98" s="3"/>
      <c r="B98" s="3"/>
      <c r="C98" s="3"/>
      <c r="D98" s="3"/>
      <c r="E98" s="3"/>
      <c r="F98" s="3"/>
      <c r="G98" s="3"/>
      <c r="H98" s="4"/>
      <c r="I98" s="36"/>
      <c r="J98" s="36"/>
    </row>
    <row r="99" spans="1:10" ht="15">
      <c r="A99" s="3"/>
      <c r="B99" s="3"/>
      <c r="C99" s="3"/>
      <c r="D99" s="3"/>
      <c r="E99" s="3"/>
      <c r="F99" s="3"/>
      <c r="G99" s="3"/>
      <c r="H99" s="4"/>
      <c r="I99" s="36"/>
      <c r="J99" s="36"/>
    </row>
    <row r="100" spans="1:10" ht="15">
      <c r="A100" s="3"/>
      <c r="B100" s="3"/>
      <c r="C100" s="3"/>
      <c r="D100" s="3"/>
      <c r="E100" s="3"/>
      <c r="F100" s="3"/>
      <c r="G100" s="3"/>
      <c r="H100" s="4"/>
      <c r="I100" s="36"/>
      <c r="J100" s="36"/>
    </row>
    <row r="101" spans="1:10" ht="15">
      <c r="A101" s="3"/>
      <c r="B101" s="3"/>
      <c r="C101" s="3"/>
      <c r="D101" s="3"/>
      <c r="E101" s="3"/>
      <c r="F101" s="3"/>
      <c r="G101" s="3"/>
      <c r="H101" s="4"/>
      <c r="I101" s="36"/>
      <c r="J101" s="36"/>
    </row>
    <row r="102" spans="1:10" ht="15">
      <c r="A102" s="3"/>
      <c r="B102" s="3"/>
      <c r="C102" s="3"/>
      <c r="D102" s="3"/>
      <c r="E102" s="3"/>
      <c r="F102" s="3"/>
      <c r="G102" s="3"/>
      <c r="H102" s="4"/>
      <c r="I102" s="36"/>
      <c r="J102" s="36"/>
    </row>
    <row r="103" spans="1:10" ht="15">
      <c r="A103" s="3"/>
      <c r="B103" s="3"/>
      <c r="C103" s="3"/>
      <c r="D103" s="3"/>
      <c r="E103" s="3"/>
      <c r="F103" s="3"/>
      <c r="G103" s="3"/>
      <c r="H103" s="4"/>
      <c r="I103" s="36"/>
      <c r="J103" s="36"/>
    </row>
    <row r="104" spans="1:10" ht="15">
      <c r="A104" s="3"/>
      <c r="B104" s="3"/>
      <c r="C104" s="3"/>
      <c r="D104" s="3"/>
      <c r="E104" s="3"/>
      <c r="F104" s="3"/>
      <c r="G104" s="3"/>
      <c r="H104" s="4"/>
      <c r="I104" s="36"/>
      <c r="J104" s="36"/>
    </row>
    <row r="105" spans="1:10" ht="15">
      <c r="A105" s="3"/>
      <c r="B105" s="3"/>
      <c r="C105" s="3"/>
      <c r="D105" s="3"/>
      <c r="E105" s="3"/>
      <c r="F105" s="3"/>
      <c r="G105" s="3"/>
      <c r="H105" s="4"/>
      <c r="I105" s="36"/>
      <c r="J105" s="36"/>
    </row>
    <row r="106" spans="1:10" ht="15">
      <c r="A106" s="3"/>
      <c r="B106" s="3"/>
      <c r="C106" s="3"/>
      <c r="D106" s="3"/>
      <c r="E106" s="3"/>
      <c r="F106" s="3"/>
      <c r="G106" s="3"/>
      <c r="H106" s="4"/>
      <c r="I106" s="36"/>
      <c r="J106" s="36"/>
    </row>
    <row r="107" spans="1:10" ht="15">
      <c r="A107" s="3"/>
      <c r="B107" s="3"/>
      <c r="C107" s="3"/>
      <c r="D107" s="3"/>
      <c r="E107" s="3"/>
      <c r="F107" s="3"/>
      <c r="G107" s="3"/>
      <c r="H107" s="4"/>
      <c r="I107" s="36"/>
      <c r="J107" s="36"/>
    </row>
    <row r="108" spans="1:10" ht="15">
      <c r="A108" s="3"/>
      <c r="B108" s="3"/>
      <c r="C108" s="3"/>
      <c r="D108" s="3"/>
      <c r="E108" s="3"/>
      <c r="F108" s="3"/>
      <c r="G108" s="3"/>
      <c r="H108" s="4"/>
      <c r="I108" s="36"/>
      <c r="J108" s="36"/>
    </row>
    <row r="109" spans="1:10" ht="15">
      <c r="A109" s="3"/>
      <c r="B109" s="3"/>
      <c r="C109" s="3"/>
      <c r="D109" s="3"/>
      <c r="E109" s="3"/>
      <c r="F109" s="3"/>
      <c r="G109" s="3"/>
      <c r="H109" s="4"/>
      <c r="I109" s="36"/>
      <c r="J109" s="36"/>
    </row>
    <row r="110" spans="1:10" ht="15">
      <c r="A110" s="3"/>
      <c r="B110" s="3"/>
      <c r="C110" s="3"/>
      <c r="D110" s="3"/>
      <c r="E110" s="3"/>
      <c r="F110" s="3"/>
      <c r="G110" s="3"/>
      <c r="H110" s="4"/>
      <c r="I110" s="36"/>
      <c r="J110" s="36"/>
    </row>
    <row r="111" spans="1:10" ht="15">
      <c r="A111" s="3"/>
      <c r="B111" s="3"/>
      <c r="C111" s="3"/>
      <c r="D111" s="3"/>
      <c r="E111" s="3"/>
      <c r="F111" s="3"/>
      <c r="G111" s="3"/>
      <c r="H111" s="4"/>
      <c r="I111" s="36"/>
      <c r="J111" s="36"/>
    </row>
    <row r="112" spans="1:10" ht="15">
      <c r="A112" s="3"/>
      <c r="B112" s="3"/>
      <c r="C112" s="3"/>
      <c r="D112" s="3"/>
      <c r="E112" s="3"/>
      <c r="F112" s="3"/>
      <c r="G112" s="3"/>
      <c r="H112" s="4"/>
      <c r="I112" s="36"/>
      <c r="J112" s="36"/>
    </row>
    <row r="113" spans="1:10" ht="15">
      <c r="A113" s="3"/>
      <c r="B113" s="3"/>
      <c r="C113" s="3"/>
      <c r="D113" s="3"/>
      <c r="E113" s="3"/>
      <c r="F113" s="3"/>
      <c r="G113" s="3"/>
      <c r="H113" s="4"/>
      <c r="I113" s="36"/>
      <c r="J113" s="36"/>
    </row>
    <row r="114" spans="1:10" ht="15">
      <c r="A114" s="3"/>
      <c r="B114" s="3"/>
      <c r="C114" s="3"/>
      <c r="D114" s="3"/>
      <c r="E114" s="3"/>
      <c r="F114" s="3"/>
      <c r="G114" s="3"/>
      <c r="H114" s="4"/>
      <c r="I114" s="36"/>
      <c r="J114" s="36"/>
    </row>
    <row r="115" spans="1:10" ht="15">
      <c r="A115" s="3"/>
      <c r="B115" s="3"/>
      <c r="C115" s="3"/>
      <c r="D115" s="3"/>
      <c r="E115" s="3"/>
      <c r="F115" s="3"/>
      <c r="G115" s="3"/>
      <c r="H115" s="4"/>
      <c r="I115" s="36"/>
      <c r="J115" s="36"/>
    </row>
    <row r="116" spans="1:10" ht="15">
      <c r="A116" s="3"/>
      <c r="B116" s="3"/>
      <c r="C116" s="3"/>
      <c r="D116" s="3"/>
      <c r="E116" s="3"/>
      <c r="F116" s="3"/>
      <c r="G116" s="3"/>
      <c r="H116" s="4"/>
      <c r="I116" s="36"/>
      <c r="J116" s="36"/>
    </row>
    <row r="117" spans="1:10" ht="15">
      <c r="A117" s="3"/>
      <c r="B117" s="3"/>
      <c r="C117" s="3"/>
      <c r="D117" s="3"/>
      <c r="E117" s="3"/>
      <c r="F117" s="3"/>
      <c r="G117" s="3"/>
      <c r="H117" s="4"/>
      <c r="I117" s="36"/>
      <c r="J117" s="36"/>
    </row>
    <row r="118" spans="1:10" ht="15">
      <c r="A118" s="3"/>
      <c r="B118" s="3"/>
      <c r="C118" s="3"/>
      <c r="D118" s="3"/>
      <c r="E118" s="3"/>
      <c r="F118" s="3"/>
      <c r="G118" s="3"/>
      <c r="H118" s="4"/>
      <c r="I118" s="36"/>
      <c r="J118" s="36"/>
    </row>
    <row r="119" spans="1:10" ht="15">
      <c r="A119" s="3"/>
      <c r="B119" s="3"/>
      <c r="C119" s="3"/>
      <c r="D119" s="3"/>
      <c r="E119" s="3"/>
      <c r="F119" s="3"/>
      <c r="G119" s="3"/>
      <c r="H119" s="4"/>
      <c r="I119" s="36"/>
      <c r="J119" s="36"/>
    </row>
  </sheetData>
  <autoFilter ref="A1:J1010" xr:uid="{00000000-0009-0000-0000-000006000000}"/>
  <customSheetViews>
    <customSheetView guid="{5B966157-D76D-4ACD-A64E-35B71110F4A8}" filter="1" showAutoFilter="1">
      <pageMargins left="0.7" right="0.7" top="0.75" bottom="0.75" header="0.3" footer="0.3"/>
      <autoFilter ref="A1:J1010" xr:uid="{4F52BD6A-8F60-4E26-B3CE-C0439A76FA7E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Specialized Tarmac Pro"/>
            <filter val="Specialized Venge S-Works"/>
          </filters>
        </filterColumn>
        <filterColumn colId="6">
          <filters blank="1">
            <filter val="Enve 3.4"/>
            <filter val="Lightweight Meilensteins"/>
            <filter val="Zipp 858"/>
          </filters>
        </filterColumn>
      </autoFilter>
    </customSheetView>
  </customSheetViews>
  <conditionalFormatting sqref="J1:J1176 I1 I20:I1176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K2" r:id="rId1" xr:uid="{00000000-0004-0000-0600-000000000000}"/>
    <hyperlink ref="K3" r:id="rId2" xr:uid="{00000000-0004-0000-0600-000001000000}"/>
    <hyperlink ref="K4" r:id="rId3" xr:uid="{00000000-0004-0000-0600-000002000000}"/>
    <hyperlink ref="K5" r:id="rId4" xr:uid="{00000000-0004-0000-06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7.85546875" customWidth="1"/>
    <col min="5" max="5" width="25.5703125" customWidth="1"/>
    <col min="6" max="6" width="7.42578125" customWidth="1"/>
    <col min="7" max="7" width="28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429</v>
      </c>
      <c r="J1" s="1" t="s">
        <v>430</v>
      </c>
      <c r="K1" s="1" t="s">
        <v>8</v>
      </c>
    </row>
    <row r="2" spans="1:11" ht="15.75" customHeight="1">
      <c r="A2" s="3">
        <v>75</v>
      </c>
      <c r="B2" s="3">
        <v>300</v>
      </c>
      <c r="C2" s="3">
        <f t="shared" ref="C2:C8" si="0">B2/A2</f>
        <v>4</v>
      </c>
      <c r="D2" s="3">
        <v>183</v>
      </c>
      <c r="E2" s="3" t="s">
        <v>94</v>
      </c>
      <c r="F2" s="3" t="s">
        <v>10</v>
      </c>
      <c r="G2" s="3" t="s">
        <v>444</v>
      </c>
      <c r="H2" s="4">
        <v>1.7222222222222222E-2</v>
      </c>
      <c r="I2" s="4">
        <v>5.5324074074074078E-3</v>
      </c>
      <c r="J2" s="36">
        <f t="shared" ref="J2:J8" si="1">1-(PERCENTRANK(H:H,H2,4))</f>
        <v>0.83340000000000003</v>
      </c>
      <c r="K2" s="21" t="s">
        <v>447</v>
      </c>
    </row>
    <row r="3" spans="1:11" ht="15.75" customHeight="1">
      <c r="A3" s="3">
        <v>75</v>
      </c>
      <c r="B3" s="3">
        <v>300</v>
      </c>
      <c r="C3" s="3">
        <f t="shared" si="0"/>
        <v>4</v>
      </c>
      <c r="D3" s="3">
        <v>183</v>
      </c>
      <c r="E3" s="3" t="s">
        <v>94</v>
      </c>
      <c r="F3" s="3" t="s">
        <v>10</v>
      </c>
      <c r="G3" s="3" t="s">
        <v>446</v>
      </c>
      <c r="H3" s="4">
        <v>1.7164351851851851E-2</v>
      </c>
      <c r="I3" s="4">
        <v>5.5208333333333333E-3</v>
      </c>
      <c r="J3" s="36">
        <f t="shared" si="1"/>
        <v>1</v>
      </c>
      <c r="K3" s="21" t="s">
        <v>447</v>
      </c>
    </row>
    <row r="4" spans="1:11" ht="15.75" customHeight="1">
      <c r="A4" s="3">
        <v>75</v>
      </c>
      <c r="B4" s="3">
        <v>300</v>
      </c>
      <c r="C4" s="3">
        <f t="shared" si="0"/>
        <v>4</v>
      </c>
      <c r="D4" s="3">
        <v>183</v>
      </c>
      <c r="E4" s="3"/>
      <c r="F4" s="3"/>
      <c r="G4" s="3"/>
      <c r="H4" s="4">
        <v>3.2025462962962964E-2</v>
      </c>
      <c r="I4" s="4">
        <v>1.8171296296296297E-3</v>
      </c>
      <c r="J4" s="36">
        <f t="shared" si="1"/>
        <v>0</v>
      </c>
    </row>
    <row r="5" spans="1:11" ht="15.75" customHeight="1">
      <c r="A5" s="3">
        <v>75</v>
      </c>
      <c r="B5" s="3">
        <v>300</v>
      </c>
      <c r="C5" s="3">
        <f t="shared" si="0"/>
        <v>4</v>
      </c>
      <c r="D5" s="3">
        <v>183</v>
      </c>
      <c r="E5" s="3"/>
      <c r="F5" s="3"/>
      <c r="G5" s="3"/>
      <c r="H5" s="4">
        <v>3.1585648148148147E-2</v>
      </c>
      <c r="I5" s="4">
        <v>1.8171296296296297E-3</v>
      </c>
      <c r="J5" s="36">
        <f t="shared" si="1"/>
        <v>0.16669999999999996</v>
      </c>
    </row>
    <row r="6" spans="1:11" ht="15.75" customHeight="1">
      <c r="A6" s="3">
        <v>75</v>
      </c>
      <c r="B6" s="3">
        <v>300</v>
      </c>
      <c r="C6" s="3">
        <f t="shared" si="0"/>
        <v>4</v>
      </c>
      <c r="D6" s="3">
        <v>183</v>
      </c>
      <c r="E6" s="3"/>
      <c r="F6" s="3"/>
      <c r="G6" s="3"/>
      <c r="H6" s="4">
        <v>3.1516203703703706E-2</v>
      </c>
      <c r="I6" s="4">
        <v>1.8287037037037037E-3</v>
      </c>
      <c r="J6" s="36">
        <f t="shared" si="1"/>
        <v>0.66670000000000007</v>
      </c>
    </row>
    <row r="7" spans="1:11" ht="15.75" customHeight="1">
      <c r="A7" s="3">
        <v>75</v>
      </c>
      <c r="B7" s="3">
        <v>300</v>
      </c>
      <c r="C7" s="3">
        <f t="shared" si="0"/>
        <v>4</v>
      </c>
      <c r="D7" s="3">
        <v>183</v>
      </c>
      <c r="E7" s="3"/>
      <c r="F7" s="3"/>
      <c r="G7" s="3"/>
      <c r="H7" s="4">
        <v>3.1516203703703706E-2</v>
      </c>
      <c r="I7" s="4">
        <v>1.8287037037037037E-3</v>
      </c>
      <c r="J7" s="36">
        <f t="shared" si="1"/>
        <v>0.66670000000000007</v>
      </c>
    </row>
    <row r="8" spans="1:11" ht="15.75" customHeight="1">
      <c r="A8" s="3">
        <v>75</v>
      </c>
      <c r="B8" s="3">
        <v>300</v>
      </c>
      <c r="C8" s="3">
        <f t="shared" si="0"/>
        <v>4</v>
      </c>
      <c r="D8" s="3">
        <v>183</v>
      </c>
      <c r="E8" s="3"/>
      <c r="F8" s="3"/>
      <c r="G8" s="3"/>
      <c r="H8" s="4">
        <v>3.1516203703703706E-2</v>
      </c>
      <c r="I8" s="4">
        <v>1.8287037037037037E-3</v>
      </c>
      <c r="J8" s="36">
        <f t="shared" si="1"/>
        <v>0.66670000000000007</v>
      </c>
    </row>
    <row r="9" spans="1:11" ht="15.75" customHeight="1">
      <c r="A9" s="3"/>
      <c r="B9" s="3"/>
      <c r="C9" s="3"/>
      <c r="D9" s="3"/>
      <c r="E9" s="3"/>
      <c r="F9" s="3"/>
      <c r="G9" s="3"/>
      <c r="H9" s="4"/>
      <c r="I9" s="4"/>
      <c r="J9" s="36"/>
    </row>
    <row r="10" spans="1:11" ht="15.75" customHeight="1">
      <c r="A10" s="3"/>
      <c r="B10" s="3"/>
      <c r="C10" s="3"/>
      <c r="D10" s="3"/>
      <c r="E10" s="3"/>
      <c r="F10" s="3"/>
      <c r="G10" s="3"/>
      <c r="H10" s="4"/>
      <c r="I10" s="4"/>
      <c r="J10" s="36"/>
    </row>
    <row r="11" spans="1:11" ht="15.75" customHeight="1">
      <c r="A11" s="3"/>
      <c r="B11" s="3"/>
      <c r="C11" s="3"/>
      <c r="D11" s="3"/>
      <c r="E11" s="3"/>
      <c r="F11" s="3"/>
      <c r="G11" s="3"/>
      <c r="H11" s="4"/>
      <c r="I11" s="4"/>
      <c r="J11" s="36"/>
    </row>
    <row r="12" spans="1:11" ht="15.75" customHeight="1">
      <c r="A12" s="3"/>
      <c r="B12" s="3"/>
      <c r="C12" s="3"/>
      <c r="D12" s="3"/>
      <c r="E12" s="3"/>
      <c r="F12" s="3"/>
      <c r="G12" s="3"/>
      <c r="H12" s="4"/>
      <c r="I12" s="4"/>
      <c r="J12" s="36"/>
    </row>
    <row r="13" spans="1:11" ht="15.75" customHeight="1">
      <c r="A13" s="3"/>
      <c r="B13" s="3"/>
      <c r="C13" s="3"/>
      <c r="D13" s="3"/>
      <c r="E13" s="3"/>
      <c r="F13" s="3"/>
      <c r="G13" s="3"/>
      <c r="H13" s="4"/>
      <c r="I13" s="4"/>
      <c r="J13" s="36"/>
    </row>
    <row r="14" spans="1:11" ht="15.75" customHeight="1">
      <c r="A14" s="3"/>
      <c r="B14" s="3"/>
      <c r="C14" s="3"/>
      <c r="D14" s="3"/>
      <c r="E14" s="3"/>
      <c r="F14" s="3"/>
      <c r="G14" s="3"/>
      <c r="H14" s="4"/>
      <c r="I14" s="4"/>
      <c r="J14" s="36"/>
    </row>
    <row r="15" spans="1:11" ht="15.75" customHeight="1">
      <c r="A15" s="3"/>
      <c r="B15" s="3"/>
      <c r="C15" s="3"/>
      <c r="D15" s="3"/>
      <c r="E15" s="3"/>
      <c r="F15" s="3"/>
      <c r="G15" s="3"/>
      <c r="H15" s="4"/>
      <c r="I15" s="4"/>
      <c r="J15" s="36"/>
    </row>
    <row r="16" spans="1:11" ht="15.75" customHeight="1">
      <c r="A16" s="3"/>
      <c r="B16" s="3"/>
      <c r="C16" s="3"/>
      <c r="D16" s="3"/>
      <c r="E16" s="3"/>
      <c r="F16" s="3"/>
      <c r="G16" s="3"/>
      <c r="H16" s="4"/>
      <c r="I16" s="4"/>
      <c r="J16" s="36"/>
    </row>
    <row r="17" spans="1:22" ht="15.75" customHeight="1">
      <c r="A17" s="3"/>
      <c r="B17" s="3"/>
      <c r="C17" s="3"/>
      <c r="D17" s="3"/>
      <c r="E17" s="3"/>
      <c r="F17" s="3"/>
      <c r="G17" s="3"/>
      <c r="H17" s="4"/>
      <c r="I17" s="4"/>
      <c r="J17" s="36"/>
    </row>
    <row r="18" spans="1:22" ht="15.75" customHeight="1">
      <c r="A18" s="3"/>
      <c r="B18" s="3"/>
      <c r="C18" s="3"/>
      <c r="D18" s="3"/>
      <c r="E18" s="3"/>
      <c r="F18" s="3"/>
      <c r="G18" s="3"/>
      <c r="H18" s="4"/>
      <c r="I18" s="36"/>
      <c r="J18" s="36"/>
    </row>
    <row r="19" spans="1:22" ht="15.75" customHeight="1">
      <c r="A19" s="3"/>
      <c r="B19" s="3"/>
      <c r="C19" s="3"/>
      <c r="D19" s="3"/>
      <c r="E19" s="3"/>
      <c r="F19" s="3"/>
      <c r="G19" s="3"/>
      <c r="H19" s="4"/>
      <c r="I19" s="36"/>
      <c r="J19" s="36"/>
    </row>
    <row r="20" spans="1:22" ht="15.75" customHeight="1">
      <c r="A20" s="3"/>
      <c r="B20" s="3"/>
      <c r="C20" s="3"/>
      <c r="D20" s="3"/>
      <c r="E20" s="3"/>
      <c r="F20" s="3"/>
      <c r="G20" s="3"/>
      <c r="H20" s="4"/>
      <c r="I20" s="36"/>
      <c r="J20" s="36"/>
    </row>
    <row r="21" spans="1:22" ht="15.75" customHeight="1">
      <c r="A21" s="3"/>
      <c r="B21" s="3"/>
      <c r="C21" s="3"/>
      <c r="D21" s="3"/>
      <c r="E21" s="3"/>
      <c r="F21" s="3"/>
      <c r="G21" s="3"/>
      <c r="H21" s="4"/>
      <c r="I21" s="36"/>
      <c r="J21" s="36"/>
    </row>
    <row r="22" spans="1:22" ht="15.75" customHeight="1">
      <c r="A22" s="3"/>
      <c r="B22" s="3"/>
      <c r="C22" s="3"/>
      <c r="D22" s="3"/>
      <c r="E22" s="3"/>
      <c r="F22" s="3"/>
      <c r="G22" s="3"/>
      <c r="H22" s="4"/>
      <c r="I22" s="36"/>
      <c r="J22" s="36"/>
    </row>
    <row r="23" spans="1:22" ht="15.75" customHeight="1">
      <c r="A23" s="3"/>
      <c r="B23" s="3"/>
      <c r="C23" s="3"/>
      <c r="D23" s="3"/>
      <c r="E23" s="3"/>
      <c r="F23" s="3"/>
      <c r="G23" s="3"/>
      <c r="H23" s="4"/>
      <c r="I23" s="36"/>
      <c r="J23" s="36"/>
    </row>
    <row r="24" spans="1:22" ht="15.75" customHeight="1">
      <c r="A24" s="3"/>
      <c r="B24" s="3"/>
      <c r="C24" s="3"/>
      <c r="D24" s="3"/>
      <c r="E24" s="3"/>
      <c r="F24" s="3"/>
      <c r="G24" s="3"/>
      <c r="H24" s="4"/>
      <c r="I24" s="36"/>
      <c r="J24" s="36"/>
    </row>
    <row r="25" spans="1:22" ht="15.75" customHeight="1">
      <c r="A25" s="3"/>
      <c r="B25" s="3"/>
      <c r="C25" s="3"/>
      <c r="D25" s="3"/>
      <c r="E25" s="3"/>
      <c r="F25" s="3"/>
      <c r="G25" s="3"/>
      <c r="H25" s="4"/>
      <c r="I25" s="36"/>
      <c r="J25" s="36"/>
    </row>
    <row r="26" spans="1:22" ht="15.75" customHeight="1">
      <c r="A26" s="3"/>
      <c r="B26" s="3"/>
      <c r="C26" s="3"/>
      <c r="D26" s="3"/>
      <c r="E26" s="3"/>
      <c r="F26" s="3"/>
      <c r="G26" s="3"/>
      <c r="H26" s="4"/>
      <c r="I26" s="36"/>
      <c r="J26" s="36"/>
    </row>
    <row r="27" spans="1:22" ht="15.75" customHeight="1">
      <c r="A27" s="3"/>
      <c r="B27" s="3"/>
      <c r="C27" s="3"/>
      <c r="D27" s="3"/>
      <c r="E27" s="46"/>
      <c r="F27" s="46"/>
      <c r="G27" s="3"/>
      <c r="H27" s="4"/>
      <c r="I27" s="47"/>
      <c r="J27" s="4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5.75" customHeight="1">
      <c r="A28" s="3"/>
      <c r="B28" s="3"/>
      <c r="C28" s="3"/>
      <c r="D28" s="3"/>
      <c r="E28" s="3"/>
      <c r="F28" s="3"/>
      <c r="G28" s="3"/>
      <c r="H28" s="4"/>
      <c r="I28" s="36"/>
      <c r="J28" s="36"/>
    </row>
    <row r="29" spans="1:22" ht="15.75" customHeight="1">
      <c r="A29" s="3"/>
      <c r="B29" s="3"/>
      <c r="C29" s="3"/>
      <c r="D29" s="3"/>
      <c r="E29" s="3"/>
      <c r="F29" s="3"/>
      <c r="G29" s="3"/>
      <c r="H29" s="4"/>
      <c r="I29" s="36"/>
      <c r="J29" s="36"/>
    </row>
    <row r="30" spans="1:22" ht="15.75" customHeight="1">
      <c r="A30" s="3"/>
      <c r="B30" s="3"/>
      <c r="C30" s="3"/>
      <c r="D30" s="3"/>
      <c r="E30" s="3"/>
      <c r="F30" s="3"/>
      <c r="G30" s="3"/>
      <c r="H30" s="4"/>
      <c r="I30" s="36"/>
      <c r="J30" s="36"/>
    </row>
    <row r="31" spans="1:22" ht="15.75" customHeight="1">
      <c r="A31" s="3"/>
      <c r="B31" s="3"/>
      <c r="C31" s="3"/>
      <c r="D31" s="3"/>
      <c r="E31" s="3"/>
      <c r="F31" s="3"/>
      <c r="G31" s="3"/>
      <c r="H31" s="4"/>
      <c r="I31" s="36"/>
      <c r="J31" s="36"/>
    </row>
    <row r="32" spans="1:22" ht="15.75" customHeight="1">
      <c r="A32" s="3"/>
      <c r="B32" s="3"/>
      <c r="C32" s="3"/>
      <c r="D32" s="3"/>
      <c r="E32" s="3"/>
      <c r="F32" s="3"/>
      <c r="G32" s="3"/>
      <c r="H32" s="4"/>
      <c r="I32" s="36"/>
      <c r="J32" s="36"/>
    </row>
    <row r="33" spans="1:22" ht="15.75" customHeight="1">
      <c r="A33" s="3"/>
      <c r="B33" s="3"/>
      <c r="C33" s="3"/>
      <c r="D33" s="3"/>
      <c r="E33" s="3"/>
      <c r="F33" s="3"/>
      <c r="G33" s="3"/>
      <c r="H33" s="4"/>
      <c r="I33" s="36"/>
      <c r="J33" s="36"/>
    </row>
    <row r="34" spans="1:22" ht="15.75" customHeight="1">
      <c r="A34" s="3"/>
      <c r="B34" s="3"/>
      <c r="C34" s="3"/>
      <c r="D34" s="3"/>
      <c r="E34" s="3"/>
      <c r="F34" s="3"/>
      <c r="G34" s="3"/>
      <c r="H34" s="4"/>
      <c r="I34" s="36"/>
      <c r="J34" s="36"/>
    </row>
    <row r="35" spans="1:22" ht="15.75" customHeight="1">
      <c r="A35" s="3"/>
      <c r="B35" s="3"/>
      <c r="C35" s="3"/>
      <c r="D35" s="3"/>
      <c r="E35" s="3"/>
      <c r="F35" s="3"/>
      <c r="G35" s="3"/>
      <c r="H35" s="4"/>
      <c r="I35" s="36"/>
      <c r="J35" s="36"/>
    </row>
    <row r="36" spans="1:22" ht="15.75" customHeight="1">
      <c r="A36" s="3"/>
      <c r="B36" s="3"/>
      <c r="C36" s="3"/>
      <c r="D36" s="3"/>
      <c r="E36" s="3"/>
      <c r="F36" s="3"/>
      <c r="G36" s="3"/>
      <c r="H36" s="4"/>
      <c r="I36" s="36"/>
      <c r="J36" s="3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5">
      <c r="A37" s="3"/>
      <c r="B37" s="3"/>
      <c r="C37" s="3"/>
      <c r="D37" s="3"/>
      <c r="E37" s="3"/>
      <c r="F37" s="3"/>
      <c r="G37" s="3"/>
      <c r="H37" s="4"/>
      <c r="I37" s="36"/>
      <c r="J37" s="36"/>
    </row>
    <row r="38" spans="1:22" ht="15">
      <c r="A38" s="3"/>
      <c r="B38" s="3"/>
      <c r="C38" s="3"/>
      <c r="D38" s="3"/>
      <c r="E38" s="3"/>
      <c r="F38" s="3"/>
      <c r="G38" s="3"/>
      <c r="H38" s="4"/>
      <c r="I38" s="36"/>
      <c r="J38" s="36"/>
    </row>
    <row r="39" spans="1:22" ht="15">
      <c r="A39" s="3"/>
      <c r="B39" s="3"/>
      <c r="C39" s="3"/>
      <c r="D39" s="3"/>
      <c r="E39" s="3"/>
      <c r="F39" s="3"/>
      <c r="G39" s="3"/>
      <c r="H39" s="4"/>
      <c r="I39" s="36"/>
      <c r="J39" s="36"/>
    </row>
    <row r="40" spans="1:22" ht="15">
      <c r="A40" s="3"/>
      <c r="B40" s="3"/>
      <c r="C40" s="3"/>
      <c r="D40" s="3"/>
      <c r="E40" s="3"/>
      <c r="F40" s="3"/>
      <c r="G40" s="3"/>
      <c r="H40" s="4"/>
      <c r="I40" s="36"/>
      <c r="J40" s="36"/>
    </row>
    <row r="41" spans="1:22" ht="15">
      <c r="A41" s="3"/>
      <c r="B41" s="3"/>
      <c r="C41" s="3"/>
      <c r="D41" s="3"/>
      <c r="E41" s="3"/>
      <c r="F41" s="3"/>
      <c r="G41" s="3"/>
      <c r="H41" s="4"/>
      <c r="I41" s="36"/>
      <c r="J41" s="36"/>
    </row>
    <row r="42" spans="1:22" ht="15">
      <c r="A42" s="3"/>
      <c r="B42" s="3"/>
      <c r="C42" s="3"/>
      <c r="D42" s="3"/>
      <c r="E42" s="3"/>
      <c r="F42" s="3"/>
      <c r="G42" s="3"/>
      <c r="H42" s="4"/>
      <c r="I42" s="36"/>
      <c r="J42" s="36"/>
    </row>
    <row r="43" spans="1:22" ht="15">
      <c r="A43" s="3"/>
      <c r="B43" s="3"/>
      <c r="C43" s="3"/>
      <c r="D43" s="3"/>
      <c r="E43" s="3"/>
      <c r="F43" s="3"/>
      <c r="G43" s="3"/>
      <c r="H43" s="4"/>
      <c r="I43" s="36"/>
      <c r="J43" s="36"/>
    </row>
    <row r="44" spans="1:22" ht="15">
      <c r="A44" s="3"/>
      <c r="B44" s="3"/>
      <c r="C44" s="3"/>
      <c r="D44" s="3"/>
      <c r="E44" s="3"/>
      <c r="F44" s="3"/>
      <c r="G44" s="3"/>
      <c r="H44" s="4"/>
      <c r="I44" s="36"/>
      <c r="J44" s="36"/>
    </row>
    <row r="45" spans="1:22" ht="15">
      <c r="A45" s="3"/>
      <c r="B45" s="3"/>
      <c r="C45" s="3"/>
      <c r="D45" s="3"/>
      <c r="E45" s="3"/>
      <c r="F45" s="3"/>
      <c r="G45" s="3"/>
      <c r="H45" s="4"/>
      <c r="I45" s="36"/>
      <c r="J45" s="36"/>
    </row>
    <row r="46" spans="1:22" ht="15">
      <c r="A46" s="3"/>
      <c r="B46" s="3"/>
      <c r="C46" s="3"/>
      <c r="D46" s="3"/>
      <c r="E46" s="3"/>
      <c r="F46" s="3"/>
      <c r="G46" s="3"/>
      <c r="H46" s="4"/>
      <c r="I46" s="36"/>
      <c r="J46" s="36"/>
    </row>
    <row r="47" spans="1:22" ht="15">
      <c r="A47" s="3"/>
      <c r="B47" s="3"/>
      <c r="C47" s="3"/>
      <c r="D47" s="3"/>
      <c r="E47" s="3"/>
      <c r="F47" s="3"/>
      <c r="G47" s="3"/>
      <c r="H47" s="4"/>
      <c r="I47" s="36"/>
      <c r="J47" s="36"/>
    </row>
    <row r="48" spans="1:22" ht="15">
      <c r="A48" s="3"/>
      <c r="B48" s="3"/>
      <c r="C48" s="3"/>
      <c r="D48" s="3"/>
      <c r="E48" s="3"/>
      <c r="F48" s="3"/>
      <c r="G48" s="3"/>
      <c r="H48" s="4"/>
      <c r="I48" s="36"/>
      <c r="J48" s="36"/>
    </row>
    <row r="49" spans="1:10" ht="15">
      <c r="A49" s="3"/>
      <c r="B49" s="3"/>
      <c r="C49" s="3"/>
      <c r="D49" s="3"/>
      <c r="E49" s="3"/>
      <c r="F49" s="3"/>
      <c r="G49" s="3"/>
      <c r="H49" s="4"/>
      <c r="I49" s="36"/>
      <c r="J49" s="36"/>
    </row>
    <row r="50" spans="1:10" ht="15">
      <c r="A50" s="3"/>
      <c r="B50" s="3"/>
      <c r="C50" s="3"/>
      <c r="D50" s="3"/>
      <c r="E50" s="3"/>
      <c r="F50" s="3"/>
      <c r="G50" s="3"/>
      <c r="H50" s="4"/>
      <c r="I50" s="36"/>
      <c r="J50" s="36"/>
    </row>
    <row r="51" spans="1:10" ht="15">
      <c r="A51" s="3"/>
      <c r="B51" s="3"/>
      <c r="C51" s="3"/>
      <c r="D51" s="3"/>
      <c r="E51" s="3"/>
      <c r="F51" s="3"/>
      <c r="G51" s="3"/>
      <c r="H51" s="4"/>
      <c r="I51" s="36"/>
      <c r="J51" s="36"/>
    </row>
    <row r="52" spans="1:10" ht="15">
      <c r="A52" s="3"/>
      <c r="B52" s="3"/>
      <c r="C52" s="3"/>
      <c r="D52" s="3"/>
      <c r="E52" s="3"/>
      <c r="F52" s="3"/>
      <c r="G52" s="3"/>
      <c r="H52" s="4"/>
      <c r="I52" s="36"/>
      <c r="J52" s="36"/>
    </row>
    <row r="53" spans="1:10" ht="15">
      <c r="A53" s="3"/>
      <c r="B53" s="3"/>
      <c r="C53" s="3"/>
      <c r="D53" s="3"/>
      <c r="E53" s="3"/>
      <c r="F53" s="3"/>
      <c r="G53" s="3"/>
      <c r="H53" s="4"/>
      <c r="I53" s="36"/>
      <c r="J53" s="36"/>
    </row>
    <row r="54" spans="1:10" ht="15">
      <c r="A54" s="3"/>
      <c r="B54" s="3"/>
      <c r="C54" s="3"/>
      <c r="D54" s="3"/>
      <c r="E54" s="3"/>
      <c r="F54" s="3"/>
      <c r="G54" s="3"/>
      <c r="H54" s="4"/>
      <c r="I54" s="36"/>
      <c r="J54" s="36"/>
    </row>
    <row r="55" spans="1:10" ht="15">
      <c r="A55" s="3"/>
      <c r="B55" s="3"/>
      <c r="C55" s="3"/>
      <c r="D55" s="3"/>
      <c r="E55" s="3"/>
      <c r="F55" s="3"/>
      <c r="G55" s="3"/>
      <c r="H55" s="4"/>
      <c r="I55" s="36"/>
      <c r="J55" s="36"/>
    </row>
    <row r="56" spans="1:10" ht="15">
      <c r="A56" s="3"/>
      <c r="B56" s="3"/>
      <c r="C56" s="3"/>
      <c r="D56" s="3"/>
      <c r="E56" s="3"/>
      <c r="F56" s="3"/>
      <c r="G56" s="3"/>
      <c r="H56" s="4"/>
      <c r="I56" s="36"/>
      <c r="J56" s="36"/>
    </row>
    <row r="57" spans="1:10" ht="15">
      <c r="A57" s="3"/>
      <c r="B57" s="3"/>
      <c r="C57" s="3"/>
      <c r="D57" s="3"/>
      <c r="E57" s="3"/>
      <c r="F57" s="3"/>
      <c r="G57" s="3"/>
      <c r="H57" s="4"/>
      <c r="I57" s="36"/>
      <c r="J57" s="36"/>
    </row>
    <row r="58" spans="1:10" ht="15">
      <c r="A58" s="3"/>
      <c r="B58" s="3"/>
      <c r="C58" s="3"/>
      <c r="D58" s="3"/>
      <c r="E58" s="3"/>
      <c r="F58" s="3"/>
      <c r="G58" s="3"/>
      <c r="H58" s="4"/>
      <c r="I58" s="36"/>
      <c r="J58" s="36"/>
    </row>
    <row r="59" spans="1:10" ht="15">
      <c r="A59" s="3"/>
      <c r="B59" s="3"/>
      <c r="C59" s="3"/>
      <c r="D59" s="3"/>
      <c r="E59" s="3"/>
      <c r="F59" s="3"/>
      <c r="G59" s="3"/>
      <c r="H59" s="4"/>
      <c r="I59" s="36"/>
      <c r="J59" s="36"/>
    </row>
    <row r="60" spans="1:10" ht="15">
      <c r="A60" s="3"/>
      <c r="B60" s="3"/>
      <c r="C60" s="3"/>
      <c r="D60" s="3"/>
      <c r="E60" s="3"/>
      <c r="F60" s="3"/>
      <c r="G60" s="3"/>
      <c r="H60" s="4"/>
      <c r="I60" s="36"/>
      <c r="J60" s="36"/>
    </row>
    <row r="61" spans="1:10" ht="15">
      <c r="A61" s="3"/>
      <c r="B61" s="3"/>
      <c r="C61" s="3"/>
      <c r="D61" s="3"/>
      <c r="E61" s="3"/>
      <c r="F61" s="3"/>
      <c r="G61" s="3"/>
      <c r="H61" s="4"/>
      <c r="I61" s="36"/>
      <c r="J61" s="36"/>
    </row>
    <row r="62" spans="1:10" ht="15">
      <c r="A62" s="3"/>
      <c r="B62" s="3"/>
      <c r="C62" s="3"/>
      <c r="D62" s="3"/>
      <c r="E62" s="3"/>
      <c r="F62" s="3"/>
      <c r="G62" s="3"/>
      <c r="H62" s="4"/>
      <c r="I62" s="36"/>
      <c r="J62" s="36"/>
    </row>
    <row r="63" spans="1:10" ht="15">
      <c r="A63" s="3"/>
      <c r="B63" s="3"/>
      <c r="C63" s="3"/>
      <c r="D63" s="3"/>
      <c r="E63" s="3"/>
      <c r="F63" s="3"/>
      <c r="G63" s="3"/>
      <c r="H63" s="4"/>
      <c r="I63" s="36"/>
      <c r="J63" s="36"/>
    </row>
    <row r="64" spans="1:10" ht="15">
      <c r="A64" s="3"/>
      <c r="B64" s="3"/>
      <c r="C64" s="3"/>
      <c r="D64" s="3"/>
      <c r="E64" s="3"/>
      <c r="F64" s="3"/>
      <c r="G64" s="3"/>
      <c r="H64" s="4"/>
      <c r="I64" s="36"/>
      <c r="J64" s="36"/>
    </row>
    <row r="65" spans="1:22" ht="15">
      <c r="A65" s="3"/>
      <c r="B65" s="3"/>
      <c r="C65" s="3"/>
      <c r="D65" s="3"/>
      <c r="E65" s="3"/>
      <c r="F65" s="3"/>
      <c r="G65" s="3"/>
      <c r="H65" s="4"/>
      <c r="I65" s="36"/>
      <c r="J65" s="36"/>
    </row>
    <row r="66" spans="1:22" ht="15">
      <c r="A66" s="3"/>
      <c r="B66" s="3"/>
      <c r="C66" s="3"/>
      <c r="D66" s="3"/>
      <c r="E66" s="3"/>
      <c r="F66" s="3"/>
      <c r="G66" s="3"/>
      <c r="H66" s="4"/>
      <c r="I66" s="36"/>
      <c r="J66" s="36"/>
    </row>
    <row r="67" spans="1:22" ht="15">
      <c r="A67" s="3"/>
      <c r="B67" s="3"/>
      <c r="C67" s="3"/>
      <c r="D67" s="3"/>
      <c r="E67" s="3"/>
      <c r="F67" s="3"/>
      <c r="G67" s="3"/>
      <c r="H67" s="4"/>
      <c r="I67" s="36"/>
      <c r="J67" s="36"/>
    </row>
    <row r="68" spans="1:22" ht="15">
      <c r="A68" s="3"/>
      <c r="B68" s="3"/>
      <c r="C68" s="3"/>
      <c r="D68" s="3"/>
      <c r="E68" s="3"/>
      <c r="F68" s="3"/>
      <c r="G68" s="3"/>
      <c r="H68" s="4"/>
      <c r="I68" s="36"/>
      <c r="J68" s="36"/>
    </row>
    <row r="69" spans="1:22" ht="15">
      <c r="A69" s="3"/>
      <c r="B69" s="3"/>
      <c r="C69" s="3"/>
      <c r="D69" s="3"/>
      <c r="E69" s="3"/>
      <c r="F69" s="3"/>
      <c r="G69" s="3"/>
      <c r="H69" s="4"/>
      <c r="I69" s="36"/>
      <c r="J69" s="36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">
      <c r="A70" s="3"/>
      <c r="B70" s="3"/>
      <c r="C70" s="3"/>
      <c r="D70" s="3"/>
      <c r="E70" s="3"/>
      <c r="F70" s="3"/>
      <c r="G70" s="3"/>
      <c r="H70" s="4"/>
      <c r="I70" s="36"/>
      <c r="J70" s="36"/>
    </row>
    <row r="71" spans="1:22" ht="15">
      <c r="A71" s="3"/>
      <c r="B71" s="3"/>
      <c r="C71" s="3"/>
      <c r="D71" s="3"/>
      <c r="E71" s="3"/>
      <c r="F71" s="3"/>
      <c r="G71" s="3"/>
      <c r="H71" s="4"/>
      <c r="I71" s="36"/>
      <c r="J71" s="36"/>
    </row>
    <row r="72" spans="1:22" ht="15">
      <c r="A72" s="3"/>
      <c r="B72" s="3"/>
      <c r="C72" s="3"/>
      <c r="D72" s="3"/>
      <c r="E72" s="3"/>
      <c r="F72" s="3"/>
      <c r="G72" s="3"/>
      <c r="H72" s="4"/>
      <c r="I72" s="36"/>
      <c r="J72" s="36"/>
    </row>
    <row r="73" spans="1:22" ht="15">
      <c r="A73" s="3"/>
      <c r="B73" s="3"/>
      <c r="C73" s="3"/>
      <c r="D73" s="3"/>
      <c r="E73" s="3"/>
      <c r="F73" s="3"/>
      <c r="G73" s="3"/>
      <c r="H73" s="4"/>
      <c r="I73" s="36"/>
      <c r="J73" s="36"/>
    </row>
    <row r="74" spans="1:22" ht="15">
      <c r="A74" s="3"/>
      <c r="B74" s="3"/>
      <c r="C74" s="3"/>
      <c r="D74" s="3"/>
      <c r="E74" s="3"/>
      <c r="F74" s="3"/>
      <c r="G74" s="3"/>
      <c r="H74" s="4"/>
      <c r="I74" s="36"/>
      <c r="J74" s="36"/>
    </row>
    <row r="75" spans="1:22" ht="15">
      <c r="A75" s="3"/>
      <c r="B75" s="3"/>
      <c r="C75" s="3"/>
      <c r="D75" s="3"/>
      <c r="E75" s="3"/>
      <c r="F75" s="3"/>
      <c r="G75" s="3"/>
      <c r="H75" s="4"/>
      <c r="I75" s="36"/>
      <c r="J75" s="36"/>
    </row>
    <row r="76" spans="1:22" ht="15">
      <c r="A76" s="3"/>
      <c r="B76" s="3"/>
      <c r="C76" s="3"/>
      <c r="D76" s="3"/>
      <c r="E76" s="3"/>
      <c r="F76" s="3"/>
      <c r="G76" s="3"/>
      <c r="H76" s="4"/>
      <c r="I76" s="36"/>
      <c r="J76" s="36"/>
      <c r="L76" s="34"/>
    </row>
    <row r="77" spans="1:22" ht="15">
      <c r="A77" s="3"/>
      <c r="B77" s="3"/>
      <c r="C77" s="3"/>
      <c r="D77" s="3"/>
      <c r="E77" s="3"/>
      <c r="F77" s="3"/>
      <c r="G77" s="3"/>
      <c r="H77" s="4"/>
      <c r="I77" s="36"/>
      <c r="J77" s="36"/>
    </row>
    <row r="78" spans="1:22" ht="15">
      <c r="A78" s="3"/>
      <c r="B78" s="3"/>
      <c r="C78" s="3"/>
      <c r="D78" s="3"/>
      <c r="E78" s="3"/>
      <c r="F78" s="3"/>
      <c r="G78" s="3"/>
      <c r="H78" s="4"/>
      <c r="I78" s="36"/>
      <c r="J78" s="36"/>
    </row>
    <row r="79" spans="1:22" ht="15">
      <c r="A79" s="3"/>
      <c r="B79" s="3"/>
      <c r="C79" s="3"/>
      <c r="D79" s="3"/>
      <c r="E79" s="3"/>
      <c r="F79" s="3"/>
      <c r="G79" s="3"/>
      <c r="H79" s="4"/>
      <c r="I79" s="36"/>
      <c r="J79" s="36"/>
    </row>
    <row r="80" spans="1:22" ht="15">
      <c r="A80" s="3"/>
      <c r="B80" s="3"/>
      <c r="C80" s="3"/>
      <c r="D80" s="3"/>
      <c r="E80" s="3"/>
      <c r="F80" s="3"/>
      <c r="G80" s="3"/>
      <c r="H80" s="4"/>
      <c r="I80" s="36"/>
      <c r="J80" s="36"/>
    </row>
    <row r="81" spans="1:10" ht="15">
      <c r="A81" s="3"/>
      <c r="B81" s="3"/>
      <c r="C81" s="3"/>
      <c r="D81" s="3"/>
      <c r="E81" s="3"/>
      <c r="F81" s="3"/>
      <c r="G81" s="3"/>
      <c r="H81" s="4"/>
      <c r="I81" s="36"/>
      <c r="J81" s="36"/>
    </row>
    <row r="82" spans="1:10" ht="15">
      <c r="A82" s="3"/>
      <c r="B82" s="3"/>
      <c r="C82" s="3"/>
      <c r="D82" s="3"/>
      <c r="E82" s="3"/>
      <c r="F82" s="3"/>
      <c r="G82" s="3"/>
      <c r="H82" s="4"/>
      <c r="I82" s="36"/>
      <c r="J82" s="36"/>
    </row>
    <row r="83" spans="1:10" ht="15">
      <c r="A83" s="3"/>
      <c r="B83" s="3"/>
      <c r="C83" s="3"/>
      <c r="D83" s="3"/>
      <c r="E83" s="3"/>
      <c r="F83" s="3"/>
      <c r="G83" s="3"/>
      <c r="H83" s="4"/>
      <c r="I83" s="36"/>
      <c r="J83" s="36"/>
    </row>
    <row r="84" spans="1:10" ht="15">
      <c r="A84" s="3"/>
      <c r="B84" s="3"/>
      <c r="C84" s="3"/>
      <c r="D84" s="3"/>
      <c r="E84" s="3"/>
      <c r="F84" s="3"/>
      <c r="G84" s="3"/>
      <c r="H84" s="4"/>
      <c r="I84" s="36"/>
      <c r="J84" s="36"/>
    </row>
    <row r="85" spans="1:10" ht="15">
      <c r="A85" s="3"/>
      <c r="B85" s="3"/>
      <c r="C85" s="3"/>
      <c r="D85" s="3"/>
      <c r="E85" s="3"/>
      <c r="F85" s="3"/>
      <c r="G85" s="3"/>
      <c r="H85" s="4"/>
      <c r="I85" s="36"/>
      <c r="J85" s="36"/>
    </row>
    <row r="86" spans="1:10" ht="15">
      <c r="A86" s="3"/>
      <c r="B86" s="3"/>
      <c r="C86" s="3"/>
      <c r="D86" s="3"/>
      <c r="E86" s="3"/>
      <c r="F86" s="3"/>
      <c r="G86" s="3"/>
      <c r="H86" s="4"/>
      <c r="I86" s="36"/>
      <c r="J86" s="36"/>
    </row>
    <row r="87" spans="1:10" ht="15">
      <c r="A87" s="3"/>
      <c r="B87" s="3"/>
      <c r="C87" s="3"/>
      <c r="D87" s="3"/>
      <c r="E87" s="3"/>
      <c r="F87" s="3"/>
      <c r="G87" s="3"/>
      <c r="H87" s="4"/>
      <c r="I87" s="36"/>
      <c r="J87" s="36"/>
    </row>
    <row r="88" spans="1:10" ht="15">
      <c r="A88" s="3"/>
      <c r="B88" s="3"/>
      <c r="C88" s="3"/>
      <c r="D88" s="3"/>
      <c r="E88" s="3"/>
      <c r="F88" s="3"/>
      <c r="G88" s="3"/>
      <c r="H88" s="4"/>
      <c r="I88" s="36"/>
      <c r="J88" s="36"/>
    </row>
    <row r="89" spans="1:10" ht="15">
      <c r="A89" s="3"/>
      <c r="B89" s="3"/>
      <c r="C89" s="3"/>
      <c r="D89" s="3"/>
      <c r="E89" s="3"/>
      <c r="F89" s="3"/>
      <c r="G89" s="3"/>
      <c r="H89" s="4"/>
      <c r="I89" s="36"/>
      <c r="J89" s="36"/>
    </row>
    <row r="90" spans="1:10" ht="15">
      <c r="A90" s="3"/>
      <c r="B90" s="3"/>
      <c r="C90" s="3"/>
      <c r="D90" s="3"/>
      <c r="E90" s="3"/>
      <c r="F90" s="3"/>
      <c r="G90" s="3"/>
      <c r="H90" s="4"/>
      <c r="I90" s="36"/>
      <c r="J90" s="36"/>
    </row>
    <row r="91" spans="1:10" ht="15">
      <c r="A91" s="3"/>
      <c r="B91" s="3"/>
      <c r="C91" s="3"/>
      <c r="D91" s="3"/>
      <c r="E91" s="3"/>
      <c r="F91" s="3"/>
      <c r="G91" s="3"/>
      <c r="H91" s="4"/>
      <c r="I91" s="36"/>
      <c r="J91" s="36"/>
    </row>
    <row r="92" spans="1:10" ht="15">
      <c r="A92" s="3"/>
      <c r="B92" s="3"/>
      <c r="C92" s="3"/>
      <c r="D92" s="3"/>
      <c r="E92" s="3"/>
      <c r="F92" s="3"/>
      <c r="G92" s="3"/>
      <c r="H92" s="4"/>
      <c r="I92" s="36"/>
      <c r="J92" s="36"/>
    </row>
    <row r="93" spans="1:10" ht="15">
      <c r="A93" s="3"/>
      <c r="B93" s="3"/>
      <c r="C93" s="3"/>
      <c r="D93" s="3"/>
      <c r="E93" s="3"/>
      <c r="F93" s="3"/>
      <c r="G93" s="3"/>
      <c r="H93" s="4"/>
      <c r="I93" s="36"/>
      <c r="J93" s="36"/>
    </row>
    <row r="94" spans="1:10" ht="15">
      <c r="A94" s="3"/>
      <c r="B94" s="3"/>
      <c r="C94" s="3"/>
      <c r="D94" s="3"/>
      <c r="E94" s="3"/>
      <c r="F94" s="3"/>
      <c r="G94" s="3"/>
      <c r="H94" s="4"/>
      <c r="I94" s="36"/>
      <c r="J94" s="36"/>
    </row>
    <row r="95" spans="1:10" ht="15">
      <c r="A95" s="3"/>
      <c r="B95" s="3"/>
      <c r="C95" s="3"/>
      <c r="D95" s="3"/>
      <c r="E95" s="3"/>
      <c r="F95" s="3"/>
      <c r="G95" s="3"/>
      <c r="H95" s="4"/>
      <c r="I95" s="36"/>
      <c r="J95" s="36"/>
    </row>
    <row r="96" spans="1:10" ht="15">
      <c r="A96" s="3"/>
      <c r="B96" s="3"/>
      <c r="C96" s="3"/>
      <c r="D96" s="3"/>
      <c r="E96" s="3"/>
      <c r="F96" s="3"/>
      <c r="G96" s="3"/>
      <c r="H96" s="4"/>
      <c r="I96" s="36"/>
      <c r="J96" s="36"/>
    </row>
    <row r="97" spans="1:10" ht="15">
      <c r="A97" s="3"/>
      <c r="B97" s="3"/>
      <c r="C97" s="3"/>
      <c r="D97" s="3"/>
      <c r="E97" s="3"/>
      <c r="F97" s="3"/>
      <c r="G97" s="3"/>
      <c r="H97" s="4"/>
      <c r="I97" s="36"/>
      <c r="J97" s="36"/>
    </row>
    <row r="98" spans="1:10" ht="15">
      <c r="A98" s="3"/>
      <c r="B98" s="3"/>
      <c r="C98" s="3"/>
      <c r="D98" s="3"/>
      <c r="E98" s="3"/>
      <c r="F98" s="3"/>
      <c r="G98" s="3"/>
      <c r="H98" s="4"/>
      <c r="I98" s="36"/>
      <c r="J98" s="36"/>
    </row>
    <row r="99" spans="1:10" ht="15">
      <c r="A99" s="3"/>
      <c r="B99" s="3"/>
      <c r="C99" s="3"/>
      <c r="D99" s="3"/>
      <c r="E99" s="3"/>
      <c r="F99" s="3"/>
      <c r="G99" s="3"/>
      <c r="H99" s="4"/>
      <c r="I99" s="36"/>
      <c r="J99" s="36"/>
    </row>
    <row r="100" spans="1:10" ht="15">
      <c r="A100" s="3"/>
      <c r="B100" s="3"/>
      <c r="C100" s="3"/>
      <c r="D100" s="3"/>
      <c r="E100" s="3"/>
      <c r="F100" s="3"/>
      <c r="G100" s="3"/>
      <c r="H100" s="4"/>
      <c r="I100" s="36"/>
      <c r="J100" s="36"/>
    </row>
    <row r="101" spans="1:10" ht="15">
      <c r="A101" s="3"/>
      <c r="B101" s="3"/>
      <c r="C101" s="3"/>
      <c r="D101" s="3"/>
      <c r="E101" s="3"/>
      <c r="F101" s="3"/>
      <c r="G101" s="3"/>
      <c r="H101" s="4"/>
      <c r="I101" s="36"/>
      <c r="J101" s="36"/>
    </row>
    <row r="102" spans="1:10" ht="15">
      <c r="A102" s="3"/>
      <c r="B102" s="3"/>
      <c r="C102" s="3"/>
      <c r="D102" s="3"/>
      <c r="E102" s="3"/>
      <c r="F102" s="3"/>
      <c r="G102" s="3"/>
      <c r="H102" s="4"/>
      <c r="I102" s="36"/>
      <c r="J102" s="36"/>
    </row>
    <row r="103" spans="1:10" ht="15">
      <c r="A103" s="3"/>
      <c r="B103" s="3"/>
      <c r="C103" s="3"/>
      <c r="D103" s="3"/>
      <c r="E103" s="3"/>
      <c r="F103" s="3"/>
      <c r="G103" s="3"/>
      <c r="H103" s="4"/>
      <c r="I103" s="36"/>
      <c r="J103" s="36"/>
    </row>
    <row r="104" spans="1:10" ht="15">
      <c r="A104" s="3"/>
      <c r="B104" s="3"/>
      <c r="C104" s="3"/>
      <c r="D104" s="3"/>
      <c r="E104" s="3"/>
      <c r="F104" s="3"/>
      <c r="G104" s="3"/>
      <c r="H104" s="4"/>
      <c r="I104" s="36"/>
      <c r="J104" s="36"/>
    </row>
    <row r="105" spans="1:10" ht="15">
      <c r="A105" s="3"/>
      <c r="B105" s="3"/>
      <c r="C105" s="3"/>
      <c r="D105" s="3"/>
      <c r="E105" s="3"/>
      <c r="F105" s="3"/>
      <c r="G105" s="3"/>
      <c r="H105" s="4"/>
      <c r="I105" s="36"/>
      <c r="J105" s="36"/>
    </row>
    <row r="106" spans="1:10" ht="15">
      <c r="A106" s="3"/>
      <c r="B106" s="3"/>
      <c r="C106" s="3"/>
      <c r="D106" s="3"/>
      <c r="E106" s="3"/>
      <c r="F106" s="3"/>
      <c r="G106" s="3"/>
      <c r="H106" s="4"/>
      <c r="I106" s="36"/>
      <c r="J106" s="36"/>
    </row>
    <row r="107" spans="1:10" ht="15">
      <c r="A107" s="3"/>
      <c r="B107" s="3"/>
      <c r="C107" s="3"/>
      <c r="D107" s="3"/>
      <c r="E107" s="3"/>
      <c r="F107" s="3"/>
      <c r="G107" s="3"/>
      <c r="H107" s="4"/>
      <c r="I107" s="36"/>
      <c r="J107" s="36"/>
    </row>
    <row r="108" spans="1:10" ht="15">
      <c r="A108" s="3"/>
      <c r="B108" s="3"/>
      <c r="C108" s="3"/>
      <c r="D108" s="3"/>
      <c r="E108" s="3"/>
      <c r="F108" s="3"/>
      <c r="G108" s="3"/>
      <c r="H108" s="4"/>
      <c r="I108" s="36"/>
      <c r="J108" s="36"/>
    </row>
    <row r="109" spans="1:10" ht="15">
      <c r="A109" s="3"/>
      <c r="B109" s="3"/>
      <c r="C109" s="3"/>
      <c r="D109" s="3"/>
      <c r="E109" s="3"/>
      <c r="F109" s="3"/>
      <c r="G109" s="3"/>
      <c r="H109" s="4"/>
      <c r="I109" s="36"/>
      <c r="J109" s="36"/>
    </row>
    <row r="110" spans="1:10" ht="15">
      <c r="A110" s="3"/>
      <c r="B110" s="3"/>
      <c r="C110" s="3"/>
      <c r="D110" s="3"/>
      <c r="E110" s="3"/>
      <c r="F110" s="3"/>
      <c r="G110" s="3"/>
      <c r="H110" s="4"/>
      <c r="I110" s="36"/>
      <c r="J110" s="36"/>
    </row>
    <row r="111" spans="1:10" ht="15">
      <c r="A111" s="3"/>
      <c r="B111" s="3"/>
      <c r="C111" s="3"/>
      <c r="D111" s="3"/>
      <c r="E111" s="3"/>
      <c r="F111" s="3"/>
      <c r="G111" s="3"/>
      <c r="H111" s="4"/>
      <c r="I111" s="36"/>
      <c r="J111" s="36"/>
    </row>
    <row r="112" spans="1:10" ht="15">
      <c r="A112" s="3"/>
      <c r="B112" s="3"/>
      <c r="C112" s="3"/>
      <c r="D112" s="3"/>
      <c r="E112" s="3"/>
      <c r="F112" s="3"/>
      <c r="G112" s="3"/>
      <c r="H112" s="4"/>
      <c r="I112" s="36"/>
      <c r="J112" s="36"/>
    </row>
    <row r="113" spans="1:10" ht="15">
      <c r="A113" s="3"/>
      <c r="B113" s="3"/>
      <c r="C113" s="3"/>
      <c r="D113" s="3"/>
      <c r="E113" s="3"/>
      <c r="F113" s="3"/>
      <c r="G113" s="3"/>
      <c r="H113" s="4"/>
      <c r="I113" s="36"/>
      <c r="J113" s="36"/>
    </row>
    <row r="114" spans="1:10" ht="15">
      <c r="A114" s="3"/>
      <c r="B114" s="3"/>
      <c r="C114" s="3"/>
      <c r="D114" s="3"/>
      <c r="E114" s="3"/>
      <c r="F114" s="3"/>
      <c r="G114" s="3"/>
      <c r="H114" s="4"/>
      <c r="I114" s="36"/>
      <c r="J114" s="36"/>
    </row>
    <row r="115" spans="1:10" ht="15">
      <c r="A115" s="3"/>
      <c r="B115" s="3"/>
      <c r="C115" s="3"/>
      <c r="D115" s="3"/>
      <c r="E115" s="3"/>
      <c r="F115" s="3"/>
      <c r="G115" s="3"/>
      <c r="H115" s="4"/>
      <c r="I115" s="36"/>
      <c r="J115" s="36"/>
    </row>
    <row r="116" spans="1:10" ht="15">
      <c r="A116" s="3"/>
      <c r="B116" s="3"/>
      <c r="C116" s="3"/>
      <c r="D116" s="3"/>
      <c r="E116" s="3"/>
      <c r="F116" s="3"/>
      <c r="G116" s="3"/>
      <c r="H116" s="4"/>
      <c r="I116" s="36"/>
      <c r="J116" s="36"/>
    </row>
    <row r="117" spans="1:10" ht="15">
      <c r="A117" s="3"/>
      <c r="B117" s="3"/>
      <c r="C117" s="3"/>
      <c r="D117" s="3"/>
      <c r="E117" s="3"/>
      <c r="F117" s="3"/>
      <c r="G117" s="3"/>
      <c r="H117" s="4"/>
      <c r="I117" s="36"/>
      <c r="J117" s="36"/>
    </row>
  </sheetData>
  <autoFilter ref="A1:J1008" xr:uid="{00000000-0009-0000-0000-000007000000}"/>
  <customSheetViews>
    <customSheetView guid="{5B966157-D76D-4ACD-A64E-35B71110F4A8}" filter="1" showAutoFilter="1">
      <pageMargins left="0.7" right="0.7" top="0.75" bottom="0.75" header="0.3" footer="0.3"/>
      <autoFilter ref="A1:J1008" xr:uid="{C61044D5-009D-415D-B95F-E48BEA568C9C}">
        <filterColumn colId="0">
          <filters blank="1">
            <filter val="75"/>
          </filters>
        </filterColumn>
        <filterColumn colId="1">
          <filters blank="1"/>
        </filterColumn>
        <filterColumn colId="3">
          <filters blank="1">
            <filter val="183"/>
          </filters>
        </filterColumn>
        <filterColumn colId="4">
          <filters blank="1">
            <filter val="Specialized Tarmac Pro"/>
          </filters>
        </filterColumn>
        <filterColumn colId="6">
          <filters blank="1">
            <filter val="Enve 3.4"/>
            <filter val="Lightweight Meilensteins"/>
          </filters>
        </filterColumn>
      </autoFilter>
    </customSheetView>
  </customSheetViews>
  <conditionalFormatting sqref="J1:J1174 I1 I18:I1174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K2" r:id="rId1" xr:uid="{00000000-0004-0000-0700-000000000000}"/>
    <hyperlink ref="K3" r:id="rId2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87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5" max="5" width="22.7109375" customWidth="1"/>
    <col min="6" max="7" width="16.7109375" customWidth="1"/>
    <col min="11" max="11" width="20.425781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6"/>
      <c r="J1" s="1"/>
      <c r="K1" s="1" t="s">
        <v>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>
      <c r="A2" s="3">
        <v>50</v>
      </c>
      <c r="B2" s="3">
        <v>100</v>
      </c>
      <c r="C2" s="3">
        <f t="shared" ref="C2:C16" si="0">B2/A2</f>
        <v>2</v>
      </c>
      <c r="D2" s="3">
        <v>183</v>
      </c>
      <c r="E2" s="3" t="s">
        <v>19</v>
      </c>
      <c r="F2" s="3" t="s">
        <v>10</v>
      </c>
      <c r="G2" s="3" t="s">
        <v>17</v>
      </c>
      <c r="H2" s="4">
        <v>8.1018518518518514E-3</v>
      </c>
      <c r="I2" s="36">
        <f t="shared" ref="I2:I16" si="1">1-(PERCENTRANK(H:H,H2,4))</f>
        <v>0</v>
      </c>
      <c r="J2" s="9" t="s">
        <v>401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>
      <c r="A3" s="3">
        <v>75</v>
      </c>
      <c r="B3" s="3">
        <v>150</v>
      </c>
      <c r="C3" s="3">
        <f t="shared" si="0"/>
        <v>2</v>
      </c>
      <c r="D3" s="3">
        <v>183</v>
      </c>
      <c r="E3" s="3" t="s">
        <v>19</v>
      </c>
      <c r="F3" s="3" t="s">
        <v>10</v>
      </c>
      <c r="G3" s="3" t="s">
        <v>17</v>
      </c>
      <c r="H3" s="4">
        <v>7.4189814814814813E-3</v>
      </c>
      <c r="I3" s="36">
        <f t="shared" si="1"/>
        <v>0.42859999999999998</v>
      </c>
      <c r="J3" s="9" t="s">
        <v>397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>
      <c r="A4" s="3">
        <v>100</v>
      </c>
      <c r="B4" s="3">
        <v>200</v>
      </c>
      <c r="C4" s="3">
        <f t="shared" si="0"/>
        <v>2</v>
      </c>
      <c r="D4" s="3">
        <v>183</v>
      </c>
      <c r="E4" s="3" t="s">
        <v>19</v>
      </c>
      <c r="F4" s="3" t="s">
        <v>10</v>
      </c>
      <c r="G4" s="3" t="s">
        <v>17</v>
      </c>
      <c r="H4" s="4">
        <v>6.9560185185185185E-3</v>
      </c>
      <c r="I4" s="36">
        <f t="shared" si="1"/>
        <v>0.78580000000000005</v>
      </c>
      <c r="J4" s="9" t="s">
        <v>396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>
      <c r="A5" s="3">
        <v>50</v>
      </c>
      <c r="B5" s="3">
        <v>150</v>
      </c>
      <c r="C5" s="3">
        <f t="shared" si="0"/>
        <v>3</v>
      </c>
      <c r="D5" s="3">
        <v>183</v>
      </c>
      <c r="E5" s="3" t="s">
        <v>19</v>
      </c>
      <c r="F5" s="3" t="s">
        <v>10</v>
      </c>
      <c r="G5" s="3" t="s">
        <v>17</v>
      </c>
      <c r="H5" s="4">
        <v>7.858796296296296E-3</v>
      </c>
      <c r="I5" s="36">
        <f t="shared" si="1"/>
        <v>0.14290000000000003</v>
      </c>
      <c r="J5" s="9" t="s">
        <v>392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>
      <c r="A6" s="3">
        <v>75</v>
      </c>
      <c r="B6" s="3">
        <v>225</v>
      </c>
      <c r="C6" s="3">
        <f t="shared" si="0"/>
        <v>3</v>
      </c>
      <c r="D6" s="3">
        <v>183</v>
      </c>
      <c r="E6" s="3" t="s">
        <v>19</v>
      </c>
      <c r="F6" s="3" t="s">
        <v>10</v>
      </c>
      <c r="G6" s="3" t="s">
        <v>17</v>
      </c>
      <c r="H6" s="4">
        <v>7.2106481481481483E-3</v>
      </c>
      <c r="I6" s="36">
        <f t="shared" si="1"/>
        <v>0.5</v>
      </c>
      <c r="J6" s="9" t="s">
        <v>391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>
      <c r="A7" s="3">
        <v>100</v>
      </c>
      <c r="B7" s="3">
        <v>300</v>
      </c>
      <c r="C7" s="3">
        <f t="shared" si="0"/>
        <v>3</v>
      </c>
      <c r="D7" s="3">
        <v>183</v>
      </c>
      <c r="E7" s="3" t="s">
        <v>19</v>
      </c>
      <c r="F7" s="3" t="s">
        <v>10</v>
      </c>
      <c r="G7" s="3" t="s">
        <v>17</v>
      </c>
      <c r="H7" s="4">
        <v>6.7592592592592591E-3</v>
      </c>
      <c r="I7" s="36">
        <f t="shared" si="1"/>
        <v>0.92859999999999998</v>
      </c>
      <c r="J7" s="9" t="s">
        <v>405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>
      <c r="A8" s="3">
        <v>50</v>
      </c>
      <c r="B8" s="3">
        <v>200</v>
      </c>
      <c r="C8" s="3">
        <f t="shared" si="0"/>
        <v>4</v>
      </c>
      <c r="D8" s="3">
        <v>183</v>
      </c>
      <c r="E8" s="3" t="s">
        <v>19</v>
      </c>
      <c r="F8" s="3" t="s">
        <v>10</v>
      </c>
      <c r="G8" s="3" t="s">
        <v>17</v>
      </c>
      <c r="H8" s="4">
        <v>7.6620370370370366E-3</v>
      </c>
      <c r="I8" s="36">
        <f t="shared" si="1"/>
        <v>0.21430000000000005</v>
      </c>
      <c r="J8" s="9" t="s">
        <v>389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>
      <c r="A9" s="3">
        <v>100</v>
      </c>
      <c r="B9" s="3">
        <v>400</v>
      </c>
      <c r="C9" s="3">
        <f t="shared" si="0"/>
        <v>4</v>
      </c>
      <c r="D9" s="3">
        <v>183</v>
      </c>
      <c r="E9" s="3" t="s">
        <v>19</v>
      </c>
      <c r="F9" s="3" t="s">
        <v>10</v>
      </c>
      <c r="G9" s="3" t="s">
        <v>17</v>
      </c>
      <c r="H9" s="4">
        <v>6.5972222222222222E-3</v>
      </c>
      <c r="I9" s="36">
        <f t="shared" si="1"/>
        <v>1</v>
      </c>
      <c r="J9" s="9" t="s">
        <v>324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>
      <c r="A10" s="3">
        <v>75</v>
      </c>
      <c r="B10" s="3">
        <v>300</v>
      </c>
      <c r="C10" s="3">
        <f t="shared" si="0"/>
        <v>4</v>
      </c>
      <c r="D10" s="3">
        <v>183</v>
      </c>
      <c r="E10" s="3" t="s">
        <v>19</v>
      </c>
      <c r="F10" s="3" t="s">
        <v>10</v>
      </c>
      <c r="G10" s="3" t="s">
        <v>17</v>
      </c>
      <c r="H10" s="4">
        <v>7.0254629629629634E-3</v>
      </c>
      <c r="I10" s="36">
        <f t="shared" si="1"/>
        <v>0.64290000000000003</v>
      </c>
      <c r="J10" s="9" t="s">
        <v>448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>
      <c r="A11" s="3">
        <v>75</v>
      </c>
      <c r="B11" s="3">
        <v>0</v>
      </c>
      <c r="C11" s="3">
        <f t="shared" si="0"/>
        <v>0</v>
      </c>
      <c r="D11" s="3">
        <v>183</v>
      </c>
      <c r="E11" s="3" t="s">
        <v>28</v>
      </c>
      <c r="F11" s="3" t="s">
        <v>24</v>
      </c>
      <c r="G11" s="3" t="s">
        <v>11</v>
      </c>
      <c r="H11" s="4">
        <v>7.083333333333333E-3</v>
      </c>
      <c r="I11" s="36">
        <f t="shared" si="1"/>
        <v>0.57150000000000001</v>
      </c>
      <c r="J11" s="9" t="s">
        <v>449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>
      <c r="A12" s="3">
        <v>75</v>
      </c>
      <c r="B12" s="3">
        <v>0</v>
      </c>
      <c r="C12" s="3">
        <f t="shared" si="0"/>
        <v>0</v>
      </c>
      <c r="D12" s="3">
        <v>183</v>
      </c>
      <c r="E12" s="3" t="s">
        <v>94</v>
      </c>
      <c r="F12" s="3" t="s">
        <v>10</v>
      </c>
      <c r="G12" s="3" t="s">
        <v>133</v>
      </c>
      <c r="H12" s="4">
        <v>7.858796296296296E-3</v>
      </c>
      <c r="I12" s="36">
        <f t="shared" si="1"/>
        <v>0.14290000000000003</v>
      </c>
      <c r="J12" s="9" t="s">
        <v>449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>
      <c r="A13" s="3">
        <v>75</v>
      </c>
      <c r="B13" s="3">
        <v>0</v>
      </c>
      <c r="C13" s="3">
        <f t="shared" si="0"/>
        <v>0</v>
      </c>
      <c r="D13" s="3">
        <v>183</v>
      </c>
      <c r="E13" s="3" t="s">
        <v>9</v>
      </c>
      <c r="F13" s="3" t="s">
        <v>10</v>
      </c>
      <c r="G13" s="3" t="s">
        <v>11</v>
      </c>
      <c r="H13" s="4">
        <v>7.6157407407407406E-3</v>
      </c>
      <c r="I13" s="36">
        <f t="shared" si="1"/>
        <v>0.28580000000000005</v>
      </c>
      <c r="J13" s="9" t="s">
        <v>450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>
      <c r="A14" s="3">
        <v>75</v>
      </c>
      <c r="B14" s="3">
        <v>225</v>
      </c>
      <c r="C14" s="3">
        <f t="shared" si="0"/>
        <v>3</v>
      </c>
      <c r="D14" s="3">
        <v>183</v>
      </c>
      <c r="E14" s="3" t="s">
        <v>9</v>
      </c>
      <c r="F14" s="3" t="s">
        <v>10</v>
      </c>
      <c r="G14" s="3" t="s">
        <v>11</v>
      </c>
      <c r="H14" s="4">
        <v>7.013888888888889E-3</v>
      </c>
      <c r="I14" s="36">
        <f t="shared" si="1"/>
        <v>0.71429999999999993</v>
      </c>
      <c r="J14" s="9" t="s">
        <v>451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>
      <c r="A15" s="3">
        <v>75</v>
      </c>
      <c r="B15" s="3">
        <v>300</v>
      </c>
      <c r="C15" s="3">
        <f t="shared" si="0"/>
        <v>4</v>
      </c>
      <c r="D15" s="3">
        <v>183</v>
      </c>
      <c r="E15" s="3" t="s">
        <v>9</v>
      </c>
      <c r="F15" s="3" t="s">
        <v>10</v>
      </c>
      <c r="G15" s="3" t="s">
        <v>11</v>
      </c>
      <c r="H15" s="4">
        <v>6.8402777777777776E-3</v>
      </c>
      <c r="I15" s="36">
        <f t="shared" si="1"/>
        <v>0.85719999999999996</v>
      </c>
      <c r="J15" s="18" t="s">
        <v>452</v>
      </c>
      <c r="K15" s="1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5.75" customHeight="1">
      <c r="A16" s="3">
        <v>75</v>
      </c>
      <c r="B16" s="3">
        <v>150</v>
      </c>
      <c r="C16" s="3">
        <f t="shared" si="0"/>
        <v>2</v>
      </c>
      <c r="D16" s="3">
        <v>183</v>
      </c>
      <c r="E16" s="3" t="s">
        <v>9</v>
      </c>
      <c r="F16" s="3" t="s">
        <v>10</v>
      </c>
      <c r="G16" s="3" t="s">
        <v>11</v>
      </c>
      <c r="H16" s="4">
        <v>7.4305555555555557E-3</v>
      </c>
      <c r="I16" s="36">
        <f t="shared" si="1"/>
        <v>0.35719999999999996</v>
      </c>
      <c r="J16" s="9" t="s">
        <v>453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>
      <c r="A17" s="2"/>
      <c r="B17" s="2"/>
      <c r="C17" s="2"/>
      <c r="D17" s="2"/>
      <c r="E17" s="2"/>
      <c r="F17" s="2"/>
      <c r="G17" s="2"/>
      <c r="H17" s="2"/>
      <c r="I17" s="3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>
      <c r="A18" s="2"/>
      <c r="B18" s="2"/>
      <c r="C18" s="2"/>
      <c r="D18" s="2"/>
      <c r="E18" s="2"/>
      <c r="F18" s="2"/>
      <c r="G18" s="2"/>
      <c r="H18" s="2"/>
      <c r="I18" s="3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>
      <c r="A19" s="2"/>
      <c r="B19" s="2"/>
      <c r="C19" s="2"/>
      <c r="D19" s="2"/>
      <c r="E19" s="2"/>
      <c r="F19" s="2"/>
      <c r="G19" s="2"/>
      <c r="H19" s="2"/>
      <c r="I19" s="3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>
      <c r="A20" s="2"/>
      <c r="B20" s="2"/>
      <c r="C20" s="2"/>
      <c r="D20" s="2"/>
      <c r="E20" s="2"/>
      <c r="F20" s="2"/>
      <c r="G20" s="2"/>
      <c r="H20" s="2"/>
      <c r="I20" s="3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>
      <c r="A21" s="2"/>
      <c r="B21" s="2"/>
      <c r="C21" s="2"/>
      <c r="D21" s="2"/>
      <c r="E21" s="2"/>
      <c r="F21" s="2"/>
      <c r="G21" s="2"/>
      <c r="H21" s="2"/>
      <c r="I21" s="3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>
      <c r="A22" s="2"/>
      <c r="B22" s="2"/>
      <c r="C22" s="2"/>
      <c r="D22" s="2"/>
      <c r="E22" s="2"/>
      <c r="F22" s="2"/>
      <c r="G22" s="2"/>
      <c r="H22" s="2"/>
      <c r="I22" s="3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2"/>
      <c r="B23" s="2"/>
      <c r="C23" s="2"/>
      <c r="D23" s="2"/>
      <c r="E23" s="2"/>
      <c r="F23" s="2"/>
      <c r="G23" s="2"/>
      <c r="H23" s="2"/>
      <c r="I23" s="3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>
      <c r="A24" s="2"/>
      <c r="B24" s="2"/>
      <c r="C24" s="2"/>
      <c r="D24" s="2"/>
      <c r="E24" s="2"/>
      <c r="F24" s="2"/>
      <c r="G24" s="2"/>
      <c r="H24" s="2"/>
      <c r="I24" s="3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>
      <c r="A25" s="2"/>
      <c r="B25" s="2"/>
      <c r="C25" s="2"/>
      <c r="D25" s="2"/>
      <c r="E25" s="2"/>
      <c r="F25" s="2"/>
      <c r="G25" s="2"/>
      <c r="H25" s="2"/>
      <c r="I25" s="3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>
      <c r="A26" s="2"/>
      <c r="B26" s="2"/>
      <c r="C26" s="2"/>
      <c r="D26" s="2"/>
      <c r="E26" s="2"/>
      <c r="F26" s="2"/>
      <c r="G26" s="2"/>
      <c r="H26" s="2"/>
      <c r="I26" s="3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2"/>
      <c r="B27" s="2"/>
      <c r="C27" s="2"/>
      <c r="D27" s="2"/>
      <c r="E27" s="2"/>
      <c r="F27" s="2"/>
      <c r="G27" s="2"/>
      <c r="H27" s="2"/>
      <c r="I27" s="3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>
      <c r="A28" s="2"/>
      <c r="B28" s="2"/>
      <c r="C28" s="2"/>
      <c r="D28" s="2"/>
      <c r="E28" s="2"/>
      <c r="F28" s="2"/>
      <c r="G28" s="2"/>
      <c r="H28" s="2"/>
      <c r="I28" s="3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>
      <c r="A29" s="2"/>
      <c r="B29" s="2"/>
      <c r="C29" s="2"/>
      <c r="D29" s="2"/>
      <c r="E29" s="2"/>
      <c r="F29" s="2"/>
      <c r="G29" s="2"/>
      <c r="H29" s="2"/>
      <c r="I29" s="3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>
      <c r="A30" s="2"/>
      <c r="B30" s="2"/>
      <c r="C30" s="2"/>
      <c r="D30" s="2"/>
      <c r="E30" s="2"/>
      <c r="F30" s="2"/>
      <c r="G30" s="2"/>
      <c r="H30" s="2"/>
      <c r="I30" s="3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>
      <c r="A31" s="2"/>
      <c r="B31" s="2"/>
      <c r="C31" s="2"/>
      <c r="D31" s="2"/>
      <c r="E31" s="2"/>
      <c r="F31" s="2"/>
      <c r="G31" s="2"/>
      <c r="H31" s="2"/>
      <c r="I31" s="3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>
      <c r="A32" s="2"/>
      <c r="B32" s="2"/>
      <c r="C32" s="2"/>
      <c r="D32" s="2"/>
      <c r="E32" s="2"/>
      <c r="F32" s="2"/>
      <c r="G32" s="2"/>
      <c r="H32" s="2"/>
      <c r="I32" s="3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>
      <c r="A33" s="2"/>
      <c r="B33" s="2"/>
      <c r="C33" s="2"/>
      <c r="D33" s="2"/>
      <c r="E33" s="2"/>
      <c r="F33" s="2"/>
      <c r="G33" s="2"/>
      <c r="H33" s="2"/>
      <c r="I33" s="3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>
      <c r="A34" s="2"/>
      <c r="B34" s="2"/>
      <c r="C34" s="2"/>
      <c r="D34" s="2"/>
      <c r="E34" s="2"/>
      <c r="F34" s="2"/>
      <c r="G34" s="2"/>
      <c r="H34" s="2"/>
      <c r="I34" s="3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>
      <c r="A35" s="2"/>
      <c r="B35" s="2"/>
      <c r="C35" s="2"/>
      <c r="D35" s="2"/>
      <c r="E35" s="2"/>
      <c r="F35" s="2"/>
      <c r="G35" s="2"/>
      <c r="H35" s="2"/>
      <c r="I35" s="3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>
      <c r="A36" s="2"/>
      <c r="B36" s="2"/>
      <c r="C36" s="2"/>
      <c r="D36" s="2"/>
      <c r="E36" s="2"/>
      <c r="F36" s="2"/>
      <c r="G36" s="2"/>
      <c r="H36" s="2"/>
      <c r="I36" s="3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">
      <c r="A37" s="2"/>
      <c r="B37" s="2"/>
      <c r="C37" s="2"/>
      <c r="D37" s="2"/>
      <c r="E37" s="2"/>
      <c r="F37" s="2"/>
      <c r="G37" s="2"/>
      <c r="H37" s="2"/>
      <c r="I37" s="3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">
      <c r="A38" s="2"/>
      <c r="B38" s="2"/>
      <c r="C38" s="2"/>
      <c r="D38" s="2"/>
      <c r="E38" s="2"/>
      <c r="F38" s="2"/>
      <c r="G38" s="2"/>
      <c r="H38" s="2"/>
      <c r="I38" s="3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">
      <c r="A39" s="2"/>
      <c r="B39" s="2"/>
      <c r="C39" s="2"/>
      <c r="D39" s="2"/>
      <c r="E39" s="2"/>
      <c r="F39" s="2"/>
      <c r="G39" s="2"/>
      <c r="H39" s="2"/>
      <c r="I39" s="3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">
      <c r="A40" s="2"/>
      <c r="B40" s="2"/>
      <c r="C40" s="2"/>
      <c r="D40" s="2"/>
      <c r="E40" s="2"/>
      <c r="F40" s="2"/>
      <c r="G40" s="2"/>
      <c r="H40" s="2"/>
      <c r="I40" s="3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">
      <c r="A41" s="2"/>
      <c r="B41" s="2"/>
      <c r="C41" s="2"/>
      <c r="D41" s="2"/>
      <c r="E41" s="2"/>
      <c r="F41" s="2"/>
      <c r="G41" s="2"/>
      <c r="H41" s="2"/>
      <c r="I41" s="3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">
      <c r="A42" s="2"/>
      <c r="B42" s="2"/>
      <c r="C42" s="2"/>
      <c r="D42" s="2"/>
      <c r="E42" s="2"/>
      <c r="F42" s="2"/>
      <c r="G42" s="2"/>
      <c r="H42" s="2"/>
      <c r="I42" s="3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">
      <c r="A43" s="2"/>
      <c r="B43" s="2"/>
      <c r="C43" s="2"/>
      <c r="D43" s="2"/>
      <c r="E43" s="2"/>
      <c r="F43" s="2"/>
      <c r="G43" s="2"/>
      <c r="H43" s="2"/>
      <c r="I43" s="3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">
      <c r="A44" s="2"/>
      <c r="B44" s="2"/>
      <c r="C44" s="2"/>
      <c r="D44" s="2"/>
      <c r="E44" s="2"/>
      <c r="F44" s="2"/>
      <c r="G44" s="2"/>
      <c r="H44" s="2"/>
      <c r="I44" s="3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">
      <c r="A45" s="2"/>
      <c r="B45" s="2"/>
      <c r="C45" s="2"/>
      <c r="D45" s="2"/>
      <c r="E45" s="2"/>
      <c r="F45" s="2"/>
      <c r="G45" s="2"/>
      <c r="H45" s="2"/>
      <c r="I45" s="3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">
      <c r="A46" s="2"/>
      <c r="B46" s="2"/>
      <c r="C46" s="2"/>
      <c r="D46" s="2"/>
      <c r="E46" s="2"/>
      <c r="F46" s="2"/>
      <c r="G46" s="2"/>
      <c r="H46" s="2"/>
      <c r="I46" s="3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">
      <c r="A47" s="2"/>
      <c r="B47" s="2"/>
      <c r="C47" s="2"/>
      <c r="D47" s="2"/>
      <c r="E47" s="2"/>
      <c r="F47" s="2"/>
      <c r="G47" s="2"/>
      <c r="H47" s="2"/>
      <c r="I47" s="3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">
      <c r="A48" s="2"/>
      <c r="B48" s="2"/>
      <c r="C48" s="2"/>
      <c r="D48" s="2"/>
      <c r="E48" s="2"/>
      <c r="F48" s="2"/>
      <c r="G48" s="2"/>
      <c r="H48" s="2"/>
      <c r="I48" s="3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">
      <c r="A49" s="2"/>
      <c r="B49" s="2"/>
      <c r="C49" s="2"/>
      <c r="D49" s="2"/>
      <c r="E49" s="2"/>
      <c r="F49" s="2"/>
      <c r="G49" s="2"/>
      <c r="H49" s="2"/>
      <c r="I49" s="3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">
      <c r="A50" s="2"/>
      <c r="B50" s="2"/>
      <c r="C50" s="2"/>
      <c r="D50" s="2"/>
      <c r="E50" s="2"/>
      <c r="F50" s="2"/>
      <c r="G50" s="2"/>
      <c r="H50" s="2"/>
      <c r="I50" s="3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">
      <c r="A51" s="2"/>
      <c r="B51" s="2"/>
      <c r="C51" s="2"/>
      <c r="D51" s="2"/>
      <c r="E51" s="2"/>
      <c r="F51" s="2"/>
      <c r="G51" s="2"/>
      <c r="H51" s="2"/>
      <c r="I51" s="3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">
      <c r="A52" s="2"/>
      <c r="B52" s="2"/>
      <c r="C52" s="2"/>
      <c r="D52" s="2"/>
      <c r="E52" s="2"/>
      <c r="F52" s="2"/>
      <c r="G52" s="2"/>
      <c r="H52" s="2"/>
      <c r="I52" s="3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">
      <c r="A53" s="2"/>
      <c r="B53" s="2"/>
      <c r="C53" s="2"/>
      <c r="D53" s="2"/>
      <c r="E53" s="2"/>
      <c r="F53" s="2"/>
      <c r="G53" s="2"/>
      <c r="H53" s="2"/>
      <c r="I53" s="3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">
      <c r="A54" s="2"/>
      <c r="B54" s="2"/>
      <c r="C54" s="2"/>
      <c r="D54" s="2"/>
      <c r="E54" s="2"/>
      <c r="F54" s="2"/>
      <c r="G54" s="2"/>
      <c r="H54" s="2"/>
      <c r="I54" s="3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">
      <c r="A55" s="2"/>
      <c r="B55" s="2"/>
      <c r="C55" s="2"/>
      <c r="D55" s="2"/>
      <c r="E55" s="2"/>
      <c r="F55" s="2"/>
      <c r="G55" s="2"/>
      <c r="H55" s="2"/>
      <c r="I55" s="3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">
      <c r="A56" s="2"/>
      <c r="B56" s="2"/>
      <c r="C56" s="2"/>
      <c r="D56" s="2"/>
      <c r="E56" s="2"/>
      <c r="F56" s="2"/>
      <c r="G56" s="2"/>
      <c r="H56" s="2"/>
      <c r="I56" s="3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">
      <c r="A57" s="2"/>
      <c r="B57" s="2"/>
      <c r="C57" s="2"/>
      <c r="D57" s="2"/>
      <c r="E57" s="2"/>
      <c r="F57" s="2"/>
      <c r="G57" s="2"/>
      <c r="H57" s="2"/>
      <c r="I57" s="3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">
      <c r="A58" s="2"/>
      <c r="B58" s="2"/>
      <c r="C58" s="2"/>
      <c r="D58" s="2"/>
      <c r="E58" s="2"/>
      <c r="F58" s="2"/>
      <c r="G58" s="2"/>
      <c r="H58" s="2"/>
      <c r="I58" s="3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">
      <c r="A59" s="2"/>
      <c r="B59" s="2"/>
      <c r="C59" s="2"/>
      <c r="D59" s="2"/>
      <c r="E59" s="2"/>
      <c r="F59" s="2"/>
      <c r="G59" s="2"/>
      <c r="H59" s="2"/>
      <c r="I59" s="3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">
      <c r="A60" s="2"/>
      <c r="B60" s="2"/>
      <c r="C60" s="2"/>
      <c r="D60" s="2"/>
      <c r="E60" s="2"/>
      <c r="F60" s="2"/>
      <c r="G60" s="2"/>
      <c r="H60" s="2"/>
      <c r="I60" s="3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">
      <c r="A61" s="2"/>
      <c r="B61" s="2"/>
      <c r="C61" s="2"/>
      <c r="D61" s="2"/>
      <c r="E61" s="2"/>
      <c r="F61" s="2"/>
      <c r="G61" s="2"/>
      <c r="H61" s="2"/>
      <c r="I61" s="3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">
      <c r="A62" s="2"/>
      <c r="B62" s="2"/>
      <c r="C62" s="2"/>
      <c r="D62" s="2"/>
      <c r="E62" s="2"/>
      <c r="F62" s="2"/>
      <c r="G62" s="2"/>
      <c r="H62" s="2"/>
      <c r="I62" s="3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">
      <c r="A63" s="2"/>
      <c r="B63" s="2"/>
      <c r="C63" s="2"/>
      <c r="D63" s="2"/>
      <c r="E63" s="2"/>
      <c r="F63" s="2"/>
      <c r="G63" s="2"/>
      <c r="H63" s="2"/>
      <c r="I63" s="3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">
      <c r="A64" s="2"/>
      <c r="B64" s="2"/>
      <c r="C64" s="2"/>
      <c r="D64" s="2"/>
      <c r="E64" s="2"/>
      <c r="F64" s="2"/>
      <c r="G64" s="2"/>
      <c r="H64" s="2"/>
      <c r="I64" s="3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">
      <c r="A65" s="2"/>
      <c r="B65" s="2"/>
      <c r="C65" s="2"/>
      <c r="D65" s="2"/>
      <c r="E65" s="2"/>
      <c r="F65" s="2"/>
      <c r="G65" s="2"/>
      <c r="H65" s="2"/>
      <c r="I65" s="3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">
      <c r="A66" s="2"/>
      <c r="B66" s="2"/>
      <c r="C66" s="2"/>
      <c r="D66" s="2"/>
      <c r="E66" s="2"/>
      <c r="F66" s="2"/>
      <c r="G66" s="2"/>
      <c r="H66" s="2"/>
      <c r="I66" s="3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">
      <c r="A67" s="2"/>
      <c r="B67" s="2"/>
      <c r="C67" s="2"/>
      <c r="D67" s="2"/>
      <c r="E67" s="2"/>
      <c r="F67" s="2"/>
      <c r="G67" s="2"/>
      <c r="H67" s="2"/>
      <c r="I67" s="3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">
      <c r="A68" s="2"/>
      <c r="B68" s="2"/>
      <c r="C68" s="2"/>
      <c r="D68" s="2"/>
      <c r="E68" s="2"/>
      <c r="F68" s="2"/>
      <c r="G68" s="2"/>
      <c r="H68" s="2"/>
      <c r="I68" s="3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">
      <c r="A69" s="2"/>
      <c r="B69" s="2"/>
      <c r="C69" s="2"/>
      <c r="D69" s="2"/>
      <c r="E69" s="2"/>
      <c r="F69" s="2"/>
      <c r="G69" s="2"/>
      <c r="H69" s="2"/>
      <c r="I69" s="3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">
      <c r="A70" s="2"/>
      <c r="B70" s="2"/>
      <c r="C70" s="2"/>
      <c r="D70" s="2"/>
      <c r="E70" s="2"/>
      <c r="F70" s="2"/>
      <c r="G70" s="2"/>
      <c r="H70" s="2"/>
      <c r="I70" s="3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">
      <c r="A71" s="2"/>
      <c r="B71" s="2"/>
      <c r="C71" s="2"/>
      <c r="D71" s="2"/>
      <c r="E71" s="2"/>
      <c r="F71" s="2"/>
      <c r="G71" s="2"/>
      <c r="H71" s="2"/>
      <c r="I71" s="3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">
      <c r="A72" s="2"/>
      <c r="B72" s="2"/>
      <c r="C72" s="2"/>
      <c r="D72" s="2"/>
      <c r="E72" s="2"/>
      <c r="F72" s="2"/>
      <c r="G72" s="2"/>
      <c r="H72" s="2"/>
      <c r="I72" s="3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">
      <c r="A73" s="2"/>
      <c r="B73" s="2"/>
      <c r="C73" s="2"/>
      <c r="D73" s="2"/>
      <c r="E73" s="2"/>
      <c r="F73" s="2"/>
      <c r="G73" s="2"/>
      <c r="H73" s="2"/>
      <c r="I73" s="3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">
      <c r="A74" s="2"/>
      <c r="B74" s="2"/>
      <c r="C74" s="2"/>
      <c r="D74" s="2"/>
      <c r="E74" s="2"/>
      <c r="F74" s="2"/>
      <c r="G74" s="2"/>
      <c r="H74" s="2"/>
      <c r="I74" s="3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">
      <c r="A75" s="2"/>
      <c r="B75" s="2"/>
      <c r="C75" s="2"/>
      <c r="D75" s="2"/>
      <c r="E75" s="2"/>
      <c r="F75" s="2"/>
      <c r="G75" s="2"/>
      <c r="H75" s="2"/>
      <c r="I75" s="3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">
      <c r="A76" s="2"/>
      <c r="B76" s="2"/>
      <c r="C76" s="2"/>
      <c r="D76" s="2"/>
      <c r="E76" s="2"/>
      <c r="F76" s="2"/>
      <c r="G76" s="2"/>
      <c r="H76" s="2"/>
      <c r="I76" s="3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">
      <c r="A77" s="2"/>
      <c r="B77" s="2"/>
      <c r="C77" s="2"/>
      <c r="D77" s="2"/>
      <c r="E77" s="2"/>
      <c r="F77" s="2"/>
      <c r="G77" s="2"/>
      <c r="H77" s="2"/>
      <c r="I77" s="3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">
      <c r="A78" s="2"/>
      <c r="B78" s="2"/>
      <c r="C78" s="2"/>
      <c r="D78" s="2"/>
      <c r="E78" s="2"/>
      <c r="F78" s="2"/>
      <c r="G78" s="2"/>
      <c r="H78" s="2"/>
      <c r="I78" s="3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">
      <c r="A79" s="2"/>
      <c r="B79" s="2"/>
      <c r="C79" s="2"/>
      <c r="D79" s="2"/>
      <c r="E79" s="2"/>
      <c r="F79" s="2"/>
      <c r="G79" s="2"/>
      <c r="H79" s="2"/>
      <c r="I79" s="3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">
      <c r="A80" s="2"/>
      <c r="B80" s="2"/>
      <c r="C80" s="2"/>
      <c r="D80" s="2"/>
      <c r="E80" s="2"/>
      <c r="F80" s="2"/>
      <c r="G80" s="2"/>
      <c r="H80" s="2"/>
      <c r="I80" s="3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">
      <c r="A81" s="2"/>
      <c r="B81" s="2"/>
      <c r="C81" s="2"/>
      <c r="D81" s="2"/>
      <c r="E81" s="2"/>
      <c r="F81" s="2"/>
      <c r="G81" s="2"/>
      <c r="H81" s="2"/>
      <c r="I81" s="3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">
      <c r="A82" s="2"/>
      <c r="B82" s="2"/>
      <c r="C82" s="2"/>
      <c r="D82" s="2"/>
      <c r="E82" s="2"/>
      <c r="F82" s="2"/>
      <c r="G82" s="2"/>
      <c r="H82" s="2"/>
      <c r="I82" s="3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">
      <c r="A83" s="2"/>
      <c r="B83" s="2"/>
      <c r="C83" s="2"/>
      <c r="D83" s="2"/>
      <c r="E83" s="2"/>
      <c r="F83" s="2"/>
      <c r="G83" s="2"/>
      <c r="H83" s="2"/>
      <c r="I83" s="3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">
      <c r="A84" s="2"/>
      <c r="B84" s="2"/>
      <c r="C84" s="2"/>
      <c r="D84" s="2"/>
      <c r="E84" s="2"/>
      <c r="F84" s="2"/>
      <c r="G84" s="2"/>
      <c r="H84" s="2"/>
      <c r="I84" s="3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">
      <c r="A85" s="2"/>
      <c r="B85" s="2"/>
      <c r="C85" s="2"/>
      <c r="D85" s="2"/>
      <c r="E85" s="2"/>
      <c r="F85" s="2"/>
      <c r="G85" s="2"/>
      <c r="H85" s="2"/>
      <c r="I85" s="3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">
      <c r="A86" s="2"/>
      <c r="B86" s="2"/>
      <c r="C86" s="2"/>
      <c r="D86" s="2"/>
      <c r="E86" s="2"/>
      <c r="F86" s="2"/>
      <c r="G86" s="2"/>
      <c r="H86" s="2"/>
      <c r="I86" s="3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">
      <c r="A87" s="2"/>
      <c r="B87" s="2"/>
      <c r="C87" s="2"/>
      <c r="D87" s="2"/>
      <c r="E87" s="2"/>
      <c r="F87" s="2"/>
      <c r="G87" s="2"/>
      <c r="H87" s="2"/>
      <c r="I87" s="3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">
      <c r="A88" s="2"/>
      <c r="B88" s="2"/>
      <c r="C88" s="2"/>
      <c r="D88" s="2"/>
      <c r="E88" s="2"/>
      <c r="F88" s="2"/>
      <c r="G88" s="2"/>
      <c r="H88" s="2"/>
      <c r="I88" s="3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">
      <c r="A89" s="2"/>
      <c r="B89" s="2"/>
      <c r="C89" s="2"/>
      <c r="D89" s="2"/>
      <c r="E89" s="2"/>
      <c r="F89" s="2"/>
      <c r="G89" s="2"/>
      <c r="H89" s="2"/>
      <c r="I89" s="3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">
      <c r="A90" s="2"/>
      <c r="B90" s="2"/>
      <c r="C90" s="2"/>
      <c r="D90" s="2"/>
      <c r="E90" s="2"/>
      <c r="F90" s="2"/>
      <c r="G90" s="2"/>
      <c r="H90" s="2"/>
      <c r="I90" s="3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">
      <c r="A91" s="2"/>
      <c r="B91" s="2"/>
      <c r="C91" s="2"/>
      <c r="D91" s="2"/>
      <c r="E91" s="2"/>
      <c r="F91" s="2"/>
      <c r="G91" s="2"/>
      <c r="H91" s="2"/>
      <c r="I91" s="3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">
      <c r="A92" s="2"/>
      <c r="B92" s="2"/>
      <c r="C92" s="2"/>
      <c r="D92" s="2"/>
      <c r="E92" s="2"/>
      <c r="F92" s="2"/>
      <c r="G92" s="2"/>
      <c r="H92" s="2"/>
      <c r="I92" s="3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">
      <c r="A93" s="2"/>
      <c r="B93" s="2"/>
      <c r="C93" s="2"/>
      <c r="D93" s="2"/>
      <c r="E93" s="2"/>
      <c r="F93" s="2"/>
      <c r="G93" s="2"/>
      <c r="H93" s="2"/>
      <c r="I93" s="3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">
      <c r="A94" s="2"/>
      <c r="B94" s="2"/>
      <c r="C94" s="2"/>
      <c r="D94" s="2"/>
      <c r="E94" s="2"/>
      <c r="F94" s="2"/>
      <c r="G94" s="2"/>
      <c r="H94" s="2"/>
      <c r="I94" s="3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">
      <c r="A95" s="2"/>
      <c r="B95" s="2"/>
      <c r="C95" s="2"/>
      <c r="D95" s="2"/>
      <c r="E95" s="2"/>
      <c r="F95" s="2"/>
      <c r="G95" s="2"/>
      <c r="H95" s="2"/>
      <c r="I95" s="3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">
      <c r="A96" s="2"/>
      <c r="B96" s="2"/>
      <c r="C96" s="2"/>
      <c r="D96" s="2"/>
      <c r="E96" s="2"/>
      <c r="F96" s="2"/>
      <c r="G96" s="2"/>
      <c r="H96" s="2"/>
      <c r="I96" s="3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">
      <c r="A97" s="2"/>
      <c r="B97" s="2"/>
      <c r="C97" s="2"/>
      <c r="D97" s="2"/>
      <c r="E97" s="2"/>
      <c r="F97" s="2"/>
      <c r="G97" s="2"/>
      <c r="H97" s="2"/>
      <c r="I97" s="3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">
      <c r="A98" s="2"/>
      <c r="B98" s="2"/>
      <c r="C98" s="2"/>
      <c r="D98" s="2"/>
      <c r="E98" s="2"/>
      <c r="F98" s="2"/>
      <c r="G98" s="2"/>
      <c r="H98" s="2"/>
      <c r="I98" s="3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">
      <c r="A99" s="2"/>
      <c r="B99" s="2"/>
      <c r="C99" s="2"/>
      <c r="D99" s="2"/>
      <c r="E99" s="2"/>
      <c r="F99" s="2"/>
      <c r="G99" s="2"/>
      <c r="H99" s="2"/>
      <c r="I99" s="3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">
      <c r="A100" s="2"/>
      <c r="B100" s="2"/>
      <c r="C100" s="2"/>
      <c r="D100" s="2"/>
      <c r="E100" s="2"/>
      <c r="F100" s="2"/>
      <c r="G100" s="2"/>
      <c r="H100" s="2"/>
      <c r="I100" s="3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">
      <c r="A101" s="2"/>
      <c r="B101" s="2"/>
      <c r="C101" s="2"/>
      <c r="D101" s="2"/>
      <c r="E101" s="2"/>
      <c r="F101" s="2"/>
      <c r="G101" s="2"/>
      <c r="H101" s="2"/>
      <c r="I101" s="3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">
      <c r="A102" s="2"/>
      <c r="B102" s="2"/>
      <c r="C102" s="2"/>
      <c r="D102" s="2"/>
      <c r="E102" s="2"/>
      <c r="F102" s="2"/>
      <c r="G102" s="2"/>
      <c r="H102" s="2"/>
      <c r="I102" s="3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">
      <c r="A103" s="2"/>
      <c r="B103" s="2"/>
      <c r="C103" s="2"/>
      <c r="D103" s="2"/>
      <c r="E103" s="2"/>
      <c r="F103" s="2"/>
      <c r="G103" s="2"/>
      <c r="H103" s="2"/>
      <c r="I103" s="3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">
      <c r="A104" s="2"/>
      <c r="B104" s="2"/>
      <c r="C104" s="2"/>
      <c r="D104" s="2"/>
      <c r="E104" s="2"/>
      <c r="F104" s="2"/>
      <c r="G104" s="2"/>
      <c r="H104" s="2"/>
      <c r="I104" s="3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">
      <c r="A105" s="2"/>
      <c r="B105" s="2"/>
      <c r="C105" s="2"/>
      <c r="D105" s="2"/>
      <c r="E105" s="2"/>
      <c r="F105" s="2"/>
      <c r="G105" s="2"/>
      <c r="H105" s="2"/>
      <c r="I105" s="3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">
      <c r="A106" s="2"/>
      <c r="B106" s="2"/>
      <c r="C106" s="2"/>
      <c r="D106" s="2"/>
      <c r="E106" s="2"/>
      <c r="F106" s="2"/>
      <c r="G106" s="2"/>
      <c r="H106" s="2"/>
      <c r="I106" s="3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">
      <c r="A107" s="2"/>
      <c r="B107" s="2"/>
      <c r="C107" s="2"/>
      <c r="D107" s="2"/>
      <c r="E107" s="2"/>
      <c r="F107" s="2"/>
      <c r="G107" s="2"/>
      <c r="H107" s="2"/>
      <c r="I107" s="3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">
      <c r="A108" s="2"/>
      <c r="B108" s="2"/>
      <c r="C108" s="2"/>
      <c r="D108" s="2"/>
      <c r="E108" s="2"/>
      <c r="F108" s="2"/>
      <c r="G108" s="2"/>
      <c r="H108" s="2"/>
      <c r="I108" s="3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">
      <c r="A109" s="2"/>
      <c r="B109" s="2"/>
      <c r="C109" s="2"/>
      <c r="D109" s="2"/>
      <c r="E109" s="2"/>
      <c r="F109" s="2"/>
      <c r="G109" s="2"/>
      <c r="H109" s="2"/>
      <c r="I109" s="3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">
      <c r="A110" s="2"/>
      <c r="B110" s="2"/>
      <c r="C110" s="2"/>
      <c r="D110" s="2"/>
      <c r="E110" s="2"/>
      <c r="F110" s="2"/>
      <c r="G110" s="2"/>
      <c r="H110" s="2"/>
      <c r="I110" s="3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">
      <c r="A111" s="2"/>
      <c r="B111" s="2"/>
      <c r="C111" s="2"/>
      <c r="D111" s="2"/>
      <c r="E111" s="2"/>
      <c r="F111" s="2"/>
      <c r="G111" s="2"/>
      <c r="H111" s="2"/>
      <c r="I111" s="3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">
      <c r="A112" s="2"/>
      <c r="B112" s="2"/>
      <c r="C112" s="2"/>
      <c r="D112" s="2"/>
      <c r="E112" s="2"/>
      <c r="F112" s="2"/>
      <c r="G112" s="2"/>
      <c r="H112" s="2"/>
      <c r="I112" s="3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">
      <c r="A113" s="2"/>
      <c r="B113" s="2"/>
      <c r="C113" s="2"/>
      <c r="D113" s="2"/>
      <c r="E113" s="2"/>
      <c r="F113" s="2"/>
      <c r="G113" s="2"/>
      <c r="H113" s="2"/>
      <c r="I113" s="3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">
      <c r="A114" s="2"/>
      <c r="B114" s="2"/>
      <c r="C114" s="2"/>
      <c r="D114" s="2"/>
      <c r="E114" s="2"/>
      <c r="F114" s="2"/>
      <c r="G114" s="2"/>
      <c r="H114" s="2"/>
      <c r="I114" s="3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">
      <c r="A115" s="2"/>
      <c r="B115" s="2"/>
      <c r="C115" s="2"/>
      <c r="D115" s="2"/>
      <c r="E115" s="2"/>
      <c r="F115" s="2"/>
      <c r="G115" s="2"/>
      <c r="H115" s="2"/>
      <c r="I115" s="3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">
      <c r="A116" s="2"/>
      <c r="B116" s="2"/>
      <c r="C116" s="2"/>
      <c r="D116" s="2"/>
      <c r="E116" s="2"/>
      <c r="F116" s="2"/>
      <c r="G116" s="2"/>
      <c r="H116" s="2"/>
      <c r="I116" s="3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">
      <c r="A117" s="2"/>
      <c r="B117" s="2"/>
      <c r="C117" s="2"/>
      <c r="D117" s="2"/>
      <c r="E117" s="2"/>
      <c r="F117" s="2"/>
      <c r="G117" s="2"/>
      <c r="H117" s="2"/>
      <c r="I117" s="3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">
      <c r="A118" s="2"/>
      <c r="B118" s="2"/>
      <c r="C118" s="2"/>
      <c r="D118" s="2"/>
      <c r="E118" s="2"/>
      <c r="F118" s="2"/>
      <c r="G118" s="2"/>
      <c r="H118" s="2"/>
      <c r="I118" s="3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">
      <c r="A119" s="2"/>
      <c r="B119" s="2"/>
      <c r="C119" s="2"/>
      <c r="D119" s="2"/>
      <c r="E119" s="2"/>
      <c r="F119" s="2"/>
      <c r="G119" s="2"/>
      <c r="H119" s="2"/>
      <c r="I119" s="3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">
      <c r="A120" s="2"/>
      <c r="B120" s="2"/>
      <c r="C120" s="2"/>
      <c r="D120" s="2"/>
      <c r="E120" s="2"/>
      <c r="F120" s="2"/>
      <c r="G120" s="2"/>
      <c r="H120" s="2"/>
      <c r="I120" s="3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">
      <c r="A121" s="2"/>
      <c r="B121" s="2"/>
      <c r="C121" s="2"/>
      <c r="D121" s="2"/>
      <c r="E121" s="2"/>
      <c r="F121" s="2"/>
      <c r="G121" s="2"/>
      <c r="H121" s="2"/>
      <c r="I121" s="3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">
      <c r="A122" s="2"/>
      <c r="B122" s="2"/>
      <c r="C122" s="2"/>
      <c r="D122" s="2"/>
      <c r="E122" s="2"/>
      <c r="F122" s="2"/>
      <c r="G122" s="2"/>
      <c r="H122" s="2"/>
      <c r="I122" s="3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">
      <c r="A123" s="2"/>
      <c r="B123" s="2"/>
      <c r="C123" s="2"/>
      <c r="D123" s="2"/>
      <c r="E123" s="2"/>
      <c r="F123" s="2"/>
      <c r="G123" s="2"/>
      <c r="H123" s="2"/>
      <c r="I123" s="3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">
      <c r="A124" s="2"/>
      <c r="B124" s="2"/>
      <c r="C124" s="2"/>
      <c r="D124" s="2"/>
      <c r="E124" s="2"/>
      <c r="F124" s="2"/>
      <c r="G124" s="2"/>
      <c r="H124" s="2"/>
      <c r="I124" s="3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">
      <c r="A125" s="2"/>
      <c r="B125" s="2"/>
      <c r="C125" s="2"/>
      <c r="D125" s="2"/>
      <c r="E125" s="2"/>
      <c r="F125" s="2"/>
      <c r="G125" s="2"/>
      <c r="H125" s="2"/>
      <c r="I125" s="3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">
      <c r="A126" s="2"/>
      <c r="B126" s="2"/>
      <c r="C126" s="2"/>
      <c r="D126" s="2"/>
      <c r="E126" s="2"/>
      <c r="F126" s="2"/>
      <c r="G126" s="2"/>
      <c r="H126" s="2"/>
      <c r="I126" s="3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">
      <c r="A127" s="2"/>
      <c r="B127" s="2"/>
      <c r="C127" s="2"/>
      <c r="D127" s="2"/>
      <c r="E127" s="2"/>
      <c r="F127" s="2"/>
      <c r="G127" s="2"/>
      <c r="H127" s="2"/>
      <c r="I127" s="3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">
      <c r="A128" s="2"/>
      <c r="B128" s="2"/>
      <c r="C128" s="2"/>
      <c r="D128" s="2"/>
      <c r="E128" s="2"/>
      <c r="F128" s="2"/>
      <c r="G128" s="2"/>
      <c r="H128" s="2"/>
      <c r="I128" s="3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">
      <c r="A129" s="2"/>
      <c r="B129" s="2"/>
      <c r="C129" s="2"/>
      <c r="D129" s="2"/>
      <c r="E129" s="2"/>
      <c r="F129" s="2"/>
      <c r="G129" s="2"/>
      <c r="H129" s="2"/>
      <c r="I129" s="3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">
      <c r="A130" s="2"/>
      <c r="B130" s="2"/>
      <c r="C130" s="2"/>
      <c r="D130" s="2"/>
      <c r="E130" s="2"/>
      <c r="F130" s="2"/>
      <c r="G130" s="2"/>
      <c r="H130" s="2"/>
      <c r="I130" s="3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">
      <c r="A131" s="2"/>
      <c r="B131" s="2"/>
      <c r="C131" s="2"/>
      <c r="D131" s="2"/>
      <c r="E131" s="2"/>
      <c r="F131" s="2"/>
      <c r="G131" s="2"/>
      <c r="H131" s="2"/>
      <c r="I131" s="3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">
      <c r="A132" s="2"/>
      <c r="B132" s="2"/>
      <c r="C132" s="2"/>
      <c r="D132" s="2"/>
      <c r="E132" s="2"/>
      <c r="F132" s="2"/>
      <c r="G132" s="2"/>
      <c r="H132" s="2"/>
      <c r="I132" s="3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">
      <c r="A133" s="2"/>
      <c r="B133" s="2"/>
      <c r="C133" s="2"/>
      <c r="D133" s="2"/>
      <c r="E133" s="2"/>
      <c r="F133" s="2"/>
      <c r="G133" s="2"/>
      <c r="H133" s="2"/>
      <c r="I133" s="3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">
      <c r="A134" s="2"/>
      <c r="B134" s="2"/>
      <c r="C134" s="2"/>
      <c r="D134" s="2"/>
      <c r="E134" s="2"/>
      <c r="F134" s="2"/>
      <c r="G134" s="2"/>
      <c r="H134" s="2"/>
      <c r="I134" s="3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">
      <c r="A135" s="2"/>
      <c r="B135" s="2"/>
      <c r="C135" s="2"/>
      <c r="D135" s="2"/>
      <c r="E135" s="2"/>
      <c r="F135" s="2"/>
      <c r="G135" s="2"/>
      <c r="H135" s="2"/>
      <c r="I135" s="3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">
      <c r="A136" s="2"/>
      <c r="B136" s="2"/>
      <c r="C136" s="2"/>
      <c r="D136" s="2"/>
      <c r="E136" s="2"/>
      <c r="F136" s="2"/>
      <c r="G136" s="2"/>
      <c r="H136" s="2"/>
      <c r="I136" s="3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">
      <c r="A137" s="2"/>
      <c r="B137" s="2"/>
      <c r="C137" s="2"/>
      <c r="D137" s="2"/>
      <c r="E137" s="2"/>
      <c r="F137" s="2"/>
      <c r="G137" s="2"/>
      <c r="H137" s="2"/>
      <c r="I137" s="3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">
      <c r="A138" s="2"/>
      <c r="B138" s="2"/>
      <c r="C138" s="2"/>
      <c r="D138" s="2"/>
      <c r="E138" s="2"/>
      <c r="F138" s="2"/>
      <c r="G138" s="2"/>
      <c r="H138" s="2"/>
      <c r="I138" s="3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">
      <c r="A139" s="2"/>
      <c r="B139" s="2"/>
      <c r="C139" s="2"/>
      <c r="D139" s="2"/>
      <c r="E139" s="2"/>
      <c r="F139" s="2"/>
      <c r="G139" s="2"/>
      <c r="H139" s="2"/>
      <c r="I139" s="3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">
      <c r="A140" s="2"/>
      <c r="B140" s="2"/>
      <c r="C140" s="2"/>
      <c r="D140" s="2"/>
      <c r="E140" s="2"/>
      <c r="F140" s="2"/>
      <c r="G140" s="2"/>
      <c r="H140" s="2"/>
      <c r="I140" s="3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">
      <c r="A141" s="2"/>
      <c r="B141" s="2"/>
      <c r="C141" s="2"/>
      <c r="D141" s="2"/>
      <c r="E141" s="2"/>
      <c r="F141" s="2"/>
      <c r="G141" s="2"/>
      <c r="H141" s="2"/>
      <c r="I141" s="3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">
      <c r="A142" s="2"/>
      <c r="B142" s="2"/>
      <c r="C142" s="2"/>
      <c r="D142" s="2"/>
      <c r="E142" s="2"/>
      <c r="F142" s="2"/>
      <c r="G142" s="2"/>
      <c r="H142" s="2"/>
      <c r="I142" s="3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">
      <c r="A143" s="2"/>
      <c r="B143" s="2"/>
      <c r="C143" s="2"/>
      <c r="D143" s="2"/>
      <c r="E143" s="2"/>
      <c r="F143" s="2"/>
      <c r="G143" s="2"/>
      <c r="H143" s="2"/>
      <c r="I143" s="3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">
      <c r="A144" s="2"/>
      <c r="B144" s="2"/>
      <c r="C144" s="2"/>
      <c r="D144" s="2"/>
      <c r="E144" s="2"/>
      <c r="F144" s="2"/>
      <c r="G144" s="2"/>
      <c r="H144" s="2"/>
      <c r="I144" s="3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">
      <c r="A145" s="2"/>
      <c r="B145" s="2"/>
      <c r="C145" s="2"/>
      <c r="D145" s="2"/>
      <c r="E145" s="2"/>
      <c r="F145" s="2"/>
      <c r="G145" s="2"/>
      <c r="H145" s="2"/>
      <c r="I145" s="3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">
      <c r="A146" s="2"/>
      <c r="B146" s="2"/>
      <c r="C146" s="2"/>
      <c r="D146" s="2"/>
      <c r="E146" s="2"/>
      <c r="F146" s="2"/>
      <c r="G146" s="2"/>
      <c r="H146" s="2"/>
      <c r="I146" s="3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">
      <c r="A147" s="2"/>
      <c r="B147" s="2"/>
      <c r="C147" s="2"/>
      <c r="D147" s="2"/>
      <c r="E147" s="2"/>
      <c r="F147" s="2"/>
      <c r="G147" s="2"/>
      <c r="H147" s="2"/>
      <c r="I147" s="3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">
      <c r="A148" s="2"/>
      <c r="B148" s="2"/>
      <c r="C148" s="2"/>
      <c r="D148" s="2"/>
      <c r="E148" s="2"/>
      <c r="F148" s="2"/>
      <c r="G148" s="2"/>
      <c r="H148" s="2"/>
      <c r="I148" s="3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">
      <c r="A149" s="2"/>
      <c r="B149" s="2"/>
      <c r="C149" s="2"/>
      <c r="D149" s="2"/>
      <c r="E149" s="2"/>
      <c r="F149" s="2"/>
      <c r="G149" s="2"/>
      <c r="H149" s="2"/>
      <c r="I149" s="3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">
      <c r="A150" s="2"/>
      <c r="B150" s="2"/>
      <c r="C150" s="2"/>
      <c r="D150" s="2"/>
      <c r="E150" s="2"/>
      <c r="F150" s="2"/>
      <c r="G150" s="2"/>
      <c r="H150" s="2"/>
      <c r="I150" s="3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">
      <c r="A151" s="2"/>
      <c r="B151" s="2"/>
      <c r="C151" s="2"/>
      <c r="D151" s="2"/>
      <c r="E151" s="2"/>
      <c r="F151" s="2"/>
      <c r="G151" s="2"/>
      <c r="H151" s="2"/>
      <c r="I151" s="3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">
      <c r="A152" s="2"/>
      <c r="B152" s="2"/>
      <c r="C152" s="2"/>
      <c r="D152" s="2"/>
      <c r="E152" s="2"/>
      <c r="F152" s="2"/>
      <c r="G152" s="2"/>
      <c r="H152" s="2"/>
      <c r="I152" s="3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">
      <c r="A153" s="2"/>
      <c r="B153" s="2"/>
      <c r="C153" s="2"/>
      <c r="D153" s="2"/>
      <c r="E153" s="2"/>
      <c r="F153" s="2"/>
      <c r="G153" s="2"/>
      <c r="H153" s="2"/>
      <c r="I153" s="3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">
      <c r="A154" s="2"/>
      <c r="B154" s="2"/>
      <c r="C154" s="2"/>
      <c r="D154" s="2"/>
      <c r="E154" s="2"/>
      <c r="F154" s="2"/>
      <c r="G154" s="2"/>
      <c r="H154" s="2"/>
      <c r="I154" s="3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">
      <c r="A155" s="2"/>
      <c r="B155" s="2"/>
      <c r="C155" s="2"/>
      <c r="D155" s="2"/>
      <c r="E155" s="2"/>
      <c r="F155" s="2"/>
      <c r="G155" s="2"/>
      <c r="H155" s="2"/>
      <c r="I155" s="3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">
      <c r="A156" s="2"/>
      <c r="B156" s="2"/>
      <c r="C156" s="2"/>
      <c r="D156" s="2"/>
      <c r="E156" s="2"/>
      <c r="F156" s="2"/>
      <c r="G156" s="2"/>
      <c r="H156" s="2"/>
      <c r="I156" s="3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">
      <c r="A157" s="2"/>
      <c r="B157" s="2"/>
      <c r="C157" s="2"/>
      <c r="D157" s="2"/>
      <c r="E157" s="2"/>
      <c r="F157" s="2"/>
      <c r="G157" s="2"/>
      <c r="H157" s="2"/>
      <c r="I157" s="3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">
      <c r="A158" s="2"/>
      <c r="B158" s="2"/>
      <c r="C158" s="2"/>
      <c r="D158" s="2"/>
      <c r="E158" s="2"/>
      <c r="F158" s="2"/>
      <c r="G158" s="2"/>
      <c r="H158" s="2"/>
      <c r="I158" s="3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">
      <c r="A159" s="2"/>
      <c r="B159" s="2"/>
      <c r="C159" s="2"/>
      <c r="D159" s="2"/>
      <c r="E159" s="2"/>
      <c r="F159" s="2"/>
      <c r="G159" s="2"/>
      <c r="H159" s="2"/>
      <c r="I159" s="3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">
      <c r="A160" s="2"/>
      <c r="B160" s="2"/>
      <c r="C160" s="2"/>
      <c r="D160" s="2"/>
      <c r="E160" s="2"/>
      <c r="F160" s="2"/>
      <c r="G160" s="2"/>
      <c r="H160" s="2"/>
      <c r="I160" s="3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">
      <c r="A161" s="2"/>
      <c r="B161" s="2"/>
      <c r="C161" s="2"/>
      <c r="D161" s="2"/>
      <c r="E161" s="2"/>
      <c r="F161" s="2"/>
      <c r="G161" s="2"/>
      <c r="H161" s="2"/>
      <c r="I161" s="3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">
      <c r="A162" s="2"/>
      <c r="B162" s="2"/>
      <c r="C162" s="2"/>
      <c r="D162" s="2"/>
      <c r="E162" s="2"/>
      <c r="F162" s="2"/>
      <c r="G162" s="2"/>
      <c r="H162" s="2"/>
      <c r="I162" s="3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">
      <c r="A163" s="2"/>
      <c r="B163" s="2"/>
      <c r="C163" s="2"/>
      <c r="D163" s="2"/>
      <c r="E163" s="2"/>
      <c r="F163" s="2"/>
      <c r="G163" s="2"/>
      <c r="H163" s="2"/>
      <c r="I163" s="3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">
      <c r="A164" s="2"/>
      <c r="B164" s="2"/>
      <c r="C164" s="2"/>
      <c r="D164" s="2"/>
      <c r="E164" s="2"/>
      <c r="F164" s="2"/>
      <c r="G164" s="2"/>
      <c r="H164" s="2"/>
      <c r="I164" s="3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">
      <c r="A165" s="2"/>
      <c r="B165" s="2"/>
      <c r="C165" s="2"/>
      <c r="D165" s="2"/>
      <c r="E165" s="2"/>
      <c r="F165" s="2"/>
      <c r="G165" s="2"/>
      <c r="H165" s="2"/>
      <c r="I165" s="3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">
      <c r="A166" s="2"/>
      <c r="B166" s="2"/>
      <c r="C166" s="2"/>
      <c r="D166" s="2"/>
      <c r="E166" s="2"/>
      <c r="F166" s="2"/>
      <c r="G166" s="2"/>
      <c r="H166" s="2"/>
      <c r="I166" s="3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">
      <c r="A167" s="2"/>
      <c r="B167" s="2"/>
      <c r="C167" s="2"/>
      <c r="D167" s="2"/>
      <c r="E167" s="2"/>
      <c r="F167" s="2"/>
      <c r="G167" s="2"/>
      <c r="H167" s="2"/>
      <c r="I167" s="3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">
      <c r="A168" s="2"/>
      <c r="B168" s="2"/>
      <c r="C168" s="2"/>
      <c r="D168" s="2"/>
      <c r="E168" s="2"/>
      <c r="F168" s="2"/>
      <c r="G168" s="2"/>
      <c r="H168" s="2"/>
      <c r="I168" s="3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">
      <c r="A169" s="2"/>
      <c r="B169" s="2"/>
      <c r="C169" s="2"/>
      <c r="D169" s="2"/>
      <c r="E169" s="2"/>
      <c r="F169" s="2"/>
      <c r="G169" s="2"/>
      <c r="H169" s="2"/>
      <c r="I169" s="3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">
      <c r="A170" s="2"/>
      <c r="B170" s="2"/>
      <c r="C170" s="2"/>
      <c r="D170" s="2"/>
      <c r="E170" s="2"/>
      <c r="F170" s="2"/>
      <c r="G170" s="2"/>
      <c r="H170" s="2"/>
      <c r="I170" s="3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">
      <c r="A171" s="2"/>
      <c r="B171" s="2"/>
      <c r="C171" s="2"/>
      <c r="D171" s="2"/>
      <c r="E171" s="2"/>
      <c r="F171" s="2"/>
      <c r="G171" s="2"/>
      <c r="H171" s="2"/>
      <c r="I171" s="3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">
      <c r="A172" s="2"/>
      <c r="B172" s="2"/>
      <c r="C172" s="2"/>
      <c r="D172" s="2"/>
      <c r="E172" s="2"/>
      <c r="F172" s="2"/>
      <c r="G172" s="2"/>
      <c r="H172" s="2"/>
      <c r="I172" s="3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">
      <c r="A173" s="2"/>
      <c r="B173" s="2"/>
      <c r="C173" s="2"/>
      <c r="D173" s="2"/>
      <c r="E173" s="2"/>
      <c r="F173" s="2"/>
      <c r="G173" s="2"/>
      <c r="H173" s="2"/>
      <c r="I173" s="3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">
      <c r="A174" s="2"/>
      <c r="B174" s="2"/>
      <c r="C174" s="2"/>
      <c r="D174" s="2"/>
      <c r="E174" s="2"/>
      <c r="F174" s="2"/>
      <c r="G174" s="2"/>
      <c r="H174" s="2"/>
      <c r="I174" s="3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">
      <c r="A175" s="2"/>
      <c r="B175" s="2"/>
      <c r="C175" s="2"/>
      <c r="D175" s="2"/>
      <c r="E175" s="2"/>
      <c r="F175" s="2"/>
      <c r="G175" s="2"/>
      <c r="H175" s="2"/>
      <c r="I175" s="3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">
      <c r="A176" s="2"/>
      <c r="B176" s="2"/>
      <c r="C176" s="2"/>
      <c r="D176" s="2"/>
      <c r="E176" s="2"/>
      <c r="F176" s="2"/>
      <c r="G176" s="2"/>
      <c r="H176" s="2"/>
      <c r="I176" s="3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">
      <c r="A177" s="2"/>
      <c r="B177" s="2"/>
      <c r="C177" s="2"/>
      <c r="D177" s="2"/>
      <c r="E177" s="2"/>
      <c r="F177" s="2"/>
      <c r="G177" s="2"/>
      <c r="H177" s="2"/>
      <c r="I177" s="3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">
      <c r="A178" s="2"/>
      <c r="B178" s="2"/>
      <c r="C178" s="2"/>
      <c r="D178" s="2"/>
      <c r="E178" s="2"/>
      <c r="F178" s="2"/>
      <c r="G178" s="2"/>
      <c r="H178" s="2"/>
      <c r="I178" s="3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">
      <c r="A179" s="2"/>
      <c r="B179" s="2"/>
      <c r="C179" s="2"/>
      <c r="D179" s="2"/>
      <c r="E179" s="2"/>
      <c r="F179" s="2"/>
      <c r="G179" s="2"/>
      <c r="H179" s="2"/>
      <c r="I179" s="3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">
      <c r="A180" s="2"/>
      <c r="B180" s="2"/>
      <c r="C180" s="2"/>
      <c r="D180" s="2"/>
      <c r="E180" s="2"/>
      <c r="F180" s="2"/>
      <c r="G180" s="2"/>
      <c r="H180" s="2"/>
      <c r="I180" s="3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">
      <c r="A181" s="2"/>
      <c r="B181" s="2"/>
      <c r="C181" s="2"/>
      <c r="D181" s="2"/>
      <c r="E181" s="2"/>
      <c r="F181" s="2"/>
      <c r="G181" s="2"/>
      <c r="H181" s="2"/>
      <c r="I181" s="3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">
      <c r="A182" s="2"/>
      <c r="B182" s="2"/>
      <c r="C182" s="2"/>
      <c r="D182" s="2"/>
      <c r="E182" s="2"/>
      <c r="F182" s="2"/>
      <c r="G182" s="2"/>
      <c r="H182" s="2"/>
      <c r="I182" s="3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">
      <c r="A183" s="2"/>
      <c r="B183" s="2"/>
      <c r="C183" s="2"/>
      <c r="D183" s="2"/>
      <c r="E183" s="2"/>
      <c r="F183" s="2"/>
      <c r="G183" s="2"/>
      <c r="H183" s="2"/>
      <c r="I183" s="3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">
      <c r="A184" s="2"/>
      <c r="B184" s="2"/>
      <c r="C184" s="2"/>
      <c r="D184" s="2"/>
      <c r="E184" s="2"/>
      <c r="F184" s="2"/>
      <c r="G184" s="2"/>
      <c r="H184" s="2"/>
      <c r="I184" s="3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">
      <c r="A185" s="2"/>
      <c r="B185" s="2"/>
      <c r="C185" s="2"/>
      <c r="D185" s="2"/>
      <c r="E185" s="2"/>
      <c r="F185" s="2"/>
      <c r="G185" s="2"/>
      <c r="H185" s="2"/>
      <c r="I185" s="3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">
      <c r="A186" s="2"/>
      <c r="B186" s="2"/>
      <c r="C186" s="2"/>
      <c r="D186" s="2"/>
      <c r="E186" s="2"/>
      <c r="F186" s="2"/>
      <c r="G186" s="2"/>
      <c r="H186" s="2"/>
      <c r="I186" s="3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">
      <c r="A187" s="2"/>
      <c r="B187" s="2"/>
      <c r="C187" s="2"/>
      <c r="D187" s="2"/>
      <c r="E187" s="2"/>
      <c r="F187" s="2"/>
      <c r="G187" s="2"/>
      <c r="H187" s="2"/>
      <c r="I187" s="3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">
      <c r="A188" s="2"/>
      <c r="B188" s="2"/>
      <c r="C188" s="2"/>
      <c r="D188" s="2"/>
      <c r="E188" s="2"/>
      <c r="F188" s="2"/>
      <c r="G188" s="2"/>
      <c r="H188" s="2"/>
      <c r="I188" s="3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">
      <c r="A189" s="2"/>
      <c r="B189" s="2"/>
      <c r="C189" s="2"/>
      <c r="D189" s="2"/>
      <c r="E189" s="2"/>
      <c r="F189" s="2"/>
      <c r="G189" s="2"/>
      <c r="H189" s="2"/>
      <c r="I189" s="3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">
      <c r="A190" s="2"/>
      <c r="B190" s="2"/>
      <c r="C190" s="2"/>
      <c r="D190" s="2"/>
      <c r="E190" s="2"/>
      <c r="F190" s="2"/>
      <c r="G190" s="2"/>
      <c r="H190" s="2"/>
      <c r="I190" s="3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">
      <c r="A191" s="2"/>
      <c r="B191" s="2"/>
      <c r="C191" s="2"/>
      <c r="D191" s="2"/>
      <c r="E191" s="2"/>
      <c r="F191" s="2"/>
      <c r="G191" s="2"/>
      <c r="H191" s="2"/>
      <c r="I191" s="3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">
      <c r="A192" s="2"/>
      <c r="B192" s="2"/>
      <c r="C192" s="2"/>
      <c r="D192" s="2"/>
      <c r="E192" s="2"/>
      <c r="F192" s="2"/>
      <c r="G192" s="2"/>
      <c r="H192" s="2"/>
      <c r="I192" s="3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">
      <c r="A193" s="2"/>
      <c r="B193" s="2"/>
      <c r="C193" s="2"/>
      <c r="D193" s="2"/>
      <c r="E193" s="2"/>
      <c r="F193" s="2"/>
      <c r="G193" s="2"/>
      <c r="H193" s="2"/>
      <c r="I193" s="3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">
      <c r="A194" s="2"/>
      <c r="B194" s="2"/>
      <c r="C194" s="2"/>
      <c r="D194" s="2"/>
      <c r="E194" s="2"/>
      <c r="F194" s="2"/>
      <c r="G194" s="2"/>
      <c r="H194" s="2"/>
      <c r="I194" s="3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">
      <c r="A195" s="2"/>
      <c r="B195" s="2"/>
      <c r="C195" s="2"/>
      <c r="D195" s="2"/>
      <c r="E195" s="2"/>
      <c r="F195" s="2"/>
      <c r="G195" s="2"/>
      <c r="H195" s="2"/>
      <c r="I195" s="3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">
      <c r="A196" s="2"/>
      <c r="B196" s="2"/>
      <c r="C196" s="2"/>
      <c r="D196" s="2"/>
      <c r="E196" s="2"/>
      <c r="F196" s="2"/>
      <c r="G196" s="2"/>
      <c r="H196" s="2"/>
      <c r="I196" s="3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">
      <c r="A197" s="2"/>
      <c r="B197" s="2"/>
      <c r="C197" s="2"/>
      <c r="D197" s="2"/>
      <c r="E197" s="2"/>
      <c r="F197" s="2"/>
      <c r="G197" s="2"/>
      <c r="H197" s="2"/>
      <c r="I197" s="3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">
      <c r="A198" s="2"/>
      <c r="B198" s="2"/>
      <c r="C198" s="2"/>
      <c r="D198" s="2"/>
      <c r="E198" s="2"/>
      <c r="F198" s="2"/>
      <c r="G198" s="2"/>
      <c r="H198" s="2"/>
      <c r="I198" s="3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">
      <c r="A199" s="2"/>
      <c r="B199" s="2"/>
      <c r="C199" s="2"/>
      <c r="D199" s="2"/>
      <c r="E199" s="2"/>
      <c r="F199" s="2"/>
      <c r="G199" s="2"/>
      <c r="H199" s="2"/>
      <c r="I199" s="3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">
      <c r="A200" s="2"/>
      <c r="B200" s="2"/>
      <c r="C200" s="2"/>
      <c r="D200" s="2"/>
      <c r="E200" s="2"/>
      <c r="F200" s="2"/>
      <c r="G200" s="2"/>
      <c r="H200" s="2"/>
      <c r="I200" s="3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">
      <c r="A201" s="2"/>
      <c r="B201" s="2"/>
      <c r="C201" s="2"/>
      <c r="D201" s="2"/>
      <c r="E201" s="2"/>
      <c r="F201" s="2"/>
      <c r="G201" s="2"/>
      <c r="H201" s="2"/>
      <c r="I201" s="3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">
      <c r="A202" s="2"/>
      <c r="B202" s="2"/>
      <c r="C202" s="2"/>
      <c r="D202" s="2"/>
      <c r="E202" s="2"/>
      <c r="F202" s="2"/>
      <c r="G202" s="2"/>
      <c r="H202" s="2"/>
      <c r="I202" s="3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">
      <c r="A203" s="2"/>
      <c r="B203" s="2"/>
      <c r="C203" s="2"/>
      <c r="D203" s="2"/>
      <c r="E203" s="2"/>
      <c r="F203" s="2"/>
      <c r="G203" s="2"/>
      <c r="H203" s="2"/>
      <c r="I203" s="3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">
      <c r="A204" s="2"/>
      <c r="B204" s="2"/>
      <c r="C204" s="2"/>
      <c r="D204" s="2"/>
      <c r="E204" s="2"/>
      <c r="F204" s="2"/>
      <c r="G204" s="2"/>
      <c r="H204" s="2"/>
      <c r="I204" s="3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">
      <c r="A205" s="2"/>
      <c r="B205" s="2"/>
      <c r="C205" s="2"/>
      <c r="D205" s="2"/>
      <c r="E205" s="2"/>
      <c r="F205" s="2"/>
      <c r="G205" s="2"/>
      <c r="H205" s="2"/>
      <c r="I205" s="3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">
      <c r="A206" s="2"/>
      <c r="B206" s="2"/>
      <c r="C206" s="2"/>
      <c r="D206" s="2"/>
      <c r="E206" s="2"/>
      <c r="F206" s="2"/>
      <c r="G206" s="2"/>
      <c r="H206" s="2"/>
      <c r="I206" s="3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">
      <c r="A207" s="2"/>
      <c r="B207" s="2"/>
      <c r="C207" s="2"/>
      <c r="D207" s="2"/>
      <c r="E207" s="2"/>
      <c r="F207" s="2"/>
      <c r="G207" s="2"/>
      <c r="H207" s="2"/>
      <c r="I207" s="3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">
      <c r="A208" s="2"/>
      <c r="B208" s="2"/>
      <c r="C208" s="2"/>
      <c r="D208" s="2"/>
      <c r="E208" s="2"/>
      <c r="F208" s="2"/>
      <c r="G208" s="2"/>
      <c r="H208" s="2"/>
      <c r="I208" s="3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">
      <c r="A209" s="2"/>
      <c r="B209" s="2"/>
      <c r="C209" s="2"/>
      <c r="D209" s="2"/>
      <c r="E209" s="2"/>
      <c r="F209" s="2"/>
      <c r="G209" s="2"/>
      <c r="H209" s="2"/>
      <c r="I209" s="3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">
      <c r="A210" s="2"/>
      <c r="B210" s="2"/>
      <c r="C210" s="2"/>
      <c r="D210" s="2"/>
      <c r="E210" s="2"/>
      <c r="F210" s="2"/>
      <c r="G210" s="2"/>
      <c r="H210" s="2"/>
      <c r="I210" s="3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">
      <c r="A211" s="2"/>
      <c r="B211" s="2"/>
      <c r="C211" s="2"/>
      <c r="D211" s="2"/>
      <c r="E211" s="2"/>
      <c r="F211" s="2"/>
      <c r="G211" s="2"/>
      <c r="H211" s="2"/>
      <c r="I211" s="3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">
      <c r="A212" s="2"/>
      <c r="B212" s="2"/>
      <c r="C212" s="2"/>
      <c r="D212" s="2"/>
      <c r="E212" s="2"/>
      <c r="F212" s="2"/>
      <c r="G212" s="2"/>
      <c r="H212" s="2"/>
      <c r="I212" s="3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">
      <c r="A213" s="2"/>
      <c r="B213" s="2"/>
      <c r="C213" s="2"/>
      <c r="D213" s="2"/>
      <c r="E213" s="2"/>
      <c r="F213" s="2"/>
      <c r="G213" s="2"/>
      <c r="H213" s="2"/>
      <c r="I213" s="3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">
      <c r="A214" s="2"/>
      <c r="B214" s="2"/>
      <c r="C214" s="2"/>
      <c r="D214" s="2"/>
      <c r="E214" s="2"/>
      <c r="F214" s="2"/>
      <c r="G214" s="2"/>
      <c r="H214" s="2"/>
      <c r="I214" s="3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">
      <c r="A215" s="2"/>
      <c r="B215" s="2"/>
      <c r="C215" s="2"/>
      <c r="D215" s="2"/>
      <c r="E215" s="2"/>
      <c r="F215" s="2"/>
      <c r="G215" s="2"/>
      <c r="H215" s="2"/>
      <c r="I215" s="3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">
      <c r="A216" s="2"/>
      <c r="B216" s="2"/>
      <c r="C216" s="2"/>
      <c r="D216" s="2"/>
      <c r="E216" s="2"/>
      <c r="F216" s="2"/>
      <c r="G216" s="2"/>
      <c r="H216" s="2"/>
      <c r="I216" s="3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">
      <c r="A217" s="2"/>
      <c r="B217" s="2"/>
      <c r="C217" s="2"/>
      <c r="D217" s="2"/>
      <c r="E217" s="2"/>
      <c r="F217" s="2"/>
      <c r="G217" s="2"/>
      <c r="H217" s="2"/>
      <c r="I217" s="3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">
      <c r="A218" s="2"/>
      <c r="B218" s="2"/>
      <c r="C218" s="2"/>
      <c r="D218" s="2"/>
      <c r="E218" s="2"/>
      <c r="F218" s="2"/>
      <c r="G218" s="2"/>
      <c r="H218" s="2"/>
      <c r="I218" s="3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">
      <c r="A219" s="2"/>
      <c r="B219" s="2"/>
      <c r="C219" s="2"/>
      <c r="D219" s="2"/>
      <c r="E219" s="2"/>
      <c r="F219" s="2"/>
      <c r="G219" s="2"/>
      <c r="H219" s="2"/>
      <c r="I219" s="3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">
      <c r="A220" s="2"/>
      <c r="B220" s="2"/>
      <c r="C220" s="2"/>
      <c r="D220" s="2"/>
      <c r="E220" s="2"/>
      <c r="F220" s="2"/>
      <c r="G220" s="2"/>
      <c r="H220" s="2"/>
      <c r="I220" s="3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">
      <c r="A221" s="2"/>
      <c r="B221" s="2"/>
      <c r="C221" s="2"/>
      <c r="D221" s="2"/>
      <c r="E221" s="2"/>
      <c r="F221" s="2"/>
      <c r="G221" s="2"/>
      <c r="H221" s="2"/>
      <c r="I221" s="3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">
      <c r="A222" s="2"/>
      <c r="B222" s="2"/>
      <c r="C222" s="2"/>
      <c r="D222" s="2"/>
      <c r="E222" s="2"/>
      <c r="F222" s="2"/>
      <c r="G222" s="2"/>
      <c r="H222" s="2"/>
      <c r="I222" s="3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">
      <c r="A223" s="2"/>
      <c r="B223" s="2"/>
      <c r="C223" s="2"/>
      <c r="D223" s="2"/>
      <c r="E223" s="2"/>
      <c r="F223" s="2"/>
      <c r="G223" s="2"/>
      <c r="H223" s="2"/>
      <c r="I223" s="3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">
      <c r="A224" s="2"/>
      <c r="B224" s="2"/>
      <c r="C224" s="2"/>
      <c r="D224" s="2"/>
      <c r="E224" s="2"/>
      <c r="F224" s="2"/>
      <c r="G224" s="2"/>
      <c r="H224" s="2"/>
      <c r="I224" s="3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">
      <c r="A225" s="2"/>
      <c r="B225" s="2"/>
      <c r="C225" s="2"/>
      <c r="D225" s="2"/>
      <c r="E225" s="2"/>
      <c r="F225" s="2"/>
      <c r="G225" s="2"/>
      <c r="H225" s="2"/>
      <c r="I225" s="3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">
      <c r="A226" s="2"/>
      <c r="B226" s="2"/>
      <c r="C226" s="2"/>
      <c r="D226" s="2"/>
      <c r="E226" s="2"/>
      <c r="F226" s="2"/>
      <c r="G226" s="2"/>
      <c r="H226" s="2"/>
      <c r="I226" s="3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">
      <c r="A227" s="2"/>
      <c r="B227" s="2"/>
      <c r="C227" s="2"/>
      <c r="D227" s="2"/>
      <c r="E227" s="2"/>
      <c r="F227" s="2"/>
      <c r="G227" s="2"/>
      <c r="H227" s="2"/>
      <c r="I227" s="3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">
      <c r="A228" s="2"/>
      <c r="B228" s="2"/>
      <c r="C228" s="2"/>
      <c r="D228" s="2"/>
      <c r="E228" s="2"/>
      <c r="F228" s="2"/>
      <c r="G228" s="2"/>
      <c r="H228" s="2"/>
      <c r="I228" s="3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">
      <c r="A229" s="2"/>
      <c r="B229" s="2"/>
      <c r="C229" s="2"/>
      <c r="D229" s="2"/>
      <c r="E229" s="2"/>
      <c r="F229" s="2"/>
      <c r="G229" s="2"/>
      <c r="H229" s="2"/>
      <c r="I229" s="3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">
      <c r="A230" s="2"/>
      <c r="B230" s="2"/>
      <c r="C230" s="2"/>
      <c r="D230" s="2"/>
      <c r="E230" s="2"/>
      <c r="F230" s="2"/>
      <c r="G230" s="2"/>
      <c r="H230" s="2"/>
      <c r="I230" s="3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">
      <c r="A231" s="2"/>
      <c r="B231" s="2"/>
      <c r="C231" s="2"/>
      <c r="D231" s="2"/>
      <c r="E231" s="2"/>
      <c r="F231" s="2"/>
      <c r="G231" s="2"/>
      <c r="H231" s="2"/>
      <c r="I231" s="3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">
      <c r="A232" s="2"/>
      <c r="B232" s="2"/>
      <c r="C232" s="2"/>
      <c r="D232" s="2"/>
      <c r="E232" s="2"/>
      <c r="F232" s="2"/>
      <c r="G232" s="2"/>
      <c r="H232" s="2"/>
      <c r="I232" s="3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">
      <c r="A233" s="2"/>
      <c r="B233" s="2"/>
      <c r="C233" s="2"/>
      <c r="D233" s="2"/>
      <c r="E233" s="2"/>
      <c r="F233" s="2"/>
      <c r="G233" s="2"/>
      <c r="H233" s="2"/>
      <c r="I233" s="3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">
      <c r="A234" s="2"/>
      <c r="B234" s="2"/>
      <c r="C234" s="2"/>
      <c r="D234" s="2"/>
      <c r="E234" s="2"/>
      <c r="F234" s="2"/>
      <c r="G234" s="2"/>
      <c r="H234" s="2"/>
      <c r="I234" s="3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">
      <c r="A235" s="2"/>
      <c r="B235" s="2"/>
      <c r="C235" s="2"/>
      <c r="D235" s="2"/>
      <c r="E235" s="2"/>
      <c r="F235" s="2"/>
      <c r="G235" s="2"/>
      <c r="H235" s="2"/>
      <c r="I235" s="3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">
      <c r="A236" s="2"/>
      <c r="B236" s="2"/>
      <c r="C236" s="2"/>
      <c r="D236" s="2"/>
      <c r="E236" s="2"/>
      <c r="F236" s="2"/>
      <c r="G236" s="2"/>
      <c r="H236" s="2"/>
      <c r="I236" s="3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">
      <c r="A237" s="2"/>
      <c r="B237" s="2"/>
      <c r="C237" s="2"/>
      <c r="D237" s="2"/>
      <c r="E237" s="2"/>
      <c r="F237" s="2"/>
      <c r="G237" s="2"/>
      <c r="H237" s="2"/>
      <c r="I237" s="3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">
      <c r="A238" s="2"/>
      <c r="B238" s="2"/>
      <c r="C238" s="2"/>
      <c r="D238" s="2"/>
      <c r="E238" s="2"/>
      <c r="F238" s="2"/>
      <c r="G238" s="2"/>
      <c r="H238" s="2"/>
      <c r="I238" s="3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">
      <c r="A239" s="2"/>
      <c r="B239" s="2"/>
      <c r="C239" s="2"/>
      <c r="D239" s="2"/>
      <c r="E239" s="2"/>
      <c r="F239" s="2"/>
      <c r="G239" s="2"/>
      <c r="H239" s="2"/>
      <c r="I239" s="3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">
      <c r="A240" s="2"/>
      <c r="B240" s="2"/>
      <c r="C240" s="2"/>
      <c r="D240" s="2"/>
      <c r="E240" s="2"/>
      <c r="F240" s="2"/>
      <c r="G240" s="2"/>
      <c r="H240" s="2"/>
      <c r="I240" s="3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">
      <c r="A241" s="2"/>
      <c r="B241" s="2"/>
      <c r="C241" s="2"/>
      <c r="D241" s="2"/>
      <c r="E241" s="2"/>
      <c r="F241" s="2"/>
      <c r="G241" s="2"/>
      <c r="H241" s="2"/>
      <c r="I241" s="3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">
      <c r="A242" s="2"/>
      <c r="B242" s="2"/>
      <c r="C242" s="2"/>
      <c r="D242" s="2"/>
      <c r="E242" s="2"/>
      <c r="F242" s="2"/>
      <c r="G242" s="2"/>
      <c r="H242" s="2"/>
      <c r="I242" s="3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">
      <c r="A243" s="2"/>
      <c r="B243" s="2"/>
      <c r="C243" s="2"/>
      <c r="D243" s="2"/>
      <c r="E243" s="2"/>
      <c r="F243" s="2"/>
      <c r="G243" s="2"/>
      <c r="H243" s="2"/>
      <c r="I243" s="3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">
      <c r="A244" s="2"/>
      <c r="B244" s="2"/>
      <c r="C244" s="2"/>
      <c r="D244" s="2"/>
      <c r="E244" s="2"/>
      <c r="F244" s="2"/>
      <c r="G244" s="2"/>
      <c r="H244" s="2"/>
      <c r="I244" s="3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">
      <c r="A245" s="2"/>
      <c r="B245" s="2"/>
      <c r="C245" s="2"/>
      <c r="D245" s="2"/>
      <c r="E245" s="2"/>
      <c r="F245" s="2"/>
      <c r="G245" s="2"/>
      <c r="H245" s="2"/>
      <c r="I245" s="3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">
      <c r="A246" s="2"/>
      <c r="B246" s="2"/>
      <c r="C246" s="2"/>
      <c r="D246" s="2"/>
      <c r="E246" s="2"/>
      <c r="F246" s="2"/>
      <c r="G246" s="2"/>
      <c r="H246" s="2"/>
      <c r="I246" s="3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">
      <c r="A247" s="2"/>
      <c r="B247" s="2"/>
      <c r="C247" s="2"/>
      <c r="D247" s="2"/>
      <c r="E247" s="2"/>
      <c r="F247" s="2"/>
      <c r="G247" s="2"/>
      <c r="H247" s="2"/>
      <c r="I247" s="3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">
      <c r="A248" s="2"/>
      <c r="B248" s="2"/>
      <c r="C248" s="2"/>
      <c r="D248" s="2"/>
      <c r="E248" s="2"/>
      <c r="F248" s="2"/>
      <c r="G248" s="2"/>
      <c r="H248" s="2"/>
      <c r="I248" s="3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">
      <c r="A249" s="2"/>
      <c r="B249" s="2"/>
      <c r="C249" s="2"/>
      <c r="D249" s="2"/>
      <c r="E249" s="2"/>
      <c r="F249" s="2"/>
      <c r="G249" s="2"/>
      <c r="H249" s="2"/>
      <c r="I249" s="3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">
      <c r="A250" s="2"/>
      <c r="B250" s="2"/>
      <c r="C250" s="2"/>
      <c r="D250" s="2"/>
      <c r="E250" s="2"/>
      <c r="F250" s="2"/>
      <c r="G250" s="2"/>
      <c r="H250" s="2"/>
      <c r="I250" s="3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">
      <c r="A251" s="2"/>
      <c r="B251" s="2"/>
      <c r="C251" s="2"/>
      <c r="D251" s="2"/>
      <c r="E251" s="2"/>
      <c r="F251" s="2"/>
      <c r="G251" s="2"/>
      <c r="H251" s="2"/>
      <c r="I251" s="3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">
      <c r="A252" s="2"/>
      <c r="B252" s="2"/>
      <c r="C252" s="2"/>
      <c r="D252" s="2"/>
      <c r="E252" s="2"/>
      <c r="F252" s="2"/>
      <c r="G252" s="2"/>
      <c r="H252" s="2"/>
      <c r="I252" s="3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">
      <c r="A253" s="2"/>
      <c r="B253" s="2"/>
      <c r="C253" s="2"/>
      <c r="D253" s="2"/>
      <c r="E253" s="2"/>
      <c r="F253" s="2"/>
      <c r="G253" s="2"/>
      <c r="H253" s="2"/>
      <c r="I253" s="3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">
      <c r="A254" s="2"/>
      <c r="B254" s="2"/>
      <c r="C254" s="2"/>
      <c r="D254" s="2"/>
      <c r="E254" s="2"/>
      <c r="F254" s="2"/>
      <c r="G254" s="2"/>
      <c r="H254" s="2"/>
      <c r="I254" s="3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">
      <c r="A255" s="2"/>
      <c r="B255" s="2"/>
      <c r="C255" s="2"/>
      <c r="D255" s="2"/>
      <c r="E255" s="2"/>
      <c r="F255" s="2"/>
      <c r="G255" s="2"/>
      <c r="H255" s="2"/>
      <c r="I255" s="3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">
      <c r="A256" s="2"/>
      <c r="B256" s="2"/>
      <c r="C256" s="2"/>
      <c r="D256" s="2"/>
      <c r="E256" s="2"/>
      <c r="F256" s="2"/>
      <c r="G256" s="2"/>
      <c r="H256" s="2"/>
      <c r="I256" s="3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">
      <c r="A257" s="2"/>
      <c r="B257" s="2"/>
      <c r="C257" s="2"/>
      <c r="D257" s="2"/>
      <c r="E257" s="2"/>
      <c r="F257" s="2"/>
      <c r="G257" s="2"/>
      <c r="H257" s="2"/>
      <c r="I257" s="3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">
      <c r="A258" s="2"/>
      <c r="B258" s="2"/>
      <c r="C258" s="2"/>
      <c r="D258" s="2"/>
      <c r="E258" s="2"/>
      <c r="F258" s="2"/>
      <c r="G258" s="2"/>
      <c r="H258" s="2"/>
      <c r="I258" s="3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">
      <c r="A259" s="2"/>
      <c r="B259" s="2"/>
      <c r="C259" s="2"/>
      <c r="D259" s="2"/>
      <c r="E259" s="2"/>
      <c r="F259" s="2"/>
      <c r="G259" s="2"/>
      <c r="H259" s="2"/>
      <c r="I259" s="3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">
      <c r="A260" s="2"/>
      <c r="B260" s="2"/>
      <c r="C260" s="2"/>
      <c r="D260" s="2"/>
      <c r="E260" s="2"/>
      <c r="F260" s="2"/>
      <c r="G260" s="2"/>
      <c r="H260" s="2"/>
      <c r="I260" s="3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">
      <c r="A261" s="2"/>
      <c r="B261" s="2"/>
      <c r="C261" s="2"/>
      <c r="D261" s="2"/>
      <c r="E261" s="2"/>
      <c r="F261" s="2"/>
      <c r="G261" s="2"/>
      <c r="H261" s="2"/>
      <c r="I261" s="3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">
      <c r="A262" s="2"/>
      <c r="B262" s="2"/>
      <c r="C262" s="2"/>
      <c r="D262" s="2"/>
      <c r="E262" s="2"/>
      <c r="F262" s="2"/>
      <c r="G262" s="2"/>
      <c r="H262" s="2"/>
      <c r="I262" s="3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">
      <c r="A263" s="2"/>
      <c r="B263" s="2"/>
      <c r="C263" s="2"/>
      <c r="D263" s="2"/>
      <c r="E263" s="2"/>
      <c r="F263" s="2"/>
      <c r="G263" s="2"/>
      <c r="H263" s="2"/>
      <c r="I263" s="3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">
      <c r="A264" s="2"/>
      <c r="B264" s="2"/>
      <c r="C264" s="2"/>
      <c r="D264" s="2"/>
      <c r="E264" s="2"/>
      <c r="F264" s="2"/>
      <c r="G264" s="2"/>
      <c r="H264" s="2"/>
      <c r="I264" s="3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">
      <c r="A265" s="2"/>
      <c r="B265" s="2"/>
      <c r="C265" s="2"/>
      <c r="D265" s="2"/>
      <c r="E265" s="2"/>
      <c r="F265" s="2"/>
      <c r="G265" s="2"/>
      <c r="H265" s="2"/>
      <c r="I265" s="3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">
      <c r="A266" s="2"/>
      <c r="B266" s="2"/>
      <c r="C266" s="2"/>
      <c r="D266" s="2"/>
      <c r="E266" s="2"/>
      <c r="F266" s="2"/>
      <c r="G266" s="2"/>
      <c r="H266" s="2"/>
      <c r="I266" s="3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">
      <c r="A267" s="2"/>
      <c r="B267" s="2"/>
      <c r="C267" s="2"/>
      <c r="D267" s="2"/>
      <c r="E267" s="2"/>
      <c r="F267" s="2"/>
      <c r="G267" s="2"/>
      <c r="H267" s="2"/>
      <c r="I267" s="3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">
      <c r="A268" s="2"/>
      <c r="B268" s="2"/>
      <c r="C268" s="2"/>
      <c r="D268" s="2"/>
      <c r="E268" s="2"/>
      <c r="F268" s="2"/>
      <c r="G268" s="2"/>
      <c r="H268" s="2"/>
      <c r="I268" s="3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">
      <c r="A269" s="2"/>
      <c r="B269" s="2"/>
      <c r="C269" s="2"/>
      <c r="D269" s="2"/>
      <c r="E269" s="2"/>
      <c r="F269" s="2"/>
      <c r="G269" s="2"/>
      <c r="H269" s="2"/>
      <c r="I269" s="3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">
      <c r="A270" s="2"/>
      <c r="B270" s="2"/>
      <c r="C270" s="2"/>
      <c r="D270" s="2"/>
      <c r="E270" s="2"/>
      <c r="F270" s="2"/>
      <c r="G270" s="2"/>
      <c r="H270" s="2"/>
      <c r="I270" s="3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">
      <c r="A271" s="2"/>
      <c r="B271" s="2"/>
      <c r="C271" s="2"/>
      <c r="D271" s="2"/>
      <c r="E271" s="2"/>
      <c r="F271" s="2"/>
      <c r="G271" s="2"/>
      <c r="H271" s="2"/>
      <c r="I271" s="3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">
      <c r="A272" s="2"/>
      <c r="B272" s="2"/>
      <c r="C272" s="2"/>
      <c r="D272" s="2"/>
      <c r="E272" s="2"/>
      <c r="F272" s="2"/>
      <c r="G272" s="2"/>
      <c r="H272" s="2"/>
      <c r="I272" s="3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">
      <c r="A273" s="2"/>
      <c r="B273" s="2"/>
      <c r="C273" s="2"/>
      <c r="D273" s="2"/>
      <c r="E273" s="2"/>
      <c r="F273" s="2"/>
      <c r="G273" s="2"/>
      <c r="H273" s="2"/>
      <c r="I273" s="3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">
      <c r="A274" s="2"/>
      <c r="B274" s="2"/>
      <c r="C274" s="2"/>
      <c r="D274" s="2"/>
      <c r="E274" s="2"/>
      <c r="F274" s="2"/>
      <c r="G274" s="2"/>
      <c r="H274" s="2"/>
      <c r="I274" s="3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">
      <c r="A275" s="2"/>
      <c r="B275" s="2"/>
      <c r="C275" s="2"/>
      <c r="D275" s="2"/>
      <c r="E275" s="2"/>
      <c r="F275" s="2"/>
      <c r="G275" s="2"/>
      <c r="H275" s="2"/>
      <c r="I275" s="3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">
      <c r="A276" s="2"/>
      <c r="B276" s="2"/>
      <c r="C276" s="2"/>
      <c r="D276" s="2"/>
      <c r="E276" s="2"/>
      <c r="F276" s="2"/>
      <c r="G276" s="2"/>
      <c r="H276" s="2"/>
      <c r="I276" s="3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">
      <c r="A277" s="2"/>
      <c r="B277" s="2"/>
      <c r="C277" s="2"/>
      <c r="D277" s="2"/>
      <c r="E277" s="2"/>
      <c r="F277" s="2"/>
      <c r="G277" s="2"/>
      <c r="H277" s="2"/>
      <c r="I277" s="3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">
      <c r="A278" s="2"/>
      <c r="B278" s="2"/>
      <c r="C278" s="2"/>
      <c r="D278" s="2"/>
      <c r="E278" s="2"/>
      <c r="F278" s="2"/>
      <c r="G278" s="2"/>
      <c r="H278" s="2"/>
      <c r="I278" s="3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">
      <c r="A279" s="2"/>
      <c r="B279" s="2"/>
      <c r="C279" s="2"/>
      <c r="D279" s="2"/>
      <c r="E279" s="2"/>
      <c r="F279" s="2"/>
      <c r="G279" s="2"/>
      <c r="H279" s="2"/>
      <c r="I279" s="3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">
      <c r="A280" s="2"/>
      <c r="B280" s="2"/>
      <c r="C280" s="2"/>
      <c r="D280" s="2"/>
      <c r="E280" s="2"/>
      <c r="F280" s="2"/>
      <c r="G280" s="2"/>
      <c r="H280" s="2"/>
      <c r="I280" s="3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">
      <c r="A281" s="2"/>
      <c r="B281" s="2"/>
      <c r="C281" s="2"/>
      <c r="D281" s="2"/>
      <c r="E281" s="2"/>
      <c r="F281" s="2"/>
      <c r="G281" s="2"/>
      <c r="H281" s="2"/>
      <c r="I281" s="3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">
      <c r="A282" s="2"/>
      <c r="B282" s="2"/>
      <c r="C282" s="2"/>
      <c r="D282" s="2"/>
      <c r="E282" s="2"/>
      <c r="F282" s="2"/>
      <c r="G282" s="2"/>
      <c r="H282" s="2"/>
      <c r="I282" s="3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">
      <c r="A283" s="2"/>
      <c r="B283" s="2"/>
      <c r="C283" s="2"/>
      <c r="D283" s="2"/>
      <c r="E283" s="2"/>
      <c r="F283" s="2"/>
      <c r="G283" s="2"/>
      <c r="H283" s="2"/>
      <c r="I283" s="3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">
      <c r="A284" s="2"/>
      <c r="B284" s="2"/>
      <c r="C284" s="2"/>
      <c r="D284" s="2"/>
      <c r="E284" s="2"/>
      <c r="F284" s="2"/>
      <c r="G284" s="2"/>
      <c r="H284" s="2"/>
      <c r="I284" s="3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">
      <c r="A285" s="2"/>
      <c r="B285" s="2"/>
      <c r="C285" s="2"/>
      <c r="D285" s="2"/>
      <c r="E285" s="2"/>
      <c r="F285" s="2"/>
      <c r="G285" s="2"/>
      <c r="H285" s="2"/>
      <c r="I285" s="3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">
      <c r="A286" s="2"/>
      <c r="B286" s="2"/>
      <c r="C286" s="2"/>
      <c r="D286" s="2"/>
      <c r="E286" s="2"/>
      <c r="F286" s="2"/>
      <c r="G286" s="2"/>
      <c r="H286" s="2"/>
      <c r="I286" s="3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">
      <c r="A287" s="2"/>
      <c r="B287" s="2"/>
      <c r="C287" s="2"/>
      <c r="D287" s="2"/>
      <c r="E287" s="2"/>
      <c r="F287" s="2"/>
      <c r="G287" s="2"/>
      <c r="H287" s="2"/>
      <c r="I287" s="3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">
      <c r="A288" s="2"/>
      <c r="B288" s="2"/>
      <c r="C288" s="2"/>
      <c r="D288" s="2"/>
      <c r="E288" s="2"/>
      <c r="F288" s="2"/>
      <c r="G288" s="2"/>
      <c r="H288" s="2"/>
      <c r="I288" s="3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">
      <c r="A289" s="2"/>
      <c r="B289" s="2"/>
      <c r="C289" s="2"/>
      <c r="D289" s="2"/>
      <c r="E289" s="2"/>
      <c r="F289" s="2"/>
      <c r="G289" s="2"/>
      <c r="H289" s="2"/>
      <c r="I289" s="3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">
      <c r="A290" s="2"/>
      <c r="B290" s="2"/>
      <c r="C290" s="2"/>
      <c r="D290" s="2"/>
      <c r="E290" s="2"/>
      <c r="F290" s="2"/>
      <c r="G290" s="2"/>
      <c r="H290" s="2"/>
      <c r="I290" s="3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">
      <c r="A291" s="2"/>
      <c r="B291" s="2"/>
      <c r="C291" s="2"/>
      <c r="D291" s="2"/>
      <c r="E291" s="2"/>
      <c r="F291" s="2"/>
      <c r="G291" s="2"/>
      <c r="H291" s="2"/>
      <c r="I291" s="3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">
      <c r="A292" s="2"/>
      <c r="B292" s="2"/>
      <c r="C292" s="2"/>
      <c r="D292" s="2"/>
      <c r="E292" s="2"/>
      <c r="F292" s="2"/>
      <c r="G292" s="2"/>
      <c r="H292" s="2"/>
      <c r="I292" s="3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">
      <c r="A293" s="2"/>
      <c r="B293" s="2"/>
      <c r="C293" s="2"/>
      <c r="D293" s="2"/>
      <c r="E293" s="2"/>
      <c r="F293" s="2"/>
      <c r="G293" s="2"/>
      <c r="H293" s="2"/>
      <c r="I293" s="3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">
      <c r="A294" s="2"/>
      <c r="B294" s="2"/>
      <c r="C294" s="2"/>
      <c r="D294" s="2"/>
      <c r="E294" s="2"/>
      <c r="F294" s="2"/>
      <c r="G294" s="2"/>
      <c r="H294" s="2"/>
      <c r="I294" s="3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">
      <c r="A295" s="2"/>
      <c r="B295" s="2"/>
      <c r="C295" s="2"/>
      <c r="D295" s="2"/>
      <c r="E295" s="2"/>
      <c r="F295" s="2"/>
      <c r="G295" s="2"/>
      <c r="H295" s="2"/>
      <c r="I295" s="3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">
      <c r="A296" s="2"/>
      <c r="B296" s="2"/>
      <c r="C296" s="2"/>
      <c r="D296" s="2"/>
      <c r="E296" s="2"/>
      <c r="F296" s="2"/>
      <c r="G296" s="2"/>
      <c r="H296" s="2"/>
      <c r="I296" s="3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">
      <c r="A297" s="2"/>
      <c r="B297" s="2"/>
      <c r="C297" s="2"/>
      <c r="D297" s="2"/>
      <c r="E297" s="2"/>
      <c r="F297" s="2"/>
      <c r="G297" s="2"/>
      <c r="H297" s="2"/>
      <c r="I297" s="3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">
      <c r="A298" s="2"/>
      <c r="B298" s="2"/>
      <c r="C298" s="2"/>
      <c r="D298" s="2"/>
      <c r="E298" s="2"/>
      <c r="F298" s="2"/>
      <c r="G298" s="2"/>
      <c r="H298" s="2"/>
      <c r="I298" s="3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">
      <c r="A299" s="2"/>
      <c r="B299" s="2"/>
      <c r="C299" s="2"/>
      <c r="D299" s="2"/>
      <c r="E299" s="2"/>
      <c r="F299" s="2"/>
      <c r="G299" s="2"/>
      <c r="H299" s="2"/>
      <c r="I299" s="3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">
      <c r="A300" s="2"/>
      <c r="B300" s="2"/>
      <c r="C300" s="2"/>
      <c r="D300" s="2"/>
      <c r="E300" s="2"/>
      <c r="F300" s="2"/>
      <c r="G300" s="2"/>
      <c r="H300" s="2"/>
      <c r="I300" s="3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">
      <c r="A301" s="2"/>
      <c r="B301" s="2"/>
      <c r="C301" s="2"/>
      <c r="D301" s="2"/>
      <c r="E301" s="2"/>
      <c r="F301" s="2"/>
      <c r="G301" s="2"/>
      <c r="H301" s="2"/>
      <c r="I301" s="3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">
      <c r="A302" s="2"/>
      <c r="B302" s="2"/>
      <c r="C302" s="2"/>
      <c r="D302" s="2"/>
      <c r="E302" s="2"/>
      <c r="F302" s="2"/>
      <c r="G302" s="2"/>
      <c r="H302" s="2"/>
      <c r="I302" s="3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">
      <c r="A303" s="2"/>
      <c r="B303" s="2"/>
      <c r="C303" s="2"/>
      <c r="D303" s="2"/>
      <c r="E303" s="2"/>
      <c r="F303" s="2"/>
      <c r="G303" s="2"/>
      <c r="H303" s="2"/>
      <c r="I303" s="3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">
      <c r="A304" s="2"/>
      <c r="B304" s="2"/>
      <c r="C304" s="2"/>
      <c r="D304" s="2"/>
      <c r="E304" s="2"/>
      <c r="F304" s="2"/>
      <c r="G304" s="2"/>
      <c r="H304" s="2"/>
      <c r="I304" s="3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">
      <c r="A305" s="2"/>
      <c r="B305" s="2"/>
      <c r="C305" s="2"/>
      <c r="D305" s="2"/>
      <c r="E305" s="2"/>
      <c r="F305" s="2"/>
      <c r="G305" s="2"/>
      <c r="H305" s="2"/>
      <c r="I305" s="3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">
      <c r="A306" s="2"/>
      <c r="B306" s="2"/>
      <c r="C306" s="2"/>
      <c r="D306" s="2"/>
      <c r="E306" s="2"/>
      <c r="F306" s="2"/>
      <c r="G306" s="2"/>
      <c r="H306" s="2"/>
      <c r="I306" s="3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">
      <c r="A307" s="2"/>
      <c r="B307" s="2"/>
      <c r="C307" s="2"/>
      <c r="D307" s="2"/>
      <c r="E307" s="2"/>
      <c r="F307" s="2"/>
      <c r="G307" s="2"/>
      <c r="H307" s="2"/>
      <c r="I307" s="3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">
      <c r="A308" s="2"/>
      <c r="B308" s="2"/>
      <c r="C308" s="2"/>
      <c r="D308" s="2"/>
      <c r="E308" s="2"/>
      <c r="F308" s="2"/>
      <c r="G308" s="2"/>
      <c r="H308" s="2"/>
      <c r="I308" s="3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">
      <c r="A309" s="2"/>
      <c r="B309" s="2"/>
      <c r="C309" s="2"/>
      <c r="D309" s="2"/>
      <c r="E309" s="2"/>
      <c r="F309" s="2"/>
      <c r="G309" s="2"/>
      <c r="H309" s="2"/>
      <c r="I309" s="3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">
      <c r="A310" s="2"/>
      <c r="B310" s="2"/>
      <c r="C310" s="2"/>
      <c r="D310" s="2"/>
      <c r="E310" s="2"/>
      <c r="F310" s="2"/>
      <c r="G310" s="2"/>
      <c r="H310" s="2"/>
      <c r="I310" s="3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">
      <c r="A311" s="2"/>
      <c r="B311" s="2"/>
      <c r="C311" s="2"/>
      <c r="D311" s="2"/>
      <c r="E311" s="2"/>
      <c r="F311" s="2"/>
      <c r="G311" s="2"/>
      <c r="H311" s="2"/>
      <c r="I311" s="3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">
      <c r="A312" s="2"/>
      <c r="B312" s="2"/>
      <c r="C312" s="2"/>
      <c r="D312" s="2"/>
      <c r="E312" s="2"/>
      <c r="F312" s="2"/>
      <c r="G312" s="2"/>
      <c r="H312" s="2"/>
      <c r="I312" s="3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">
      <c r="A313" s="2"/>
      <c r="B313" s="2"/>
      <c r="C313" s="2"/>
      <c r="D313" s="2"/>
      <c r="E313" s="2"/>
      <c r="F313" s="2"/>
      <c r="G313" s="2"/>
      <c r="H313" s="2"/>
      <c r="I313" s="3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">
      <c r="A314" s="2"/>
      <c r="B314" s="2"/>
      <c r="C314" s="2"/>
      <c r="D314" s="2"/>
      <c r="E314" s="2"/>
      <c r="F314" s="2"/>
      <c r="G314" s="2"/>
      <c r="H314" s="2"/>
      <c r="I314" s="3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">
      <c r="A315" s="2"/>
      <c r="B315" s="2"/>
      <c r="C315" s="2"/>
      <c r="D315" s="2"/>
      <c r="E315" s="2"/>
      <c r="F315" s="2"/>
      <c r="G315" s="2"/>
      <c r="H315" s="2"/>
      <c r="I315" s="3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">
      <c r="A316" s="2"/>
      <c r="B316" s="2"/>
      <c r="C316" s="2"/>
      <c r="D316" s="2"/>
      <c r="E316" s="2"/>
      <c r="F316" s="2"/>
      <c r="G316" s="2"/>
      <c r="H316" s="2"/>
      <c r="I316" s="3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">
      <c r="A317" s="2"/>
      <c r="B317" s="2"/>
      <c r="C317" s="2"/>
      <c r="D317" s="2"/>
      <c r="E317" s="2"/>
      <c r="F317" s="2"/>
      <c r="G317" s="2"/>
      <c r="H317" s="2"/>
      <c r="I317" s="3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">
      <c r="A318" s="2"/>
      <c r="B318" s="2"/>
      <c r="C318" s="2"/>
      <c r="D318" s="2"/>
      <c r="E318" s="2"/>
      <c r="F318" s="2"/>
      <c r="G318" s="2"/>
      <c r="H318" s="2"/>
      <c r="I318" s="3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">
      <c r="A319" s="2"/>
      <c r="B319" s="2"/>
      <c r="C319" s="2"/>
      <c r="D319" s="2"/>
      <c r="E319" s="2"/>
      <c r="F319" s="2"/>
      <c r="G319" s="2"/>
      <c r="H319" s="2"/>
      <c r="I319" s="3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">
      <c r="A320" s="2"/>
      <c r="B320" s="2"/>
      <c r="C320" s="2"/>
      <c r="D320" s="2"/>
      <c r="E320" s="2"/>
      <c r="F320" s="2"/>
      <c r="G320" s="2"/>
      <c r="H320" s="2"/>
      <c r="I320" s="3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">
      <c r="A321" s="2"/>
      <c r="B321" s="2"/>
      <c r="C321" s="2"/>
      <c r="D321" s="2"/>
      <c r="E321" s="2"/>
      <c r="F321" s="2"/>
      <c r="G321" s="2"/>
      <c r="H321" s="2"/>
      <c r="I321" s="3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">
      <c r="A322" s="2"/>
      <c r="B322" s="2"/>
      <c r="C322" s="2"/>
      <c r="D322" s="2"/>
      <c r="E322" s="2"/>
      <c r="F322" s="2"/>
      <c r="G322" s="2"/>
      <c r="H322" s="2"/>
      <c r="I322" s="3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">
      <c r="A323" s="2"/>
      <c r="B323" s="2"/>
      <c r="C323" s="2"/>
      <c r="D323" s="2"/>
      <c r="E323" s="2"/>
      <c r="F323" s="2"/>
      <c r="G323" s="2"/>
      <c r="H323" s="2"/>
      <c r="I323" s="3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">
      <c r="A324" s="2"/>
      <c r="B324" s="2"/>
      <c r="C324" s="2"/>
      <c r="D324" s="2"/>
      <c r="E324" s="2"/>
      <c r="F324" s="2"/>
      <c r="G324" s="2"/>
      <c r="H324" s="2"/>
      <c r="I324" s="3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">
      <c r="A325" s="2"/>
      <c r="B325" s="2"/>
      <c r="C325" s="2"/>
      <c r="D325" s="2"/>
      <c r="E325" s="2"/>
      <c r="F325" s="2"/>
      <c r="G325" s="2"/>
      <c r="H325" s="2"/>
      <c r="I325" s="3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">
      <c r="A326" s="2"/>
      <c r="B326" s="2"/>
      <c r="C326" s="2"/>
      <c r="D326" s="2"/>
      <c r="E326" s="2"/>
      <c r="F326" s="2"/>
      <c r="G326" s="2"/>
      <c r="H326" s="2"/>
      <c r="I326" s="3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">
      <c r="A327" s="2"/>
      <c r="B327" s="2"/>
      <c r="C327" s="2"/>
      <c r="D327" s="2"/>
      <c r="E327" s="2"/>
      <c r="F327" s="2"/>
      <c r="G327" s="2"/>
      <c r="H327" s="2"/>
      <c r="I327" s="3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">
      <c r="A328" s="2"/>
      <c r="B328" s="2"/>
      <c r="C328" s="2"/>
      <c r="D328" s="2"/>
      <c r="E328" s="2"/>
      <c r="F328" s="2"/>
      <c r="G328" s="2"/>
      <c r="H328" s="2"/>
      <c r="I328" s="3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">
      <c r="A329" s="2"/>
      <c r="B329" s="2"/>
      <c r="C329" s="2"/>
      <c r="D329" s="2"/>
      <c r="E329" s="2"/>
      <c r="F329" s="2"/>
      <c r="G329" s="2"/>
      <c r="H329" s="2"/>
      <c r="I329" s="3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">
      <c r="A330" s="2"/>
      <c r="B330" s="2"/>
      <c r="C330" s="2"/>
      <c r="D330" s="2"/>
      <c r="E330" s="2"/>
      <c r="F330" s="2"/>
      <c r="G330" s="2"/>
      <c r="H330" s="2"/>
      <c r="I330" s="3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">
      <c r="A331" s="2"/>
      <c r="B331" s="2"/>
      <c r="C331" s="2"/>
      <c r="D331" s="2"/>
      <c r="E331" s="2"/>
      <c r="F331" s="2"/>
      <c r="G331" s="2"/>
      <c r="H331" s="2"/>
      <c r="I331" s="3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">
      <c r="A332" s="2"/>
      <c r="B332" s="2"/>
      <c r="C332" s="2"/>
      <c r="D332" s="2"/>
      <c r="E332" s="2"/>
      <c r="F332" s="2"/>
      <c r="G332" s="2"/>
      <c r="H332" s="2"/>
      <c r="I332" s="3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">
      <c r="A333" s="2"/>
      <c r="B333" s="2"/>
      <c r="C333" s="2"/>
      <c r="D333" s="2"/>
      <c r="E333" s="2"/>
      <c r="F333" s="2"/>
      <c r="G333" s="2"/>
      <c r="H333" s="2"/>
      <c r="I333" s="3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">
      <c r="A334" s="2"/>
      <c r="B334" s="2"/>
      <c r="C334" s="2"/>
      <c r="D334" s="2"/>
      <c r="E334" s="2"/>
      <c r="F334" s="2"/>
      <c r="G334" s="2"/>
      <c r="H334" s="2"/>
      <c r="I334" s="3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">
      <c r="A335" s="2"/>
      <c r="B335" s="2"/>
      <c r="C335" s="2"/>
      <c r="D335" s="2"/>
      <c r="E335" s="2"/>
      <c r="F335" s="2"/>
      <c r="G335" s="2"/>
      <c r="H335" s="2"/>
      <c r="I335" s="3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">
      <c r="A336" s="2"/>
      <c r="B336" s="2"/>
      <c r="C336" s="2"/>
      <c r="D336" s="2"/>
      <c r="E336" s="2"/>
      <c r="F336" s="2"/>
      <c r="G336" s="2"/>
      <c r="H336" s="2"/>
      <c r="I336" s="3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">
      <c r="A337" s="2"/>
      <c r="B337" s="2"/>
      <c r="C337" s="2"/>
      <c r="D337" s="2"/>
      <c r="E337" s="2"/>
      <c r="F337" s="2"/>
      <c r="G337" s="2"/>
      <c r="H337" s="2"/>
      <c r="I337" s="3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">
      <c r="A338" s="2"/>
      <c r="B338" s="2"/>
      <c r="C338" s="2"/>
      <c r="D338" s="2"/>
      <c r="E338" s="2"/>
      <c r="F338" s="2"/>
      <c r="G338" s="2"/>
      <c r="H338" s="2"/>
      <c r="I338" s="3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">
      <c r="A339" s="2"/>
      <c r="B339" s="2"/>
      <c r="C339" s="2"/>
      <c r="D339" s="2"/>
      <c r="E339" s="2"/>
      <c r="F339" s="2"/>
      <c r="G339" s="2"/>
      <c r="H339" s="2"/>
      <c r="I339" s="3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">
      <c r="A340" s="2"/>
      <c r="B340" s="2"/>
      <c r="C340" s="2"/>
      <c r="D340" s="2"/>
      <c r="E340" s="2"/>
      <c r="F340" s="2"/>
      <c r="G340" s="2"/>
      <c r="H340" s="2"/>
      <c r="I340" s="3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">
      <c r="A341" s="2"/>
      <c r="B341" s="2"/>
      <c r="C341" s="2"/>
      <c r="D341" s="2"/>
      <c r="E341" s="2"/>
      <c r="F341" s="2"/>
      <c r="G341" s="2"/>
      <c r="H341" s="2"/>
      <c r="I341" s="3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">
      <c r="A342" s="2"/>
      <c r="B342" s="2"/>
      <c r="C342" s="2"/>
      <c r="D342" s="2"/>
      <c r="E342" s="2"/>
      <c r="F342" s="2"/>
      <c r="G342" s="2"/>
      <c r="H342" s="2"/>
      <c r="I342" s="3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">
      <c r="A343" s="2"/>
      <c r="B343" s="2"/>
      <c r="C343" s="2"/>
      <c r="D343" s="2"/>
      <c r="E343" s="2"/>
      <c r="F343" s="2"/>
      <c r="G343" s="2"/>
      <c r="H343" s="2"/>
      <c r="I343" s="3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">
      <c r="A344" s="2"/>
      <c r="B344" s="2"/>
      <c r="C344" s="2"/>
      <c r="D344" s="2"/>
      <c r="E344" s="2"/>
      <c r="F344" s="2"/>
      <c r="G344" s="2"/>
      <c r="H344" s="2"/>
      <c r="I344" s="3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">
      <c r="A345" s="2"/>
      <c r="B345" s="2"/>
      <c r="C345" s="2"/>
      <c r="D345" s="2"/>
      <c r="E345" s="2"/>
      <c r="F345" s="2"/>
      <c r="G345" s="2"/>
      <c r="H345" s="2"/>
      <c r="I345" s="3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">
      <c r="A346" s="2"/>
      <c r="B346" s="2"/>
      <c r="C346" s="2"/>
      <c r="D346" s="2"/>
      <c r="E346" s="2"/>
      <c r="F346" s="2"/>
      <c r="G346" s="2"/>
      <c r="H346" s="2"/>
      <c r="I346" s="3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">
      <c r="A347" s="2"/>
      <c r="B347" s="2"/>
      <c r="C347" s="2"/>
      <c r="D347" s="2"/>
      <c r="E347" s="2"/>
      <c r="F347" s="2"/>
      <c r="G347" s="2"/>
      <c r="H347" s="2"/>
      <c r="I347" s="3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">
      <c r="A348" s="2"/>
      <c r="B348" s="2"/>
      <c r="C348" s="2"/>
      <c r="D348" s="2"/>
      <c r="E348" s="2"/>
      <c r="F348" s="2"/>
      <c r="G348" s="2"/>
      <c r="H348" s="2"/>
      <c r="I348" s="3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">
      <c r="A349" s="2"/>
      <c r="B349" s="2"/>
      <c r="C349" s="2"/>
      <c r="D349" s="2"/>
      <c r="E349" s="2"/>
      <c r="F349" s="2"/>
      <c r="G349" s="2"/>
      <c r="H349" s="2"/>
      <c r="I349" s="3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">
      <c r="A350" s="2"/>
      <c r="B350" s="2"/>
      <c r="C350" s="2"/>
      <c r="D350" s="2"/>
      <c r="E350" s="2"/>
      <c r="F350" s="2"/>
      <c r="G350" s="2"/>
      <c r="H350" s="2"/>
      <c r="I350" s="3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">
      <c r="A351" s="2"/>
      <c r="B351" s="2"/>
      <c r="C351" s="2"/>
      <c r="D351" s="2"/>
      <c r="E351" s="2"/>
      <c r="F351" s="2"/>
      <c r="G351" s="2"/>
      <c r="H351" s="2"/>
      <c r="I351" s="3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">
      <c r="A352" s="2"/>
      <c r="B352" s="2"/>
      <c r="C352" s="2"/>
      <c r="D352" s="2"/>
      <c r="E352" s="2"/>
      <c r="F352" s="2"/>
      <c r="G352" s="2"/>
      <c r="H352" s="2"/>
      <c r="I352" s="3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">
      <c r="A353" s="2"/>
      <c r="B353" s="2"/>
      <c r="C353" s="2"/>
      <c r="D353" s="2"/>
      <c r="E353" s="2"/>
      <c r="F353" s="2"/>
      <c r="G353" s="2"/>
      <c r="H353" s="2"/>
      <c r="I353" s="3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">
      <c r="A354" s="2"/>
      <c r="B354" s="2"/>
      <c r="C354" s="2"/>
      <c r="D354" s="2"/>
      <c r="E354" s="2"/>
      <c r="F354" s="2"/>
      <c r="G354" s="2"/>
      <c r="H354" s="2"/>
      <c r="I354" s="3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">
      <c r="A355" s="2"/>
      <c r="B355" s="2"/>
      <c r="C355" s="2"/>
      <c r="D355" s="2"/>
      <c r="E355" s="2"/>
      <c r="F355" s="2"/>
      <c r="G355" s="2"/>
      <c r="H355" s="2"/>
      <c r="I355" s="3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">
      <c r="A356" s="2"/>
      <c r="B356" s="2"/>
      <c r="C356" s="2"/>
      <c r="D356" s="2"/>
      <c r="E356" s="2"/>
      <c r="F356" s="2"/>
      <c r="G356" s="2"/>
      <c r="H356" s="2"/>
      <c r="I356" s="3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">
      <c r="A357" s="2"/>
      <c r="B357" s="2"/>
      <c r="C357" s="2"/>
      <c r="D357" s="2"/>
      <c r="E357" s="2"/>
      <c r="F357" s="2"/>
      <c r="G357" s="2"/>
      <c r="H357" s="2"/>
      <c r="I357" s="3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">
      <c r="A358" s="2"/>
      <c r="B358" s="2"/>
      <c r="C358" s="2"/>
      <c r="D358" s="2"/>
      <c r="E358" s="2"/>
      <c r="F358" s="2"/>
      <c r="G358" s="2"/>
      <c r="H358" s="2"/>
      <c r="I358" s="3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">
      <c r="A359" s="2"/>
      <c r="B359" s="2"/>
      <c r="C359" s="2"/>
      <c r="D359" s="2"/>
      <c r="E359" s="2"/>
      <c r="F359" s="2"/>
      <c r="G359" s="2"/>
      <c r="H359" s="2"/>
      <c r="I359" s="3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">
      <c r="A360" s="2"/>
      <c r="B360" s="2"/>
      <c r="C360" s="2"/>
      <c r="D360" s="2"/>
      <c r="E360" s="2"/>
      <c r="F360" s="2"/>
      <c r="G360" s="2"/>
      <c r="H360" s="2"/>
      <c r="I360" s="3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">
      <c r="A361" s="2"/>
      <c r="B361" s="2"/>
      <c r="C361" s="2"/>
      <c r="D361" s="2"/>
      <c r="E361" s="2"/>
      <c r="F361" s="2"/>
      <c r="G361" s="2"/>
      <c r="H361" s="2"/>
      <c r="I361" s="3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">
      <c r="A362" s="2"/>
      <c r="B362" s="2"/>
      <c r="C362" s="2"/>
      <c r="D362" s="2"/>
      <c r="E362" s="2"/>
      <c r="F362" s="2"/>
      <c r="G362" s="2"/>
      <c r="H362" s="2"/>
      <c r="I362" s="3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">
      <c r="A363" s="2"/>
      <c r="B363" s="2"/>
      <c r="C363" s="2"/>
      <c r="D363" s="2"/>
      <c r="E363" s="2"/>
      <c r="F363" s="2"/>
      <c r="G363" s="2"/>
      <c r="H363" s="2"/>
      <c r="I363" s="3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">
      <c r="A364" s="2"/>
      <c r="B364" s="2"/>
      <c r="C364" s="2"/>
      <c r="D364" s="2"/>
      <c r="E364" s="2"/>
      <c r="F364" s="2"/>
      <c r="G364" s="2"/>
      <c r="H364" s="2"/>
      <c r="I364" s="3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">
      <c r="A365" s="2"/>
      <c r="B365" s="2"/>
      <c r="C365" s="2"/>
      <c r="D365" s="2"/>
      <c r="E365" s="2"/>
      <c r="F365" s="2"/>
      <c r="G365" s="2"/>
      <c r="H365" s="2"/>
      <c r="I365" s="3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">
      <c r="A366" s="2"/>
      <c r="B366" s="2"/>
      <c r="C366" s="2"/>
      <c r="D366" s="2"/>
      <c r="E366" s="2"/>
      <c r="F366" s="2"/>
      <c r="G366" s="2"/>
      <c r="H366" s="2"/>
      <c r="I366" s="3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">
      <c r="A367" s="2"/>
      <c r="B367" s="2"/>
      <c r="C367" s="2"/>
      <c r="D367" s="2"/>
      <c r="E367" s="2"/>
      <c r="F367" s="2"/>
      <c r="G367" s="2"/>
      <c r="H367" s="2"/>
      <c r="I367" s="3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">
      <c r="A368" s="2"/>
      <c r="B368" s="2"/>
      <c r="C368" s="2"/>
      <c r="D368" s="2"/>
      <c r="E368" s="2"/>
      <c r="F368" s="2"/>
      <c r="G368" s="2"/>
      <c r="H368" s="2"/>
      <c r="I368" s="3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">
      <c r="A369" s="2"/>
      <c r="B369" s="2"/>
      <c r="C369" s="2"/>
      <c r="D369" s="2"/>
      <c r="E369" s="2"/>
      <c r="F369" s="2"/>
      <c r="G369" s="2"/>
      <c r="H369" s="2"/>
      <c r="I369" s="3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">
      <c r="A370" s="2"/>
      <c r="B370" s="2"/>
      <c r="C370" s="2"/>
      <c r="D370" s="2"/>
      <c r="E370" s="2"/>
      <c r="F370" s="2"/>
      <c r="G370" s="2"/>
      <c r="H370" s="2"/>
      <c r="I370" s="3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">
      <c r="A371" s="2"/>
      <c r="B371" s="2"/>
      <c r="C371" s="2"/>
      <c r="D371" s="2"/>
      <c r="E371" s="2"/>
      <c r="F371" s="2"/>
      <c r="G371" s="2"/>
      <c r="H371" s="2"/>
      <c r="I371" s="3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">
      <c r="A372" s="2"/>
      <c r="B372" s="2"/>
      <c r="C372" s="2"/>
      <c r="D372" s="2"/>
      <c r="E372" s="2"/>
      <c r="F372" s="2"/>
      <c r="G372" s="2"/>
      <c r="H372" s="2"/>
      <c r="I372" s="3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">
      <c r="A373" s="2"/>
      <c r="B373" s="2"/>
      <c r="C373" s="2"/>
      <c r="D373" s="2"/>
      <c r="E373" s="2"/>
      <c r="F373" s="2"/>
      <c r="G373" s="2"/>
      <c r="H373" s="2"/>
      <c r="I373" s="3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">
      <c r="A374" s="2"/>
      <c r="B374" s="2"/>
      <c r="C374" s="2"/>
      <c r="D374" s="2"/>
      <c r="E374" s="2"/>
      <c r="F374" s="2"/>
      <c r="G374" s="2"/>
      <c r="H374" s="2"/>
      <c r="I374" s="3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">
      <c r="A375" s="2"/>
      <c r="B375" s="2"/>
      <c r="C375" s="2"/>
      <c r="D375" s="2"/>
      <c r="E375" s="2"/>
      <c r="F375" s="2"/>
      <c r="G375" s="2"/>
      <c r="H375" s="2"/>
      <c r="I375" s="3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">
      <c r="A376" s="2"/>
      <c r="B376" s="2"/>
      <c r="C376" s="2"/>
      <c r="D376" s="2"/>
      <c r="E376" s="2"/>
      <c r="F376" s="2"/>
      <c r="G376" s="2"/>
      <c r="H376" s="2"/>
      <c r="I376" s="3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">
      <c r="A377" s="2"/>
      <c r="B377" s="2"/>
      <c r="C377" s="2"/>
      <c r="D377" s="2"/>
      <c r="E377" s="2"/>
      <c r="F377" s="2"/>
      <c r="G377" s="2"/>
      <c r="H377" s="2"/>
      <c r="I377" s="3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">
      <c r="A378" s="2"/>
      <c r="B378" s="2"/>
      <c r="C378" s="2"/>
      <c r="D378" s="2"/>
      <c r="E378" s="2"/>
      <c r="F378" s="2"/>
      <c r="G378" s="2"/>
      <c r="H378" s="2"/>
      <c r="I378" s="3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">
      <c r="A379" s="2"/>
      <c r="B379" s="2"/>
      <c r="C379" s="2"/>
      <c r="D379" s="2"/>
      <c r="E379" s="2"/>
      <c r="F379" s="2"/>
      <c r="G379" s="2"/>
      <c r="H379" s="2"/>
      <c r="I379" s="3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">
      <c r="A380" s="2"/>
      <c r="B380" s="2"/>
      <c r="C380" s="2"/>
      <c r="D380" s="2"/>
      <c r="E380" s="2"/>
      <c r="F380" s="2"/>
      <c r="G380" s="2"/>
      <c r="H380" s="2"/>
      <c r="I380" s="3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">
      <c r="A381" s="2"/>
      <c r="B381" s="2"/>
      <c r="C381" s="2"/>
      <c r="D381" s="2"/>
      <c r="E381" s="2"/>
      <c r="F381" s="2"/>
      <c r="G381" s="2"/>
      <c r="H381" s="2"/>
      <c r="I381" s="3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">
      <c r="A382" s="2"/>
      <c r="B382" s="2"/>
      <c r="C382" s="2"/>
      <c r="D382" s="2"/>
      <c r="E382" s="2"/>
      <c r="F382" s="2"/>
      <c r="G382" s="2"/>
      <c r="H382" s="2"/>
      <c r="I382" s="3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">
      <c r="A383" s="2"/>
      <c r="B383" s="2"/>
      <c r="C383" s="2"/>
      <c r="D383" s="2"/>
      <c r="E383" s="2"/>
      <c r="F383" s="2"/>
      <c r="G383" s="2"/>
      <c r="H383" s="2"/>
      <c r="I383" s="3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">
      <c r="A384" s="2"/>
      <c r="B384" s="2"/>
      <c r="C384" s="2"/>
      <c r="D384" s="2"/>
      <c r="E384" s="2"/>
      <c r="F384" s="2"/>
      <c r="G384" s="2"/>
      <c r="H384" s="2"/>
      <c r="I384" s="3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">
      <c r="A385" s="2"/>
      <c r="B385" s="2"/>
      <c r="C385" s="2"/>
      <c r="D385" s="2"/>
      <c r="E385" s="2"/>
      <c r="F385" s="2"/>
      <c r="G385" s="2"/>
      <c r="H385" s="2"/>
      <c r="I385" s="3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">
      <c r="A386" s="2"/>
      <c r="B386" s="2"/>
      <c r="C386" s="2"/>
      <c r="D386" s="2"/>
      <c r="E386" s="2"/>
      <c r="F386" s="2"/>
      <c r="G386" s="2"/>
      <c r="H386" s="2"/>
      <c r="I386" s="3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">
      <c r="A387" s="2"/>
      <c r="B387" s="2"/>
      <c r="C387" s="2"/>
      <c r="D387" s="2"/>
      <c r="E387" s="2"/>
      <c r="F387" s="2"/>
      <c r="G387" s="2"/>
      <c r="H387" s="2"/>
      <c r="I387" s="3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">
      <c r="A388" s="2"/>
      <c r="B388" s="2"/>
      <c r="C388" s="2"/>
      <c r="D388" s="2"/>
      <c r="E388" s="2"/>
      <c r="F388" s="2"/>
      <c r="G388" s="2"/>
      <c r="H388" s="2"/>
      <c r="I388" s="3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">
      <c r="A389" s="2"/>
      <c r="B389" s="2"/>
      <c r="C389" s="2"/>
      <c r="D389" s="2"/>
      <c r="E389" s="2"/>
      <c r="F389" s="2"/>
      <c r="G389" s="2"/>
      <c r="H389" s="2"/>
      <c r="I389" s="3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">
      <c r="A390" s="2"/>
      <c r="B390" s="2"/>
      <c r="C390" s="2"/>
      <c r="D390" s="2"/>
      <c r="E390" s="2"/>
      <c r="F390" s="2"/>
      <c r="G390" s="2"/>
      <c r="H390" s="2"/>
      <c r="I390" s="3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">
      <c r="A391" s="2"/>
      <c r="B391" s="2"/>
      <c r="C391" s="2"/>
      <c r="D391" s="2"/>
      <c r="E391" s="2"/>
      <c r="F391" s="2"/>
      <c r="G391" s="2"/>
      <c r="H391" s="2"/>
      <c r="I391" s="3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">
      <c r="A392" s="2"/>
      <c r="B392" s="2"/>
      <c r="C392" s="2"/>
      <c r="D392" s="2"/>
      <c r="E392" s="2"/>
      <c r="F392" s="2"/>
      <c r="G392" s="2"/>
      <c r="H392" s="2"/>
      <c r="I392" s="3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">
      <c r="A393" s="2"/>
      <c r="B393" s="2"/>
      <c r="C393" s="2"/>
      <c r="D393" s="2"/>
      <c r="E393" s="2"/>
      <c r="F393" s="2"/>
      <c r="G393" s="2"/>
      <c r="H393" s="2"/>
      <c r="I393" s="3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">
      <c r="A394" s="2"/>
      <c r="B394" s="2"/>
      <c r="C394" s="2"/>
      <c r="D394" s="2"/>
      <c r="E394" s="2"/>
      <c r="F394" s="2"/>
      <c r="G394" s="2"/>
      <c r="H394" s="2"/>
      <c r="I394" s="3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">
      <c r="A395" s="2"/>
      <c r="B395" s="2"/>
      <c r="C395" s="2"/>
      <c r="D395" s="2"/>
      <c r="E395" s="2"/>
      <c r="F395" s="2"/>
      <c r="G395" s="2"/>
      <c r="H395" s="2"/>
      <c r="I395" s="3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">
      <c r="A396" s="2"/>
      <c r="B396" s="2"/>
      <c r="C396" s="2"/>
      <c r="D396" s="2"/>
      <c r="E396" s="2"/>
      <c r="F396" s="2"/>
      <c r="G396" s="2"/>
      <c r="H396" s="2"/>
      <c r="I396" s="3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">
      <c r="A397" s="2"/>
      <c r="B397" s="2"/>
      <c r="C397" s="2"/>
      <c r="D397" s="2"/>
      <c r="E397" s="2"/>
      <c r="F397" s="2"/>
      <c r="G397" s="2"/>
      <c r="H397" s="2"/>
      <c r="I397" s="3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">
      <c r="A398" s="2"/>
      <c r="B398" s="2"/>
      <c r="C398" s="2"/>
      <c r="D398" s="2"/>
      <c r="E398" s="2"/>
      <c r="F398" s="2"/>
      <c r="G398" s="2"/>
      <c r="H398" s="2"/>
      <c r="I398" s="3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">
      <c r="A399" s="2"/>
      <c r="B399" s="2"/>
      <c r="C399" s="2"/>
      <c r="D399" s="2"/>
      <c r="E399" s="2"/>
      <c r="F399" s="2"/>
      <c r="G399" s="2"/>
      <c r="H399" s="2"/>
      <c r="I399" s="3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">
      <c r="A400" s="2"/>
      <c r="B400" s="2"/>
      <c r="C400" s="2"/>
      <c r="D400" s="2"/>
      <c r="E400" s="2"/>
      <c r="F400" s="2"/>
      <c r="G400" s="2"/>
      <c r="H400" s="2"/>
      <c r="I400" s="3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">
      <c r="A401" s="2"/>
      <c r="B401" s="2"/>
      <c r="C401" s="2"/>
      <c r="D401" s="2"/>
      <c r="E401" s="2"/>
      <c r="F401" s="2"/>
      <c r="G401" s="2"/>
      <c r="H401" s="2"/>
      <c r="I401" s="3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">
      <c r="A402" s="2"/>
      <c r="B402" s="2"/>
      <c r="C402" s="2"/>
      <c r="D402" s="2"/>
      <c r="E402" s="2"/>
      <c r="F402" s="2"/>
      <c r="G402" s="2"/>
      <c r="H402" s="2"/>
      <c r="I402" s="3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">
      <c r="A403" s="2"/>
      <c r="B403" s="2"/>
      <c r="C403" s="2"/>
      <c r="D403" s="2"/>
      <c r="E403" s="2"/>
      <c r="F403" s="2"/>
      <c r="G403" s="2"/>
      <c r="H403" s="2"/>
      <c r="I403" s="3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">
      <c r="A404" s="2"/>
      <c r="B404" s="2"/>
      <c r="C404" s="2"/>
      <c r="D404" s="2"/>
      <c r="E404" s="2"/>
      <c r="F404" s="2"/>
      <c r="G404" s="2"/>
      <c r="H404" s="2"/>
      <c r="I404" s="3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">
      <c r="A405" s="2"/>
      <c r="B405" s="2"/>
      <c r="C405" s="2"/>
      <c r="D405" s="2"/>
      <c r="E405" s="2"/>
      <c r="F405" s="2"/>
      <c r="G405" s="2"/>
      <c r="H405" s="2"/>
      <c r="I405" s="3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">
      <c r="A406" s="2"/>
      <c r="B406" s="2"/>
      <c r="C406" s="2"/>
      <c r="D406" s="2"/>
      <c r="E406" s="2"/>
      <c r="F406" s="2"/>
      <c r="G406" s="2"/>
      <c r="H406" s="2"/>
      <c r="I406" s="3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">
      <c r="A407" s="2"/>
      <c r="B407" s="2"/>
      <c r="C407" s="2"/>
      <c r="D407" s="2"/>
      <c r="E407" s="2"/>
      <c r="F407" s="2"/>
      <c r="G407" s="2"/>
      <c r="H407" s="2"/>
      <c r="I407" s="3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">
      <c r="A408" s="2"/>
      <c r="B408" s="2"/>
      <c r="C408" s="2"/>
      <c r="D408" s="2"/>
      <c r="E408" s="2"/>
      <c r="F408" s="2"/>
      <c r="G408" s="2"/>
      <c r="H408" s="2"/>
      <c r="I408" s="3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">
      <c r="A409" s="2"/>
      <c r="B409" s="2"/>
      <c r="C409" s="2"/>
      <c r="D409" s="2"/>
      <c r="E409" s="2"/>
      <c r="F409" s="2"/>
      <c r="G409" s="2"/>
      <c r="H409" s="2"/>
      <c r="I409" s="3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">
      <c r="A410" s="2"/>
      <c r="B410" s="2"/>
      <c r="C410" s="2"/>
      <c r="D410" s="2"/>
      <c r="E410" s="2"/>
      <c r="F410" s="2"/>
      <c r="G410" s="2"/>
      <c r="H410" s="2"/>
      <c r="I410" s="3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">
      <c r="A411" s="2"/>
      <c r="B411" s="2"/>
      <c r="C411" s="2"/>
      <c r="D411" s="2"/>
      <c r="E411" s="2"/>
      <c r="F411" s="2"/>
      <c r="G411" s="2"/>
      <c r="H411" s="2"/>
      <c r="I411" s="3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">
      <c r="A412" s="2"/>
      <c r="B412" s="2"/>
      <c r="C412" s="2"/>
      <c r="D412" s="2"/>
      <c r="E412" s="2"/>
      <c r="F412" s="2"/>
      <c r="G412" s="2"/>
      <c r="H412" s="2"/>
      <c r="I412" s="3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">
      <c r="A413" s="2"/>
      <c r="B413" s="2"/>
      <c r="C413" s="2"/>
      <c r="D413" s="2"/>
      <c r="E413" s="2"/>
      <c r="F413" s="2"/>
      <c r="G413" s="2"/>
      <c r="H413" s="2"/>
      <c r="I413" s="3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">
      <c r="A414" s="2"/>
      <c r="B414" s="2"/>
      <c r="C414" s="2"/>
      <c r="D414" s="2"/>
      <c r="E414" s="2"/>
      <c r="F414" s="2"/>
      <c r="G414" s="2"/>
      <c r="H414" s="2"/>
      <c r="I414" s="3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">
      <c r="A415" s="2"/>
      <c r="B415" s="2"/>
      <c r="C415" s="2"/>
      <c r="D415" s="2"/>
      <c r="E415" s="2"/>
      <c r="F415" s="2"/>
      <c r="G415" s="2"/>
      <c r="H415" s="2"/>
      <c r="I415" s="3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">
      <c r="A416" s="2"/>
      <c r="B416" s="2"/>
      <c r="C416" s="2"/>
      <c r="D416" s="2"/>
      <c r="E416" s="2"/>
      <c r="F416" s="2"/>
      <c r="G416" s="2"/>
      <c r="H416" s="2"/>
      <c r="I416" s="3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">
      <c r="A417" s="2"/>
      <c r="B417" s="2"/>
      <c r="C417" s="2"/>
      <c r="D417" s="2"/>
      <c r="E417" s="2"/>
      <c r="F417" s="2"/>
      <c r="G417" s="2"/>
      <c r="H417" s="2"/>
      <c r="I417" s="3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">
      <c r="A418" s="2"/>
      <c r="B418" s="2"/>
      <c r="C418" s="2"/>
      <c r="D418" s="2"/>
      <c r="E418" s="2"/>
      <c r="F418" s="2"/>
      <c r="G418" s="2"/>
      <c r="H418" s="2"/>
      <c r="I418" s="3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">
      <c r="A419" s="2"/>
      <c r="B419" s="2"/>
      <c r="C419" s="2"/>
      <c r="D419" s="2"/>
      <c r="E419" s="2"/>
      <c r="F419" s="2"/>
      <c r="G419" s="2"/>
      <c r="H419" s="2"/>
      <c r="I419" s="3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">
      <c r="A420" s="2"/>
      <c r="B420" s="2"/>
      <c r="C420" s="2"/>
      <c r="D420" s="2"/>
      <c r="E420" s="2"/>
      <c r="F420" s="2"/>
      <c r="G420" s="2"/>
      <c r="H420" s="2"/>
      <c r="I420" s="3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">
      <c r="A421" s="2"/>
      <c r="B421" s="2"/>
      <c r="C421" s="2"/>
      <c r="D421" s="2"/>
      <c r="E421" s="2"/>
      <c r="F421" s="2"/>
      <c r="G421" s="2"/>
      <c r="H421" s="2"/>
      <c r="I421" s="3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">
      <c r="A422" s="2"/>
      <c r="B422" s="2"/>
      <c r="C422" s="2"/>
      <c r="D422" s="2"/>
      <c r="E422" s="2"/>
      <c r="F422" s="2"/>
      <c r="G422" s="2"/>
      <c r="H422" s="2"/>
      <c r="I422" s="3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">
      <c r="A423" s="2"/>
      <c r="B423" s="2"/>
      <c r="C423" s="2"/>
      <c r="D423" s="2"/>
      <c r="E423" s="2"/>
      <c r="F423" s="2"/>
      <c r="G423" s="2"/>
      <c r="H423" s="2"/>
      <c r="I423" s="3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">
      <c r="A424" s="2"/>
      <c r="B424" s="2"/>
      <c r="C424" s="2"/>
      <c r="D424" s="2"/>
      <c r="E424" s="2"/>
      <c r="F424" s="2"/>
      <c r="G424" s="2"/>
      <c r="H424" s="2"/>
      <c r="I424" s="3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">
      <c r="A425" s="2"/>
      <c r="B425" s="2"/>
      <c r="C425" s="2"/>
      <c r="D425" s="2"/>
      <c r="E425" s="2"/>
      <c r="F425" s="2"/>
      <c r="G425" s="2"/>
      <c r="H425" s="2"/>
      <c r="I425" s="3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">
      <c r="A426" s="2"/>
      <c r="B426" s="2"/>
      <c r="C426" s="2"/>
      <c r="D426" s="2"/>
      <c r="E426" s="2"/>
      <c r="F426" s="2"/>
      <c r="G426" s="2"/>
      <c r="H426" s="2"/>
      <c r="I426" s="3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">
      <c r="A427" s="2"/>
      <c r="B427" s="2"/>
      <c r="C427" s="2"/>
      <c r="D427" s="2"/>
      <c r="E427" s="2"/>
      <c r="F427" s="2"/>
      <c r="G427" s="2"/>
      <c r="H427" s="2"/>
      <c r="I427" s="3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">
      <c r="A428" s="2"/>
      <c r="B428" s="2"/>
      <c r="C428" s="2"/>
      <c r="D428" s="2"/>
      <c r="E428" s="2"/>
      <c r="F428" s="2"/>
      <c r="G428" s="2"/>
      <c r="H428" s="2"/>
      <c r="I428" s="3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">
      <c r="A429" s="2"/>
      <c r="B429" s="2"/>
      <c r="C429" s="2"/>
      <c r="D429" s="2"/>
      <c r="E429" s="2"/>
      <c r="F429" s="2"/>
      <c r="G429" s="2"/>
      <c r="H429" s="2"/>
      <c r="I429" s="3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">
      <c r="A430" s="2"/>
      <c r="B430" s="2"/>
      <c r="C430" s="2"/>
      <c r="D430" s="2"/>
      <c r="E430" s="2"/>
      <c r="F430" s="2"/>
      <c r="G430" s="2"/>
      <c r="H430" s="2"/>
      <c r="I430" s="3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">
      <c r="A431" s="2"/>
      <c r="B431" s="2"/>
      <c r="C431" s="2"/>
      <c r="D431" s="2"/>
      <c r="E431" s="2"/>
      <c r="F431" s="2"/>
      <c r="G431" s="2"/>
      <c r="H431" s="2"/>
      <c r="I431" s="3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">
      <c r="A432" s="2"/>
      <c r="B432" s="2"/>
      <c r="C432" s="2"/>
      <c r="D432" s="2"/>
      <c r="E432" s="2"/>
      <c r="F432" s="2"/>
      <c r="G432" s="2"/>
      <c r="H432" s="2"/>
      <c r="I432" s="3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">
      <c r="A433" s="2"/>
      <c r="B433" s="2"/>
      <c r="C433" s="2"/>
      <c r="D433" s="2"/>
      <c r="E433" s="2"/>
      <c r="F433" s="2"/>
      <c r="G433" s="2"/>
      <c r="H433" s="2"/>
      <c r="I433" s="3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">
      <c r="A434" s="2"/>
      <c r="B434" s="2"/>
      <c r="C434" s="2"/>
      <c r="D434" s="2"/>
      <c r="E434" s="2"/>
      <c r="F434" s="2"/>
      <c r="G434" s="2"/>
      <c r="H434" s="2"/>
      <c r="I434" s="3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">
      <c r="A435" s="2"/>
      <c r="B435" s="2"/>
      <c r="C435" s="2"/>
      <c r="D435" s="2"/>
      <c r="E435" s="2"/>
      <c r="F435" s="2"/>
      <c r="G435" s="2"/>
      <c r="H435" s="2"/>
      <c r="I435" s="3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">
      <c r="A436" s="2"/>
      <c r="B436" s="2"/>
      <c r="C436" s="2"/>
      <c r="D436" s="2"/>
      <c r="E436" s="2"/>
      <c r="F436" s="2"/>
      <c r="G436" s="2"/>
      <c r="H436" s="2"/>
      <c r="I436" s="3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">
      <c r="A437" s="2"/>
      <c r="B437" s="2"/>
      <c r="C437" s="2"/>
      <c r="D437" s="2"/>
      <c r="E437" s="2"/>
      <c r="F437" s="2"/>
      <c r="G437" s="2"/>
      <c r="H437" s="2"/>
      <c r="I437" s="3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">
      <c r="A438" s="2"/>
      <c r="B438" s="2"/>
      <c r="C438" s="2"/>
      <c r="D438" s="2"/>
      <c r="E438" s="2"/>
      <c r="F438" s="2"/>
      <c r="G438" s="2"/>
      <c r="H438" s="2"/>
      <c r="I438" s="3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">
      <c r="A439" s="2"/>
      <c r="B439" s="2"/>
      <c r="C439" s="2"/>
      <c r="D439" s="2"/>
      <c r="E439" s="2"/>
      <c r="F439" s="2"/>
      <c r="G439" s="2"/>
      <c r="H439" s="2"/>
      <c r="I439" s="3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">
      <c r="A440" s="2"/>
      <c r="B440" s="2"/>
      <c r="C440" s="2"/>
      <c r="D440" s="2"/>
      <c r="E440" s="2"/>
      <c r="F440" s="2"/>
      <c r="G440" s="2"/>
      <c r="H440" s="2"/>
      <c r="I440" s="3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">
      <c r="A441" s="2"/>
      <c r="B441" s="2"/>
      <c r="C441" s="2"/>
      <c r="D441" s="2"/>
      <c r="E441" s="2"/>
      <c r="F441" s="2"/>
      <c r="G441" s="2"/>
      <c r="H441" s="2"/>
      <c r="I441" s="3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">
      <c r="A442" s="2"/>
      <c r="B442" s="2"/>
      <c r="C442" s="2"/>
      <c r="D442" s="2"/>
      <c r="E442" s="2"/>
      <c r="F442" s="2"/>
      <c r="G442" s="2"/>
      <c r="H442" s="2"/>
      <c r="I442" s="3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">
      <c r="A443" s="2"/>
      <c r="B443" s="2"/>
      <c r="C443" s="2"/>
      <c r="D443" s="2"/>
      <c r="E443" s="2"/>
      <c r="F443" s="2"/>
      <c r="G443" s="2"/>
      <c r="H443" s="2"/>
      <c r="I443" s="3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">
      <c r="A444" s="2"/>
      <c r="B444" s="2"/>
      <c r="C444" s="2"/>
      <c r="D444" s="2"/>
      <c r="E444" s="2"/>
      <c r="F444" s="2"/>
      <c r="G444" s="2"/>
      <c r="H444" s="2"/>
      <c r="I444" s="3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">
      <c r="A445" s="2"/>
      <c r="B445" s="2"/>
      <c r="C445" s="2"/>
      <c r="D445" s="2"/>
      <c r="E445" s="2"/>
      <c r="F445" s="2"/>
      <c r="G445" s="2"/>
      <c r="H445" s="2"/>
      <c r="I445" s="3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">
      <c r="A446" s="2"/>
      <c r="B446" s="2"/>
      <c r="C446" s="2"/>
      <c r="D446" s="2"/>
      <c r="E446" s="2"/>
      <c r="F446" s="2"/>
      <c r="G446" s="2"/>
      <c r="H446" s="2"/>
      <c r="I446" s="3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">
      <c r="A447" s="2"/>
      <c r="B447" s="2"/>
      <c r="C447" s="2"/>
      <c r="D447" s="2"/>
      <c r="E447" s="2"/>
      <c r="F447" s="2"/>
      <c r="G447" s="2"/>
      <c r="H447" s="2"/>
      <c r="I447" s="3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">
      <c r="A448" s="2"/>
      <c r="B448" s="2"/>
      <c r="C448" s="2"/>
      <c r="D448" s="2"/>
      <c r="E448" s="2"/>
      <c r="F448" s="2"/>
      <c r="G448" s="2"/>
      <c r="H448" s="2"/>
      <c r="I448" s="3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">
      <c r="A449" s="2"/>
      <c r="B449" s="2"/>
      <c r="C449" s="2"/>
      <c r="D449" s="2"/>
      <c r="E449" s="2"/>
      <c r="F449" s="2"/>
      <c r="G449" s="2"/>
      <c r="H449" s="2"/>
      <c r="I449" s="3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">
      <c r="A450" s="2"/>
      <c r="B450" s="2"/>
      <c r="C450" s="2"/>
      <c r="D450" s="2"/>
      <c r="E450" s="2"/>
      <c r="F450" s="2"/>
      <c r="G450" s="2"/>
      <c r="H450" s="2"/>
      <c r="I450" s="3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">
      <c r="A451" s="2"/>
      <c r="B451" s="2"/>
      <c r="C451" s="2"/>
      <c r="D451" s="2"/>
      <c r="E451" s="2"/>
      <c r="F451" s="2"/>
      <c r="G451" s="2"/>
      <c r="H451" s="2"/>
      <c r="I451" s="3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">
      <c r="A452" s="2"/>
      <c r="B452" s="2"/>
      <c r="C452" s="2"/>
      <c r="D452" s="2"/>
      <c r="E452" s="2"/>
      <c r="F452" s="2"/>
      <c r="G452" s="2"/>
      <c r="H452" s="2"/>
      <c r="I452" s="3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">
      <c r="A453" s="2"/>
      <c r="B453" s="2"/>
      <c r="C453" s="2"/>
      <c r="D453" s="2"/>
      <c r="E453" s="2"/>
      <c r="F453" s="2"/>
      <c r="G453" s="2"/>
      <c r="H453" s="2"/>
      <c r="I453" s="3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">
      <c r="A454" s="2"/>
      <c r="B454" s="2"/>
      <c r="C454" s="2"/>
      <c r="D454" s="2"/>
      <c r="E454" s="2"/>
      <c r="F454" s="2"/>
      <c r="G454" s="2"/>
      <c r="H454" s="2"/>
      <c r="I454" s="3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">
      <c r="A455" s="2"/>
      <c r="B455" s="2"/>
      <c r="C455" s="2"/>
      <c r="D455" s="2"/>
      <c r="E455" s="2"/>
      <c r="F455" s="2"/>
      <c r="G455" s="2"/>
      <c r="H455" s="2"/>
      <c r="I455" s="3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">
      <c r="A456" s="2"/>
      <c r="B456" s="2"/>
      <c r="C456" s="2"/>
      <c r="D456" s="2"/>
      <c r="E456" s="2"/>
      <c r="F456" s="2"/>
      <c r="G456" s="2"/>
      <c r="H456" s="2"/>
      <c r="I456" s="3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">
      <c r="A457" s="2"/>
      <c r="B457" s="2"/>
      <c r="C457" s="2"/>
      <c r="D457" s="2"/>
      <c r="E457" s="2"/>
      <c r="F457" s="2"/>
      <c r="G457" s="2"/>
      <c r="H457" s="2"/>
      <c r="I457" s="3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">
      <c r="A458" s="2"/>
      <c r="B458" s="2"/>
      <c r="C458" s="2"/>
      <c r="D458" s="2"/>
      <c r="E458" s="2"/>
      <c r="F458" s="2"/>
      <c r="G458" s="2"/>
      <c r="H458" s="2"/>
      <c r="I458" s="3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">
      <c r="A459" s="2"/>
      <c r="B459" s="2"/>
      <c r="C459" s="2"/>
      <c r="D459" s="2"/>
      <c r="E459" s="2"/>
      <c r="F459" s="2"/>
      <c r="G459" s="2"/>
      <c r="H459" s="2"/>
      <c r="I459" s="3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">
      <c r="A460" s="2"/>
      <c r="B460" s="2"/>
      <c r="C460" s="2"/>
      <c r="D460" s="2"/>
      <c r="E460" s="2"/>
      <c r="F460" s="2"/>
      <c r="G460" s="2"/>
      <c r="H460" s="2"/>
      <c r="I460" s="3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">
      <c r="A461" s="2"/>
      <c r="B461" s="2"/>
      <c r="C461" s="2"/>
      <c r="D461" s="2"/>
      <c r="E461" s="2"/>
      <c r="F461" s="2"/>
      <c r="G461" s="2"/>
      <c r="H461" s="2"/>
      <c r="I461" s="3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">
      <c r="A462" s="2"/>
      <c r="B462" s="2"/>
      <c r="C462" s="2"/>
      <c r="D462" s="2"/>
      <c r="E462" s="2"/>
      <c r="F462" s="2"/>
      <c r="G462" s="2"/>
      <c r="H462" s="2"/>
      <c r="I462" s="3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">
      <c r="A463" s="2"/>
      <c r="B463" s="2"/>
      <c r="C463" s="2"/>
      <c r="D463" s="2"/>
      <c r="E463" s="2"/>
      <c r="F463" s="2"/>
      <c r="G463" s="2"/>
      <c r="H463" s="2"/>
      <c r="I463" s="3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">
      <c r="A464" s="2"/>
      <c r="B464" s="2"/>
      <c r="C464" s="2"/>
      <c r="D464" s="2"/>
      <c r="E464" s="2"/>
      <c r="F464" s="2"/>
      <c r="G464" s="2"/>
      <c r="H464" s="2"/>
      <c r="I464" s="3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">
      <c r="A465" s="2"/>
      <c r="B465" s="2"/>
      <c r="C465" s="2"/>
      <c r="D465" s="2"/>
      <c r="E465" s="2"/>
      <c r="F465" s="2"/>
      <c r="G465" s="2"/>
      <c r="H465" s="2"/>
      <c r="I465" s="36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">
      <c r="A466" s="2"/>
      <c r="B466" s="2"/>
      <c r="C466" s="2"/>
      <c r="D466" s="2"/>
      <c r="E466" s="2"/>
      <c r="F466" s="2"/>
      <c r="G466" s="2"/>
      <c r="H466" s="2"/>
      <c r="I466" s="36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">
      <c r="A467" s="2"/>
      <c r="B467" s="2"/>
      <c r="C467" s="2"/>
      <c r="D467" s="2"/>
      <c r="E467" s="2"/>
      <c r="F467" s="2"/>
      <c r="G467" s="2"/>
      <c r="H467" s="2"/>
      <c r="I467" s="36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">
      <c r="A468" s="2"/>
      <c r="B468" s="2"/>
      <c r="C468" s="2"/>
      <c r="D468" s="2"/>
      <c r="E468" s="2"/>
      <c r="F468" s="2"/>
      <c r="G468" s="2"/>
      <c r="H468" s="2"/>
      <c r="I468" s="36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">
      <c r="A469" s="2"/>
      <c r="B469" s="2"/>
      <c r="C469" s="2"/>
      <c r="D469" s="2"/>
      <c r="E469" s="2"/>
      <c r="F469" s="2"/>
      <c r="G469" s="2"/>
      <c r="H469" s="2"/>
      <c r="I469" s="36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">
      <c r="A470" s="2"/>
      <c r="B470" s="2"/>
      <c r="C470" s="2"/>
      <c r="D470" s="2"/>
      <c r="E470" s="2"/>
      <c r="F470" s="2"/>
      <c r="G470" s="2"/>
      <c r="H470" s="2"/>
      <c r="I470" s="3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">
      <c r="A471" s="2"/>
      <c r="B471" s="2"/>
      <c r="C471" s="2"/>
      <c r="D471" s="2"/>
      <c r="E471" s="2"/>
      <c r="F471" s="2"/>
      <c r="G471" s="2"/>
      <c r="H471" s="2"/>
      <c r="I471" s="3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">
      <c r="A472" s="2"/>
      <c r="B472" s="2"/>
      <c r="C472" s="2"/>
      <c r="D472" s="2"/>
      <c r="E472" s="2"/>
      <c r="F472" s="2"/>
      <c r="G472" s="2"/>
      <c r="H472" s="2"/>
      <c r="I472" s="3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">
      <c r="A473" s="2"/>
      <c r="B473" s="2"/>
      <c r="C473" s="2"/>
      <c r="D473" s="2"/>
      <c r="E473" s="2"/>
      <c r="F473" s="2"/>
      <c r="G473" s="2"/>
      <c r="H473" s="2"/>
      <c r="I473" s="3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">
      <c r="A474" s="2"/>
      <c r="B474" s="2"/>
      <c r="C474" s="2"/>
      <c r="D474" s="2"/>
      <c r="E474" s="2"/>
      <c r="F474" s="2"/>
      <c r="G474" s="2"/>
      <c r="H474" s="2"/>
      <c r="I474" s="3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">
      <c r="A475" s="2"/>
      <c r="B475" s="2"/>
      <c r="C475" s="2"/>
      <c r="D475" s="2"/>
      <c r="E475" s="2"/>
      <c r="F475" s="2"/>
      <c r="G475" s="2"/>
      <c r="H475" s="2"/>
      <c r="I475" s="3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">
      <c r="A476" s="2"/>
      <c r="B476" s="2"/>
      <c r="C476" s="2"/>
      <c r="D476" s="2"/>
      <c r="E476" s="2"/>
      <c r="F476" s="2"/>
      <c r="G476" s="2"/>
      <c r="H476" s="2"/>
      <c r="I476" s="36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">
      <c r="A477" s="2"/>
      <c r="B477" s="2"/>
      <c r="C477" s="2"/>
      <c r="D477" s="2"/>
      <c r="E477" s="2"/>
      <c r="F477" s="2"/>
      <c r="G477" s="2"/>
      <c r="H477" s="2"/>
      <c r="I477" s="36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">
      <c r="A478" s="2"/>
      <c r="B478" s="2"/>
      <c r="C478" s="2"/>
      <c r="D478" s="2"/>
      <c r="E478" s="2"/>
      <c r="F478" s="2"/>
      <c r="G478" s="2"/>
      <c r="H478" s="2"/>
      <c r="I478" s="3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">
      <c r="A479" s="2"/>
      <c r="B479" s="2"/>
      <c r="C479" s="2"/>
      <c r="D479" s="2"/>
      <c r="E479" s="2"/>
      <c r="F479" s="2"/>
      <c r="G479" s="2"/>
      <c r="H479" s="2"/>
      <c r="I479" s="3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">
      <c r="A480" s="2"/>
      <c r="B480" s="2"/>
      <c r="C480" s="2"/>
      <c r="D480" s="2"/>
      <c r="E480" s="2"/>
      <c r="F480" s="2"/>
      <c r="G480" s="2"/>
      <c r="H480" s="2"/>
      <c r="I480" s="3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">
      <c r="A481" s="2"/>
      <c r="B481" s="2"/>
      <c r="C481" s="2"/>
      <c r="D481" s="2"/>
      <c r="E481" s="2"/>
      <c r="F481" s="2"/>
      <c r="G481" s="2"/>
      <c r="H481" s="2"/>
      <c r="I481" s="3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">
      <c r="A482" s="2"/>
      <c r="B482" s="2"/>
      <c r="C482" s="2"/>
      <c r="D482" s="2"/>
      <c r="E482" s="2"/>
      <c r="F482" s="2"/>
      <c r="G482" s="2"/>
      <c r="H482" s="2"/>
      <c r="I482" s="36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">
      <c r="A483" s="2"/>
      <c r="B483" s="2"/>
      <c r="C483" s="2"/>
      <c r="D483" s="2"/>
      <c r="E483" s="2"/>
      <c r="F483" s="2"/>
      <c r="G483" s="2"/>
      <c r="H483" s="2"/>
      <c r="I483" s="3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">
      <c r="A484" s="2"/>
      <c r="B484" s="2"/>
      <c r="C484" s="2"/>
      <c r="D484" s="2"/>
      <c r="E484" s="2"/>
      <c r="F484" s="2"/>
      <c r="G484" s="2"/>
      <c r="H484" s="2"/>
      <c r="I484" s="3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">
      <c r="A485" s="2"/>
      <c r="B485" s="2"/>
      <c r="C485" s="2"/>
      <c r="D485" s="2"/>
      <c r="E485" s="2"/>
      <c r="F485" s="2"/>
      <c r="G485" s="2"/>
      <c r="H485" s="2"/>
      <c r="I485" s="3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">
      <c r="A486" s="2"/>
      <c r="B486" s="2"/>
      <c r="C486" s="2"/>
      <c r="D486" s="2"/>
      <c r="E486" s="2"/>
      <c r="F486" s="2"/>
      <c r="G486" s="2"/>
      <c r="H486" s="2"/>
      <c r="I486" s="36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">
      <c r="A487" s="2"/>
      <c r="B487" s="2"/>
      <c r="C487" s="2"/>
      <c r="D487" s="2"/>
      <c r="E487" s="2"/>
      <c r="F487" s="2"/>
      <c r="G487" s="2"/>
      <c r="H487" s="2"/>
      <c r="I487" s="36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">
      <c r="A488" s="2"/>
      <c r="B488" s="2"/>
      <c r="C488" s="2"/>
      <c r="D488" s="2"/>
      <c r="E488" s="2"/>
      <c r="F488" s="2"/>
      <c r="G488" s="2"/>
      <c r="H488" s="2"/>
      <c r="I488" s="36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">
      <c r="A489" s="2"/>
      <c r="B489" s="2"/>
      <c r="C489" s="2"/>
      <c r="D489" s="2"/>
      <c r="E489" s="2"/>
      <c r="F489" s="2"/>
      <c r="G489" s="2"/>
      <c r="H489" s="2"/>
      <c r="I489" s="36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">
      <c r="A490" s="2"/>
      <c r="B490" s="2"/>
      <c r="C490" s="2"/>
      <c r="D490" s="2"/>
      <c r="E490" s="2"/>
      <c r="F490" s="2"/>
      <c r="G490" s="2"/>
      <c r="H490" s="2"/>
      <c r="I490" s="3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">
      <c r="A491" s="2"/>
      <c r="B491" s="2"/>
      <c r="C491" s="2"/>
      <c r="D491" s="2"/>
      <c r="E491" s="2"/>
      <c r="F491" s="2"/>
      <c r="G491" s="2"/>
      <c r="H491" s="2"/>
      <c r="I491" s="3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">
      <c r="A492" s="2"/>
      <c r="B492" s="2"/>
      <c r="C492" s="2"/>
      <c r="D492" s="2"/>
      <c r="E492" s="2"/>
      <c r="F492" s="2"/>
      <c r="G492" s="2"/>
      <c r="H492" s="2"/>
      <c r="I492" s="3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">
      <c r="A493" s="2"/>
      <c r="B493" s="2"/>
      <c r="C493" s="2"/>
      <c r="D493" s="2"/>
      <c r="E493" s="2"/>
      <c r="F493" s="2"/>
      <c r="G493" s="2"/>
      <c r="H493" s="2"/>
      <c r="I493" s="36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">
      <c r="A494" s="2"/>
      <c r="B494" s="2"/>
      <c r="C494" s="2"/>
      <c r="D494" s="2"/>
      <c r="E494" s="2"/>
      <c r="F494" s="2"/>
      <c r="G494" s="2"/>
      <c r="H494" s="2"/>
      <c r="I494" s="36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">
      <c r="A495" s="2"/>
      <c r="B495" s="2"/>
      <c r="C495" s="2"/>
      <c r="D495" s="2"/>
      <c r="E495" s="2"/>
      <c r="F495" s="2"/>
      <c r="G495" s="2"/>
      <c r="H495" s="2"/>
      <c r="I495" s="3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">
      <c r="A496" s="2"/>
      <c r="B496" s="2"/>
      <c r="C496" s="2"/>
      <c r="D496" s="2"/>
      <c r="E496" s="2"/>
      <c r="F496" s="2"/>
      <c r="G496" s="2"/>
      <c r="H496" s="2"/>
      <c r="I496" s="3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">
      <c r="A497" s="2"/>
      <c r="B497" s="2"/>
      <c r="C497" s="2"/>
      <c r="D497" s="2"/>
      <c r="E497" s="2"/>
      <c r="F497" s="2"/>
      <c r="G497" s="2"/>
      <c r="H497" s="2"/>
      <c r="I497" s="3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">
      <c r="A498" s="2"/>
      <c r="B498" s="2"/>
      <c r="C498" s="2"/>
      <c r="D498" s="2"/>
      <c r="E498" s="2"/>
      <c r="F498" s="2"/>
      <c r="G498" s="2"/>
      <c r="H498" s="2"/>
      <c r="I498" s="3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">
      <c r="A499" s="2"/>
      <c r="B499" s="2"/>
      <c r="C499" s="2"/>
      <c r="D499" s="2"/>
      <c r="E499" s="2"/>
      <c r="F499" s="2"/>
      <c r="G499" s="2"/>
      <c r="H499" s="2"/>
      <c r="I499" s="3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">
      <c r="A500" s="2"/>
      <c r="B500" s="2"/>
      <c r="C500" s="2"/>
      <c r="D500" s="2"/>
      <c r="E500" s="2"/>
      <c r="F500" s="2"/>
      <c r="G500" s="2"/>
      <c r="H500" s="2"/>
      <c r="I500" s="3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">
      <c r="A501" s="2"/>
      <c r="B501" s="2"/>
      <c r="C501" s="2"/>
      <c r="D501" s="2"/>
      <c r="E501" s="2"/>
      <c r="F501" s="2"/>
      <c r="G501" s="2"/>
      <c r="H501" s="2"/>
      <c r="I501" s="3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">
      <c r="A502" s="2"/>
      <c r="B502" s="2"/>
      <c r="C502" s="2"/>
      <c r="D502" s="2"/>
      <c r="E502" s="2"/>
      <c r="F502" s="2"/>
      <c r="G502" s="2"/>
      <c r="H502" s="2"/>
      <c r="I502" s="3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">
      <c r="A503" s="2"/>
      <c r="B503" s="2"/>
      <c r="C503" s="2"/>
      <c r="D503" s="2"/>
      <c r="E503" s="2"/>
      <c r="F503" s="2"/>
      <c r="G503" s="2"/>
      <c r="H503" s="2"/>
      <c r="I503" s="3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">
      <c r="A504" s="2"/>
      <c r="B504" s="2"/>
      <c r="C504" s="2"/>
      <c r="D504" s="2"/>
      <c r="E504" s="2"/>
      <c r="F504" s="2"/>
      <c r="G504" s="2"/>
      <c r="H504" s="2"/>
      <c r="I504" s="3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">
      <c r="A505" s="2"/>
      <c r="B505" s="2"/>
      <c r="C505" s="2"/>
      <c r="D505" s="2"/>
      <c r="E505" s="2"/>
      <c r="F505" s="2"/>
      <c r="G505" s="2"/>
      <c r="H505" s="2"/>
      <c r="I505" s="3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">
      <c r="A506" s="2"/>
      <c r="B506" s="2"/>
      <c r="C506" s="2"/>
      <c r="D506" s="2"/>
      <c r="E506" s="2"/>
      <c r="F506" s="2"/>
      <c r="G506" s="2"/>
      <c r="H506" s="2"/>
      <c r="I506" s="3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">
      <c r="A507" s="2"/>
      <c r="B507" s="2"/>
      <c r="C507" s="2"/>
      <c r="D507" s="2"/>
      <c r="E507" s="2"/>
      <c r="F507" s="2"/>
      <c r="G507" s="2"/>
      <c r="H507" s="2"/>
      <c r="I507" s="3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">
      <c r="A508" s="2"/>
      <c r="B508" s="2"/>
      <c r="C508" s="2"/>
      <c r="D508" s="2"/>
      <c r="E508" s="2"/>
      <c r="F508" s="2"/>
      <c r="G508" s="2"/>
      <c r="H508" s="2"/>
      <c r="I508" s="3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">
      <c r="A509" s="2"/>
      <c r="B509" s="2"/>
      <c r="C509" s="2"/>
      <c r="D509" s="2"/>
      <c r="E509" s="2"/>
      <c r="F509" s="2"/>
      <c r="G509" s="2"/>
      <c r="H509" s="2"/>
      <c r="I509" s="3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">
      <c r="A510" s="2"/>
      <c r="B510" s="2"/>
      <c r="C510" s="2"/>
      <c r="D510" s="2"/>
      <c r="E510" s="2"/>
      <c r="F510" s="2"/>
      <c r="G510" s="2"/>
      <c r="H510" s="2"/>
      <c r="I510" s="36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">
      <c r="A511" s="2"/>
      <c r="B511" s="2"/>
      <c r="C511" s="2"/>
      <c r="D511" s="2"/>
      <c r="E511" s="2"/>
      <c r="F511" s="2"/>
      <c r="G511" s="2"/>
      <c r="H511" s="2"/>
      <c r="I511" s="36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">
      <c r="A512" s="2"/>
      <c r="B512" s="2"/>
      <c r="C512" s="2"/>
      <c r="D512" s="2"/>
      <c r="E512" s="2"/>
      <c r="F512" s="2"/>
      <c r="G512" s="2"/>
      <c r="H512" s="2"/>
      <c r="I512" s="3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">
      <c r="A513" s="2"/>
      <c r="B513" s="2"/>
      <c r="C513" s="2"/>
      <c r="D513" s="2"/>
      <c r="E513" s="2"/>
      <c r="F513" s="2"/>
      <c r="G513" s="2"/>
      <c r="H513" s="2"/>
      <c r="I513" s="3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">
      <c r="A514" s="2"/>
      <c r="B514" s="2"/>
      <c r="C514" s="2"/>
      <c r="D514" s="2"/>
      <c r="E514" s="2"/>
      <c r="F514" s="2"/>
      <c r="G514" s="2"/>
      <c r="H514" s="2"/>
      <c r="I514" s="3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">
      <c r="A515" s="2"/>
      <c r="B515" s="2"/>
      <c r="C515" s="2"/>
      <c r="D515" s="2"/>
      <c r="E515" s="2"/>
      <c r="F515" s="2"/>
      <c r="G515" s="2"/>
      <c r="H515" s="2"/>
      <c r="I515" s="3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">
      <c r="A516" s="2"/>
      <c r="B516" s="2"/>
      <c r="C516" s="2"/>
      <c r="D516" s="2"/>
      <c r="E516" s="2"/>
      <c r="F516" s="2"/>
      <c r="G516" s="2"/>
      <c r="H516" s="2"/>
      <c r="I516" s="36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">
      <c r="A517" s="2"/>
      <c r="B517" s="2"/>
      <c r="C517" s="2"/>
      <c r="D517" s="2"/>
      <c r="E517" s="2"/>
      <c r="F517" s="2"/>
      <c r="G517" s="2"/>
      <c r="H517" s="2"/>
      <c r="I517" s="36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">
      <c r="A518" s="2"/>
      <c r="B518" s="2"/>
      <c r="C518" s="2"/>
      <c r="D518" s="2"/>
      <c r="E518" s="2"/>
      <c r="F518" s="2"/>
      <c r="G518" s="2"/>
      <c r="H518" s="2"/>
      <c r="I518" s="3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">
      <c r="A519" s="2"/>
      <c r="B519" s="2"/>
      <c r="C519" s="2"/>
      <c r="D519" s="2"/>
      <c r="E519" s="2"/>
      <c r="F519" s="2"/>
      <c r="G519" s="2"/>
      <c r="H519" s="2"/>
      <c r="I519" s="3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">
      <c r="A520" s="2"/>
      <c r="B520" s="2"/>
      <c r="C520" s="2"/>
      <c r="D520" s="2"/>
      <c r="E520" s="2"/>
      <c r="F520" s="2"/>
      <c r="G520" s="2"/>
      <c r="H520" s="2"/>
      <c r="I520" s="3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">
      <c r="A521" s="2"/>
      <c r="B521" s="2"/>
      <c r="C521" s="2"/>
      <c r="D521" s="2"/>
      <c r="E521" s="2"/>
      <c r="F521" s="2"/>
      <c r="G521" s="2"/>
      <c r="H521" s="2"/>
      <c r="I521" s="3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">
      <c r="A522" s="2"/>
      <c r="B522" s="2"/>
      <c r="C522" s="2"/>
      <c r="D522" s="2"/>
      <c r="E522" s="2"/>
      <c r="F522" s="2"/>
      <c r="G522" s="2"/>
      <c r="H522" s="2"/>
      <c r="I522" s="36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">
      <c r="A523" s="2"/>
      <c r="B523" s="2"/>
      <c r="C523" s="2"/>
      <c r="D523" s="2"/>
      <c r="E523" s="2"/>
      <c r="F523" s="2"/>
      <c r="G523" s="2"/>
      <c r="H523" s="2"/>
      <c r="I523" s="36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">
      <c r="A524" s="2"/>
      <c r="B524" s="2"/>
      <c r="C524" s="2"/>
      <c r="D524" s="2"/>
      <c r="E524" s="2"/>
      <c r="F524" s="2"/>
      <c r="G524" s="2"/>
      <c r="H524" s="2"/>
      <c r="I524" s="3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">
      <c r="A525" s="2"/>
      <c r="B525" s="2"/>
      <c r="C525" s="2"/>
      <c r="D525" s="2"/>
      <c r="E525" s="2"/>
      <c r="F525" s="2"/>
      <c r="G525" s="2"/>
      <c r="H525" s="2"/>
      <c r="I525" s="3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">
      <c r="A526" s="2"/>
      <c r="B526" s="2"/>
      <c r="C526" s="2"/>
      <c r="D526" s="2"/>
      <c r="E526" s="2"/>
      <c r="F526" s="2"/>
      <c r="G526" s="2"/>
      <c r="H526" s="2"/>
      <c r="I526" s="3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">
      <c r="A527" s="2"/>
      <c r="B527" s="2"/>
      <c r="C527" s="2"/>
      <c r="D527" s="2"/>
      <c r="E527" s="2"/>
      <c r="F527" s="2"/>
      <c r="G527" s="2"/>
      <c r="H527" s="2"/>
      <c r="I527" s="36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">
      <c r="A528" s="2"/>
      <c r="B528" s="2"/>
      <c r="C528" s="2"/>
      <c r="D528" s="2"/>
      <c r="E528" s="2"/>
      <c r="F528" s="2"/>
      <c r="G528" s="2"/>
      <c r="H528" s="2"/>
      <c r="I528" s="36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">
      <c r="A529" s="2"/>
      <c r="B529" s="2"/>
      <c r="C529" s="2"/>
      <c r="D529" s="2"/>
      <c r="E529" s="2"/>
      <c r="F529" s="2"/>
      <c r="G529" s="2"/>
      <c r="H529" s="2"/>
      <c r="I529" s="3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">
      <c r="A530" s="2"/>
      <c r="B530" s="2"/>
      <c r="C530" s="2"/>
      <c r="D530" s="2"/>
      <c r="E530" s="2"/>
      <c r="F530" s="2"/>
      <c r="G530" s="2"/>
      <c r="H530" s="2"/>
      <c r="I530" s="3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">
      <c r="A531" s="2"/>
      <c r="B531" s="2"/>
      <c r="C531" s="2"/>
      <c r="D531" s="2"/>
      <c r="E531" s="2"/>
      <c r="F531" s="2"/>
      <c r="G531" s="2"/>
      <c r="H531" s="2"/>
      <c r="I531" s="3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">
      <c r="A532" s="2"/>
      <c r="B532" s="2"/>
      <c r="C532" s="2"/>
      <c r="D532" s="2"/>
      <c r="E532" s="2"/>
      <c r="F532" s="2"/>
      <c r="G532" s="2"/>
      <c r="H532" s="2"/>
      <c r="I532" s="3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">
      <c r="A533" s="2"/>
      <c r="B533" s="2"/>
      <c r="C533" s="2"/>
      <c r="D533" s="2"/>
      <c r="E533" s="2"/>
      <c r="F533" s="2"/>
      <c r="G533" s="2"/>
      <c r="H533" s="2"/>
      <c r="I533" s="3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">
      <c r="A534" s="2"/>
      <c r="B534" s="2"/>
      <c r="C534" s="2"/>
      <c r="D534" s="2"/>
      <c r="E534" s="2"/>
      <c r="F534" s="2"/>
      <c r="G534" s="2"/>
      <c r="H534" s="2"/>
      <c r="I534" s="3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">
      <c r="A535" s="2"/>
      <c r="B535" s="2"/>
      <c r="C535" s="2"/>
      <c r="D535" s="2"/>
      <c r="E535" s="2"/>
      <c r="F535" s="2"/>
      <c r="G535" s="2"/>
      <c r="H535" s="2"/>
      <c r="I535" s="3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">
      <c r="A536" s="2"/>
      <c r="B536" s="2"/>
      <c r="C536" s="2"/>
      <c r="D536" s="2"/>
      <c r="E536" s="2"/>
      <c r="F536" s="2"/>
      <c r="G536" s="2"/>
      <c r="H536" s="2"/>
      <c r="I536" s="3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">
      <c r="A537" s="2"/>
      <c r="B537" s="2"/>
      <c r="C537" s="2"/>
      <c r="D537" s="2"/>
      <c r="E537" s="2"/>
      <c r="F537" s="2"/>
      <c r="G537" s="2"/>
      <c r="H537" s="2"/>
      <c r="I537" s="3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">
      <c r="A538" s="2"/>
      <c r="B538" s="2"/>
      <c r="C538" s="2"/>
      <c r="D538" s="2"/>
      <c r="E538" s="2"/>
      <c r="F538" s="2"/>
      <c r="G538" s="2"/>
      <c r="H538" s="2"/>
      <c r="I538" s="3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">
      <c r="A539" s="2"/>
      <c r="B539" s="2"/>
      <c r="C539" s="2"/>
      <c r="D539" s="2"/>
      <c r="E539" s="2"/>
      <c r="F539" s="2"/>
      <c r="G539" s="2"/>
      <c r="H539" s="2"/>
      <c r="I539" s="3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">
      <c r="A540" s="2"/>
      <c r="B540" s="2"/>
      <c r="C540" s="2"/>
      <c r="D540" s="2"/>
      <c r="E540" s="2"/>
      <c r="F540" s="2"/>
      <c r="G540" s="2"/>
      <c r="H540" s="2"/>
      <c r="I540" s="3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">
      <c r="A541" s="2"/>
      <c r="B541" s="2"/>
      <c r="C541" s="2"/>
      <c r="D541" s="2"/>
      <c r="E541" s="2"/>
      <c r="F541" s="2"/>
      <c r="G541" s="2"/>
      <c r="H541" s="2"/>
      <c r="I541" s="3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">
      <c r="A542" s="2"/>
      <c r="B542" s="2"/>
      <c r="C542" s="2"/>
      <c r="D542" s="2"/>
      <c r="E542" s="2"/>
      <c r="F542" s="2"/>
      <c r="G542" s="2"/>
      <c r="H542" s="2"/>
      <c r="I542" s="3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">
      <c r="A543" s="2"/>
      <c r="B543" s="2"/>
      <c r="C543" s="2"/>
      <c r="D543" s="2"/>
      <c r="E543" s="2"/>
      <c r="F543" s="2"/>
      <c r="G543" s="2"/>
      <c r="H543" s="2"/>
      <c r="I543" s="3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">
      <c r="A544" s="2"/>
      <c r="B544" s="2"/>
      <c r="C544" s="2"/>
      <c r="D544" s="2"/>
      <c r="E544" s="2"/>
      <c r="F544" s="2"/>
      <c r="G544" s="2"/>
      <c r="H544" s="2"/>
      <c r="I544" s="3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">
      <c r="A545" s="2"/>
      <c r="B545" s="2"/>
      <c r="C545" s="2"/>
      <c r="D545" s="2"/>
      <c r="E545" s="2"/>
      <c r="F545" s="2"/>
      <c r="G545" s="2"/>
      <c r="H545" s="2"/>
      <c r="I545" s="3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">
      <c r="A546" s="2"/>
      <c r="B546" s="2"/>
      <c r="C546" s="2"/>
      <c r="D546" s="2"/>
      <c r="E546" s="2"/>
      <c r="F546" s="2"/>
      <c r="G546" s="2"/>
      <c r="H546" s="2"/>
      <c r="I546" s="3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">
      <c r="A547" s="2"/>
      <c r="B547" s="2"/>
      <c r="C547" s="2"/>
      <c r="D547" s="2"/>
      <c r="E547" s="2"/>
      <c r="F547" s="2"/>
      <c r="G547" s="2"/>
      <c r="H547" s="2"/>
      <c r="I547" s="36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">
      <c r="A548" s="2"/>
      <c r="B548" s="2"/>
      <c r="C548" s="2"/>
      <c r="D548" s="2"/>
      <c r="E548" s="2"/>
      <c r="F548" s="2"/>
      <c r="G548" s="2"/>
      <c r="H548" s="2"/>
      <c r="I548" s="36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">
      <c r="A549" s="2"/>
      <c r="B549" s="2"/>
      <c r="C549" s="2"/>
      <c r="D549" s="2"/>
      <c r="E549" s="2"/>
      <c r="F549" s="2"/>
      <c r="G549" s="2"/>
      <c r="H549" s="2"/>
      <c r="I549" s="36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">
      <c r="A550" s="2"/>
      <c r="B550" s="2"/>
      <c r="C550" s="2"/>
      <c r="D550" s="2"/>
      <c r="E550" s="2"/>
      <c r="F550" s="2"/>
      <c r="G550" s="2"/>
      <c r="H550" s="2"/>
      <c r="I550" s="36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">
      <c r="A551" s="2"/>
      <c r="B551" s="2"/>
      <c r="C551" s="2"/>
      <c r="D551" s="2"/>
      <c r="E551" s="2"/>
      <c r="F551" s="2"/>
      <c r="G551" s="2"/>
      <c r="H551" s="2"/>
      <c r="I551" s="36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">
      <c r="A552" s="2"/>
      <c r="B552" s="2"/>
      <c r="C552" s="2"/>
      <c r="D552" s="2"/>
      <c r="E552" s="2"/>
      <c r="F552" s="2"/>
      <c r="G552" s="2"/>
      <c r="H552" s="2"/>
      <c r="I552" s="36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">
      <c r="A553" s="2"/>
      <c r="B553" s="2"/>
      <c r="C553" s="2"/>
      <c r="D553" s="2"/>
      <c r="E553" s="2"/>
      <c r="F553" s="2"/>
      <c r="G553" s="2"/>
      <c r="H553" s="2"/>
      <c r="I553" s="36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">
      <c r="A554" s="2"/>
      <c r="B554" s="2"/>
      <c r="C554" s="2"/>
      <c r="D554" s="2"/>
      <c r="E554" s="2"/>
      <c r="F554" s="2"/>
      <c r="G554" s="2"/>
      <c r="H554" s="2"/>
      <c r="I554" s="36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">
      <c r="A555" s="2"/>
      <c r="B555" s="2"/>
      <c r="C555" s="2"/>
      <c r="D555" s="2"/>
      <c r="E555" s="2"/>
      <c r="F555" s="2"/>
      <c r="G555" s="2"/>
      <c r="H555" s="2"/>
      <c r="I555" s="3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">
      <c r="A556" s="2"/>
      <c r="B556" s="2"/>
      <c r="C556" s="2"/>
      <c r="D556" s="2"/>
      <c r="E556" s="2"/>
      <c r="F556" s="2"/>
      <c r="G556" s="2"/>
      <c r="H556" s="2"/>
      <c r="I556" s="3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">
      <c r="A557" s="2"/>
      <c r="B557" s="2"/>
      <c r="C557" s="2"/>
      <c r="D557" s="2"/>
      <c r="E557" s="2"/>
      <c r="F557" s="2"/>
      <c r="G557" s="2"/>
      <c r="H557" s="2"/>
      <c r="I557" s="3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">
      <c r="A558" s="2"/>
      <c r="B558" s="2"/>
      <c r="C558" s="2"/>
      <c r="D558" s="2"/>
      <c r="E558" s="2"/>
      <c r="F558" s="2"/>
      <c r="G558" s="2"/>
      <c r="H558" s="2"/>
      <c r="I558" s="3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">
      <c r="A559" s="2"/>
      <c r="B559" s="2"/>
      <c r="C559" s="2"/>
      <c r="D559" s="2"/>
      <c r="E559" s="2"/>
      <c r="F559" s="2"/>
      <c r="G559" s="2"/>
      <c r="H559" s="2"/>
      <c r="I559" s="3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">
      <c r="A560" s="2"/>
      <c r="B560" s="2"/>
      <c r="C560" s="2"/>
      <c r="D560" s="2"/>
      <c r="E560" s="2"/>
      <c r="F560" s="2"/>
      <c r="G560" s="2"/>
      <c r="H560" s="2"/>
      <c r="I560" s="3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">
      <c r="A561" s="2"/>
      <c r="B561" s="2"/>
      <c r="C561" s="2"/>
      <c r="D561" s="2"/>
      <c r="E561" s="2"/>
      <c r="F561" s="2"/>
      <c r="G561" s="2"/>
      <c r="H561" s="2"/>
      <c r="I561" s="3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">
      <c r="A562" s="2"/>
      <c r="B562" s="2"/>
      <c r="C562" s="2"/>
      <c r="D562" s="2"/>
      <c r="E562" s="2"/>
      <c r="F562" s="2"/>
      <c r="G562" s="2"/>
      <c r="H562" s="2"/>
      <c r="I562" s="3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">
      <c r="A563" s="2"/>
      <c r="B563" s="2"/>
      <c r="C563" s="2"/>
      <c r="D563" s="2"/>
      <c r="E563" s="2"/>
      <c r="F563" s="2"/>
      <c r="G563" s="2"/>
      <c r="H563" s="2"/>
      <c r="I563" s="3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">
      <c r="A564" s="2"/>
      <c r="B564" s="2"/>
      <c r="C564" s="2"/>
      <c r="D564" s="2"/>
      <c r="E564" s="2"/>
      <c r="F564" s="2"/>
      <c r="G564" s="2"/>
      <c r="H564" s="2"/>
      <c r="I564" s="3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">
      <c r="A565" s="2"/>
      <c r="B565" s="2"/>
      <c r="C565" s="2"/>
      <c r="D565" s="2"/>
      <c r="E565" s="2"/>
      <c r="F565" s="2"/>
      <c r="G565" s="2"/>
      <c r="H565" s="2"/>
      <c r="I565" s="3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">
      <c r="A566" s="2"/>
      <c r="B566" s="2"/>
      <c r="C566" s="2"/>
      <c r="D566" s="2"/>
      <c r="E566" s="2"/>
      <c r="F566" s="2"/>
      <c r="G566" s="2"/>
      <c r="H566" s="2"/>
      <c r="I566" s="3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">
      <c r="A567" s="2"/>
      <c r="B567" s="2"/>
      <c r="C567" s="2"/>
      <c r="D567" s="2"/>
      <c r="E567" s="2"/>
      <c r="F567" s="2"/>
      <c r="G567" s="2"/>
      <c r="H567" s="2"/>
      <c r="I567" s="3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">
      <c r="A568" s="2"/>
      <c r="B568" s="2"/>
      <c r="C568" s="2"/>
      <c r="D568" s="2"/>
      <c r="E568" s="2"/>
      <c r="F568" s="2"/>
      <c r="G568" s="2"/>
      <c r="H568" s="2"/>
      <c r="I568" s="3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">
      <c r="A569" s="2"/>
      <c r="B569" s="2"/>
      <c r="C569" s="2"/>
      <c r="D569" s="2"/>
      <c r="E569" s="2"/>
      <c r="F569" s="2"/>
      <c r="G569" s="2"/>
      <c r="H569" s="2"/>
      <c r="I569" s="36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">
      <c r="A570" s="2"/>
      <c r="B570" s="2"/>
      <c r="C570" s="2"/>
      <c r="D570" s="2"/>
      <c r="E570" s="2"/>
      <c r="F570" s="2"/>
      <c r="G570" s="2"/>
      <c r="H570" s="2"/>
      <c r="I570" s="36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">
      <c r="A571" s="2"/>
      <c r="B571" s="2"/>
      <c r="C571" s="2"/>
      <c r="D571" s="2"/>
      <c r="E571" s="2"/>
      <c r="F571" s="2"/>
      <c r="G571" s="2"/>
      <c r="H571" s="2"/>
      <c r="I571" s="36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">
      <c r="A572" s="2"/>
      <c r="B572" s="2"/>
      <c r="C572" s="2"/>
      <c r="D572" s="2"/>
      <c r="E572" s="2"/>
      <c r="F572" s="2"/>
      <c r="G572" s="2"/>
      <c r="H572" s="2"/>
      <c r="I572" s="36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">
      <c r="A573" s="2"/>
      <c r="B573" s="2"/>
      <c r="C573" s="2"/>
      <c r="D573" s="2"/>
      <c r="E573" s="2"/>
      <c r="F573" s="2"/>
      <c r="G573" s="2"/>
      <c r="H573" s="2"/>
      <c r="I573" s="3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">
      <c r="A574" s="2"/>
      <c r="B574" s="2"/>
      <c r="C574" s="2"/>
      <c r="D574" s="2"/>
      <c r="E574" s="2"/>
      <c r="F574" s="2"/>
      <c r="G574" s="2"/>
      <c r="H574" s="2"/>
      <c r="I574" s="3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">
      <c r="A575" s="2"/>
      <c r="B575" s="2"/>
      <c r="C575" s="2"/>
      <c r="D575" s="2"/>
      <c r="E575" s="2"/>
      <c r="F575" s="2"/>
      <c r="G575" s="2"/>
      <c r="H575" s="2"/>
      <c r="I575" s="3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">
      <c r="A576" s="2"/>
      <c r="B576" s="2"/>
      <c r="C576" s="2"/>
      <c r="D576" s="2"/>
      <c r="E576" s="2"/>
      <c r="F576" s="2"/>
      <c r="G576" s="2"/>
      <c r="H576" s="2"/>
      <c r="I576" s="3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">
      <c r="A577" s="2"/>
      <c r="B577" s="2"/>
      <c r="C577" s="2"/>
      <c r="D577" s="2"/>
      <c r="E577" s="2"/>
      <c r="F577" s="2"/>
      <c r="G577" s="2"/>
      <c r="H577" s="2"/>
      <c r="I577" s="3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">
      <c r="A578" s="2"/>
      <c r="B578" s="2"/>
      <c r="C578" s="2"/>
      <c r="D578" s="2"/>
      <c r="E578" s="2"/>
      <c r="F578" s="2"/>
      <c r="G578" s="2"/>
      <c r="H578" s="2"/>
      <c r="I578" s="3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">
      <c r="A579" s="2"/>
      <c r="B579" s="2"/>
      <c r="C579" s="2"/>
      <c r="D579" s="2"/>
      <c r="E579" s="2"/>
      <c r="F579" s="2"/>
      <c r="G579" s="2"/>
      <c r="H579" s="2"/>
      <c r="I579" s="3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">
      <c r="A580" s="2"/>
      <c r="B580" s="2"/>
      <c r="C580" s="2"/>
      <c r="D580" s="2"/>
      <c r="E580" s="2"/>
      <c r="F580" s="2"/>
      <c r="G580" s="2"/>
      <c r="H580" s="2"/>
      <c r="I580" s="3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">
      <c r="A581" s="2"/>
      <c r="B581" s="2"/>
      <c r="C581" s="2"/>
      <c r="D581" s="2"/>
      <c r="E581" s="2"/>
      <c r="F581" s="2"/>
      <c r="G581" s="2"/>
      <c r="H581" s="2"/>
      <c r="I581" s="3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">
      <c r="A582" s="2"/>
      <c r="B582" s="2"/>
      <c r="C582" s="2"/>
      <c r="D582" s="2"/>
      <c r="E582" s="2"/>
      <c r="F582" s="2"/>
      <c r="G582" s="2"/>
      <c r="H582" s="2"/>
      <c r="I582" s="3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">
      <c r="A583" s="2"/>
      <c r="B583" s="2"/>
      <c r="C583" s="2"/>
      <c r="D583" s="2"/>
      <c r="E583" s="2"/>
      <c r="F583" s="2"/>
      <c r="G583" s="2"/>
      <c r="H583" s="2"/>
      <c r="I583" s="3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">
      <c r="A584" s="2"/>
      <c r="B584" s="2"/>
      <c r="C584" s="2"/>
      <c r="D584" s="2"/>
      <c r="E584" s="2"/>
      <c r="F584" s="2"/>
      <c r="G584" s="2"/>
      <c r="H584" s="2"/>
      <c r="I584" s="36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">
      <c r="A585" s="2"/>
      <c r="B585" s="2"/>
      <c r="C585" s="2"/>
      <c r="D585" s="2"/>
      <c r="E585" s="2"/>
      <c r="F585" s="2"/>
      <c r="G585" s="2"/>
      <c r="H585" s="2"/>
      <c r="I585" s="36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">
      <c r="A586" s="2"/>
      <c r="B586" s="2"/>
      <c r="C586" s="2"/>
      <c r="D586" s="2"/>
      <c r="E586" s="2"/>
      <c r="F586" s="2"/>
      <c r="G586" s="2"/>
      <c r="H586" s="2"/>
      <c r="I586" s="36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">
      <c r="A587" s="2"/>
      <c r="B587" s="2"/>
      <c r="C587" s="2"/>
      <c r="D587" s="2"/>
      <c r="E587" s="2"/>
      <c r="F587" s="2"/>
      <c r="G587" s="2"/>
      <c r="H587" s="2"/>
      <c r="I587" s="36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">
      <c r="A588" s="2"/>
      <c r="B588" s="2"/>
      <c r="C588" s="2"/>
      <c r="D588" s="2"/>
      <c r="E588" s="2"/>
      <c r="F588" s="2"/>
      <c r="G588" s="2"/>
      <c r="H588" s="2"/>
      <c r="I588" s="36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">
      <c r="A589" s="2"/>
      <c r="B589" s="2"/>
      <c r="C589" s="2"/>
      <c r="D589" s="2"/>
      <c r="E589" s="2"/>
      <c r="F589" s="2"/>
      <c r="G589" s="2"/>
      <c r="H589" s="2"/>
      <c r="I589" s="36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">
      <c r="A590" s="2"/>
      <c r="B590" s="2"/>
      <c r="C590" s="2"/>
      <c r="D590" s="2"/>
      <c r="E590" s="2"/>
      <c r="F590" s="2"/>
      <c r="G590" s="2"/>
      <c r="H590" s="2"/>
      <c r="I590" s="36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">
      <c r="A591" s="2"/>
      <c r="B591" s="2"/>
      <c r="C591" s="2"/>
      <c r="D591" s="2"/>
      <c r="E591" s="2"/>
      <c r="F591" s="2"/>
      <c r="G591" s="2"/>
      <c r="H591" s="2"/>
      <c r="I591" s="3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">
      <c r="A592" s="2"/>
      <c r="B592" s="2"/>
      <c r="C592" s="2"/>
      <c r="D592" s="2"/>
      <c r="E592" s="2"/>
      <c r="F592" s="2"/>
      <c r="G592" s="2"/>
      <c r="H592" s="2"/>
      <c r="I592" s="3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">
      <c r="A593" s="2"/>
      <c r="B593" s="2"/>
      <c r="C593" s="2"/>
      <c r="D593" s="2"/>
      <c r="E593" s="2"/>
      <c r="F593" s="2"/>
      <c r="G593" s="2"/>
      <c r="H593" s="2"/>
      <c r="I593" s="3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">
      <c r="A594" s="2"/>
      <c r="B594" s="2"/>
      <c r="C594" s="2"/>
      <c r="D594" s="2"/>
      <c r="E594" s="2"/>
      <c r="F594" s="2"/>
      <c r="G594" s="2"/>
      <c r="H594" s="2"/>
      <c r="I594" s="3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">
      <c r="A595" s="2"/>
      <c r="B595" s="2"/>
      <c r="C595" s="2"/>
      <c r="D595" s="2"/>
      <c r="E595" s="2"/>
      <c r="F595" s="2"/>
      <c r="G595" s="2"/>
      <c r="H595" s="2"/>
      <c r="I595" s="36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">
      <c r="A596" s="2"/>
      <c r="B596" s="2"/>
      <c r="C596" s="2"/>
      <c r="D596" s="2"/>
      <c r="E596" s="2"/>
      <c r="F596" s="2"/>
      <c r="G596" s="2"/>
      <c r="H596" s="2"/>
      <c r="I596" s="36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">
      <c r="A597" s="2"/>
      <c r="B597" s="2"/>
      <c r="C597" s="2"/>
      <c r="D597" s="2"/>
      <c r="E597" s="2"/>
      <c r="F597" s="2"/>
      <c r="G597" s="2"/>
      <c r="H597" s="2"/>
      <c r="I597" s="36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">
      <c r="A598" s="2"/>
      <c r="B598" s="2"/>
      <c r="C598" s="2"/>
      <c r="D598" s="2"/>
      <c r="E598" s="2"/>
      <c r="F598" s="2"/>
      <c r="G598" s="2"/>
      <c r="H598" s="2"/>
      <c r="I598" s="36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">
      <c r="A599" s="2"/>
      <c r="B599" s="2"/>
      <c r="C599" s="2"/>
      <c r="D599" s="2"/>
      <c r="E599" s="2"/>
      <c r="F599" s="2"/>
      <c r="G599" s="2"/>
      <c r="H599" s="2"/>
      <c r="I599" s="36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">
      <c r="A600" s="2"/>
      <c r="B600" s="2"/>
      <c r="C600" s="2"/>
      <c r="D600" s="2"/>
      <c r="E600" s="2"/>
      <c r="F600" s="2"/>
      <c r="G600" s="2"/>
      <c r="H600" s="2"/>
      <c r="I600" s="36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">
      <c r="A601" s="2"/>
      <c r="B601" s="2"/>
      <c r="C601" s="2"/>
      <c r="D601" s="2"/>
      <c r="E601" s="2"/>
      <c r="F601" s="2"/>
      <c r="G601" s="2"/>
      <c r="H601" s="2"/>
      <c r="I601" s="36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">
      <c r="A602" s="2"/>
      <c r="B602" s="2"/>
      <c r="C602" s="2"/>
      <c r="D602" s="2"/>
      <c r="E602" s="2"/>
      <c r="F602" s="2"/>
      <c r="G602" s="2"/>
      <c r="H602" s="2"/>
      <c r="I602" s="36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">
      <c r="A603" s="2"/>
      <c r="B603" s="2"/>
      <c r="C603" s="2"/>
      <c r="D603" s="2"/>
      <c r="E603" s="2"/>
      <c r="F603" s="2"/>
      <c r="G603" s="2"/>
      <c r="H603" s="2"/>
      <c r="I603" s="36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">
      <c r="A604" s="2"/>
      <c r="B604" s="2"/>
      <c r="C604" s="2"/>
      <c r="D604" s="2"/>
      <c r="E604" s="2"/>
      <c r="F604" s="2"/>
      <c r="G604" s="2"/>
      <c r="H604" s="2"/>
      <c r="I604" s="36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">
      <c r="A605" s="2"/>
      <c r="B605" s="2"/>
      <c r="C605" s="2"/>
      <c r="D605" s="2"/>
      <c r="E605" s="2"/>
      <c r="F605" s="2"/>
      <c r="G605" s="2"/>
      <c r="H605" s="2"/>
      <c r="I605" s="36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">
      <c r="A606" s="2"/>
      <c r="B606" s="2"/>
      <c r="C606" s="2"/>
      <c r="D606" s="2"/>
      <c r="E606" s="2"/>
      <c r="F606" s="2"/>
      <c r="G606" s="2"/>
      <c r="H606" s="2"/>
      <c r="I606" s="36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">
      <c r="A607" s="2"/>
      <c r="B607" s="2"/>
      <c r="C607" s="2"/>
      <c r="D607" s="2"/>
      <c r="E607" s="2"/>
      <c r="F607" s="2"/>
      <c r="G607" s="2"/>
      <c r="H607" s="2"/>
      <c r="I607" s="3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">
      <c r="A608" s="2"/>
      <c r="B608" s="2"/>
      <c r="C608" s="2"/>
      <c r="D608" s="2"/>
      <c r="E608" s="2"/>
      <c r="F608" s="2"/>
      <c r="G608" s="2"/>
      <c r="H608" s="2"/>
      <c r="I608" s="3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">
      <c r="A609" s="2"/>
      <c r="B609" s="2"/>
      <c r="C609" s="2"/>
      <c r="D609" s="2"/>
      <c r="E609" s="2"/>
      <c r="F609" s="2"/>
      <c r="G609" s="2"/>
      <c r="H609" s="2"/>
      <c r="I609" s="3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">
      <c r="A610" s="2"/>
      <c r="B610" s="2"/>
      <c r="C610" s="2"/>
      <c r="D610" s="2"/>
      <c r="E610" s="2"/>
      <c r="F610" s="2"/>
      <c r="G610" s="2"/>
      <c r="H610" s="2"/>
      <c r="I610" s="3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">
      <c r="A611" s="2"/>
      <c r="B611" s="2"/>
      <c r="C611" s="2"/>
      <c r="D611" s="2"/>
      <c r="E611" s="2"/>
      <c r="F611" s="2"/>
      <c r="G611" s="2"/>
      <c r="H611" s="2"/>
      <c r="I611" s="3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">
      <c r="A612" s="2"/>
      <c r="B612" s="2"/>
      <c r="C612" s="2"/>
      <c r="D612" s="2"/>
      <c r="E612" s="2"/>
      <c r="F612" s="2"/>
      <c r="G612" s="2"/>
      <c r="H612" s="2"/>
      <c r="I612" s="36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">
      <c r="A613" s="2"/>
      <c r="B613" s="2"/>
      <c r="C613" s="2"/>
      <c r="D613" s="2"/>
      <c r="E613" s="2"/>
      <c r="F613" s="2"/>
      <c r="G613" s="2"/>
      <c r="H613" s="2"/>
      <c r="I613" s="36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">
      <c r="A614" s="2"/>
      <c r="B614" s="2"/>
      <c r="C614" s="2"/>
      <c r="D614" s="2"/>
      <c r="E614" s="2"/>
      <c r="F614" s="2"/>
      <c r="G614" s="2"/>
      <c r="H614" s="2"/>
      <c r="I614" s="36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">
      <c r="A615" s="2"/>
      <c r="B615" s="2"/>
      <c r="C615" s="2"/>
      <c r="D615" s="2"/>
      <c r="E615" s="2"/>
      <c r="F615" s="2"/>
      <c r="G615" s="2"/>
      <c r="H615" s="2"/>
      <c r="I615" s="36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">
      <c r="A616" s="2"/>
      <c r="B616" s="2"/>
      <c r="C616" s="2"/>
      <c r="D616" s="2"/>
      <c r="E616" s="2"/>
      <c r="F616" s="2"/>
      <c r="G616" s="2"/>
      <c r="H616" s="2"/>
      <c r="I616" s="36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">
      <c r="A617" s="2"/>
      <c r="B617" s="2"/>
      <c r="C617" s="2"/>
      <c r="D617" s="2"/>
      <c r="E617" s="2"/>
      <c r="F617" s="2"/>
      <c r="G617" s="2"/>
      <c r="H617" s="2"/>
      <c r="I617" s="36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">
      <c r="A618" s="2"/>
      <c r="B618" s="2"/>
      <c r="C618" s="2"/>
      <c r="D618" s="2"/>
      <c r="E618" s="2"/>
      <c r="F618" s="2"/>
      <c r="G618" s="2"/>
      <c r="H618" s="2"/>
      <c r="I618" s="36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">
      <c r="A619" s="2"/>
      <c r="B619" s="2"/>
      <c r="C619" s="2"/>
      <c r="D619" s="2"/>
      <c r="E619" s="2"/>
      <c r="F619" s="2"/>
      <c r="G619" s="2"/>
      <c r="H619" s="2"/>
      <c r="I619" s="3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">
      <c r="A620" s="2"/>
      <c r="B620" s="2"/>
      <c r="C620" s="2"/>
      <c r="D620" s="2"/>
      <c r="E620" s="2"/>
      <c r="F620" s="2"/>
      <c r="G620" s="2"/>
      <c r="H620" s="2"/>
      <c r="I620" s="3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">
      <c r="A621" s="2"/>
      <c r="B621" s="2"/>
      <c r="C621" s="2"/>
      <c r="D621" s="2"/>
      <c r="E621" s="2"/>
      <c r="F621" s="2"/>
      <c r="G621" s="2"/>
      <c r="H621" s="2"/>
      <c r="I621" s="3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">
      <c r="A622" s="2"/>
      <c r="B622" s="2"/>
      <c r="C622" s="2"/>
      <c r="D622" s="2"/>
      <c r="E622" s="2"/>
      <c r="F622" s="2"/>
      <c r="G622" s="2"/>
      <c r="H622" s="2"/>
      <c r="I622" s="3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">
      <c r="A623" s="2"/>
      <c r="B623" s="2"/>
      <c r="C623" s="2"/>
      <c r="D623" s="2"/>
      <c r="E623" s="2"/>
      <c r="F623" s="2"/>
      <c r="G623" s="2"/>
      <c r="H623" s="2"/>
      <c r="I623" s="36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">
      <c r="A624" s="2"/>
      <c r="B624" s="2"/>
      <c r="C624" s="2"/>
      <c r="D624" s="2"/>
      <c r="E624" s="2"/>
      <c r="F624" s="2"/>
      <c r="G624" s="2"/>
      <c r="H624" s="2"/>
      <c r="I624" s="36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">
      <c r="A625" s="2"/>
      <c r="B625" s="2"/>
      <c r="C625" s="2"/>
      <c r="D625" s="2"/>
      <c r="E625" s="2"/>
      <c r="F625" s="2"/>
      <c r="G625" s="2"/>
      <c r="H625" s="2"/>
      <c r="I625" s="36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">
      <c r="A626" s="2"/>
      <c r="B626" s="2"/>
      <c r="C626" s="2"/>
      <c r="D626" s="2"/>
      <c r="E626" s="2"/>
      <c r="F626" s="2"/>
      <c r="G626" s="2"/>
      <c r="H626" s="2"/>
      <c r="I626" s="36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">
      <c r="A627" s="2"/>
      <c r="B627" s="2"/>
      <c r="C627" s="2"/>
      <c r="D627" s="2"/>
      <c r="E627" s="2"/>
      <c r="F627" s="2"/>
      <c r="G627" s="2"/>
      <c r="H627" s="2"/>
      <c r="I627" s="36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">
      <c r="A628" s="2"/>
      <c r="B628" s="2"/>
      <c r="C628" s="2"/>
      <c r="D628" s="2"/>
      <c r="E628" s="2"/>
      <c r="F628" s="2"/>
      <c r="G628" s="2"/>
      <c r="H628" s="2"/>
      <c r="I628" s="36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">
      <c r="A629" s="2"/>
      <c r="B629" s="2"/>
      <c r="C629" s="2"/>
      <c r="D629" s="2"/>
      <c r="E629" s="2"/>
      <c r="F629" s="2"/>
      <c r="G629" s="2"/>
      <c r="H629" s="2"/>
      <c r="I629" s="36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">
      <c r="A630" s="2"/>
      <c r="B630" s="2"/>
      <c r="C630" s="2"/>
      <c r="D630" s="2"/>
      <c r="E630" s="2"/>
      <c r="F630" s="2"/>
      <c r="G630" s="2"/>
      <c r="H630" s="2"/>
      <c r="I630" s="36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">
      <c r="A631" s="2"/>
      <c r="B631" s="2"/>
      <c r="C631" s="2"/>
      <c r="D631" s="2"/>
      <c r="E631" s="2"/>
      <c r="F631" s="2"/>
      <c r="G631" s="2"/>
      <c r="H631" s="2"/>
      <c r="I631" s="3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">
      <c r="A632" s="2"/>
      <c r="B632" s="2"/>
      <c r="C632" s="2"/>
      <c r="D632" s="2"/>
      <c r="E632" s="2"/>
      <c r="F632" s="2"/>
      <c r="G632" s="2"/>
      <c r="H632" s="2"/>
      <c r="I632" s="3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">
      <c r="A633" s="2"/>
      <c r="B633" s="2"/>
      <c r="C633" s="2"/>
      <c r="D633" s="2"/>
      <c r="E633" s="2"/>
      <c r="F633" s="2"/>
      <c r="G633" s="2"/>
      <c r="H633" s="2"/>
      <c r="I633" s="3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">
      <c r="A634" s="2"/>
      <c r="B634" s="2"/>
      <c r="C634" s="2"/>
      <c r="D634" s="2"/>
      <c r="E634" s="2"/>
      <c r="F634" s="2"/>
      <c r="G634" s="2"/>
      <c r="H634" s="2"/>
      <c r="I634" s="3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">
      <c r="A635" s="2"/>
      <c r="B635" s="2"/>
      <c r="C635" s="2"/>
      <c r="D635" s="2"/>
      <c r="E635" s="2"/>
      <c r="F635" s="2"/>
      <c r="G635" s="2"/>
      <c r="H635" s="2"/>
      <c r="I635" s="3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">
      <c r="A636" s="2"/>
      <c r="B636" s="2"/>
      <c r="C636" s="2"/>
      <c r="D636" s="2"/>
      <c r="E636" s="2"/>
      <c r="F636" s="2"/>
      <c r="G636" s="2"/>
      <c r="H636" s="2"/>
      <c r="I636" s="3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">
      <c r="A637" s="2"/>
      <c r="B637" s="2"/>
      <c r="C637" s="2"/>
      <c r="D637" s="2"/>
      <c r="E637" s="2"/>
      <c r="F637" s="2"/>
      <c r="G637" s="2"/>
      <c r="H637" s="2"/>
      <c r="I637" s="3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">
      <c r="A638" s="2"/>
      <c r="B638" s="2"/>
      <c r="C638" s="2"/>
      <c r="D638" s="2"/>
      <c r="E638" s="2"/>
      <c r="F638" s="2"/>
      <c r="G638" s="2"/>
      <c r="H638" s="2"/>
      <c r="I638" s="3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">
      <c r="A639" s="2"/>
      <c r="B639" s="2"/>
      <c r="C639" s="2"/>
      <c r="D639" s="2"/>
      <c r="E639" s="2"/>
      <c r="F639" s="2"/>
      <c r="G639" s="2"/>
      <c r="H639" s="2"/>
      <c r="I639" s="3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">
      <c r="A640" s="2"/>
      <c r="B640" s="2"/>
      <c r="C640" s="2"/>
      <c r="D640" s="2"/>
      <c r="E640" s="2"/>
      <c r="F640" s="2"/>
      <c r="G640" s="2"/>
      <c r="H640" s="2"/>
      <c r="I640" s="3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">
      <c r="A641" s="2"/>
      <c r="B641" s="2"/>
      <c r="C641" s="2"/>
      <c r="D641" s="2"/>
      <c r="E641" s="2"/>
      <c r="F641" s="2"/>
      <c r="G641" s="2"/>
      <c r="H641" s="2"/>
      <c r="I641" s="3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">
      <c r="A642" s="2"/>
      <c r="B642" s="2"/>
      <c r="C642" s="2"/>
      <c r="D642" s="2"/>
      <c r="E642" s="2"/>
      <c r="F642" s="2"/>
      <c r="G642" s="2"/>
      <c r="H642" s="2"/>
      <c r="I642" s="3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">
      <c r="A643" s="2"/>
      <c r="B643" s="2"/>
      <c r="C643" s="2"/>
      <c r="D643" s="2"/>
      <c r="E643" s="2"/>
      <c r="F643" s="2"/>
      <c r="G643" s="2"/>
      <c r="H643" s="2"/>
      <c r="I643" s="36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">
      <c r="A644" s="2"/>
      <c r="B644" s="2"/>
      <c r="C644" s="2"/>
      <c r="D644" s="2"/>
      <c r="E644" s="2"/>
      <c r="F644" s="2"/>
      <c r="G644" s="2"/>
      <c r="H644" s="2"/>
      <c r="I644" s="3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">
      <c r="A645" s="2"/>
      <c r="B645" s="2"/>
      <c r="C645" s="2"/>
      <c r="D645" s="2"/>
      <c r="E645" s="2"/>
      <c r="F645" s="2"/>
      <c r="G645" s="2"/>
      <c r="H645" s="2"/>
      <c r="I645" s="3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">
      <c r="A646" s="2"/>
      <c r="B646" s="2"/>
      <c r="C646" s="2"/>
      <c r="D646" s="2"/>
      <c r="E646" s="2"/>
      <c r="F646" s="2"/>
      <c r="G646" s="2"/>
      <c r="H646" s="2"/>
      <c r="I646" s="3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">
      <c r="A647" s="2"/>
      <c r="B647" s="2"/>
      <c r="C647" s="2"/>
      <c r="D647" s="2"/>
      <c r="E647" s="2"/>
      <c r="F647" s="2"/>
      <c r="G647" s="2"/>
      <c r="H647" s="2"/>
      <c r="I647" s="3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">
      <c r="A648" s="2"/>
      <c r="B648" s="2"/>
      <c r="C648" s="2"/>
      <c r="D648" s="2"/>
      <c r="E648" s="2"/>
      <c r="F648" s="2"/>
      <c r="G648" s="2"/>
      <c r="H648" s="2"/>
      <c r="I648" s="3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">
      <c r="A649" s="2"/>
      <c r="B649" s="2"/>
      <c r="C649" s="2"/>
      <c r="D649" s="2"/>
      <c r="E649" s="2"/>
      <c r="F649" s="2"/>
      <c r="G649" s="2"/>
      <c r="H649" s="2"/>
      <c r="I649" s="3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">
      <c r="A650" s="2"/>
      <c r="B650" s="2"/>
      <c r="C650" s="2"/>
      <c r="D650" s="2"/>
      <c r="E650" s="2"/>
      <c r="F650" s="2"/>
      <c r="G650" s="2"/>
      <c r="H650" s="2"/>
      <c r="I650" s="3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">
      <c r="A651" s="2"/>
      <c r="B651" s="2"/>
      <c r="C651" s="2"/>
      <c r="D651" s="2"/>
      <c r="E651" s="2"/>
      <c r="F651" s="2"/>
      <c r="G651" s="2"/>
      <c r="H651" s="2"/>
      <c r="I651" s="3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">
      <c r="A652" s="2"/>
      <c r="B652" s="2"/>
      <c r="C652" s="2"/>
      <c r="D652" s="2"/>
      <c r="E652" s="2"/>
      <c r="F652" s="2"/>
      <c r="G652" s="2"/>
      <c r="H652" s="2"/>
      <c r="I652" s="3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">
      <c r="A653" s="2"/>
      <c r="B653" s="2"/>
      <c r="C653" s="2"/>
      <c r="D653" s="2"/>
      <c r="E653" s="2"/>
      <c r="F653" s="2"/>
      <c r="G653" s="2"/>
      <c r="H653" s="2"/>
      <c r="I653" s="3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">
      <c r="A654" s="2"/>
      <c r="B654" s="2"/>
      <c r="C654" s="2"/>
      <c r="D654" s="2"/>
      <c r="E654" s="2"/>
      <c r="F654" s="2"/>
      <c r="G654" s="2"/>
      <c r="H654" s="2"/>
      <c r="I654" s="3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">
      <c r="A655" s="2"/>
      <c r="B655" s="2"/>
      <c r="C655" s="2"/>
      <c r="D655" s="2"/>
      <c r="E655" s="2"/>
      <c r="F655" s="2"/>
      <c r="G655" s="2"/>
      <c r="H655" s="2"/>
      <c r="I655" s="3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">
      <c r="A656" s="2"/>
      <c r="B656" s="2"/>
      <c r="C656" s="2"/>
      <c r="D656" s="2"/>
      <c r="E656" s="2"/>
      <c r="F656" s="2"/>
      <c r="G656" s="2"/>
      <c r="H656" s="2"/>
      <c r="I656" s="3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">
      <c r="A657" s="2"/>
      <c r="B657" s="2"/>
      <c r="C657" s="2"/>
      <c r="D657" s="2"/>
      <c r="E657" s="2"/>
      <c r="F657" s="2"/>
      <c r="G657" s="2"/>
      <c r="H657" s="2"/>
      <c r="I657" s="3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">
      <c r="A658" s="2"/>
      <c r="B658" s="2"/>
      <c r="C658" s="2"/>
      <c r="D658" s="2"/>
      <c r="E658" s="2"/>
      <c r="F658" s="2"/>
      <c r="G658" s="2"/>
      <c r="H658" s="2"/>
      <c r="I658" s="3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">
      <c r="A659" s="2"/>
      <c r="B659" s="2"/>
      <c r="C659" s="2"/>
      <c r="D659" s="2"/>
      <c r="E659" s="2"/>
      <c r="F659" s="2"/>
      <c r="G659" s="2"/>
      <c r="H659" s="2"/>
      <c r="I659" s="3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">
      <c r="A660" s="2"/>
      <c r="B660" s="2"/>
      <c r="C660" s="2"/>
      <c r="D660" s="2"/>
      <c r="E660" s="2"/>
      <c r="F660" s="2"/>
      <c r="G660" s="2"/>
      <c r="H660" s="2"/>
      <c r="I660" s="3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">
      <c r="A661" s="2"/>
      <c r="B661" s="2"/>
      <c r="C661" s="2"/>
      <c r="D661" s="2"/>
      <c r="E661" s="2"/>
      <c r="F661" s="2"/>
      <c r="G661" s="2"/>
      <c r="H661" s="2"/>
      <c r="I661" s="3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">
      <c r="A662" s="2"/>
      <c r="B662" s="2"/>
      <c r="C662" s="2"/>
      <c r="D662" s="2"/>
      <c r="E662" s="2"/>
      <c r="F662" s="2"/>
      <c r="G662" s="2"/>
      <c r="H662" s="2"/>
      <c r="I662" s="3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">
      <c r="A663" s="2"/>
      <c r="B663" s="2"/>
      <c r="C663" s="2"/>
      <c r="D663" s="2"/>
      <c r="E663" s="2"/>
      <c r="F663" s="2"/>
      <c r="G663" s="2"/>
      <c r="H663" s="2"/>
      <c r="I663" s="3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">
      <c r="A664" s="2"/>
      <c r="B664" s="2"/>
      <c r="C664" s="2"/>
      <c r="D664" s="2"/>
      <c r="E664" s="2"/>
      <c r="F664" s="2"/>
      <c r="G664" s="2"/>
      <c r="H664" s="2"/>
      <c r="I664" s="3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">
      <c r="A665" s="2"/>
      <c r="B665" s="2"/>
      <c r="C665" s="2"/>
      <c r="D665" s="2"/>
      <c r="E665" s="2"/>
      <c r="F665" s="2"/>
      <c r="G665" s="2"/>
      <c r="H665" s="2"/>
      <c r="I665" s="3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">
      <c r="A666" s="2"/>
      <c r="B666" s="2"/>
      <c r="C666" s="2"/>
      <c r="D666" s="2"/>
      <c r="E666" s="2"/>
      <c r="F666" s="2"/>
      <c r="G666" s="2"/>
      <c r="H666" s="2"/>
      <c r="I666" s="3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">
      <c r="A667" s="2"/>
      <c r="B667" s="2"/>
      <c r="C667" s="2"/>
      <c r="D667" s="2"/>
      <c r="E667" s="2"/>
      <c r="F667" s="2"/>
      <c r="G667" s="2"/>
      <c r="H667" s="2"/>
      <c r="I667" s="3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">
      <c r="A668" s="2"/>
      <c r="B668" s="2"/>
      <c r="C668" s="2"/>
      <c r="D668" s="2"/>
      <c r="E668" s="2"/>
      <c r="F668" s="2"/>
      <c r="G668" s="2"/>
      <c r="H668" s="2"/>
      <c r="I668" s="3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">
      <c r="A669" s="2"/>
      <c r="B669" s="2"/>
      <c r="C669" s="2"/>
      <c r="D669" s="2"/>
      <c r="E669" s="2"/>
      <c r="F669" s="2"/>
      <c r="G669" s="2"/>
      <c r="H669" s="2"/>
      <c r="I669" s="3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">
      <c r="A670" s="2"/>
      <c r="B670" s="2"/>
      <c r="C670" s="2"/>
      <c r="D670" s="2"/>
      <c r="E670" s="2"/>
      <c r="F670" s="2"/>
      <c r="G670" s="2"/>
      <c r="H670" s="2"/>
      <c r="I670" s="3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">
      <c r="A671" s="2"/>
      <c r="B671" s="2"/>
      <c r="C671" s="2"/>
      <c r="D671" s="2"/>
      <c r="E671" s="2"/>
      <c r="F671" s="2"/>
      <c r="G671" s="2"/>
      <c r="H671" s="2"/>
      <c r="I671" s="3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">
      <c r="A672" s="2"/>
      <c r="B672" s="2"/>
      <c r="C672" s="2"/>
      <c r="D672" s="2"/>
      <c r="E672" s="2"/>
      <c r="F672" s="2"/>
      <c r="G672" s="2"/>
      <c r="H672" s="2"/>
      <c r="I672" s="3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">
      <c r="A673" s="2"/>
      <c r="B673" s="2"/>
      <c r="C673" s="2"/>
      <c r="D673" s="2"/>
      <c r="E673" s="2"/>
      <c r="F673" s="2"/>
      <c r="G673" s="2"/>
      <c r="H673" s="2"/>
      <c r="I673" s="3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">
      <c r="A674" s="2"/>
      <c r="B674" s="2"/>
      <c r="C674" s="2"/>
      <c r="D674" s="2"/>
      <c r="E674" s="2"/>
      <c r="F674" s="2"/>
      <c r="G674" s="2"/>
      <c r="H674" s="2"/>
      <c r="I674" s="3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">
      <c r="A675" s="2"/>
      <c r="B675" s="2"/>
      <c r="C675" s="2"/>
      <c r="D675" s="2"/>
      <c r="E675" s="2"/>
      <c r="F675" s="2"/>
      <c r="G675" s="2"/>
      <c r="H675" s="2"/>
      <c r="I675" s="3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">
      <c r="A676" s="2"/>
      <c r="B676" s="2"/>
      <c r="C676" s="2"/>
      <c r="D676" s="2"/>
      <c r="E676" s="2"/>
      <c r="F676" s="2"/>
      <c r="G676" s="2"/>
      <c r="H676" s="2"/>
      <c r="I676" s="3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">
      <c r="A677" s="2"/>
      <c r="B677" s="2"/>
      <c r="C677" s="2"/>
      <c r="D677" s="2"/>
      <c r="E677" s="2"/>
      <c r="F677" s="2"/>
      <c r="G677" s="2"/>
      <c r="H677" s="2"/>
      <c r="I677" s="3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">
      <c r="A678" s="2"/>
      <c r="B678" s="2"/>
      <c r="C678" s="2"/>
      <c r="D678" s="2"/>
      <c r="E678" s="2"/>
      <c r="F678" s="2"/>
      <c r="G678" s="2"/>
      <c r="H678" s="2"/>
      <c r="I678" s="3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">
      <c r="A679" s="2"/>
      <c r="B679" s="2"/>
      <c r="C679" s="2"/>
      <c r="D679" s="2"/>
      <c r="E679" s="2"/>
      <c r="F679" s="2"/>
      <c r="G679" s="2"/>
      <c r="H679" s="2"/>
      <c r="I679" s="3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">
      <c r="A680" s="2"/>
      <c r="B680" s="2"/>
      <c r="C680" s="2"/>
      <c r="D680" s="2"/>
      <c r="E680" s="2"/>
      <c r="F680" s="2"/>
      <c r="G680" s="2"/>
      <c r="H680" s="2"/>
      <c r="I680" s="3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">
      <c r="A681" s="2"/>
      <c r="B681" s="2"/>
      <c r="C681" s="2"/>
      <c r="D681" s="2"/>
      <c r="E681" s="2"/>
      <c r="F681" s="2"/>
      <c r="G681" s="2"/>
      <c r="H681" s="2"/>
      <c r="I681" s="3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">
      <c r="A682" s="2"/>
      <c r="B682" s="2"/>
      <c r="C682" s="2"/>
      <c r="D682" s="2"/>
      <c r="E682" s="2"/>
      <c r="F682" s="2"/>
      <c r="G682" s="2"/>
      <c r="H682" s="2"/>
      <c r="I682" s="3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">
      <c r="A683" s="2"/>
      <c r="B683" s="2"/>
      <c r="C683" s="2"/>
      <c r="D683" s="2"/>
      <c r="E683" s="2"/>
      <c r="F683" s="2"/>
      <c r="G683" s="2"/>
      <c r="H683" s="2"/>
      <c r="I683" s="3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">
      <c r="A684" s="2"/>
      <c r="B684" s="2"/>
      <c r="C684" s="2"/>
      <c r="D684" s="2"/>
      <c r="E684" s="2"/>
      <c r="F684" s="2"/>
      <c r="G684" s="2"/>
      <c r="H684" s="2"/>
      <c r="I684" s="3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">
      <c r="A685" s="2"/>
      <c r="B685" s="2"/>
      <c r="C685" s="2"/>
      <c r="D685" s="2"/>
      <c r="E685" s="2"/>
      <c r="F685" s="2"/>
      <c r="G685" s="2"/>
      <c r="H685" s="2"/>
      <c r="I685" s="3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">
      <c r="A686" s="2"/>
      <c r="B686" s="2"/>
      <c r="C686" s="2"/>
      <c r="D686" s="2"/>
      <c r="E686" s="2"/>
      <c r="F686" s="2"/>
      <c r="G686" s="2"/>
      <c r="H686" s="2"/>
      <c r="I686" s="3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">
      <c r="A687" s="2"/>
      <c r="B687" s="2"/>
      <c r="C687" s="2"/>
      <c r="D687" s="2"/>
      <c r="E687" s="2"/>
      <c r="F687" s="2"/>
      <c r="G687" s="2"/>
      <c r="H687" s="2"/>
      <c r="I687" s="3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">
      <c r="A688" s="2"/>
      <c r="B688" s="2"/>
      <c r="C688" s="2"/>
      <c r="D688" s="2"/>
      <c r="E688" s="2"/>
      <c r="F688" s="2"/>
      <c r="G688" s="2"/>
      <c r="H688" s="2"/>
      <c r="I688" s="3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">
      <c r="A689" s="2"/>
      <c r="B689" s="2"/>
      <c r="C689" s="2"/>
      <c r="D689" s="2"/>
      <c r="E689" s="2"/>
      <c r="F689" s="2"/>
      <c r="G689" s="2"/>
      <c r="H689" s="2"/>
      <c r="I689" s="3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">
      <c r="A690" s="2"/>
      <c r="B690" s="2"/>
      <c r="C690" s="2"/>
      <c r="D690" s="2"/>
      <c r="E690" s="2"/>
      <c r="F690" s="2"/>
      <c r="G690" s="2"/>
      <c r="H690" s="2"/>
      <c r="I690" s="3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">
      <c r="A691" s="2"/>
      <c r="B691" s="2"/>
      <c r="C691" s="2"/>
      <c r="D691" s="2"/>
      <c r="E691" s="2"/>
      <c r="F691" s="2"/>
      <c r="G691" s="2"/>
      <c r="H691" s="2"/>
      <c r="I691" s="3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">
      <c r="A692" s="2"/>
      <c r="B692" s="2"/>
      <c r="C692" s="2"/>
      <c r="D692" s="2"/>
      <c r="E692" s="2"/>
      <c r="F692" s="2"/>
      <c r="G692" s="2"/>
      <c r="H692" s="2"/>
      <c r="I692" s="3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">
      <c r="A693" s="2"/>
      <c r="B693" s="2"/>
      <c r="C693" s="2"/>
      <c r="D693" s="2"/>
      <c r="E693" s="2"/>
      <c r="F693" s="2"/>
      <c r="G693" s="2"/>
      <c r="H693" s="2"/>
      <c r="I693" s="3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">
      <c r="A694" s="2"/>
      <c r="B694" s="2"/>
      <c r="C694" s="2"/>
      <c r="D694" s="2"/>
      <c r="E694" s="2"/>
      <c r="F694" s="2"/>
      <c r="G694" s="2"/>
      <c r="H694" s="2"/>
      <c r="I694" s="3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">
      <c r="A695" s="2"/>
      <c r="B695" s="2"/>
      <c r="C695" s="2"/>
      <c r="D695" s="2"/>
      <c r="E695" s="2"/>
      <c r="F695" s="2"/>
      <c r="G695" s="2"/>
      <c r="H695" s="2"/>
      <c r="I695" s="3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">
      <c r="A696" s="2"/>
      <c r="B696" s="2"/>
      <c r="C696" s="2"/>
      <c r="D696" s="2"/>
      <c r="E696" s="2"/>
      <c r="F696" s="2"/>
      <c r="G696" s="2"/>
      <c r="H696" s="2"/>
      <c r="I696" s="3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">
      <c r="A697" s="2"/>
      <c r="B697" s="2"/>
      <c r="C697" s="2"/>
      <c r="D697" s="2"/>
      <c r="E697" s="2"/>
      <c r="F697" s="2"/>
      <c r="G697" s="2"/>
      <c r="H697" s="2"/>
      <c r="I697" s="3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">
      <c r="A698" s="2"/>
      <c r="B698" s="2"/>
      <c r="C698" s="2"/>
      <c r="D698" s="2"/>
      <c r="E698" s="2"/>
      <c r="F698" s="2"/>
      <c r="G698" s="2"/>
      <c r="H698" s="2"/>
      <c r="I698" s="3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">
      <c r="A699" s="2"/>
      <c r="B699" s="2"/>
      <c r="C699" s="2"/>
      <c r="D699" s="2"/>
      <c r="E699" s="2"/>
      <c r="F699" s="2"/>
      <c r="G699" s="2"/>
      <c r="H699" s="2"/>
      <c r="I699" s="3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">
      <c r="A700" s="2"/>
      <c r="B700" s="2"/>
      <c r="C700" s="2"/>
      <c r="D700" s="2"/>
      <c r="E700" s="2"/>
      <c r="F700" s="2"/>
      <c r="G700" s="2"/>
      <c r="H700" s="2"/>
      <c r="I700" s="3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">
      <c r="A701" s="2"/>
      <c r="B701" s="2"/>
      <c r="C701" s="2"/>
      <c r="D701" s="2"/>
      <c r="E701" s="2"/>
      <c r="F701" s="2"/>
      <c r="G701" s="2"/>
      <c r="H701" s="2"/>
      <c r="I701" s="3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">
      <c r="A702" s="2"/>
      <c r="B702" s="2"/>
      <c r="C702" s="2"/>
      <c r="D702" s="2"/>
      <c r="E702" s="2"/>
      <c r="F702" s="2"/>
      <c r="G702" s="2"/>
      <c r="H702" s="2"/>
      <c r="I702" s="3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">
      <c r="A703" s="2"/>
      <c r="B703" s="2"/>
      <c r="C703" s="2"/>
      <c r="D703" s="2"/>
      <c r="E703" s="2"/>
      <c r="F703" s="2"/>
      <c r="G703" s="2"/>
      <c r="H703" s="2"/>
      <c r="I703" s="3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">
      <c r="A704" s="2"/>
      <c r="B704" s="2"/>
      <c r="C704" s="2"/>
      <c r="D704" s="2"/>
      <c r="E704" s="2"/>
      <c r="F704" s="2"/>
      <c r="G704" s="2"/>
      <c r="H704" s="2"/>
      <c r="I704" s="3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">
      <c r="A705" s="2"/>
      <c r="B705" s="2"/>
      <c r="C705" s="2"/>
      <c r="D705" s="2"/>
      <c r="E705" s="2"/>
      <c r="F705" s="2"/>
      <c r="G705" s="2"/>
      <c r="H705" s="2"/>
      <c r="I705" s="3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">
      <c r="A706" s="2"/>
      <c r="B706" s="2"/>
      <c r="C706" s="2"/>
      <c r="D706" s="2"/>
      <c r="E706" s="2"/>
      <c r="F706" s="2"/>
      <c r="G706" s="2"/>
      <c r="H706" s="2"/>
      <c r="I706" s="3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">
      <c r="A707" s="2"/>
      <c r="B707" s="2"/>
      <c r="C707" s="2"/>
      <c r="D707" s="2"/>
      <c r="E707" s="2"/>
      <c r="F707" s="2"/>
      <c r="G707" s="2"/>
      <c r="H707" s="2"/>
      <c r="I707" s="3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">
      <c r="A708" s="2"/>
      <c r="B708" s="2"/>
      <c r="C708" s="2"/>
      <c r="D708" s="2"/>
      <c r="E708" s="2"/>
      <c r="F708" s="2"/>
      <c r="G708" s="2"/>
      <c r="H708" s="2"/>
      <c r="I708" s="3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">
      <c r="A709" s="2"/>
      <c r="B709" s="2"/>
      <c r="C709" s="2"/>
      <c r="D709" s="2"/>
      <c r="E709" s="2"/>
      <c r="F709" s="2"/>
      <c r="G709" s="2"/>
      <c r="H709" s="2"/>
      <c r="I709" s="3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">
      <c r="A710" s="2"/>
      <c r="B710" s="2"/>
      <c r="C710" s="2"/>
      <c r="D710" s="2"/>
      <c r="E710" s="2"/>
      <c r="F710" s="2"/>
      <c r="G710" s="2"/>
      <c r="H710" s="2"/>
      <c r="I710" s="3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">
      <c r="A711" s="2"/>
      <c r="B711" s="2"/>
      <c r="C711" s="2"/>
      <c r="D711" s="2"/>
      <c r="E711" s="2"/>
      <c r="F711" s="2"/>
      <c r="G711" s="2"/>
      <c r="H711" s="2"/>
      <c r="I711" s="3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">
      <c r="A712" s="2"/>
      <c r="B712" s="2"/>
      <c r="C712" s="2"/>
      <c r="D712" s="2"/>
      <c r="E712" s="2"/>
      <c r="F712" s="2"/>
      <c r="G712" s="2"/>
      <c r="H712" s="2"/>
      <c r="I712" s="3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">
      <c r="A713" s="2"/>
      <c r="B713" s="2"/>
      <c r="C713" s="2"/>
      <c r="D713" s="2"/>
      <c r="E713" s="2"/>
      <c r="F713" s="2"/>
      <c r="G713" s="2"/>
      <c r="H713" s="2"/>
      <c r="I713" s="3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">
      <c r="A714" s="2"/>
      <c r="B714" s="2"/>
      <c r="C714" s="2"/>
      <c r="D714" s="2"/>
      <c r="E714" s="2"/>
      <c r="F714" s="2"/>
      <c r="G714" s="2"/>
      <c r="H714" s="2"/>
      <c r="I714" s="3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">
      <c r="A715" s="2"/>
      <c r="B715" s="2"/>
      <c r="C715" s="2"/>
      <c r="D715" s="2"/>
      <c r="E715" s="2"/>
      <c r="F715" s="2"/>
      <c r="G715" s="2"/>
      <c r="H715" s="2"/>
      <c r="I715" s="3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">
      <c r="A716" s="2"/>
      <c r="B716" s="2"/>
      <c r="C716" s="2"/>
      <c r="D716" s="2"/>
      <c r="E716" s="2"/>
      <c r="F716" s="2"/>
      <c r="G716" s="2"/>
      <c r="H716" s="2"/>
      <c r="I716" s="3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">
      <c r="A717" s="2"/>
      <c r="B717" s="2"/>
      <c r="C717" s="2"/>
      <c r="D717" s="2"/>
      <c r="E717" s="2"/>
      <c r="F717" s="2"/>
      <c r="G717" s="2"/>
      <c r="H717" s="2"/>
      <c r="I717" s="3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">
      <c r="A718" s="2"/>
      <c r="B718" s="2"/>
      <c r="C718" s="2"/>
      <c r="D718" s="2"/>
      <c r="E718" s="2"/>
      <c r="F718" s="2"/>
      <c r="G718" s="2"/>
      <c r="H718" s="2"/>
      <c r="I718" s="3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">
      <c r="A719" s="2"/>
      <c r="B719" s="2"/>
      <c r="C719" s="2"/>
      <c r="D719" s="2"/>
      <c r="E719" s="2"/>
      <c r="F719" s="2"/>
      <c r="G719" s="2"/>
      <c r="H719" s="2"/>
      <c r="I719" s="3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">
      <c r="A720" s="2"/>
      <c r="B720" s="2"/>
      <c r="C720" s="2"/>
      <c r="D720" s="2"/>
      <c r="E720" s="2"/>
      <c r="F720" s="2"/>
      <c r="G720" s="2"/>
      <c r="H720" s="2"/>
      <c r="I720" s="3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">
      <c r="A721" s="2"/>
      <c r="B721" s="2"/>
      <c r="C721" s="2"/>
      <c r="D721" s="2"/>
      <c r="E721" s="2"/>
      <c r="F721" s="2"/>
      <c r="G721" s="2"/>
      <c r="H721" s="2"/>
      <c r="I721" s="3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">
      <c r="A722" s="2"/>
      <c r="B722" s="2"/>
      <c r="C722" s="2"/>
      <c r="D722" s="2"/>
      <c r="E722" s="2"/>
      <c r="F722" s="2"/>
      <c r="G722" s="2"/>
      <c r="H722" s="2"/>
      <c r="I722" s="3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">
      <c r="A723" s="2"/>
      <c r="B723" s="2"/>
      <c r="C723" s="2"/>
      <c r="D723" s="2"/>
      <c r="E723" s="2"/>
      <c r="F723" s="2"/>
      <c r="G723" s="2"/>
      <c r="H723" s="2"/>
      <c r="I723" s="3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">
      <c r="A724" s="2"/>
      <c r="B724" s="2"/>
      <c r="C724" s="2"/>
      <c r="D724" s="2"/>
      <c r="E724" s="2"/>
      <c r="F724" s="2"/>
      <c r="G724" s="2"/>
      <c r="H724" s="2"/>
      <c r="I724" s="3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">
      <c r="A725" s="2"/>
      <c r="B725" s="2"/>
      <c r="C725" s="2"/>
      <c r="D725" s="2"/>
      <c r="E725" s="2"/>
      <c r="F725" s="2"/>
      <c r="G725" s="2"/>
      <c r="H725" s="2"/>
      <c r="I725" s="3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">
      <c r="A726" s="2"/>
      <c r="B726" s="2"/>
      <c r="C726" s="2"/>
      <c r="D726" s="2"/>
      <c r="E726" s="2"/>
      <c r="F726" s="2"/>
      <c r="G726" s="2"/>
      <c r="H726" s="2"/>
      <c r="I726" s="3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">
      <c r="A727" s="2"/>
      <c r="B727" s="2"/>
      <c r="C727" s="2"/>
      <c r="D727" s="2"/>
      <c r="E727" s="2"/>
      <c r="F727" s="2"/>
      <c r="G727" s="2"/>
      <c r="H727" s="2"/>
      <c r="I727" s="3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">
      <c r="A728" s="2"/>
      <c r="B728" s="2"/>
      <c r="C728" s="2"/>
      <c r="D728" s="2"/>
      <c r="E728" s="2"/>
      <c r="F728" s="2"/>
      <c r="G728" s="2"/>
      <c r="H728" s="2"/>
      <c r="I728" s="3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">
      <c r="A729" s="2"/>
      <c r="B729" s="2"/>
      <c r="C729" s="2"/>
      <c r="D729" s="2"/>
      <c r="E729" s="2"/>
      <c r="F729" s="2"/>
      <c r="G729" s="2"/>
      <c r="H729" s="2"/>
      <c r="I729" s="3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">
      <c r="A730" s="2"/>
      <c r="B730" s="2"/>
      <c r="C730" s="2"/>
      <c r="D730" s="2"/>
      <c r="E730" s="2"/>
      <c r="F730" s="2"/>
      <c r="G730" s="2"/>
      <c r="H730" s="2"/>
      <c r="I730" s="3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">
      <c r="A731" s="2"/>
      <c r="B731" s="2"/>
      <c r="C731" s="2"/>
      <c r="D731" s="2"/>
      <c r="E731" s="2"/>
      <c r="F731" s="2"/>
      <c r="G731" s="2"/>
      <c r="H731" s="2"/>
      <c r="I731" s="3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">
      <c r="A732" s="2"/>
      <c r="B732" s="2"/>
      <c r="C732" s="2"/>
      <c r="D732" s="2"/>
      <c r="E732" s="2"/>
      <c r="F732" s="2"/>
      <c r="G732" s="2"/>
      <c r="H732" s="2"/>
      <c r="I732" s="3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">
      <c r="A733" s="2"/>
      <c r="B733" s="2"/>
      <c r="C733" s="2"/>
      <c r="D733" s="2"/>
      <c r="E733" s="2"/>
      <c r="F733" s="2"/>
      <c r="G733" s="2"/>
      <c r="H733" s="2"/>
      <c r="I733" s="3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">
      <c r="A734" s="2"/>
      <c r="B734" s="2"/>
      <c r="C734" s="2"/>
      <c r="D734" s="2"/>
      <c r="E734" s="2"/>
      <c r="F734" s="2"/>
      <c r="G734" s="2"/>
      <c r="H734" s="2"/>
      <c r="I734" s="3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">
      <c r="A735" s="2"/>
      <c r="B735" s="2"/>
      <c r="C735" s="2"/>
      <c r="D735" s="2"/>
      <c r="E735" s="2"/>
      <c r="F735" s="2"/>
      <c r="G735" s="2"/>
      <c r="H735" s="2"/>
      <c r="I735" s="3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">
      <c r="A736" s="2"/>
      <c r="B736" s="2"/>
      <c r="C736" s="2"/>
      <c r="D736" s="2"/>
      <c r="E736" s="2"/>
      <c r="F736" s="2"/>
      <c r="G736" s="2"/>
      <c r="H736" s="2"/>
      <c r="I736" s="3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">
      <c r="A737" s="2"/>
      <c r="B737" s="2"/>
      <c r="C737" s="2"/>
      <c r="D737" s="2"/>
      <c r="E737" s="2"/>
      <c r="F737" s="2"/>
      <c r="G737" s="2"/>
      <c r="H737" s="2"/>
      <c r="I737" s="3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">
      <c r="A738" s="2"/>
      <c r="B738" s="2"/>
      <c r="C738" s="2"/>
      <c r="D738" s="2"/>
      <c r="E738" s="2"/>
      <c r="F738" s="2"/>
      <c r="G738" s="2"/>
      <c r="H738" s="2"/>
      <c r="I738" s="36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">
      <c r="A739" s="2"/>
      <c r="B739" s="2"/>
      <c r="C739" s="2"/>
      <c r="D739" s="2"/>
      <c r="E739" s="2"/>
      <c r="F739" s="2"/>
      <c r="G739" s="2"/>
      <c r="H739" s="2"/>
      <c r="I739" s="36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">
      <c r="A740" s="2"/>
      <c r="B740" s="2"/>
      <c r="C740" s="2"/>
      <c r="D740" s="2"/>
      <c r="E740" s="2"/>
      <c r="F740" s="2"/>
      <c r="G740" s="2"/>
      <c r="H740" s="2"/>
      <c r="I740" s="36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">
      <c r="A741" s="2"/>
      <c r="B741" s="2"/>
      <c r="C741" s="2"/>
      <c r="D741" s="2"/>
      <c r="E741" s="2"/>
      <c r="F741" s="2"/>
      <c r="G741" s="2"/>
      <c r="H741" s="2"/>
      <c r="I741" s="36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">
      <c r="A742" s="2"/>
      <c r="B742" s="2"/>
      <c r="C742" s="2"/>
      <c r="D742" s="2"/>
      <c r="E742" s="2"/>
      <c r="F742" s="2"/>
      <c r="G742" s="2"/>
      <c r="H742" s="2"/>
      <c r="I742" s="36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">
      <c r="A743" s="2"/>
      <c r="B743" s="2"/>
      <c r="C743" s="2"/>
      <c r="D743" s="2"/>
      <c r="E743" s="2"/>
      <c r="F743" s="2"/>
      <c r="G743" s="2"/>
      <c r="H743" s="2"/>
      <c r="I743" s="36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">
      <c r="A744" s="2"/>
      <c r="B744" s="2"/>
      <c r="C744" s="2"/>
      <c r="D744" s="2"/>
      <c r="E744" s="2"/>
      <c r="F744" s="2"/>
      <c r="G744" s="2"/>
      <c r="H744" s="2"/>
      <c r="I744" s="36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">
      <c r="A745" s="2"/>
      <c r="B745" s="2"/>
      <c r="C745" s="2"/>
      <c r="D745" s="2"/>
      <c r="E745" s="2"/>
      <c r="F745" s="2"/>
      <c r="G745" s="2"/>
      <c r="H745" s="2"/>
      <c r="I745" s="36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">
      <c r="A746" s="2"/>
      <c r="B746" s="2"/>
      <c r="C746" s="2"/>
      <c r="D746" s="2"/>
      <c r="E746" s="2"/>
      <c r="F746" s="2"/>
      <c r="G746" s="2"/>
      <c r="H746" s="2"/>
      <c r="I746" s="36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">
      <c r="A747" s="2"/>
      <c r="B747" s="2"/>
      <c r="C747" s="2"/>
      <c r="D747" s="2"/>
      <c r="E747" s="2"/>
      <c r="F747" s="2"/>
      <c r="G747" s="2"/>
      <c r="H747" s="2"/>
      <c r="I747" s="36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">
      <c r="A748" s="2"/>
      <c r="B748" s="2"/>
      <c r="C748" s="2"/>
      <c r="D748" s="2"/>
      <c r="E748" s="2"/>
      <c r="F748" s="2"/>
      <c r="G748" s="2"/>
      <c r="H748" s="2"/>
      <c r="I748" s="36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">
      <c r="A749" s="2"/>
      <c r="B749" s="2"/>
      <c r="C749" s="2"/>
      <c r="D749" s="2"/>
      <c r="E749" s="2"/>
      <c r="F749" s="2"/>
      <c r="G749" s="2"/>
      <c r="H749" s="2"/>
      <c r="I749" s="36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">
      <c r="A750" s="2"/>
      <c r="B750" s="2"/>
      <c r="C750" s="2"/>
      <c r="D750" s="2"/>
      <c r="E750" s="2"/>
      <c r="F750" s="2"/>
      <c r="G750" s="2"/>
      <c r="H750" s="2"/>
      <c r="I750" s="36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">
      <c r="A751" s="2"/>
      <c r="B751" s="2"/>
      <c r="C751" s="2"/>
      <c r="D751" s="2"/>
      <c r="E751" s="2"/>
      <c r="F751" s="2"/>
      <c r="G751" s="2"/>
      <c r="H751" s="2"/>
      <c r="I751" s="3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">
      <c r="A752" s="2"/>
      <c r="B752" s="2"/>
      <c r="C752" s="2"/>
      <c r="D752" s="2"/>
      <c r="E752" s="2"/>
      <c r="F752" s="2"/>
      <c r="G752" s="2"/>
      <c r="H752" s="2"/>
      <c r="I752" s="3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">
      <c r="A753" s="2"/>
      <c r="B753" s="2"/>
      <c r="C753" s="2"/>
      <c r="D753" s="2"/>
      <c r="E753" s="2"/>
      <c r="F753" s="2"/>
      <c r="G753" s="2"/>
      <c r="H753" s="2"/>
      <c r="I753" s="3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">
      <c r="A754" s="2"/>
      <c r="B754" s="2"/>
      <c r="C754" s="2"/>
      <c r="D754" s="2"/>
      <c r="E754" s="2"/>
      <c r="F754" s="2"/>
      <c r="G754" s="2"/>
      <c r="H754" s="2"/>
      <c r="I754" s="3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">
      <c r="A755" s="2"/>
      <c r="B755" s="2"/>
      <c r="C755" s="2"/>
      <c r="D755" s="2"/>
      <c r="E755" s="2"/>
      <c r="F755" s="2"/>
      <c r="G755" s="2"/>
      <c r="H755" s="2"/>
      <c r="I755" s="3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">
      <c r="A756" s="2"/>
      <c r="B756" s="2"/>
      <c r="C756" s="2"/>
      <c r="D756" s="2"/>
      <c r="E756" s="2"/>
      <c r="F756" s="2"/>
      <c r="G756" s="2"/>
      <c r="H756" s="2"/>
      <c r="I756" s="3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">
      <c r="A757" s="2"/>
      <c r="B757" s="2"/>
      <c r="C757" s="2"/>
      <c r="D757" s="2"/>
      <c r="E757" s="2"/>
      <c r="F757" s="2"/>
      <c r="G757" s="2"/>
      <c r="H757" s="2"/>
      <c r="I757" s="3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">
      <c r="A758" s="2"/>
      <c r="B758" s="2"/>
      <c r="C758" s="2"/>
      <c r="D758" s="2"/>
      <c r="E758" s="2"/>
      <c r="F758" s="2"/>
      <c r="G758" s="2"/>
      <c r="H758" s="2"/>
      <c r="I758" s="3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">
      <c r="A759" s="2"/>
      <c r="B759" s="2"/>
      <c r="C759" s="2"/>
      <c r="D759" s="2"/>
      <c r="E759" s="2"/>
      <c r="F759" s="2"/>
      <c r="G759" s="2"/>
      <c r="H759" s="2"/>
      <c r="I759" s="3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">
      <c r="A760" s="2"/>
      <c r="B760" s="2"/>
      <c r="C760" s="2"/>
      <c r="D760" s="2"/>
      <c r="E760" s="2"/>
      <c r="F760" s="2"/>
      <c r="G760" s="2"/>
      <c r="H760" s="2"/>
      <c r="I760" s="3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">
      <c r="A761" s="2"/>
      <c r="B761" s="2"/>
      <c r="C761" s="2"/>
      <c r="D761" s="2"/>
      <c r="E761" s="2"/>
      <c r="F761" s="2"/>
      <c r="G761" s="2"/>
      <c r="H761" s="2"/>
      <c r="I761" s="3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">
      <c r="A762" s="2"/>
      <c r="B762" s="2"/>
      <c r="C762" s="2"/>
      <c r="D762" s="2"/>
      <c r="E762" s="2"/>
      <c r="F762" s="2"/>
      <c r="G762" s="2"/>
      <c r="H762" s="2"/>
      <c r="I762" s="3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">
      <c r="A763" s="2"/>
      <c r="B763" s="2"/>
      <c r="C763" s="2"/>
      <c r="D763" s="2"/>
      <c r="E763" s="2"/>
      <c r="F763" s="2"/>
      <c r="G763" s="2"/>
      <c r="H763" s="2"/>
      <c r="I763" s="3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">
      <c r="A764" s="2"/>
      <c r="B764" s="2"/>
      <c r="C764" s="2"/>
      <c r="D764" s="2"/>
      <c r="E764" s="2"/>
      <c r="F764" s="2"/>
      <c r="G764" s="2"/>
      <c r="H764" s="2"/>
      <c r="I764" s="3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">
      <c r="A765" s="2"/>
      <c r="B765" s="2"/>
      <c r="C765" s="2"/>
      <c r="D765" s="2"/>
      <c r="E765" s="2"/>
      <c r="F765" s="2"/>
      <c r="G765" s="2"/>
      <c r="H765" s="2"/>
      <c r="I765" s="3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">
      <c r="A766" s="2"/>
      <c r="B766" s="2"/>
      <c r="C766" s="2"/>
      <c r="D766" s="2"/>
      <c r="E766" s="2"/>
      <c r="F766" s="2"/>
      <c r="G766" s="2"/>
      <c r="H766" s="2"/>
      <c r="I766" s="3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">
      <c r="A767" s="2"/>
      <c r="B767" s="2"/>
      <c r="C767" s="2"/>
      <c r="D767" s="2"/>
      <c r="E767" s="2"/>
      <c r="F767" s="2"/>
      <c r="G767" s="2"/>
      <c r="H767" s="2"/>
      <c r="I767" s="3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">
      <c r="A768" s="2"/>
      <c r="B768" s="2"/>
      <c r="C768" s="2"/>
      <c r="D768" s="2"/>
      <c r="E768" s="2"/>
      <c r="F768" s="2"/>
      <c r="G768" s="2"/>
      <c r="H768" s="2"/>
      <c r="I768" s="3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">
      <c r="A769" s="2"/>
      <c r="B769" s="2"/>
      <c r="C769" s="2"/>
      <c r="D769" s="2"/>
      <c r="E769" s="2"/>
      <c r="F769" s="2"/>
      <c r="G769" s="2"/>
      <c r="H769" s="2"/>
      <c r="I769" s="3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">
      <c r="A770" s="2"/>
      <c r="B770" s="2"/>
      <c r="C770" s="2"/>
      <c r="D770" s="2"/>
      <c r="E770" s="2"/>
      <c r="F770" s="2"/>
      <c r="G770" s="2"/>
      <c r="H770" s="2"/>
      <c r="I770" s="3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">
      <c r="A771" s="2"/>
      <c r="B771" s="2"/>
      <c r="C771" s="2"/>
      <c r="D771" s="2"/>
      <c r="E771" s="2"/>
      <c r="F771" s="2"/>
      <c r="G771" s="2"/>
      <c r="H771" s="2"/>
      <c r="I771" s="3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">
      <c r="A772" s="2"/>
      <c r="B772" s="2"/>
      <c r="C772" s="2"/>
      <c r="D772" s="2"/>
      <c r="E772" s="2"/>
      <c r="F772" s="2"/>
      <c r="G772" s="2"/>
      <c r="H772" s="2"/>
      <c r="I772" s="3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">
      <c r="A773" s="2"/>
      <c r="B773" s="2"/>
      <c r="C773" s="2"/>
      <c r="D773" s="2"/>
      <c r="E773" s="2"/>
      <c r="F773" s="2"/>
      <c r="G773" s="2"/>
      <c r="H773" s="2"/>
      <c r="I773" s="3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">
      <c r="A774" s="2"/>
      <c r="B774" s="2"/>
      <c r="C774" s="2"/>
      <c r="D774" s="2"/>
      <c r="E774" s="2"/>
      <c r="F774" s="2"/>
      <c r="G774" s="2"/>
      <c r="H774" s="2"/>
      <c r="I774" s="3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">
      <c r="A775" s="2"/>
      <c r="B775" s="2"/>
      <c r="C775" s="2"/>
      <c r="D775" s="2"/>
      <c r="E775" s="2"/>
      <c r="F775" s="2"/>
      <c r="G775" s="2"/>
      <c r="H775" s="2"/>
      <c r="I775" s="3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">
      <c r="A776" s="2"/>
      <c r="B776" s="2"/>
      <c r="C776" s="2"/>
      <c r="D776" s="2"/>
      <c r="E776" s="2"/>
      <c r="F776" s="2"/>
      <c r="G776" s="2"/>
      <c r="H776" s="2"/>
      <c r="I776" s="3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">
      <c r="A777" s="2"/>
      <c r="B777" s="2"/>
      <c r="C777" s="2"/>
      <c r="D777" s="2"/>
      <c r="E777" s="2"/>
      <c r="F777" s="2"/>
      <c r="G777" s="2"/>
      <c r="H777" s="2"/>
      <c r="I777" s="3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">
      <c r="A778" s="2"/>
      <c r="B778" s="2"/>
      <c r="C778" s="2"/>
      <c r="D778" s="2"/>
      <c r="E778" s="2"/>
      <c r="F778" s="2"/>
      <c r="G778" s="2"/>
      <c r="H778" s="2"/>
      <c r="I778" s="3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">
      <c r="A779" s="2"/>
      <c r="B779" s="2"/>
      <c r="C779" s="2"/>
      <c r="D779" s="2"/>
      <c r="E779" s="2"/>
      <c r="F779" s="2"/>
      <c r="G779" s="2"/>
      <c r="H779" s="2"/>
      <c r="I779" s="3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">
      <c r="A780" s="2"/>
      <c r="B780" s="2"/>
      <c r="C780" s="2"/>
      <c r="D780" s="2"/>
      <c r="E780" s="2"/>
      <c r="F780" s="2"/>
      <c r="G780" s="2"/>
      <c r="H780" s="2"/>
      <c r="I780" s="3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">
      <c r="A781" s="2"/>
      <c r="B781" s="2"/>
      <c r="C781" s="2"/>
      <c r="D781" s="2"/>
      <c r="E781" s="2"/>
      <c r="F781" s="2"/>
      <c r="G781" s="2"/>
      <c r="H781" s="2"/>
      <c r="I781" s="3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">
      <c r="A782" s="2"/>
      <c r="B782" s="2"/>
      <c r="C782" s="2"/>
      <c r="D782" s="2"/>
      <c r="E782" s="2"/>
      <c r="F782" s="2"/>
      <c r="G782" s="2"/>
      <c r="H782" s="2"/>
      <c r="I782" s="36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">
      <c r="A783" s="2"/>
      <c r="B783" s="2"/>
      <c r="C783" s="2"/>
      <c r="D783" s="2"/>
      <c r="E783" s="2"/>
      <c r="F783" s="2"/>
      <c r="G783" s="2"/>
      <c r="H783" s="2"/>
      <c r="I783" s="36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">
      <c r="A784" s="2"/>
      <c r="B784" s="2"/>
      <c r="C784" s="2"/>
      <c r="D784" s="2"/>
      <c r="E784" s="2"/>
      <c r="F784" s="2"/>
      <c r="G784" s="2"/>
      <c r="H784" s="2"/>
      <c r="I784" s="3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">
      <c r="A785" s="2"/>
      <c r="B785" s="2"/>
      <c r="C785" s="2"/>
      <c r="D785" s="2"/>
      <c r="E785" s="2"/>
      <c r="F785" s="2"/>
      <c r="G785" s="2"/>
      <c r="H785" s="2"/>
      <c r="I785" s="3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">
      <c r="A786" s="2"/>
      <c r="B786" s="2"/>
      <c r="C786" s="2"/>
      <c r="D786" s="2"/>
      <c r="E786" s="2"/>
      <c r="F786" s="2"/>
      <c r="G786" s="2"/>
      <c r="H786" s="2"/>
      <c r="I786" s="3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">
      <c r="A787" s="2"/>
      <c r="B787" s="2"/>
      <c r="C787" s="2"/>
      <c r="D787" s="2"/>
      <c r="E787" s="2"/>
      <c r="F787" s="2"/>
      <c r="G787" s="2"/>
      <c r="H787" s="2"/>
      <c r="I787" s="3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">
      <c r="A788" s="2"/>
      <c r="B788" s="2"/>
      <c r="C788" s="2"/>
      <c r="D788" s="2"/>
      <c r="E788" s="2"/>
      <c r="F788" s="2"/>
      <c r="G788" s="2"/>
      <c r="H788" s="2"/>
      <c r="I788" s="36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">
      <c r="A789" s="2"/>
      <c r="B789" s="2"/>
      <c r="C789" s="2"/>
      <c r="D789" s="2"/>
      <c r="E789" s="2"/>
      <c r="F789" s="2"/>
      <c r="G789" s="2"/>
      <c r="H789" s="2"/>
      <c r="I789" s="3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">
      <c r="A790" s="2"/>
      <c r="B790" s="2"/>
      <c r="C790" s="2"/>
      <c r="D790" s="2"/>
      <c r="E790" s="2"/>
      <c r="F790" s="2"/>
      <c r="G790" s="2"/>
      <c r="H790" s="2"/>
      <c r="I790" s="3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">
      <c r="A791" s="2"/>
      <c r="B791" s="2"/>
      <c r="C791" s="2"/>
      <c r="D791" s="2"/>
      <c r="E791" s="2"/>
      <c r="F791" s="2"/>
      <c r="G791" s="2"/>
      <c r="H791" s="2"/>
      <c r="I791" s="3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">
      <c r="A792" s="2"/>
      <c r="B792" s="2"/>
      <c r="C792" s="2"/>
      <c r="D792" s="2"/>
      <c r="E792" s="2"/>
      <c r="F792" s="2"/>
      <c r="G792" s="2"/>
      <c r="H792" s="2"/>
      <c r="I792" s="3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">
      <c r="A793" s="2"/>
      <c r="B793" s="2"/>
      <c r="C793" s="2"/>
      <c r="D793" s="2"/>
      <c r="E793" s="2"/>
      <c r="F793" s="2"/>
      <c r="G793" s="2"/>
      <c r="H793" s="2"/>
      <c r="I793" s="3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">
      <c r="A794" s="2"/>
      <c r="B794" s="2"/>
      <c r="C794" s="2"/>
      <c r="D794" s="2"/>
      <c r="E794" s="2"/>
      <c r="F794" s="2"/>
      <c r="G794" s="2"/>
      <c r="H794" s="2"/>
      <c r="I794" s="36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">
      <c r="A795" s="2"/>
      <c r="B795" s="2"/>
      <c r="C795" s="2"/>
      <c r="D795" s="2"/>
      <c r="E795" s="2"/>
      <c r="F795" s="2"/>
      <c r="G795" s="2"/>
      <c r="H795" s="2"/>
      <c r="I795" s="36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">
      <c r="A796" s="2"/>
      <c r="B796" s="2"/>
      <c r="C796" s="2"/>
      <c r="D796" s="2"/>
      <c r="E796" s="2"/>
      <c r="F796" s="2"/>
      <c r="G796" s="2"/>
      <c r="H796" s="2"/>
      <c r="I796" s="3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">
      <c r="A797" s="2"/>
      <c r="B797" s="2"/>
      <c r="C797" s="2"/>
      <c r="D797" s="2"/>
      <c r="E797" s="2"/>
      <c r="F797" s="2"/>
      <c r="G797" s="2"/>
      <c r="H797" s="2"/>
      <c r="I797" s="3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">
      <c r="A798" s="2"/>
      <c r="B798" s="2"/>
      <c r="C798" s="2"/>
      <c r="D798" s="2"/>
      <c r="E798" s="2"/>
      <c r="F798" s="2"/>
      <c r="G798" s="2"/>
      <c r="H798" s="2"/>
      <c r="I798" s="3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">
      <c r="A799" s="2"/>
      <c r="B799" s="2"/>
      <c r="C799" s="2"/>
      <c r="D799" s="2"/>
      <c r="E799" s="2"/>
      <c r="F799" s="2"/>
      <c r="G799" s="2"/>
      <c r="H799" s="2"/>
      <c r="I799" s="36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">
      <c r="A800" s="2"/>
      <c r="B800" s="2"/>
      <c r="C800" s="2"/>
      <c r="D800" s="2"/>
      <c r="E800" s="2"/>
      <c r="F800" s="2"/>
      <c r="G800" s="2"/>
      <c r="H800" s="2"/>
      <c r="I800" s="36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">
      <c r="A801" s="2"/>
      <c r="B801" s="2"/>
      <c r="C801" s="2"/>
      <c r="D801" s="2"/>
      <c r="E801" s="2"/>
      <c r="F801" s="2"/>
      <c r="G801" s="2"/>
      <c r="H801" s="2"/>
      <c r="I801" s="3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">
      <c r="A802" s="2"/>
      <c r="B802" s="2"/>
      <c r="C802" s="2"/>
      <c r="D802" s="2"/>
      <c r="E802" s="2"/>
      <c r="F802" s="2"/>
      <c r="G802" s="2"/>
      <c r="H802" s="2"/>
      <c r="I802" s="3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">
      <c r="A803" s="2"/>
      <c r="B803" s="2"/>
      <c r="C803" s="2"/>
      <c r="D803" s="2"/>
      <c r="E803" s="2"/>
      <c r="F803" s="2"/>
      <c r="G803" s="2"/>
      <c r="H803" s="2"/>
      <c r="I803" s="3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">
      <c r="A804" s="2"/>
      <c r="B804" s="2"/>
      <c r="C804" s="2"/>
      <c r="D804" s="2"/>
      <c r="E804" s="2"/>
      <c r="F804" s="2"/>
      <c r="G804" s="2"/>
      <c r="H804" s="2"/>
      <c r="I804" s="3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">
      <c r="A805" s="2"/>
      <c r="B805" s="2"/>
      <c r="C805" s="2"/>
      <c r="D805" s="2"/>
      <c r="E805" s="2"/>
      <c r="F805" s="2"/>
      <c r="G805" s="2"/>
      <c r="H805" s="2"/>
      <c r="I805" s="3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">
      <c r="A806" s="2"/>
      <c r="B806" s="2"/>
      <c r="C806" s="2"/>
      <c r="D806" s="2"/>
      <c r="E806" s="2"/>
      <c r="F806" s="2"/>
      <c r="G806" s="2"/>
      <c r="H806" s="2"/>
      <c r="I806" s="36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">
      <c r="A807" s="2"/>
      <c r="B807" s="2"/>
      <c r="C807" s="2"/>
      <c r="D807" s="2"/>
      <c r="E807" s="2"/>
      <c r="F807" s="2"/>
      <c r="G807" s="2"/>
      <c r="H807" s="2"/>
      <c r="I807" s="3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">
      <c r="A808" s="2"/>
      <c r="B808" s="2"/>
      <c r="C808" s="2"/>
      <c r="D808" s="2"/>
      <c r="E808" s="2"/>
      <c r="F808" s="2"/>
      <c r="G808" s="2"/>
      <c r="H808" s="2"/>
      <c r="I808" s="3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">
      <c r="A809" s="2"/>
      <c r="B809" s="2"/>
      <c r="C809" s="2"/>
      <c r="D809" s="2"/>
      <c r="E809" s="2"/>
      <c r="F809" s="2"/>
      <c r="G809" s="2"/>
      <c r="H809" s="2"/>
      <c r="I809" s="3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">
      <c r="A810" s="2"/>
      <c r="B810" s="2"/>
      <c r="C810" s="2"/>
      <c r="D810" s="2"/>
      <c r="E810" s="2"/>
      <c r="F810" s="2"/>
      <c r="G810" s="2"/>
      <c r="H810" s="2"/>
      <c r="I810" s="3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">
      <c r="A811" s="2"/>
      <c r="B811" s="2"/>
      <c r="C811" s="2"/>
      <c r="D811" s="2"/>
      <c r="E811" s="2"/>
      <c r="F811" s="2"/>
      <c r="G811" s="2"/>
      <c r="H811" s="2"/>
      <c r="I811" s="3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">
      <c r="A812" s="2"/>
      <c r="B812" s="2"/>
      <c r="C812" s="2"/>
      <c r="D812" s="2"/>
      <c r="E812" s="2"/>
      <c r="F812" s="2"/>
      <c r="G812" s="2"/>
      <c r="H812" s="2"/>
      <c r="I812" s="3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">
      <c r="A813" s="2"/>
      <c r="B813" s="2"/>
      <c r="C813" s="2"/>
      <c r="D813" s="2"/>
      <c r="E813" s="2"/>
      <c r="F813" s="2"/>
      <c r="G813" s="2"/>
      <c r="H813" s="2"/>
      <c r="I813" s="3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">
      <c r="A814" s="2"/>
      <c r="B814" s="2"/>
      <c r="C814" s="2"/>
      <c r="D814" s="2"/>
      <c r="E814" s="2"/>
      <c r="F814" s="2"/>
      <c r="G814" s="2"/>
      <c r="H814" s="2"/>
      <c r="I814" s="3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">
      <c r="A815" s="2"/>
      <c r="B815" s="2"/>
      <c r="C815" s="2"/>
      <c r="D815" s="2"/>
      <c r="E815" s="2"/>
      <c r="F815" s="2"/>
      <c r="G815" s="2"/>
      <c r="H815" s="2"/>
      <c r="I815" s="3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">
      <c r="A816" s="2"/>
      <c r="B816" s="2"/>
      <c r="C816" s="2"/>
      <c r="D816" s="2"/>
      <c r="E816" s="2"/>
      <c r="F816" s="2"/>
      <c r="G816" s="2"/>
      <c r="H816" s="2"/>
      <c r="I816" s="3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">
      <c r="A817" s="2"/>
      <c r="B817" s="2"/>
      <c r="C817" s="2"/>
      <c r="D817" s="2"/>
      <c r="E817" s="2"/>
      <c r="F817" s="2"/>
      <c r="G817" s="2"/>
      <c r="H817" s="2"/>
      <c r="I817" s="3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">
      <c r="A818" s="2"/>
      <c r="B818" s="2"/>
      <c r="C818" s="2"/>
      <c r="D818" s="2"/>
      <c r="E818" s="2"/>
      <c r="F818" s="2"/>
      <c r="G818" s="2"/>
      <c r="H818" s="2"/>
      <c r="I818" s="3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">
      <c r="A819" s="2"/>
      <c r="B819" s="2"/>
      <c r="C819" s="2"/>
      <c r="D819" s="2"/>
      <c r="E819" s="2"/>
      <c r="F819" s="2"/>
      <c r="G819" s="2"/>
      <c r="H819" s="2"/>
      <c r="I819" s="3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">
      <c r="A820" s="2"/>
      <c r="B820" s="2"/>
      <c r="C820" s="2"/>
      <c r="D820" s="2"/>
      <c r="E820" s="2"/>
      <c r="F820" s="2"/>
      <c r="G820" s="2"/>
      <c r="H820" s="2"/>
      <c r="I820" s="3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">
      <c r="A821" s="2"/>
      <c r="B821" s="2"/>
      <c r="C821" s="2"/>
      <c r="D821" s="2"/>
      <c r="E821" s="2"/>
      <c r="F821" s="2"/>
      <c r="G821" s="2"/>
      <c r="H821" s="2"/>
      <c r="I821" s="3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">
      <c r="A822" s="2"/>
      <c r="B822" s="2"/>
      <c r="C822" s="2"/>
      <c r="D822" s="2"/>
      <c r="E822" s="2"/>
      <c r="F822" s="2"/>
      <c r="G822" s="2"/>
      <c r="H822" s="2"/>
      <c r="I822" s="3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">
      <c r="A823" s="2"/>
      <c r="B823" s="2"/>
      <c r="C823" s="2"/>
      <c r="D823" s="2"/>
      <c r="E823" s="2"/>
      <c r="F823" s="2"/>
      <c r="G823" s="2"/>
      <c r="H823" s="2"/>
      <c r="I823" s="36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">
      <c r="A824" s="2"/>
      <c r="B824" s="2"/>
      <c r="C824" s="2"/>
      <c r="D824" s="2"/>
      <c r="E824" s="2"/>
      <c r="F824" s="2"/>
      <c r="G824" s="2"/>
      <c r="H824" s="2"/>
      <c r="I824" s="36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">
      <c r="A825" s="2"/>
      <c r="B825" s="2"/>
      <c r="C825" s="2"/>
      <c r="D825" s="2"/>
      <c r="E825" s="2"/>
      <c r="F825" s="2"/>
      <c r="G825" s="2"/>
      <c r="H825" s="2"/>
      <c r="I825" s="36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">
      <c r="A826" s="2"/>
      <c r="B826" s="2"/>
      <c r="C826" s="2"/>
      <c r="D826" s="2"/>
      <c r="E826" s="2"/>
      <c r="F826" s="2"/>
      <c r="G826" s="2"/>
      <c r="H826" s="2"/>
      <c r="I826" s="36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">
      <c r="A827" s="2"/>
      <c r="B827" s="2"/>
      <c r="C827" s="2"/>
      <c r="D827" s="2"/>
      <c r="E827" s="2"/>
      <c r="F827" s="2"/>
      <c r="G827" s="2"/>
      <c r="H827" s="2"/>
      <c r="I827" s="36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">
      <c r="A828" s="2"/>
      <c r="B828" s="2"/>
      <c r="C828" s="2"/>
      <c r="D828" s="2"/>
      <c r="E828" s="2"/>
      <c r="F828" s="2"/>
      <c r="G828" s="2"/>
      <c r="H828" s="2"/>
      <c r="I828" s="36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">
      <c r="A829" s="2"/>
      <c r="B829" s="2"/>
      <c r="C829" s="2"/>
      <c r="D829" s="2"/>
      <c r="E829" s="2"/>
      <c r="F829" s="2"/>
      <c r="G829" s="2"/>
      <c r="H829" s="2"/>
      <c r="I829" s="36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">
      <c r="A830" s="2"/>
      <c r="B830" s="2"/>
      <c r="C830" s="2"/>
      <c r="D830" s="2"/>
      <c r="E830" s="2"/>
      <c r="F830" s="2"/>
      <c r="G830" s="2"/>
      <c r="H830" s="2"/>
      <c r="I830" s="3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">
      <c r="A831" s="2"/>
      <c r="B831" s="2"/>
      <c r="C831" s="2"/>
      <c r="D831" s="2"/>
      <c r="E831" s="2"/>
      <c r="F831" s="2"/>
      <c r="G831" s="2"/>
      <c r="H831" s="2"/>
      <c r="I831" s="3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">
      <c r="A832" s="2"/>
      <c r="B832" s="2"/>
      <c r="C832" s="2"/>
      <c r="D832" s="2"/>
      <c r="E832" s="2"/>
      <c r="F832" s="2"/>
      <c r="G832" s="2"/>
      <c r="H832" s="2"/>
      <c r="I832" s="3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">
      <c r="A833" s="2"/>
      <c r="B833" s="2"/>
      <c r="C833" s="2"/>
      <c r="D833" s="2"/>
      <c r="E833" s="2"/>
      <c r="F833" s="2"/>
      <c r="G833" s="2"/>
      <c r="H833" s="2"/>
      <c r="I833" s="36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">
      <c r="A834" s="2"/>
      <c r="B834" s="2"/>
      <c r="C834" s="2"/>
      <c r="D834" s="2"/>
      <c r="E834" s="2"/>
      <c r="F834" s="2"/>
      <c r="G834" s="2"/>
      <c r="H834" s="2"/>
      <c r="I834" s="36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">
      <c r="A835" s="2"/>
      <c r="B835" s="2"/>
      <c r="C835" s="2"/>
      <c r="D835" s="2"/>
      <c r="E835" s="2"/>
      <c r="F835" s="2"/>
      <c r="G835" s="2"/>
      <c r="H835" s="2"/>
      <c r="I835" s="36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">
      <c r="A836" s="2"/>
      <c r="B836" s="2"/>
      <c r="C836" s="2"/>
      <c r="D836" s="2"/>
      <c r="E836" s="2"/>
      <c r="F836" s="2"/>
      <c r="G836" s="2"/>
      <c r="H836" s="2"/>
      <c r="I836" s="36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">
      <c r="A837" s="2"/>
      <c r="B837" s="2"/>
      <c r="C837" s="2"/>
      <c r="D837" s="2"/>
      <c r="E837" s="2"/>
      <c r="F837" s="2"/>
      <c r="G837" s="2"/>
      <c r="H837" s="2"/>
      <c r="I837" s="36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">
      <c r="A838" s="2"/>
      <c r="B838" s="2"/>
      <c r="C838" s="2"/>
      <c r="D838" s="2"/>
      <c r="E838" s="2"/>
      <c r="F838" s="2"/>
      <c r="G838" s="2"/>
      <c r="H838" s="2"/>
      <c r="I838" s="36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">
      <c r="A839" s="2"/>
      <c r="B839" s="2"/>
      <c r="C839" s="2"/>
      <c r="D839" s="2"/>
      <c r="E839" s="2"/>
      <c r="F839" s="2"/>
      <c r="G839" s="2"/>
      <c r="H839" s="2"/>
      <c r="I839" s="36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">
      <c r="A840" s="2"/>
      <c r="B840" s="2"/>
      <c r="C840" s="2"/>
      <c r="D840" s="2"/>
      <c r="E840" s="2"/>
      <c r="F840" s="2"/>
      <c r="G840" s="2"/>
      <c r="H840" s="2"/>
      <c r="I840" s="36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">
      <c r="A841" s="2"/>
      <c r="B841" s="2"/>
      <c r="C841" s="2"/>
      <c r="D841" s="2"/>
      <c r="E841" s="2"/>
      <c r="F841" s="2"/>
      <c r="G841" s="2"/>
      <c r="H841" s="2"/>
      <c r="I841" s="36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">
      <c r="A842" s="2"/>
      <c r="B842" s="2"/>
      <c r="C842" s="2"/>
      <c r="D842" s="2"/>
      <c r="E842" s="2"/>
      <c r="F842" s="2"/>
      <c r="G842" s="2"/>
      <c r="H842" s="2"/>
      <c r="I842" s="36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">
      <c r="A843" s="2"/>
      <c r="B843" s="2"/>
      <c r="C843" s="2"/>
      <c r="D843" s="2"/>
      <c r="E843" s="2"/>
      <c r="F843" s="2"/>
      <c r="G843" s="2"/>
      <c r="H843" s="2"/>
      <c r="I843" s="36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">
      <c r="A844" s="2"/>
      <c r="B844" s="2"/>
      <c r="C844" s="2"/>
      <c r="D844" s="2"/>
      <c r="E844" s="2"/>
      <c r="F844" s="2"/>
      <c r="G844" s="2"/>
      <c r="H844" s="2"/>
      <c r="I844" s="36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">
      <c r="A845" s="2"/>
      <c r="B845" s="2"/>
      <c r="C845" s="2"/>
      <c r="D845" s="2"/>
      <c r="E845" s="2"/>
      <c r="F845" s="2"/>
      <c r="G845" s="2"/>
      <c r="H845" s="2"/>
      <c r="I845" s="36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">
      <c r="A846" s="2"/>
      <c r="B846" s="2"/>
      <c r="C846" s="2"/>
      <c r="D846" s="2"/>
      <c r="E846" s="2"/>
      <c r="F846" s="2"/>
      <c r="G846" s="2"/>
      <c r="H846" s="2"/>
      <c r="I846" s="36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">
      <c r="A847" s="2"/>
      <c r="B847" s="2"/>
      <c r="C847" s="2"/>
      <c r="D847" s="2"/>
      <c r="E847" s="2"/>
      <c r="F847" s="2"/>
      <c r="G847" s="2"/>
      <c r="H847" s="2"/>
      <c r="I847" s="36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">
      <c r="A848" s="2"/>
      <c r="B848" s="2"/>
      <c r="C848" s="2"/>
      <c r="D848" s="2"/>
      <c r="E848" s="2"/>
      <c r="F848" s="2"/>
      <c r="G848" s="2"/>
      <c r="H848" s="2"/>
      <c r="I848" s="36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">
      <c r="A849" s="2"/>
      <c r="B849" s="2"/>
      <c r="C849" s="2"/>
      <c r="D849" s="2"/>
      <c r="E849" s="2"/>
      <c r="F849" s="2"/>
      <c r="G849" s="2"/>
      <c r="H849" s="2"/>
      <c r="I849" s="36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">
      <c r="A850" s="2"/>
      <c r="B850" s="2"/>
      <c r="C850" s="2"/>
      <c r="D850" s="2"/>
      <c r="E850" s="2"/>
      <c r="F850" s="2"/>
      <c r="G850" s="2"/>
      <c r="H850" s="2"/>
      <c r="I850" s="36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">
      <c r="A851" s="2"/>
      <c r="B851" s="2"/>
      <c r="C851" s="2"/>
      <c r="D851" s="2"/>
      <c r="E851" s="2"/>
      <c r="F851" s="2"/>
      <c r="G851" s="2"/>
      <c r="H851" s="2"/>
      <c r="I851" s="36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">
      <c r="A852" s="2"/>
      <c r="B852" s="2"/>
      <c r="C852" s="2"/>
      <c r="D852" s="2"/>
      <c r="E852" s="2"/>
      <c r="F852" s="2"/>
      <c r="G852" s="2"/>
      <c r="H852" s="2"/>
      <c r="I852" s="3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">
      <c r="A853" s="2"/>
      <c r="B853" s="2"/>
      <c r="C853" s="2"/>
      <c r="D853" s="2"/>
      <c r="E853" s="2"/>
      <c r="F853" s="2"/>
      <c r="G853" s="2"/>
      <c r="H853" s="2"/>
      <c r="I853" s="3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">
      <c r="A854" s="2"/>
      <c r="B854" s="2"/>
      <c r="C854" s="2"/>
      <c r="D854" s="2"/>
      <c r="E854" s="2"/>
      <c r="F854" s="2"/>
      <c r="G854" s="2"/>
      <c r="H854" s="2"/>
      <c r="I854" s="3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">
      <c r="A855" s="2"/>
      <c r="B855" s="2"/>
      <c r="C855" s="2"/>
      <c r="D855" s="2"/>
      <c r="E855" s="2"/>
      <c r="F855" s="2"/>
      <c r="G855" s="2"/>
      <c r="H855" s="2"/>
      <c r="I855" s="3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">
      <c r="A856" s="2"/>
      <c r="B856" s="2"/>
      <c r="C856" s="2"/>
      <c r="D856" s="2"/>
      <c r="E856" s="2"/>
      <c r="F856" s="2"/>
      <c r="G856" s="2"/>
      <c r="H856" s="2"/>
      <c r="I856" s="36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">
      <c r="A857" s="2"/>
      <c r="B857" s="2"/>
      <c r="C857" s="2"/>
      <c r="D857" s="2"/>
      <c r="E857" s="2"/>
      <c r="F857" s="2"/>
      <c r="G857" s="2"/>
      <c r="H857" s="2"/>
      <c r="I857" s="36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">
      <c r="A858" s="2"/>
      <c r="B858" s="2"/>
      <c r="C858" s="2"/>
      <c r="D858" s="2"/>
      <c r="E858" s="2"/>
      <c r="F858" s="2"/>
      <c r="G858" s="2"/>
      <c r="H858" s="2"/>
      <c r="I858" s="36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">
      <c r="A859" s="2"/>
      <c r="B859" s="2"/>
      <c r="C859" s="2"/>
      <c r="D859" s="2"/>
      <c r="E859" s="2"/>
      <c r="F859" s="2"/>
      <c r="G859" s="2"/>
      <c r="H859" s="2"/>
      <c r="I859" s="36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">
      <c r="A860" s="2"/>
      <c r="B860" s="2"/>
      <c r="C860" s="2"/>
      <c r="D860" s="2"/>
      <c r="E860" s="2"/>
      <c r="F860" s="2"/>
      <c r="G860" s="2"/>
      <c r="H860" s="2"/>
      <c r="I860" s="36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">
      <c r="A861" s="2"/>
      <c r="B861" s="2"/>
      <c r="C861" s="2"/>
      <c r="D861" s="2"/>
      <c r="E861" s="2"/>
      <c r="F861" s="2"/>
      <c r="G861" s="2"/>
      <c r="H861" s="2"/>
      <c r="I861" s="36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">
      <c r="A862" s="2"/>
      <c r="B862" s="2"/>
      <c r="C862" s="2"/>
      <c r="D862" s="2"/>
      <c r="E862" s="2"/>
      <c r="F862" s="2"/>
      <c r="G862" s="2"/>
      <c r="H862" s="2"/>
      <c r="I862" s="36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">
      <c r="A863" s="2"/>
      <c r="B863" s="2"/>
      <c r="C863" s="2"/>
      <c r="D863" s="2"/>
      <c r="E863" s="2"/>
      <c r="F863" s="2"/>
      <c r="G863" s="2"/>
      <c r="H863" s="2"/>
      <c r="I863" s="36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">
      <c r="A864" s="2"/>
      <c r="B864" s="2"/>
      <c r="C864" s="2"/>
      <c r="D864" s="2"/>
      <c r="E864" s="2"/>
      <c r="F864" s="2"/>
      <c r="G864" s="2"/>
      <c r="H864" s="2"/>
      <c r="I864" s="3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">
      <c r="A865" s="2"/>
      <c r="B865" s="2"/>
      <c r="C865" s="2"/>
      <c r="D865" s="2"/>
      <c r="E865" s="2"/>
      <c r="F865" s="2"/>
      <c r="G865" s="2"/>
      <c r="H865" s="2"/>
      <c r="I865" s="3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">
      <c r="A866" s="2"/>
      <c r="B866" s="2"/>
      <c r="C866" s="2"/>
      <c r="D866" s="2"/>
      <c r="E866" s="2"/>
      <c r="F866" s="2"/>
      <c r="G866" s="2"/>
      <c r="H866" s="2"/>
      <c r="I866" s="3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">
      <c r="A867" s="2"/>
      <c r="B867" s="2"/>
      <c r="C867" s="2"/>
      <c r="D867" s="2"/>
      <c r="E867" s="2"/>
      <c r="F867" s="2"/>
      <c r="G867" s="2"/>
      <c r="H867" s="2"/>
      <c r="I867" s="36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">
      <c r="A868" s="2"/>
      <c r="B868" s="2"/>
      <c r="C868" s="2"/>
      <c r="D868" s="2"/>
      <c r="E868" s="2"/>
      <c r="F868" s="2"/>
      <c r="G868" s="2"/>
      <c r="H868" s="2"/>
      <c r="I868" s="36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">
      <c r="A869" s="2"/>
      <c r="B869" s="2"/>
      <c r="C869" s="2"/>
      <c r="D869" s="2"/>
      <c r="E869" s="2"/>
      <c r="F869" s="2"/>
      <c r="G869" s="2"/>
      <c r="H869" s="2"/>
      <c r="I869" s="3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">
      <c r="A870" s="2"/>
      <c r="B870" s="2"/>
      <c r="C870" s="2"/>
      <c r="D870" s="2"/>
      <c r="E870" s="2"/>
      <c r="F870" s="2"/>
      <c r="G870" s="2"/>
      <c r="H870" s="2"/>
      <c r="I870" s="3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">
      <c r="A871" s="2"/>
      <c r="B871" s="2"/>
      <c r="C871" s="2"/>
      <c r="D871" s="2"/>
      <c r="E871" s="2"/>
      <c r="F871" s="2"/>
      <c r="G871" s="2"/>
      <c r="H871" s="2"/>
      <c r="I871" s="3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">
      <c r="A872" s="2"/>
      <c r="B872" s="2"/>
      <c r="C872" s="2"/>
      <c r="D872" s="2"/>
      <c r="E872" s="2"/>
      <c r="F872" s="2"/>
      <c r="G872" s="2"/>
      <c r="H872" s="2"/>
      <c r="I872" s="3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</sheetData>
  <autoFilter ref="A1:J872" xr:uid="{00000000-0009-0000-0000-000008000000}"/>
  <customSheetViews>
    <customSheetView guid="{5B966157-D76D-4ACD-A64E-35B71110F4A8}" filter="1" showAutoFilter="1">
      <pageMargins left="0.7" right="0.7" top="0.75" bottom="0.75" header="0.3" footer="0.3"/>
      <autoFilter ref="A1:J872" xr:uid="{B9E890C2-FE8A-4BC3-8B0D-5AF0F08146EB}">
        <filterColumn colId="0">
          <filters blank="1">
            <filter val="75"/>
          </filters>
        </filterColumn>
        <filterColumn colId="1">
          <filters blank="1">
            <filter val="0"/>
            <filter val="100"/>
            <filter val="225"/>
          </filters>
        </filterColumn>
        <filterColumn colId="3">
          <filters blank="1">
            <filter val="183"/>
          </filters>
        </filterColumn>
        <filterColumn colId="4">
          <filters blank="1">
            <filter val="Felt IA"/>
            <filter val="Specialized Tarmac Pro"/>
            <filter val="Specialized Venge S-Works"/>
          </filters>
        </filterColumn>
        <filterColumn colId="6">
          <filters blank="1">
            <filter val="32mm Carbon"/>
            <filter val="Lightweight Meilenstein"/>
            <filter val="Zipp 858/Super9"/>
          </filters>
        </filterColumn>
      </autoFilter>
    </customSheetView>
  </customSheetViews>
  <conditionalFormatting sqref="I87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J2" r:id="rId1" xr:uid="{00000000-0004-0000-0800-000000000000}"/>
    <hyperlink ref="J3" r:id="rId2" xr:uid="{00000000-0004-0000-0800-000001000000}"/>
    <hyperlink ref="J4" r:id="rId3" xr:uid="{00000000-0004-0000-0800-000002000000}"/>
    <hyperlink ref="J5" r:id="rId4" xr:uid="{00000000-0004-0000-0800-000003000000}"/>
    <hyperlink ref="J6" r:id="rId5" xr:uid="{00000000-0004-0000-0800-000004000000}"/>
    <hyperlink ref="J7" r:id="rId6" xr:uid="{00000000-0004-0000-0800-000005000000}"/>
    <hyperlink ref="J8" r:id="rId7" xr:uid="{00000000-0004-0000-0800-000006000000}"/>
    <hyperlink ref="J9" r:id="rId8" xr:uid="{00000000-0004-0000-0800-000007000000}"/>
    <hyperlink ref="J10" r:id="rId9" xr:uid="{00000000-0004-0000-0800-000008000000}"/>
    <hyperlink ref="J11" r:id="rId10" xr:uid="{00000000-0004-0000-0800-000009000000}"/>
    <hyperlink ref="J12" r:id="rId11" xr:uid="{00000000-0004-0000-0800-00000A000000}"/>
    <hyperlink ref="J13" r:id="rId12" xr:uid="{00000000-0004-0000-0800-00000B000000}"/>
    <hyperlink ref="J14" r:id="rId13" xr:uid="{00000000-0004-0000-0800-00000C000000}"/>
    <hyperlink ref="J15" r:id="rId14" xr:uid="{00000000-0004-0000-0800-00000D000000}"/>
    <hyperlink ref="J16" r:id="rId15" xr:uid="{00000000-0004-0000-08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Tempus Fugit</vt:lpstr>
      <vt:lpstr>Alpe</vt:lpstr>
      <vt:lpstr>Surrey Hills</vt:lpstr>
      <vt:lpstr>Sprints (Richmond)</vt:lpstr>
      <vt:lpstr>Figure 8</vt:lpstr>
      <vt:lpstr>Yorkshire</vt:lpstr>
      <vt:lpstr>Innsbruck</vt:lpstr>
      <vt:lpstr>London Loop</vt:lpstr>
      <vt:lpstr>Alpe Descent</vt:lpstr>
      <vt:lpstr>Jungle Circuit</vt:lpstr>
      <vt:lpstr>Sand &amp; Sequoias</vt:lpstr>
      <vt:lpstr>Volcano Climb</vt:lpstr>
      <vt:lpstr>Bologna TT</vt:lpstr>
      <vt:lpstr>Big Foot Hills</vt:lpstr>
      <vt:lpstr>Mighty Metro</vt:lpstr>
      <vt:lpstr>Richmond</vt:lpstr>
      <vt:lpstr>Everything Bagel</vt:lpstr>
      <vt:lpstr>Casse-Pattes</vt:lpstr>
      <vt:lpstr>OLD Richmond</vt:lpstr>
      <vt:lpstr>OLD Bologna TT</vt:lpstr>
      <vt:lpstr>OLD Jungle Loop</vt:lpstr>
      <vt:lpstr>Watopia 2016</vt:lpstr>
      <vt:lpstr>Watopia 2017</vt:lpstr>
      <vt:lpstr>Watopia 2018</vt:lpstr>
      <vt:lpstr>Watopia Hilly</vt:lpstr>
      <vt:lpstr>Watopia Hilly Reverse</vt:lpstr>
      <vt:lpstr>Gaps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2023-08-11T02:23:30Z</dcterms:created>
  <dcterms:modified xsi:type="dcterms:W3CDTF">2023-08-11T02:23:30Z</dcterms:modified>
</cp:coreProperties>
</file>