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drawings/drawing3.xml" ContentType="application/vnd.openxmlformats-officedocument.drawing+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omments1.xml" ContentType="application/vnd.openxmlformats-officedocument.spreadsheetml.comments+xml"/>
  <Override PartName="/xl/charts/chart1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915"/>
  <workbookPr showInkAnnotation="0" codeName="ThisWorkbook" autoCompressPictures="0"/>
  <bookViews>
    <workbookView xWindow="6400" yWindow="0" windowWidth="28800" windowHeight="16440" tabRatio="805" activeTab="7"/>
  </bookViews>
  <sheets>
    <sheet name="1 Customer Record" sheetId="5" r:id="rId1"/>
    <sheet name="2 Sizing Sheet" sheetId="1" r:id="rId2"/>
    <sheet name="3 Pricing Sheet" sheetId="19" r:id="rId3"/>
    <sheet name="4 Dividend Financed Bid" sheetId="23" r:id="rId4"/>
    <sheet name="Cash Bid" sheetId="22" state="hidden" r:id="rId5"/>
    <sheet name="Div Contrat Exh A-B" sheetId="27" r:id="rId6"/>
    <sheet name="Cash Purchase Contract Exh A-B " sheetId="20" state="hidden" r:id="rId7"/>
    <sheet name="MonthlyLoanModel" sheetId="10" r:id="rId8"/>
    <sheet name="Annual Summary" sheetId="11" r:id="rId9"/>
    <sheet name="Lookup Tables" sheetId="14" r:id="rId10"/>
  </sheets>
  <externalReferences>
    <externalReference r:id="rId11"/>
    <externalReference r:id="rId12"/>
    <externalReference r:id="rId13"/>
  </externalReferences>
  <definedNames>
    <definedName name="Annual_PV_Output_Degredation" localSheetId="2">#REF!</definedName>
    <definedName name="Annual_PV_Output_Degredation" localSheetId="3">#REF!</definedName>
    <definedName name="Annual_PV_Output_Degredation" localSheetId="4">#REF!</definedName>
    <definedName name="Annual_PV_Output_Degredation">#REF!</definedName>
    <definedName name="Annual_Utility_Increase" localSheetId="2">#REF!</definedName>
    <definedName name="Annual_Utility_Increase" localSheetId="3">#REF!</definedName>
    <definedName name="Annual_Utility_Increase" localSheetId="4">#REF!</definedName>
    <definedName name="Annual_Utility_Increase">#REF!</definedName>
    <definedName name="Annual_Utility_Rate_Increase" localSheetId="2">#REF!</definedName>
    <definedName name="Annual_Utility_Rate_Increase" localSheetId="3">#REF!</definedName>
    <definedName name="Annual_Utility_Rate_Increase" localSheetId="4">#REF!</definedName>
    <definedName name="Annual_Utility_Rate_Increase">#REF!</definedName>
    <definedName name="Beg_Bal" localSheetId="3">#REF!</definedName>
    <definedName name="Beg_Bal" localSheetId="4">#REF!</definedName>
    <definedName name="Beg_Bal">#REF!</definedName>
    <definedName name="CIQWBGuid" hidden="1">"564eac02-9b14-4656-8161-0868540db205"</definedName>
    <definedName name="cum_balance" localSheetId="0">OFFSET(#REF!,2,0,'1 Customer Record'!nper,1)</definedName>
    <definedName name="cum_balance" localSheetId="2">OFFSET(#REF!,2,0,'3 Pricing Sheet'!nper,1)</definedName>
    <definedName name="cum_balance" localSheetId="3">OFFSET(#REF!,2,0,'4 Dividend Financed Bid'!nper,1)</definedName>
    <definedName name="cum_balance" localSheetId="4">OFFSET(#REF!,2,0,'Cash Bid'!nper,1)</definedName>
    <definedName name="cum_balance" localSheetId="7">OFFSET(MonthlyLoanModel!$L$44,2,0,MonthlyLoanModel!nper,1)</definedName>
    <definedName name="cum_balance">OFFSET(#REF!,2,0,'1 Customer Record'!nper,1)</definedName>
    <definedName name="Cum_Int" localSheetId="3">#REF!</definedName>
    <definedName name="Cum_Int" localSheetId="4">#REF!</definedName>
    <definedName name="Cum_Int">#REF!</definedName>
    <definedName name="cum_interest" localSheetId="0">OFFSET(#REF!,2,0,'1 Customer Record'!nper,1)</definedName>
    <definedName name="cum_interest" localSheetId="2">OFFSET(#REF!,2,0,'3 Pricing Sheet'!nper,1)</definedName>
    <definedName name="cum_interest" localSheetId="3">OFFSET(#REF!,2,0,'4 Dividend Financed Bid'!nper,1)</definedName>
    <definedName name="cum_interest" localSheetId="4">OFFSET(#REF!,2,0,'Cash Bid'!nper,1)</definedName>
    <definedName name="cum_interest" localSheetId="7">OFFSET(MonthlyLoanModel!$M$44,2,0,MonthlyLoanModel!nper,1)</definedName>
    <definedName name="cum_interest">OFFSET(#REF!,2,0,'1 Customer Record'!nper,1)</definedName>
    <definedName name="cum_payments" localSheetId="0">OFFSET(#REF!,2,0,'1 Customer Record'!nper,1)</definedName>
    <definedName name="cum_payments" localSheetId="2">OFFSET(#REF!,2,0,'3 Pricing Sheet'!nper,1)</definedName>
    <definedName name="cum_payments" localSheetId="3">OFFSET(#REF!,2,0,'4 Dividend Financed Bid'!nper,1)</definedName>
    <definedName name="cum_payments" localSheetId="4">OFFSET(#REF!,2,0,'Cash Bid'!nper,1)</definedName>
    <definedName name="cum_payments" localSheetId="7">OFFSET(MonthlyLoanModel!$D$44,2,0,MonthlyLoanModel!nper,1)</definedName>
    <definedName name="cum_payments">OFFSET(#REF!,2,0,'1 Customer Record'!nper,1)</definedName>
    <definedName name="cum_principal" localSheetId="0">OFFSET(#REF!,2,0,'1 Customer Record'!nper,1)</definedName>
    <definedName name="cum_principal" localSheetId="2">OFFSET(#REF!,2,0,'3 Pricing Sheet'!nper,1)</definedName>
    <definedName name="cum_principal" localSheetId="3">OFFSET(#REF!,2,0,'4 Dividend Financed Bid'!nper,1)</definedName>
    <definedName name="cum_principal" localSheetId="4">OFFSET(#REF!,2,0,'Cash Bid'!nper,1)</definedName>
    <definedName name="cum_principal" localSheetId="7">OFFSET(MonthlyLoanModel!$N$44,2,0,MonthlyLoanModel!nper,1)</definedName>
    <definedName name="cum_principal">OFFSET(#REF!,2,0,'1 Customer Record'!nper,1)</definedName>
    <definedName name="Customer_Tax_Rate" localSheetId="2">#REF!</definedName>
    <definedName name="Customer_Tax_Rate" localSheetId="3">#REF!</definedName>
    <definedName name="Customer_Tax_Rate" localSheetId="4">#REF!</definedName>
    <definedName name="Customer_Tax_Rate">#REF!</definedName>
    <definedName name="Customer_Type" localSheetId="2">#REF!</definedName>
    <definedName name="Customer_Type" localSheetId="3">#REF!</definedName>
    <definedName name="Customer_Type" localSheetId="4">#REF!</definedName>
    <definedName name="Customer_Type">#REF!</definedName>
    <definedName name="Data" localSheetId="3">#REF!</definedName>
    <definedName name="Data" localSheetId="4">#REF!</definedName>
    <definedName name="Data">#REF!</definedName>
    <definedName name="Down_Payment" localSheetId="2">#REF!</definedName>
    <definedName name="Down_Payment" localSheetId="3">#REF!</definedName>
    <definedName name="Down_Payment" localSheetId="4">#REF!</definedName>
    <definedName name="Down_Payment">#REF!</definedName>
    <definedName name="End_Bal">'[1]Loan Amortization Schedule'!$I$18:$I$377</definedName>
    <definedName name="Extra_Pay" localSheetId="3">#REF!</definedName>
    <definedName name="Extra_Pay" localSheetId="4">#REF!</definedName>
    <definedName name="Extra_Pay">#REF!</definedName>
    <definedName name="Federal_Tax_Credit__30" localSheetId="2">#REF!</definedName>
    <definedName name="Federal_Tax_Credit__30" localSheetId="3">#REF!</definedName>
    <definedName name="Federal_Tax_Credit__30" localSheetId="4">#REF!</definedName>
    <definedName name="Federal_Tax_Credit__30">#REF!</definedName>
    <definedName name="fpdate" localSheetId="2">#REF!</definedName>
    <definedName name="fpdate" localSheetId="3">#REF!</definedName>
    <definedName name="fpdate" localSheetId="4">#REF!</definedName>
    <definedName name="fpdate" localSheetId="7">MonthlyLoanModel!$F$24</definedName>
    <definedName name="fpdate">#REF!</definedName>
    <definedName name="Full_Print" localSheetId="3">#REF!</definedName>
    <definedName name="Full_Print" localSheetId="4">#REF!</definedName>
    <definedName name="Full_Print">#REF!</definedName>
    <definedName name="funding" localSheetId="0">#REF!</definedName>
    <definedName name="funding" localSheetId="2">#REF!</definedName>
    <definedName name="funding" localSheetId="3">#REF!</definedName>
    <definedName name="funding" localSheetId="4">#REF!</definedName>
    <definedName name="funding" localSheetId="6">#REF!</definedName>
    <definedName name="funding" localSheetId="5">#REF!</definedName>
    <definedName name="funding">#REF!</definedName>
    <definedName name="FundingSource" localSheetId="0">[2]Data!$A$29:$A$32</definedName>
    <definedName name="FundingSource" localSheetId="6">[2]Data!$A$29:$A$32</definedName>
    <definedName name="FundingSource">[2]Data!$A$29:$A$32</definedName>
    <definedName name="Header_Row">ROW('[1]Loan Amortization Schedule'!$17:$17)</definedName>
    <definedName name="Initial_Utility_Rate" localSheetId="2">#REF!</definedName>
    <definedName name="Initial_Utility_Rate" localSheetId="3">#REF!</definedName>
    <definedName name="Initial_Utility_Rate" localSheetId="4">#REF!</definedName>
    <definedName name="Initial_Utility_Rate">#REF!</definedName>
    <definedName name="Int" localSheetId="3">#REF!</definedName>
    <definedName name="Int" localSheetId="4">#REF!</definedName>
    <definedName name="Int">#REF!</definedName>
    <definedName name="int_rate_history" localSheetId="0">OFFSET(#REF!,2,0,'1 Customer Record'!nper,1)</definedName>
    <definedName name="int_rate_history" localSheetId="2">OFFSET(#REF!,2,0,'3 Pricing Sheet'!nper,1)</definedName>
    <definedName name="int_rate_history" localSheetId="3">OFFSET(#REF!,2,0,'4 Dividend Financed Bid'!nper,1)</definedName>
    <definedName name="int_rate_history" localSheetId="4">OFFSET(#REF!,2,0,'Cash Bid'!nper,1)</definedName>
    <definedName name="int_rate_history" localSheetId="7">OFFSET(MonthlyLoanModel!$F$44,2,0,MonthlyLoanModel!nper,1)</definedName>
    <definedName name="int_rate_history">OFFSET(#REF!,2,0,'1 Customer Record'!nper,1)</definedName>
    <definedName name="Interest_Rate">'[1]Loan Amortization Schedule'!$D$6</definedName>
    <definedName name="Last_Row">IF(Values_Entered,Header_Row+Number_of_Payments,Header_Row)</definedName>
    <definedName name="Loan_Amount">'[1]Loan Amortization Schedule'!$D$5</definedName>
    <definedName name="Loan_Start">'[1]Loan Amortization Schedule'!$D$9</definedName>
    <definedName name="Loan_Years">'[1]Loan Amortization Schedule'!$D$7</definedName>
    <definedName name="nper" localSheetId="0">term*12</definedName>
    <definedName name="nper" localSheetId="2">'3 Pricing Sheet'!term*12</definedName>
    <definedName name="nper" localSheetId="3">'4 Dividend Financed Bid'!term*12</definedName>
    <definedName name="nper" localSheetId="4">'Cash Bid'!term*12</definedName>
    <definedName name="nper" localSheetId="7">MonthlyLoanModel!term*12</definedName>
    <definedName name="nper">term*12</definedName>
    <definedName name="Num_Pmt_Per_Year" localSheetId="3">#REF!</definedName>
    <definedName name="Num_Pmt_Per_Year" localSheetId="4">#REF!</definedName>
    <definedName name="Num_Pmt_Per_Year">#REF!</definedName>
    <definedName name="Number_of_Payments">MATCH(0.01,End_Bal,-1)+1</definedName>
    <definedName name="Pay_Date" localSheetId="3">#REF!</definedName>
    <definedName name="Pay_Date" localSheetId="4">#REF!</definedName>
    <definedName name="Pay_Date">#REF!</definedName>
    <definedName name="Pay_Num" localSheetId="3">#REF!</definedName>
    <definedName name="Pay_Num" localSheetId="4">#REF!</definedName>
    <definedName name="Pay_Num">#REF!</definedName>
    <definedName name="Payment_Date" localSheetId="3">DATE(YEAR([0]!Loan_Start),MONTH([0]!Loan_Start)+Payment_Number,DAY([0]!Loan_Start))</definedName>
    <definedName name="Payment_Date" localSheetId="4">DATE(YEAR([0]!Loan_Start),MONTH([0]!Loan_Start)+Payment_Number,DAY([0]!Loan_Start))</definedName>
    <definedName name="Payment_Date">DATE(YEAR(Loan_Start),MONTH(Loan_Start)+Payment_Number,DAY(Loan_Start))</definedName>
    <definedName name="Performance_Based_Incentive___kWh" localSheetId="2">#REF!</definedName>
    <definedName name="Performance_Based_Incentive___kWh" localSheetId="3">#REF!</definedName>
    <definedName name="Performance_Based_Incentive___kWh" localSheetId="4">#REF!</definedName>
    <definedName name="Performance_Based_Incentive___kWh">#REF!</definedName>
    <definedName name="Pipe" localSheetId="3">#REF!</definedName>
    <definedName name="Pipe" localSheetId="4">#REF!</definedName>
    <definedName name="Pipe">#REF!</definedName>
    <definedName name="Princ" localSheetId="3">#REF!</definedName>
    <definedName name="Princ" localSheetId="4">#REF!</definedName>
    <definedName name="Princ">#REF!</definedName>
    <definedName name="_xlnm.Print_Area" localSheetId="1">'2 Sizing Sheet'!$A$1:$P$78</definedName>
    <definedName name="_xlnm.Print_Area" localSheetId="2">'3 Pricing Sheet'!$A$1:$H$62</definedName>
    <definedName name="_xlnm.Print_Area" localSheetId="3">'4 Dividend Financed Bid'!$A$1:$AH$58</definedName>
    <definedName name="_xlnm.Print_Area" localSheetId="8">'Annual Summary'!$B$2:$AF$32</definedName>
    <definedName name="_xlnm.Print_Area" localSheetId="4">'Cash Bid'!$A$1:$AE$57</definedName>
    <definedName name="_xlnm.Print_Area" localSheetId="6">'Cash Purchase Contract Exh A-B '!$A$1:$U$74</definedName>
    <definedName name="_xlnm.Print_Area" localSheetId="5">'Div Contrat Exh A-B'!$A$1:$U$73</definedName>
    <definedName name="_xlnm.Print_Area" localSheetId="7">MonthlyLoanModel!$B$2:$Z$41</definedName>
    <definedName name="Print_Area_Reset" localSheetId="3">#N/A</definedName>
    <definedName name="Print_Area_Reset" localSheetId="4">OFFSET('Cash Bid'!Full_Print,0,0,[0]!Last_Row)</definedName>
    <definedName name="Print_Area_Reset">OFFSET('Cash Bid'!Full_Print,0,0,[0]!Last_Row)</definedName>
    <definedName name="_xlnm.Print_Titles" localSheetId="7">MonthlyLoanModel!$44:$44</definedName>
    <definedName name="PV_Production_Factor">'2 Sizing Sheet'!$D$12</definedName>
    <definedName name="Sched_Pay" localSheetId="3">#REF!</definedName>
    <definedName name="Sched_Pay" localSheetId="4">#REF!</definedName>
    <definedName name="Sched_Pay">#REF!</definedName>
    <definedName name="Scheduled_Extra_Payments" localSheetId="3">#REF!</definedName>
    <definedName name="Scheduled_Extra_Payments" localSheetId="4">#REF!</definedName>
    <definedName name="Scheduled_Extra_Payments">#REF!</definedName>
    <definedName name="Scheduled_Interest_Rate" localSheetId="3">#REF!</definedName>
    <definedName name="Scheduled_Interest_Rate" localSheetId="4">#REF!</definedName>
    <definedName name="Scheduled_Interest_Rate">#REF!</definedName>
    <definedName name="Scheduled_Monthly_Payment" localSheetId="3">#REF!</definedName>
    <definedName name="Scheduled_Monthly_Payment" localSheetId="4">#REF!</definedName>
    <definedName name="Scheduled_Monthly_Payment">#REF!</definedName>
    <definedName name="system_curve" localSheetId="3">#REF!</definedName>
    <definedName name="system_curve" localSheetId="4">#REF!</definedName>
    <definedName name="system_curve">#REF!</definedName>
    <definedName name="System_Tax_Basis" localSheetId="2">#REF!</definedName>
    <definedName name="System_Tax_Basis" localSheetId="3">#REF!</definedName>
    <definedName name="System_Tax_Basis" localSheetId="4">#REF!</definedName>
    <definedName name="System_Tax_Basis">#REF!</definedName>
    <definedName name="term" localSheetId="2">#REF!</definedName>
    <definedName name="term" localSheetId="3">#REF!</definedName>
    <definedName name="term" localSheetId="4">#REF!</definedName>
    <definedName name="term" localSheetId="7">MonthlyLoanModel!$F$20</definedName>
    <definedName name="term">#REF!</definedName>
    <definedName name="Total_Interest" localSheetId="3">#REF!</definedName>
    <definedName name="Total_Interest" localSheetId="4">#REF!</definedName>
    <definedName name="Total_Interest">#REF!</definedName>
    <definedName name="Total_Pay" localSheetId="3">#REF!</definedName>
    <definedName name="Total_Pay" localSheetId="4">#REF!</definedName>
    <definedName name="Total_Pay">#REF!</definedName>
    <definedName name="Total_Payment" localSheetId="3">Scheduled_Payment+Extra_Payment</definedName>
    <definedName name="Total_Payment" localSheetId="4">Scheduled_Payment+Extra_Payment</definedName>
    <definedName name="Total_Payment">Scheduled_Payment+Extra_Payment</definedName>
    <definedName name="Units" localSheetId="3">#REF!</definedName>
    <definedName name="Units" localSheetId="4">#REF!</definedName>
    <definedName name="Units">#REF!</definedName>
    <definedName name="Units1" localSheetId="3">#REF!</definedName>
    <definedName name="Units1" localSheetId="4">#REF!</definedName>
    <definedName name="Units1">#REF!</definedName>
    <definedName name="Values_Entered">IF(Loan_Amount*Interest_Rate*Loan_Years*Loan_Start&gt;0,1,0)</definedName>
    <definedName name="valuevx">42.314159</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G34" i="19" l="1"/>
  <c r="H34" i="19"/>
  <c r="X45" i="19"/>
  <c r="V45" i="19"/>
  <c r="P45" i="19"/>
  <c r="N45" i="19"/>
  <c r="O45" i="19"/>
  <c r="Q45" i="19"/>
  <c r="R45" i="19"/>
  <c r="S45" i="19"/>
  <c r="T45" i="19"/>
  <c r="U45" i="19"/>
  <c r="W45" i="19"/>
  <c r="D43" i="19" a="1"/>
  <c r="D43" i="19"/>
  <c r="K48" i="19"/>
  <c r="D12" i="1" a="1"/>
  <c r="D12" i="1"/>
  <c r="C40" i="1"/>
  <c r="K40" i="1"/>
  <c r="C68" i="1"/>
  <c r="K51" i="1"/>
  <c r="K65" i="1"/>
  <c r="K68" i="1"/>
  <c r="K54" i="1"/>
  <c r="L48" i="19"/>
  <c r="H40" i="1"/>
  <c r="H51" i="1"/>
  <c r="H65" i="1"/>
  <c r="H68" i="1"/>
  <c r="H54" i="1"/>
  <c r="L47" i="19"/>
  <c r="K47" i="19"/>
  <c r="K49" i="19"/>
  <c r="D42" i="19"/>
  <c r="A14" i="23"/>
  <c r="B14" i="23"/>
  <c r="D46" i="19"/>
  <c r="G20" i="23"/>
  <c r="C20" i="19"/>
  <c r="D24" i="23"/>
  <c r="G11" i="23"/>
  <c r="E24" i="23"/>
  <c r="G24" i="23"/>
  <c r="D25" i="23"/>
  <c r="G25" i="23"/>
  <c r="D26" i="23"/>
  <c r="G26" i="23"/>
  <c r="D27" i="23"/>
  <c r="G27" i="23"/>
  <c r="D29" i="23"/>
  <c r="G29" i="23"/>
  <c r="D33" i="23"/>
  <c r="G32" i="19"/>
  <c r="F33" i="23"/>
  <c r="G33" i="23"/>
  <c r="G31" i="23"/>
  <c r="D28" i="23"/>
  <c r="G28" i="23"/>
  <c r="D30" i="23"/>
  <c r="G30" i="23"/>
  <c r="D32" i="23"/>
  <c r="G32" i="23"/>
  <c r="G34" i="23"/>
  <c r="G39" i="23"/>
  <c r="G40" i="23"/>
  <c r="G41" i="23"/>
  <c r="H20" i="5"/>
  <c r="G42" i="23"/>
  <c r="G43" i="23"/>
  <c r="F17" i="10"/>
  <c r="G44" i="23"/>
  <c r="F18" i="10"/>
  <c r="I45" i="10"/>
  <c r="L45" i="10"/>
  <c r="D46" i="10"/>
  <c r="H46" i="10"/>
  <c r="I46" i="10"/>
  <c r="F46" i="10"/>
  <c r="K46" i="10"/>
  <c r="J46" i="10"/>
  <c r="L46" i="10"/>
  <c r="D47" i="10"/>
  <c r="H47" i="10"/>
  <c r="I47" i="10"/>
  <c r="F47" i="10"/>
  <c r="K47" i="10"/>
  <c r="J47" i="10"/>
  <c r="L47" i="10"/>
  <c r="D48" i="10"/>
  <c r="H48" i="10"/>
  <c r="I48" i="10"/>
  <c r="F48" i="10"/>
  <c r="K48" i="10"/>
  <c r="J48" i="10"/>
  <c r="L48" i="10"/>
  <c r="D49" i="10"/>
  <c r="H49" i="10"/>
  <c r="I49" i="10"/>
  <c r="F49" i="10"/>
  <c r="K49" i="10"/>
  <c r="J49" i="10"/>
  <c r="L49" i="10"/>
  <c r="D50" i="10"/>
  <c r="H50" i="10"/>
  <c r="I50" i="10"/>
  <c r="F50" i="10"/>
  <c r="K50" i="10"/>
  <c r="J50" i="10"/>
  <c r="L50" i="10"/>
  <c r="D51" i="10"/>
  <c r="H51" i="10"/>
  <c r="I51" i="10"/>
  <c r="F51" i="10"/>
  <c r="K51" i="10"/>
  <c r="J51" i="10"/>
  <c r="L51" i="10"/>
  <c r="D52" i="10"/>
  <c r="H52" i="10"/>
  <c r="I52" i="10"/>
  <c r="F52" i="10"/>
  <c r="K52" i="10"/>
  <c r="J52" i="10"/>
  <c r="L52" i="10"/>
  <c r="D53" i="10"/>
  <c r="H53" i="10"/>
  <c r="I53" i="10"/>
  <c r="F53" i="10"/>
  <c r="K53" i="10"/>
  <c r="J53" i="10"/>
  <c r="L53" i="10"/>
  <c r="D54" i="10"/>
  <c r="H54" i="10"/>
  <c r="I54" i="10"/>
  <c r="F54" i="10"/>
  <c r="K54" i="10"/>
  <c r="J54" i="10"/>
  <c r="L54" i="10"/>
  <c r="D55" i="10"/>
  <c r="H55" i="10"/>
  <c r="I55" i="10"/>
  <c r="F55" i="10"/>
  <c r="K55" i="10"/>
  <c r="J55" i="10"/>
  <c r="L55" i="10"/>
  <c r="D56" i="10"/>
  <c r="H56" i="10"/>
  <c r="I56" i="10"/>
  <c r="F56" i="10"/>
  <c r="K56" i="10"/>
  <c r="J56" i="10"/>
  <c r="L56" i="10"/>
  <c r="D57" i="10"/>
  <c r="H57" i="10"/>
  <c r="I57" i="10"/>
  <c r="F57" i="10"/>
  <c r="K57" i="10"/>
  <c r="J57" i="10"/>
  <c r="L57" i="10"/>
  <c r="D58" i="10"/>
  <c r="H58" i="10"/>
  <c r="I58" i="10"/>
  <c r="F58" i="10"/>
  <c r="K58" i="10"/>
  <c r="J58" i="10"/>
  <c r="L58" i="10"/>
  <c r="D59" i="10"/>
  <c r="H59" i="10"/>
  <c r="I59" i="10"/>
  <c r="F59" i="10"/>
  <c r="K59" i="10"/>
  <c r="J59" i="10"/>
  <c r="L59" i="10"/>
  <c r="D60" i="10"/>
  <c r="H60" i="10"/>
  <c r="I60" i="10"/>
  <c r="F60" i="10"/>
  <c r="K60" i="10"/>
  <c r="F19" i="10"/>
  <c r="F32" i="10"/>
  <c r="F38" i="10"/>
  <c r="D61" i="10"/>
  <c r="H61" i="10"/>
  <c r="F22" i="10"/>
  <c r="F25" i="10"/>
  <c r="I62" i="10"/>
  <c r="J60" i="10"/>
  <c r="L60" i="10"/>
  <c r="I61" i="10"/>
  <c r="J61" i="10"/>
  <c r="L61" i="10"/>
  <c r="D62" i="10"/>
  <c r="F62" i="10"/>
  <c r="G62" i="10"/>
  <c r="K62" i="10"/>
  <c r="I63" i="10"/>
  <c r="J62" i="10"/>
  <c r="L62" i="10"/>
  <c r="D63" i="10"/>
  <c r="F63" i="10"/>
  <c r="G63" i="10"/>
  <c r="K63" i="10"/>
  <c r="I64" i="10"/>
  <c r="J63" i="10"/>
  <c r="L63" i="10"/>
  <c r="D64" i="10"/>
  <c r="F64" i="10"/>
  <c r="G64" i="10"/>
  <c r="K64" i="10"/>
  <c r="I65" i="10"/>
  <c r="J64" i="10"/>
  <c r="L64" i="10"/>
  <c r="D65" i="10"/>
  <c r="F65" i="10"/>
  <c r="G65" i="10"/>
  <c r="K65" i="10"/>
  <c r="I66" i="10"/>
  <c r="J65" i="10"/>
  <c r="L65" i="10"/>
  <c r="D66" i="10"/>
  <c r="F66" i="10"/>
  <c r="G66" i="10"/>
  <c r="K66" i="10"/>
  <c r="I67" i="10"/>
  <c r="J66" i="10"/>
  <c r="L66" i="10"/>
  <c r="D67" i="10"/>
  <c r="F67" i="10"/>
  <c r="G67" i="10"/>
  <c r="K67" i="10"/>
  <c r="I68" i="10"/>
  <c r="J67" i="10"/>
  <c r="L67" i="10"/>
  <c r="D68" i="10"/>
  <c r="F68" i="10"/>
  <c r="G68" i="10"/>
  <c r="K68" i="10"/>
  <c r="I69" i="10"/>
  <c r="J68" i="10"/>
  <c r="L68" i="10"/>
  <c r="D69" i="10"/>
  <c r="F69" i="10"/>
  <c r="G69" i="10"/>
  <c r="K69" i="10"/>
  <c r="I70" i="10"/>
  <c r="J69" i="10"/>
  <c r="L69" i="10"/>
  <c r="D70" i="10"/>
  <c r="F70" i="10"/>
  <c r="G70" i="10"/>
  <c r="K70" i="10"/>
  <c r="I71" i="10"/>
  <c r="J70" i="10"/>
  <c r="L70" i="10"/>
  <c r="D71" i="10"/>
  <c r="F71" i="10"/>
  <c r="G71" i="10"/>
  <c r="K71" i="10"/>
  <c r="I72" i="10"/>
  <c r="J71" i="10"/>
  <c r="L71" i="10"/>
  <c r="D72" i="10"/>
  <c r="F72" i="10"/>
  <c r="G72" i="10"/>
  <c r="K72" i="10"/>
  <c r="I73" i="10"/>
  <c r="J72" i="10"/>
  <c r="L72" i="10"/>
  <c r="D73" i="10"/>
  <c r="F73" i="10"/>
  <c r="G73" i="10"/>
  <c r="K73" i="10"/>
  <c r="I74" i="10"/>
  <c r="J73" i="10"/>
  <c r="L73" i="10"/>
  <c r="D74" i="10"/>
  <c r="F74" i="10"/>
  <c r="G74" i="10"/>
  <c r="K74" i="10"/>
  <c r="I75" i="10"/>
  <c r="J74" i="10"/>
  <c r="L74" i="10"/>
  <c r="D75" i="10"/>
  <c r="F75" i="10"/>
  <c r="G75" i="10"/>
  <c r="K75" i="10"/>
  <c r="I76" i="10"/>
  <c r="J75" i="10"/>
  <c r="L75" i="10"/>
  <c r="D76" i="10"/>
  <c r="F76" i="10"/>
  <c r="G76" i="10"/>
  <c r="K76" i="10"/>
  <c r="I77" i="10"/>
  <c r="J76" i="10"/>
  <c r="L76" i="10"/>
  <c r="D77" i="10"/>
  <c r="F77" i="10"/>
  <c r="G77" i="10"/>
  <c r="K77" i="10"/>
  <c r="I78" i="10"/>
  <c r="J77" i="10"/>
  <c r="L77" i="10"/>
  <c r="D78" i="10"/>
  <c r="F78" i="10"/>
  <c r="G78" i="10"/>
  <c r="K78" i="10"/>
  <c r="I79" i="10"/>
  <c r="J78" i="10"/>
  <c r="L78" i="10"/>
  <c r="D79" i="10"/>
  <c r="F79" i="10"/>
  <c r="G79" i="10"/>
  <c r="K79" i="10"/>
  <c r="I80" i="10"/>
  <c r="J79" i="10"/>
  <c r="L79" i="10"/>
  <c r="D80" i="10"/>
  <c r="F80" i="10"/>
  <c r="G80" i="10"/>
  <c r="K80" i="10"/>
  <c r="I81" i="10"/>
  <c r="J80" i="10"/>
  <c r="L80" i="10"/>
  <c r="D81" i="10"/>
  <c r="F81" i="10"/>
  <c r="G81" i="10"/>
  <c r="K81" i="10"/>
  <c r="I82" i="10"/>
  <c r="J81" i="10"/>
  <c r="L81" i="10"/>
  <c r="D82" i="10"/>
  <c r="F82" i="10"/>
  <c r="G82" i="10"/>
  <c r="K82" i="10"/>
  <c r="I83" i="10"/>
  <c r="J82" i="10"/>
  <c r="L82" i="10"/>
  <c r="D83" i="10"/>
  <c r="F83" i="10"/>
  <c r="G83" i="10"/>
  <c r="K83" i="10"/>
  <c r="I84" i="10"/>
  <c r="J83" i="10"/>
  <c r="L83" i="10"/>
  <c r="D84" i="10"/>
  <c r="F84" i="10"/>
  <c r="G84" i="10"/>
  <c r="K84" i="10"/>
  <c r="I85" i="10"/>
  <c r="J84" i="10"/>
  <c r="L84" i="10"/>
  <c r="D85" i="10"/>
  <c r="F85" i="10"/>
  <c r="G85" i="10"/>
  <c r="K85" i="10"/>
  <c r="I86" i="10"/>
  <c r="J85" i="10"/>
  <c r="L85" i="10"/>
  <c r="D86" i="10"/>
  <c r="F86" i="10"/>
  <c r="G86" i="10"/>
  <c r="K86" i="10"/>
  <c r="I87" i="10"/>
  <c r="J86" i="10"/>
  <c r="L86" i="10"/>
  <c r="D87" i="10"/>
  <c r="F87" i="10"/>
  <c r="G87" i="10"/>
  <c r="K87" i="10"/>
  <c r="I88" i="10"/>
  <c r="J87" i="10"/>
  <c r="L87" i="10"/>
  <c r="D88" i="10"/>
  <c r="F88" i="10"/>
  <c r="G88" i="10"/>
  <c r="K88" i="10"/>
  <c r="I89" i="10"/>
  <c r="J88" i="10"/>
  <c r="L88" i="10"/>
  <c r="D89" i="10"/>
  <c r="F89" i="10"/>
  <c r="G89" i="10"/>
  <c r="K89" i="10"/>
  <c r="I90" i="10"/>
  <c r="J89" i="10"/>
  <c r="L89" i="10"/>
  <c r="D90" i="10"/>
  <c r="F90" i="10"/>
  <c r="G90" i="10"/>
  <c r="K90" i="10"/>
  <c r="I91" i="10"/>
  <c r="J90" i="10"/>
  <c r="L90" i="10"/>
  <c r="D91" i="10"/>
  <c r="F91" i="10"/>
  <c r="G91" i="10"/>
  <c r="K91" i="10"/>
  <c r="I92" i="10"/>
  <c r="J91" i="10"/>
  <c r="L91" i="10"/>
  <c r="D92" i="10"/>
  <c r="F92" i="10"/>
  <c r="G92" i="10"/>
  <c r="K92" i="10"/>
  <c r="I93" i="10"/>
  <c r="J92" i="10"/>
  <c r="L92" i="10"/>
  <c r="D93" i="10"/>
  <c r="F93" i="10"/>
  <c r="G93" i="10"/>
  <c r="K93" i="10"/>
  <c r="I94" i="10"/>
  <c r="J93" i="10"/>
  <c r="L93" i="10"/>
  <c r="D94" i="10"/>
  <c r="F94" i="10"/>
  <c r="G94" i="10"/>
  <c r="K94" i="10"/>
  <c r="I95" i="10"/>
  <c r="J94" i="10"/>
  <c r="L94" i="10"/>
  <c r="D95" i="10"/>
  <c r="F95" i="10"/>
  <c r="G95" i="10"/>
  <c r="K95" i="10"/>
  <c r="I96" i="10"/>
  <c r="J95" i="10"/>
  <c r="L95" i="10"/>
  <c r="D96" i="10"/>
  <c r="F96" i="10"/>
  <c r="G96" i="10"/>
  <c r="K96" i="10"/>
  <c r="I97" i="10"/>
  <c r="J96" i="10"/>
  <c r="L96" i="10"/>
  <c r="D97" i="10"/>
  <c r="F97" i="10"/>
  <c r="G97" i="10"/>
  <c r="K97" i="10"/>
  <c r="I98" i="10"/>
  <c r="J97" i="10"/>
  <c r="L97" i="10"/>
  <c r="D98" i="10"/>
  <c r="F98" i="10"/>
  <c r="G98" i="10"/>
  <c r="K98" i="10"/>
  <c r="I99" i="10"/>
  <c r="J98" i="10"/>
  <c r="L98" i="10"/>
  <c r="D99" i="10"/>
  <c r="F99" i="10"/>
  <c r="G99" i="10"/>
  <c r="K99" i="10"/>
  <c r="I100" i="10"/>
  <c r="J99" i="10"/>
  <c r="L99" i="10"/>
  <c r="D100" i="10"/>
  <c r="F100" i="10"/>
  <c r="G100" i="10"/>
  <c r="K100" i="10"/>
  <c r="I101" i="10"/>
  <c r="J100" i="10"/>
  <c r="L100" i="10"/>
  <c r="D101" i="10"/>
  <c r="F101" i="10"/>
  <c r="G101" i="10"/>
  <c r="K101" i="10"/>
  <c r="I102" i="10"/>
  <c r="J101" i="10"/>
  <c r="L101" i="10"/>
  <c r="D102" i="10"/>
  <c r="F102" i="10"/>
  <c r="G102" i="10"/>
  <c r="K102" i="10"/>
  <c r="I103" i="10"/>
  <c r="J102" i="10"/>
  <c r="L102" i="10"/>
  <c r="D103" i="10"/>
  <c r="F103" i="10"/>
  <c r="G103" i="10"/>
  <c r="K103" i="10"/>
  <c r="I104" i="10"/>
  <c r="J103" i="10"/>
  <c r="L103" i="10"/>
  <c r="D104" i="10"/>
  <c r="F104" i="10"/>
  <c r="G104" i="10"/>
  <c r="K104" i="10"/>
  <c r="I105" i="10"/>
  <c r="J104" i="10"/>
  <c r="L104" i="10"/>
  <c r="D105" i="10"/>
  <c r="F105" i="10"/>
  <c r="G105" i="10"/>
  <c r="K105" i="10"/>
  <c r="I106" i="10"/>
  <c r="J105" i="10"/>
  <c r="L105" i="10"/>
  <c r="D106" i="10"/>
  <c r="F106" i="10"/>
  <c r="G106" i="10"/>
  <c r="K106" i="10"/>
  <c r="I107" i="10"/>
  <c r="J106" i="10"/>
  <c r="L106" i="10"/>
  <c r="D107" i="10"/>
  <c r="F107" i="10"/>
  <c r="G107" i="10"/>
  <c r="K107" i="10"/>
  <c r="I108" i="10"/>
  <c r="J107" i="10"/>
  <c r="L107" i="10"/>
  <c r="D108" i="10"/>
  <c r="F108" i="10"/>
  <c r="G108" i="10"/>
  <c r="K108" i="10"/>
  <c r="I109" i="10"/>
  <c r="J108" i="10"/>
  <c r="L108" i="10"/>
  <c r="D109" i="10"/>
  <c r="F109" i="10"/>
  <c r="G109" i="10"/>
  <c r="K109" i="10"/>
  <c r="I110" i="10"/>
  <c r="J109" i="10"/>
  <c r="L109" i="10"/>
  <c r="D110" i="10"/>
  <c r="F110" i="10"/>
  <c r="G110" i="10"/>
  <c r="K110" i="10"/>
  <c r="I111" i="10"/>
  <c r="J110" i="10"/>
  <c r="L110" i="10"/>
  <c r="D111" i="10"/>
  <c r="F111" i="10"/>
  <c r="G111" i="10"/>
  <c r="K111" i="10"/>
  <c r="I112" i="10"/>
  <c r="J111" i="10"/>
  <c r="L111" i="10"/>
  <c r="D112" i="10"/>
  <c r="F112" i="10"/>
  <c r="G112" i="10"/>
  <c r="K112" i="10"/>
  <c r="I113" i="10"/>
  <c r="J112" i="10"/>
  <c r="L112" i="10"/>
  <c r="D113" i="10"/>
  <c r="F113" i="10"/>
  <c r="G113" i="10"/>
  <c r="K113" i="10"/>
  <c r="I114" i="10"/>
  <c r="J113" i="10"/>
  <c r="L113" i="10"/>
  <c r="D114" i="10"/>
  <c r="F114" i="10"/>
  <c r="G114" i="10"/>
  <c r="K114" i="10"/>
  <c r="I115" i="10"/>
  <c r="J114" i="10"/>
  <c r="L114" i="10"/>
  <c r="D115" i="10"/>
  <c r="F115" i="10"/>
  <c r="G115" i="10"/>
  <c r="K115" i="10"/>
  <c r="I116" i="10"/>
  <c r="J115" i="10"/>
  <c r="L115" i="10"/>
  <c r="D116" i="10"/>
  <c r="F116" i="10"/>
  <c r="G116" i="10"/>
  <c r="K116" i="10"/>
  <c r="I117" i="10"/>
  <c r="J116" i="10"/>
  <c r="L116" i="10"/>
  <c r="D117" i="10"/>
  <c r="F117" i="10"/>
  <c r="G117" i="10"/>
  <c r="K117" i="10"/>
  <c r="I118" i="10"/>
  <c r="J117" i="10"/>
  <c r="L117" i="10"/>
  <c r="D118" i="10"/>
  <c r="F118" i="10"/>
  <c r="G118" i="10"/>
  <c r="K118" i="10"/>
  <c r="I119" i="10"/>
  <c r="J118" i="10"/>
  <c r="L118" i="10"/>
  <c r="D119" i="10"/>
  <c r="F119" i="10"/>
  <c r="G119" i="10"/>
  <c r="K119" i="10"/>
  <c r="I120" i="10"/>
  <c r="J119" i="10"/>
  <c r="L119" i="10"/>
  <c r="D120" i="10"/>
  <c r="F120" i="10"/>
  <c r="G120" i="10"/>
  <c r="K120" i="10"/>
  <c r="I121" i="10"/>
  <c r="J120" i="10"/>
  <c r="L120" i="10"/>
  <c r="D121" i="10"/>
  <c r="F121" i="10"/>
  <c r="G121" i="10"/>
  <c r="K121" i="10"/>
  <c r="I122" i="10"/>
  <c r="J121" i="10"/>
  <c r="L121" i="10"/>
  <c r="D122" i="10"/>
  <c r="F122" i="10"/>
  <c r="G122" i="10"/>
  <c r="K122" i="10"/>
  <c r="I123" i="10"/>
  <c r="J122" i="10"/>
  <c r="L122" i="10"/>
  <c r="D123" i="10"/>
  <c r="F123" i="10"/>
  <c r="G123" i="10"/>
  <c r="K123" i="10"/>
  <c r="I124" i="10"/>
  <c r="J123" i="10"/>
  <c r="L123" i="10"/>
  <c r="D124" i="10"/>
  <c r="F124" i="10"/>
  <c r="G124" i="10"/>
  <c r="K124" i="10"/>
  <c r="I125" i="10"/>
  <c r="J124" i="10"/>
  <c r="L124" i="10"/>
  <c r="D125" i="10"/>
  <c r="F125" i="10"/>
  <c r="G125" i="10"/>
  <c r="K125" i="10"/>
  <c r="I126" i="10"/>
  <c r="J125" i="10"/>
  <c r="L125" i="10"/>
  <c r="D126" i="10"/>
  <c r="F126" i="10"/>
  <c r="G126" i="10"/>
  <c r="K126" i="10"/>
  <c r="I127" i="10"/>
  <c r="J126" i="10"/>
  <c r="L126" i="10"/>
  <c r="D127" i="10"/>
  <c r="F127" i="10"/>
  <c r="G127" i="10"/>
  <c r="K127" i="10"/>
  <c r="I128" i="10"/>
  <c r="J127" i="10"/>
  <c r="L127" i="10"/>
  <c r="D128" i="10"/>
  <c r="F128" i="10"/>
  <c r="G128" i="10"/>
  <c r="K128" i="10"/>
  <c r="I129" i="10"/>
  <c r="J128" i="10"/>
  <c r="L128" i="10"/>
  <c r="D129" i="10"/>
  <c r="F129" i="10"/>
  <c r="G129" i="10"/>
  <c r="K129" i="10"/>
  <c r="I130" i="10"/>
  <c r="J129" i="10"/>
  <c r="L129" i="10"/>
  <c r="D130" i="10"/>
  <c r="F130" i="10"/>
  <c r="G130" i="10"/>
  <c r="K130" i="10"/>
  <c r="I131" i="10"/>
  <c r="J130" i="10"/>
  <c r="L130" i="10"/>
  <c r="D131" i="10"/>
  <c r="F131" i="10"/>
  <c r="G131" i="10"/>
  <c r="K131" i="10"/>
  <c r="I132" i="10"/>
  <c r="J131" i="10"/>
  <c r="L131" i="10"/>
  <c r="D132" i="10"/>
  <c r="F132" i="10"/>
  <c r="G132" i="10"/>
  <c r="K132" i="10"/>
  <c r="I133" i="10"/>
  <c r="J132" i="10"/>
  <c r="L132" i="10"/>
  <c r="D133" i="10"/>
  <c r="F133" i="10"/>
  <c r="G133" i="10"/>
  <c r="K133" i="10"/>
  <c r="I134" i="10"/>
  <c r="J133" i="10"/>
  <c r="L133" i="10"/>
  <c r="D134" i="10"/>
  <c r="F134" i="10"/>
  <c r="G134" i="10"/>
  <c r="K134" i="10"/>
  <c r="I135" i="10"/>
  <c r="J134" i="10"/>
  <c r="L134" i="10"/>
  <c r="D135" i="10"/>
  <c r="F135" i="10"/>
  <c r="G135" i="10"/>
  <c r="K135" i="10"/>
  <c r="I136" i="10"/>
  <c r="J135" i="10"/>
  <c r="L135" i="10"/>
  <c r="D136" i="10"/>
  <c r="F136" i="10"/>
  <c r="G136" i="10"/>
  <c r="K136" i="10"/>
  <c r="I137" i="10"/>
  <c r="J136" i="10"/>
  <c r="L136" i="10"/>
  <c r="D137" i="10"/>
  <c r="F137" i="10"/>
  <c r="G137" i="10"/>
  <c r="K137" i="10"/>
  <c r="I138" i="10"/>
  <c r="J137" i="10"/>
  <c r="L137" i="10"/>
  <c r="D138" i="10"/>
  <c r="F138" i="10"/>
  <c r="G138" i="10"/>
  <c r="K138" i="10"/>
  <c r="I139" i="10"/>
  <c r="J138" i="10"/>
  <c r="L138" i="10"/>
  <c r="D139" i="10"/>
  <c r="F139" i="10"/>
  <c r="G139" i="10"/>
  <c r="K139" i="10"/>
  <c r="I140" i="10"/>
  <c r="J139" i="10"/>
  <c r="L139" i="10"/>
  <c r="D140" i="10"/>
  <c r="F140" i="10"/>
  <c r="G140" i="10"/>
  <c r="K140" i="10"/>
  <c r="I141" i="10"/>
  <c r="J140" i="10"/>
  <c r="L140" i="10"/>
  <c r="D141" i="10"/>
  <c r="F141" i="10"/>
  <c r="G141" i="10"/>
  <c r="K141" i="10"/>
  <c r="I142" i="10"/>
  <c r="J141" i="10"/>
  <c r="L141" i="10"/>
  <c r="D142" i="10"/>
  <c r="F142" i="10"/>
  <c r="G142" i="10"/>
  <c r="K142" i="10"/>
  <c r="I143" i="10"/>
  <c r="J142" i="10"/>
  <c r="L142" i="10"/>
  <c r="D143" i="10"/>
  <c r="F143" i="10"/>
  <c r="G143" i="10"/>
  <c r="K143" i="10"/>
  <c r="I144" i="10"/>
  <c r="J143" i="10"/>
  <c r="L143" i="10"/>
  <c r="D144" i="10"/>
  <c r="F144" i="10"/>
  <c r="G144" i="10"/>
  <c r="K144" i="10"/>
  <c r="I145" i="10"/>
  <c r="J144" i="10"/>
  <c r="L144" i="10"/>
  <c r="D145" i="10"/>
  <c r="F145" i="10"/>
  <c r="G145" i="10"/>
  <c r="K145" i="10"/>
  <c r="I146" i="10"/>
  <c r="J145" i="10"/>
  <c r="L145" i="10"/>
  <c r="D146" i="10"/>
  <c r="F146" i="10"/>
  <c r="G146" i="10"/>
  <c r="K146" i="10"/>
  <c r="I147" i="10"/>
  <c r="J146" i="10"/>
  <c r="L146" i="10"/>
  <c r="D147" i="10"/>
  <c r="F147" i="10"/>
  <c r="G147" i="10"/>
  <c r="K147" i="10"/>
  <c r="I148" i="10"/>
  <c r="J147" i="10"/>
  <c r="L147" i="10"/>
  <c r="D148" i="10"/>
  <c r="F148" i="10"/>
  <c r="G148" i="10"/>
  <c r="K148" i="10"/>
  <c r="I149" i="10"/>
  <c r="J148" i="10"/>
  <c r="L148" i="10"/>
  <c r="D149" i="10"/>
  <c r="F149" i="10"/>
  <c r="G149" i="10"/>
  <c r="K149" i="10"/>
  <c r="I150" i="10"/>
  <c r="J149" i="10"/>
  <c r="L149" i="10"/>
  <c r="D150" i="10"/>
  <c r="F150" i="10"/>
  <c r="G150" i="10"/>
  <c r="K150" i="10"/>
  <c r="I151" i="10"/>
  <c r="J150" i="10"/>
  <c r="L150" i="10"/>
  <c r="D151" i="10"/>
  <c r="F151" i="10"/>
  <c r="G151" i="10"/>
  <c r="K151" i="10"/>
  <c r="I152" i="10"/>
  <c r="J151" i="10"/>
  <c r="L151" i="10"/>
  <c r="D152" i="10"/>
  <c r="F152" i="10"/>
  <c r="G152" i="10"/>
  <c r="K152" i="10"/>
  <c r="I153" i="10"/>
  <c r="J152" i="10"/>
  <c r="L152" i="10"/>
  <c r="D153" i="10"/>
  <c r="F153" i="10"/>
  <c r="G153" i="10"/>
  <c r="K153" i="10"/>
  <c r="I154" i="10"/>
  <c r="J153" i="10"/>
  <c r="L153" i="10"/>
  <c r="D154" i="10"/>
  <c r="F154" i="10"/>
  <c r="G154" i="10"/>
  <c r="K154" i="10"/>
  <c r="I155" i="10"/>
  <c r="J154" i="10"/>
  <c r="L154" i="10"/>
  <c r="D155" i="10"/>
  <c r="F155" i="10"/>
  <c r="G155" i="10"/>
  <c r="K155" i="10"/>
  <c r="I156" i="10"/>
  <c r="J155" i="10"/>
  <c r="L155" i="10"/>
  <c r="D156" i="10"/>
  <c r="F156" i="10"/>
  <c r="G156" i="10"/>
  <c r="K156" i="10"/>
  <c r="I157" i="10"/>
  <c r="J156" i="10"/>
  <c r="L156" i="10"/>
  <c r="D157" i="10"/>
  <c r="F157" i="10"/>
  <c r="G157" i="10"/>
  <c r="K157" i="10"/>
  <c r="I158" i="10"/>
  <c r="J157" i="10"/>
  <c r="L157" i="10"/>
  <c r="D158" i="10"/>
  <c r="F158" i="10"/>
  <c r="G158" i="10"/>
  <c r="K158" i="10"/>
  <c r="I159" i="10"/>
  <c r="J158" i="10"/>
  <c r="L158" i="10"/>
  <c r="D159" i="10"/>
  <c r="F159" i="10"/>
  <c r="G159" i="10"/>
  <c r="K159" i="10"/>
  <c r="I160" i="10"/>
  <c r="J159" i="10"/>
  <c r="L159" i="10"/>
  <c r="D160" i="10"/>
  <c r="F160" i="10"/>
  <c r="G160" i="10"/>
  <c r="K160" i="10"/>
  <c r="I161" i="10"/>
  <c r="J160" i="10"/>
  <c r="L160" i="10"/>
  <c r="D161" i="10"/>
  <c r="F161" i="10"/>
  <c r="G161" i="10"/>
  <c r="K161" i="10"/>
  <c r="I162" i="10"/>
  <c r="J161" i="10"/>
  <c r="L161" i="10"/>
  <c r="D162" i="10"/>
  <c r="F162" i="10"/>
  <c r="G162" i="10"/>
  <c r="K162" i="10"/>
  <c r="I163" i="10"/>
  <c r="J162" i="10"/>
  <c r="L162" i="10"/>
  <c r="D163" i="10"/>
  <c r="F163" i="10"/>
  <c r="G163" i="10"/>
  <c r="K163" i="10"/>
  <c r="I164" i="10"/>
  <c r="J163" i="10"/>
  <c r="L163" i="10"/>
  <c r="D164" i="10"/>
  <c r="F164" i="10"/>
  <c r="G164" i="10"/>
  <c r="K164" i="10"/>
  <c r="I165" i="10"/>
  <c r="J164" i="10"/>
  <c r="L164" i="10"/>
  <c r="D165" i="10"/>
  <c r="F165" i="10"/>
  <c r="G165" i="10"/>
  <c r="K165" i="10"/>
  <c r="I166" i="10"/>
  <c r="J165" i="10"/>
  <c r="L165" i="10"/>
  <c r="D166" i="10"/>
  <c r="F166" i="10"/>
  <c r="G166" i="10"/>
  <c r="K166" i="10"/>
  <c r="I167" i="10"/>
  <c r="J166" i="10"/>
  <c r="L166" i="10"/>
  <c r="D167" i="10"/>
  <c r="F167" i="10"/>
  <c r="G167" i="10"/>
  <c r="K167" i="10"/>
  <c r="I168" i="10"/>
  <c r="J167" i="10"/>
  <c r="L167" i="10"/>
  <c r="D168" i="10"/>
  <c r="F168" i="10"/>
  <c r="G168" i="10"/>
  <c r="K168" i="10"/>
  <c r="I169" i="10"/>
  <c r="J168" i="10"/>
  <c r="L168" i="10"/>
  <c r="D169" i="10"/>
  <c r="F169" i="10"/>
  <c r="G169" i="10"/>
  <c r="K169" i="10"/>
  <c r="I170" i="10"/>
  <c r="J169" i="10"/>
  <c r="L169" i="10"/>
  <c r="D170" i="10"/>
  <c r="F170" i="10"/>
  <c r="G170" i="10"/>
  <c r="K170" i="10"/>
  <c r="I171" i="10"/>
  <c r="J170" i="10"/>
  <c r="L170" i="10"/>
  <c r="D171" i="10"/>
  <c r="F171" i="10"/>
  <c r="G171" i="10"/>
  <c r="K171" i="10"/>
  <c r="I172" i="10"/>
  <c r="J171" i="10"/>
  <c r="L171" i="10"/>
  <c r="D172" i="10"/>
  <c r="F172" i="10"/>
  <c r="G172" i="10"/>
  <c r="K172" i="10"/>
  <c r="I173" i="10"/>
  <c r="J172" i="10"/>
  <c r="L172" i="10"/>
  <c r="D173" i="10"/>
  <c r="F173" i="10"/>
  <c r="G173" i="10"/>
  <c r="K173" i="10"/>
  <c r="I174" i="10"/>
  <c r="J173" i="10"/>
  <c r="L173" i="10"/>
  <c r="D174" i="10"/>
  <c r="F174" i="10"/>
  <c r="G174" i="10"/>
  <c r="K174" i="10"/>
  <c r="I175" i="10"/>
  <c r="J174" i="10"/>
  <c r="L174" i="10"/>
  <c r="D175" i="10"/>
  <c r="F175" i="10"/>
  <c r="G175" i="10"/>
  <c r="K175" i="10"/>
  <c r="I176" i="10"/>
  <c r="J175" i="10"/>
  <c r="L175" i="10"/>
  <c r="D176" i="10"/>
  <c r="F176" i="10"/>
  <c r="G176" i="10"/>
  <c r="K176" i="10"/>
  <c r="I177" i="10"/>
  <c r="J176" i="10"/>
  <c r="L176" i="10"/>
  <c r="D177" i="10"/>
  <c r="F177" i="10"/>
  <c r="G177" i="10"/>
  <c r="K177" i="10"/>
  <c r="I178" i="10"/>
  <c r="J177" i="10"/>
  <c r="L177" i="10"/>
  <c r="D178" i="10"/>
  <c r="F178" i="10"/>
  <c r="G178" i="10"/>
  <c r="K178" i="10"/>
  <c r="I179" i="10"/>
  <c r="J178" i="10"/>
  <c r="L178" i="10"/>
  <c r="D179" i="10"/>
  <c r="F179" i="10"/>
  <c r="G179" i="10"/>
  <c r="K179" i="10"/>
  <c r="I180" i="10"/>
  <c r="J179" i="10"/>
  <c r="L179" i="10"/>
  <c r="D180" i="10"/>
  <c r="F180" i="10"/>
  <c r="G180" i="10"/>
  <c r="K180" i="10"/>
  <c r="I181" i="10"/>
  <c r="J180" i="10"/>
  <c r="L180" i="10"/>
  <c r="D181" i="10"/>
  <c r="F181" i="10"/>
  <c r="G181" i="10"/>
  <c r="K181" i="10"/>
  <c r="I182" i="10"/>
  <c r="J181" i="10"/>
  <c r="L181" i="10"/>
  <c r="D182" i="10"/>
  <c r="F182" i="10"/>
  <c r="G182" i="10"/>
  <c r="K182" i="10"/>
  <c r="I183" i="10"/>
  <c r="J182" i="10"/>
  <c r="L182" i="10"/>
  <c r="D183" i="10"/>
  <c r="F183" i="10"/>
  <c r="G183" i="10"/>
  <c r="K183" i="10"/>
  <c r="I184" i="10"/>
  <c r="J183" i="10"/>
  <c r="L183" i="10"/>
  <c r="D184" i="10"/>
  <c r="F184" i="10"/>
  <c r="G184" i="10"/>
  <c r="K184" i="10"/>
  <c r="I185" i="10"/>
  <c r="J184" i="10"/>
  <c r="L184" i="10"/>
  <c r="D185" i="10"/>
  <c r="F185" i="10"/>
  <c r="G185" i="10"/>
  <c r="K185" i="10"/>
  <c r="I186" i="10"/>
  <c r="J185" i="10"/>
  <c r="L185" i="10"/>
  <c r="D186" i="10"/>
  <c r="F186" i="10"/>
  <c r="G186" i="10"/>
  <c r="K186" i="10"/>
  <c r="I187" i="10"/>
  <c r="J186" i="10"/>
  <c r="L186" i="10"/>
  <c r="D187" i="10"/>
  <c r="F187" i="10"/>
  <c r="G187" i="10"/>
  <c r="K187" i="10"/>
  <c r="I188" i="10"/>
  <c r="J187" i="10"/>
  <c r="L187" i="10"/>
  <c r="D188" i="10"/>
  <c r="F188" i="10"/>
  <c r="G188" i="10"/>
  <c r="K188" i="10"/>
  <c r="I189" i="10"/>
  <c r="J188" i="10"/>
  <c r="L188" i="10"/>
  <c r="D189" i="10"/>
  <c r="F189" i="10"/>
  <c r="G189" i="10"/>
  <c r="K189" i="10"/>
  <c r="I190" i="10"/>
  <c r="J189" i="10"/>
  <c r="L189" i="10"/>
  <c r="D190" i="10"/>
  <c r="F190" i="10"/>
  <c r="G190" i="10"/>
  <c r="K190" i="10"/>
  <c r="I191" i="10"/>
  <c r="J190" i="10"/>
  <c r="L190" i="10"/>
  <c r="D191" i="10"/>
  <c r="F191" i="10"/>
  <c r="G191" i="10"/>
  <c r="K191" i="10"/>
  <c r="I192" i="10"/>
  <c r="J191" i="10"/>
  <c r="L191" i="10"/>
  <c r="D192" i="10"/>
  <c r="F192" i="10"/>
  <c r="G192" i="10"/>
  <c r="K192" i="10"/>
  <c r="I193" i="10"/>
  <c r="J192" i="10"/>
  <c r="L192" i="10"/>
  <c r="D193" i="10"/>
  <c r="F193" i="10"/>
  <c r="G193" i="10"/>
  <c r="K193" i="10"/>
  <c r="I194" i="10"/>
  <c r="J193" i="10"/>
  <c r="L193" i="10"/>
  <c r="D194" i="10"/>
  <c r="F194" i="10"/>
  <c r="G194" i="10"/>
  <c r="K194" i="10"/>
  <c r="I195" i="10"/>
  <c r="J194" i="10"/>
  <c r="L194" i="10"/>
  <c r="D195" i="10"/>
  <c r="F195" i="10"/>
  <c r="G195" i="10"/>
  <c r="K195" i="10"/>
  <c r="I196" i="10"/>
  <c r="J195" i="10"/>
  <c r="L195" i="10"/>
  <c r="D196" i="10"/>
  <c r="F196" i="10"/>
  <c r="G196" i="10"/>
  <c r="K196" i="10"/>
  <c r="I197" i="10"/>
  <c r="J196" i="10"/>
  <c r="L196" i="10"/>
  <c r="D197" i="10"/>
  <c r="F197" i="10"/>
  <c r="G197" i="10"/>
  <c r="K197" i="10"/>
  <c r="I198" i="10"/>
  <c r="J197" i="10"/>
  <c r="L197" i="10"/>
  <c r="D198" i="10"/>
  <c r="F198" i="10"/>
  <c r="G198" i="10"/>
  <c r="K198" i="10"/>
  <c r="I199" i="10"/>
  <c r="J198" i="10"/>
  <c r="L198" i="10"/>
  <c r="D199" i="10"/>
  <c r="F199" i="10"/>
  <c r="G199" i="10"/>
  <c r="K199" i="10"/>
  <c r="I200" i="10"/>
  <c r="J199" i="10"/>
  <c r="L199" i="10"/>
  <c r="D200" i="10"/>
  <c r="F200" i="10"/>
  <c r="G200" i="10"/>
  <c r="K200" i="10"/>
  <c r="I201" i="10"/>
  <c r="J200" i="10"/>
  <c r="L200" i="10"/>
  <c r="D201" i="10"/>
  <c r="F201" i="10"/>
  <c r="G201" i="10"/>
  <c r="K201" i="10"/>
  <c r="I202" i="10"/>
  <c r="J201" i="10"/>
  <c r="L201" i="10"/>
  <c r="D202" i="10"/>
  <c r="F202" i="10"/>
  <c r="G202" i="10"/>
  <c r="K202" i="10"/>
  <c r="I203" i="10"/>
  <c r="J202" i="10"/>
  <c r="L202" i="10"/>
  <c r="D203" i="10"/>
  <c r="F203" i="10"/>
  <c r="G203" i="10"/>
  <c r="K203" i="10"/>
  <c r="I204" i="10"/>
  <c r="J203" i="10"/>
  <c r="L203" i="10"/>
  <c r="D204" i="10"/>
  <c r="F204" i="10"/>
  <c r="G204" i="10"/>
  <c r="K204" i="10"/>
  <c r="I205" i="10"/>
  <c r="J204" i="10"/>
  <c r="L204" i="10"/>
  <c r="D205" i="10"/>
  <c r="F205" i="10"/>
  <c r="G205" i="10"/>
  <c r="K205" i="10"/>
  <c r="I206" i="10"/>
  <c r="J205" i="10"/>
  <c r="L205" i="10"/>
  <c r="D206" i="10"/>
  <c r="F206" i="10"/>
  <c r="G206" i="10"/>
  <c r="K206" i="10"/>
  <c r="I207" i="10"/>
  <c r="J206" i="10"/>
  <c r="L206" i="10"/>
  <c r="D207" i="10"/>
  <c r="F207" i="10"/>
  <c r="G207" i="10"/>
  <c r="K207" i="10"/>
  <c r="I208" i="10"/>
  <c r="J207" i="10"/>
  <c r="L207" i="10"/>
  <c r="D208" i="10"/>
  <c r="F208" i="10"/>
  <c r="G208" i="10"/>
  <c r="K208" i="10"/>
  <c r="I209" i="10"/>
  <c r="J208" i="10"/>
  <c r="L208" i="10"/>
  <c r="D209" i="10"/>
  <c r="F209" i="10"/>
  <c r="G209" i="10"/>
  <c r="K209" i="10"/>
  <c r="I210" i="10"/>
  <c r="J209" i="10"/>
  <c r="L209" i="10"/>
  <c r="D210" i="10"/>
  <c r="F210" i="10"/>
  <c r="G210" i="10"/>
  <c r="K210" i="10"/>
  <c r="I211" i="10"/>
  <c r="J210" i="10"/>
  <c r="L210" i="10"/>
  <c r="D211" i="10"/>
  <c r="F211" i="10"/>
  <c r="G211" i="10"/>
  <c r="K211" i="10"/>
  <c r="I212" i="10"/>
  <c r="J211" i="10"/>
  <c r="L211" i="10"/>
  <c r="D212" i="10"/>
  <c r="F212" i="10"/>
  <c r="G212" i="10"/>
  <c r="K212" i="10"/>
  <c r="I213" i="10"/>
  <c r="J212" i="10"/>
  <c r="L212" i="10"/>
  <c r="D213" i="10"/>
  <c r="F213" i="10"/>
  <c r="G213" i="10"/>
  <c r="K213" i="10"/>
  <c r="I214" i="10"/>
  <c r="J213" i="10"/>
  <c r="L213" i="10"/>
  <c r="D214" i="10"/>
  <c r="F214" i="10"/>
  <c r="G214" i="10"/>
  <c r="K214" i="10"/>
  <c r="I215" i="10"/>
  <c r="J214" i="10"/>
  <c r="L214" i="10"/>
  <c r="D215" i="10"/>
  <c r="F215" i="10"/>
  <c r="G215" i="10"/>
  <c r="K215" i="10"/>
  <c r="I216" i="10"/>
  <c r="J215" i="10"/>
  <c r="L215" i="10"/>
  <c r="D216" i="10"/>
  <c r="F216" i="10"/>
  <c r="G216" i="10"/>
  <c r="K216" i="10"/>
  <c r="I217" i="10"/>
  <c r="J216" i="10"/>
  <c r="L216" i="10"/>
  <c r="D217" i="10"/>
  <c r="F217" i="10"/>
  <c r="G217" i="10"/>
  <c r="K217" i="10"/>
  <c r="I218" i="10"/>
  <c r="J217" i="10"/>
  <c r="L217" i="10"/>
  <c r="D218" i="10"/>
  <c r="F218" i="10"/>
  <c r="G218" i="10"/>
  <c r="K218" i="10"/>
  <c r="I219" i="10"/>
  <c r="J218" i="10"/>
  <c r="L218" i="10"/>
  <c r="D219" i="10"/>
  <c r="F219" i="10"/>
  <c r="G219" i="10"/>
  <c r="K219" i="10"/>
  <c r="I220" i="10"/>
  <c r="J219" i="10"/>
  <c r="L219" i="10"/>
  <c r="D220" i="10"/>
  <c r="F220" i="10"/>
  <c r="G220" i="10"/>
  <c r="K220" i="10"/>
  <c r="I221" i="10"/>
  <c r="J220" i="10"/>
  <c r="L220" i="10"/>
  <c r="D221" i="10"/>
  <c r="F221" i="10"/>
  <c r="G221" i="10"/>
  <c r="K221" i="10"/>
  <c r="I222" i="10"/>
  <c r="J221" i="10"/>
  <c r="L221" i="10"/>
  <c r="D222" i="10"/>
  <c r="F222" i="10"/>
  <c r="G222" i="10"/>
  <c r="K222" i="10"/>
  <c r="I223" i="10"/>
  <c r="J222" i="10"/>
  <c r="L222" i="10"/>
  <c r="D223" i="10"/>
  <c r="F223" i="10"/>
  <c r="G223" i="10"/>
  <c r="K223" i="10"/>
  <c r="I224" i="10"/>
  <c r="J223" i="10"/>
  <c r="L223" i="10"/>
  <c r="D224" i="10"/>
  <c r="F224" i="10"/>
  <c r="G224" i="10"/>
  <c r="K224" i="10"/>
  <c r="I225" i="10"/>
  <c r="J224" i="10"/>
  <c r="L224" i="10"/>
  <c r="D225" i="10"/>
  <c r="F225" i="10"/>
  <c r="G225" i="10"/>
  <c r="K225" i="10"/>
  <c r="I226" i="10"/>
  <c r="J225" i="10"/>
  <c r="L225" i="10"/>
  <c r="D226" i="10"/>
  <c r="F226" i="10"/>
  <c r="G226" i="10"/>
  <c r="K226" i="10"/>
  <c r="I227" i="10"/>
  <c r="J226" i="10"/>
  <c r="L226" i="10"/>
  <c r="D227" i="10"/>
  <c r="F227" i="10"/>
  <c r="G227" i="10"/>
  <c r="K227" i="10"/>
  <c r="I228" i="10"/>
  <c r="J227" i="10"/>
  <c r="L227" i="10"/>
  <c r="D228" i="10"/>
  <c r="F228" i="10"/>
  <c r="G228" i="10"/>
  <c r="K228" i="10"/>
  <c r="I229" i="10"/>
  <c r="J228" i="10"/>
  <c r="L228" i="10"/>
  <c r="D229" i="10"/>
  <c r="F229" i="10"/>
  <c r="G229" i="10"/>
  <c r="K229" i="10"/>
  <c r="I230" i="10"/>
  <c r="J229" i="10"/>
  <c r="L229" i="10"/>
  <c r="D230" i="10"/>
  <c r="F230" i="10"/>
  <c r="G230" i="10"/>
  <c r="K230" i="10"/>
  <c r="I231" i="10"/>
  <c r="J230" i="10"/>
  <c r="L230" i="10"/>
  <c r="D231" i="10"/>
  <c r="F231" i="10"/>
  <c r="G231" i="10"/>
  <c r="K231" i="10"/>
  <c r="I232" i="10"/>
  <c r="J231" i="10"/>
  <c r="L231" i="10"/>
  <c r="D232" i="10"/>
  <c r="F232" i="10"/>
  <c r="G232" i="10"/>
  <c r="K232" i="10"/>
  <c r="I233" i="10"/>
  <c r="J232" i="10"/>
  <c r="L232" i="10"/>
  <c r="D233" i="10"/>
  <c r="F233" i="10"/>
  <c r="G233" i="10"/>
  <c r="K233" i="10"/>
  <c r="I234" i="10"/>
  <c r="J233" i="10"/>
  <c r="L233" i="10"/>
  <c r="D234" i="10"/>
  <c r="F234" i="10"/>
  <c r="G234" i="10"/>
  <c r="K234" i="10"/>
  <c r="I235" i="10"/>
  <c r="J234" i="10"/>
  <c r="L234" i="10"/>
  <c r="D235" i="10"/>
  <c r="F235" i="10"/>
  <c r="G235" i="10"/>
  <c r="K235" i="10"/>
  <c r="I236" i="10"/>
  <c r="J235" i="10"/>
  <c r="L235" i="10"/>
  <c r="D236" i="10"/>
  <c r="F236" i="10"/>
  <c r="G236" i="10"/>
  <c r="K236" i="10"/>
  <c r="I237" i="10"/>
  <c r="J236" i="10"/>
  <c r="L236" i="10"/>
  <c r="D237" i="10"/>
  <c r="F237" i="10"/>
  <c r="G237" i="10"/>
  <c r="K237" i="10"/>
  <c r="I238" i="10"/>
  <c r="J237" i="10"/>
  <c r="L237" i="10"/>
  <c r="D238" i="10"/>
  <c r="F238" i="10"/>
  <c r="G238" i="10"/>
  <c r="K238" i="10"/>
  <c r="I239" i="10"/>
  <c r="J238" i="10"/>
  <c r="L238" i="10"/>
  <c r="D239" i="10"/>
  <c r="F239" i="10"/>
  <c r="G239" i="10"/>
  <c r="K239" i="10"/>
  <c r="I240" i="10"/>
  <c r="J239" i="10"/>
  <c r="L239" i="10"/>
  <c r="D240" i="10"/>
  <c r="F240" i="10"/>
  <c r="G240" i="10"/>
  <c r="K240" i="10"/>
  <c r="I241" i="10"/>
  <c r="J240" i="10"/>
  <c r="L240" i="10"/>
  <c r="D241" i="10"/>
  <c r="F241" i="10"/>
  <c r="G241" i="10"/>
  <c r="K241" i="10"/>
  <c r="I242" i="10"/>
  <c r="J241" i="10"/>
  <c r="L241" i="10"/>
  <c r="D242" i="10"/>
  <c r="F242" i="10"/>
  <c r="G242" i="10"/>
  <c r="K242" i="10"/>
  <c r="I243" i="10"/>
  <c r="J242" i="10"/>
  <c r="L242" i="10"/>
  <c r="D243" i="10"/>
  <c r="F243" i="10"/>
  <c r="G243" i="10"/>
  <c r="K243" i="10"/>
  <c r="I244" i="10"/>
  <c r="J243" i="10"/>
  <c r="L243" i="10"/>
  <c r="D244" i="10"/>
  <c r="F244" i="10"/>
  <c r="G244" i="10"/>
  <c r="K244" i="10"/>
  <c r="I245" i="10"/>
  <c r="J244" i="10"/>
  <c r="L244" i="10"/>
  <c r="D245" i="10"/>
  <c r="F245" i="10"/>
  <c r="G245" i="10"/>
  <c r="K245" i="10"/>
  <c r="I246" i="10"/>
  <c r="J245" i="10"/>
  <c r="L245" i="10"/>
  <c r="D246" i="10"/>
  <c r="F246" i="10"/>
  <c r="G246" i="10"/>
  <c r="K246" i="10"/>
  <c r="I247" i="10"/>
  <c r="J246" i="10"/>
  <c r="L246" i="10"/>
  <c r="D247" i="10"/>
  <c r="F247" i="10"/>
  <c r="G247" i="10"/>
  <c r="K247" i="10"/>
  <c r="I248" i="10"/>
  <c r="J247" i="10"/>
  <c r="L247" i="10"/>
  <c r="D248" i="10"/>
  <c r="F248" i="10"/>
  <c r="G248" i="10"/>
  <c r="K248" i="10"/>
  <c r="I249" i="10"/>
  <c r="J248" i="10"/>
  <c r="L248" i="10"/>
  <c r="D249" i="10"/>
  <c r="F249" i="10"/>
  <c r="G249" i="10"/>
  <c r="K249" i="10"/>
  <c r="I250" i="10"/>
  <c r="J249" i="10"/>
  <c r="L249" i="10"/>
  <c r="D250" i="10"/>
  <c r="F250" i="10"/>
  <c r="G250" i="10"/>
  <c r="K250" i="10"/>
  <c r="I251" i="10"/>
  <c r="J250" i="10"/>
  <c r="L250" i="10"/>
  <c r="D251" i="10"/>
  <c r="F251" i="10"/>
  <c r="G251" i="10"/>
  <c r="K251" i="10"/>
  <c r="I252" i="10"/>
  <c r="J251" i="10"/>
  <c r="L251" i="10"/>
  <c r="D252" i="10"/>
  <c r="F252" i="10"/>
  <c r="G252" i="10"/>
  <c r="K252" i="10"/>
  <c r="I253" i="10"/>
  <c r="J252" i="10"/>
  <c r="L252" i="10"/>
  <c r="D253" i="10"/>
  <c r="F253" i="10"/>
  <c r="G253" i="10"/>
  <c r="K253" i="10"/>
  <c r="I254" i="10"/>
  <c r="J253" i="10"/>
  <c r="L253" i="10"/>
  <c r="D254" i="10"/>
  <c r="F254" i="10"/>
  <c r="G254" i="10"/>
  <c r="K254" i="10"/>
  <c r="I255" i="10"/>
  <c r="J254" i="10"/>
  <c r="L254" i="10"/>
  <c r="D255" i="10"/>
  <c r="F255" i="10"/>
  <c r="G255" i="10"/>
  <c r="K255" i="10"/>
  <c r="I256" i="10"/>
  <c r="J255" i="10"/>
  <c r="L255" i="10"/>
  <c r="D256" i="10"/>
  <c r="F256" i="10"/>
  <c r="G256" i="10"/>
  <c r="K256" i="10"/>
  <c r="I257" i="10"/>
  <c r="J256" i="10"/>
  <c r="L256" i="10"/>
  <c r="D257" i="10"/>
  <c r="F257" i="10"/>
  <c r="G257" i="10"/>
  <c r="K257" i="10"/>
  <c r="I258" i="10"/>
  <c r="J257" i="10"/>
  <c r="L257" i="10"/>
  <c r="D258" i="10"/>
  <c r="F258" i="10"/>
  <c r="G258" i="10"/>
  <c r="K258" i="10"/>
  <c r="I259" i="10"/>
  <c r="J258" i="10"/>
  <c r="L258" i="10"/>
  <c r="D259" i="10"/>
  <c r="F259" i="10"/>
  <c r="G259" i="10"/>
  <c r="K259" i="10"/>
  <c r="I260" i="10"/>
  <c r="J259" i="10"/>
  <c r="L259" i="10"/>
  <c r="D260" i="10"/>
  <c r="F260" i="10"/>
  <c r="G260" i="10"/>
  <c r="K260" i="10"/>
  <c r="I261" i="10"/>
  <c r="J260" i="10"/>
  <c r="L260" i="10"/>
  <c r="D261" i="10"/>
  <c r="F261" i="10"/>
  <c r="G261" i="10"/>
  <c r="K261" i="10"/>
  <c r="I262" i="10"/>
  <c r="J261" i="10"/>
  <c r="L261" i="10"/>
  <c r="D262" i="10"/>
  <c r="F262" i="10"/>
  <c r="G262" i="10"/>
  <c r="K262" i="10"/>
  <c r="I263" i="10"/>
  <c r="J262" i="10"/>
  <c r="L262" i="10"/>
  <c r="D263" i="10"/>
  <c r="F263" i="10"/>
  <c r="G263" i="10"/>
  <c r="K263" i="10"/>
  <c r="I264" i="10"/>
  <c r="J263" i="10"/>
  <c r="L263" i="10"/>
  <c r="D264" i="10"/>
  <c r="F264" i="10"/>
  <c r="G264" i="10"/>
  <c r="K264" i="10"/>
  <c r="I265" i="10"/>
  <c r="J264" i="10"/>
  <c r="L264" i="10"/>
  <c r="D265" i="10"/>
  <c r="F265" i="10"/>
  <c r="G265" i="10"/>
  <c r="K265" i="10"/>
  <c r="I266" i="10"/>
  <c r="J265" i="10"/>
  <c r="L265" i="10"/>
  <c r="D266" i="10"/>
  <c r="F266" i="10"/>
  <c r="G266" i="10"/>
  <c r="K266" i="10"/>
  <c r="I267" i="10"/>
  <c r="J266" i="10"/>
  <c r="L266" i="10"/>
  <c r="D267" i="10"/>
  <c r="F267" i="10"/>
  <c r="G267" i="10"/>
  <c r="K267" i="10"/>
  <c r="I268" i="10"/>
  <c r="J267" i="10"/>
  <c r="L267" i="10"/>
  <c r="D268" i="10"/>
  <c r="F268" i="10"/>
  <c r="G268" i="10"/>
  <c r="K268" i="10"/>
  <c r="I269" i="10"/>
  <c r="J268" i="10"/>
  <c r="L268" i="10"/>
  <c r="D269" i="10"/>
  <c r="F269" i="10"/>
  <c r="G269" i="10"/>
  <c r="K269" i="10"/>
  <c r="I270" i="10"/>
  <c r="J269" i="10"/>
  <c r="L269" i="10"/>
  <c r="D270" i="10"/>
  <c r="F270" i="10"/>
  <c r="G270" i="10"/>
  <c r="K270" i="10"/>
  <c r="I271" i="10"/>
  <c r="J270" i="10"/>
  <c r="L270" i="10"/>
  <c r="D271" i="10"/>
  <c r="F271" i="10"/>
  <c r="G271" i="10"/>
  <c r="K271" i="10"/>
  <c r="I272" i="10"/>
  <c r="J271" i="10"/>
  <c r="L271" i="10"/>
  <c r="D272" i="10"/>
  <c r="F272" i="10"/>
  <c r="G272" i="10"/>
  <c r="K272" i="10"/>
  <c r="I273" i="10"/>
  <c r="J272" i="10"/>
  <c r="L272" i="10"/>
  <c r="D273" i="10"/>
  <c r="F273" i="10"/>
  <c r="G273" i="10"/>
  <c r="K273" i="10"/>
  <c r="I274" i="10"/>
  <c r="J273" i="10"/>
  <c r="L273" i="10"/>
  <c r="D274" i="10"/>
  <c r="F274" i="10"/>
  <c r="G274" i="10"/>
  <c r="K274" i="10"/>
  <c r="I275" i="10"/>
  <c r="J274" i="10"/>
  <c r="L274" i="10"/>
  <c r="D275" i="10"/>
  <c r="F275" i="10"/>
  <c r="G275" i="10"/>
  <c r="K275" i="10"/>
  <c r="I276" i="10"/>
  <c r="J275" i="10"/>
  <c r="L275" i="10"/>
  <c r="D276" i="10"/>
  <c r="F276" i="10"/>
  <c r="G276" i="10"/>
  <c r="K276" i="10"/>
  <c r="I277" i="10"/>
  <c r="J276" i="10"/>
  <c r="L276" i="10"/>
  <c r="D277" i="10"/>
  <c r="F277" i="10"/>
  <c r="G277" i="10"/>
  <c r="K277" i="10"/>
  <c r="I278" i="10"/>
  <c r="J277" i="10"/>
  <c r="L277" i="10"/>
  <c r="D278" i="10"/>
  <c r="F278" i="10"/>
  <c r="G278" i="10"/>
  <c r="K278" i="10"/>
  <c r="I279" i="10"/>
  <c r="J278" i="10"/>
  <c r="L278" i="10"/>
  <c r="D279" i="10"/>
  <c r="F279" i="10"/>
  <c r="G279" i="10"/>
  <c r="K279" i="10"/>
  <c r="I280" i="10"/>
  <c r="J279" i="10"/>
  <c r="L279" i="10"/>
  <c r="D280" i="10"/>
  <c r="F280" i="10"/>
  <c r="G280" i="10"/>
  <c r="K280" i="10"/>
  <c r="I281" i="10"/>
  <c r="J280" i="10"/>
  <c r="L280" i="10"/>
  <c r="D281" i="10"/>
  <c r="F281" i="10"/>
  <c r="G281" i="10"/>
  <c r="K281" i="10"/>
  <c r="I282" i="10"/>
  <c r="J281" i="10"/>
  <c r="L281" i="10"/>
  <c r="D282" i="10"/>
  <c r="F282" i="10"/>
  <c r="G282" i="10"/>
  <c r="K282" i="10"/>
  <c r="I283" i="10"/>
  <c r="J282" i="10"/>
  <c r="L282" i="10"/>
  <c r="D283" i="10"/>
  <c r="F283" i="10"/>
  <c r="G283" i="10"/>
  <c r="K283" i="10"/>
  <c r="I284" i="10"/>
  <c r="J283" i="10"/>
  <c r="L283" i="10"/>
  <c r="D284" i="10"/>
  <c r="F284" i="10"/>
  <c r="G284" i="10"/>
  <c r="K284" i="10"/>
  <c r="I285" i="10"/>
  <c r="J284" i="10"/>
  <c r="L284" i="10"/>
  <c r="D285" i="10"/>
  <c r="F285" i="10"/>
  <c r="G285" i="10"/>
  <c r="K285" i="10"/>
  <c r="G49" i="23"/>
  <c r="G45" i="23"/>
  <c r="G46" i="23"/>
  <c r="Y126" i="23"/>
  <c r="Y127" i="23"/>
  <c r="AB125" i="23" a="1"/>
  <c r="AB125" i="23"/>
  <c r="AC125" i="23"/>
  <c r="AB126" i="23" a="1"/>
  <c r="AB126" i="23"/>
  <c r="AC126" i="23"/>
  <c r="AB127" i="23" a="1"/>
  <c r="AB127" i="23"/>
  <c r="AC127" i="23"/>
  <c r="AB128" i="23" a="1"/>
  <c r="AB128" i="23"/>
  <c r="AC128" i="23"/>
  <c r="AB129" i="23" a="1"/>
  <c r="AB129" i="23"/>
  <c r="AC129" i="23"/>
  <c r="AB130" i="23" a="1"/>
  <c r="AB130" i="23"/>
  <c r="AC130" i="23"/>
  <c r="AB131" i="23" a="1"/>
  <c r="AB131" i="23"/>
  <c r="AC131" i="23"/>
  <c r="AB132" i="23" a="1"/>
  <c r="AB132" i="23"/>
  <c r="AC132" i="23"/>
  <c r="AB133" i="23" a="1"/>
  <c r="AB133" i="23"/>
  <c r="AC133" i="23"/>
  <c r="AB134" i="23" a="1"/>
  <c r="AB134" i="23"/>
  <c r="AC134" i="23"/>
  <c r="AB135" i="23" a="1"/>
  <c r="AB135" i="23"/>
  <c r="AC135" i="23"/>
  <c r="AB136" i="23" a="1"/>
  <c r="AB136" i="23"/>
  <c r="AC136" i="23"/>
  <c r="AC138" i="23"/>
  <c r="X9" i="23"/>
  <c r="X10" i="23"/>
  <c r="F31" i="23"/>
  <c r="M57" i="23"/>
  <c r="V10" i="23"/>
  <c r="Z10" i="23"/>
  <c r="AD125" i="23"/>
  <c r="AD126" i="23"/>
  <c r="AD127" i="23"/>
  <c r="AD128" i="23"/>
  <c r="AD129" i="23"/>
  <c r="AD130" i="23"/>
  <c r="AD131" i="23"/>
  <c r="AD132" i="23"/>
  <c r="AD133" i="23"/>
  <c r="AD134" i="23"/>
  <c r="AD135" i="23"/>
  <c r="AD136" i="23"/>
  <c r="AD138" i="23"/>
  <c r="W9" i="23"/>
  <c r="W10" i="23"/>
  <c r="AA10" i="23"/>
  <c r="Y10" i="23"/>
  <c r="AB10" i="23"/>
  <c r="X11" i="23"/>
  <c r="V11" i="23"/>
  <c r="Z11" i="23"/>
  <c r="W11" i="23"/>
  <c r="AA11" i="23"/>
  <c r="Y11" i="23"/>
  <c r="AB11" i="23"/>
  <c r="X12" i="23"/>
  <c r="V12" i="23"/>
  <c r="Z12" i="23"/>
  <c r="W12" i="23"/>
  <c r="AA12" i="23"/>
  <c r="Y12" i="23"/>
  <c r="AB12" i="23"/>
  <c r="X13" i="23"/>
  <c r="V13" i="23"/>
  <c r="Z13" i="23"/>
  <c r="W13" i="23"/>
  <c r="AA13" i="23"/>
  <c r="Y13" i="23"/>
  <c r="AB13" i="23"/>
  <c r="X14" i="23"/>
  <c r="V14" i="23"/>
  <c r="Z14" i="23"/>
  <c r="W14" i="23"/>
  <c r="AA14" i="23"/>
  <c r="Y14" i="23"/>
  <c r="AB14" i="23"/>
  <c r="X15" i="23"/>
  <c r="V15" i="23"/>
  <c r="Z15" i="23"/>
  <c r="W15" i="23"/>
  <c r="AA15" i="23"/>
  <c r="Y15" i="23"/>
  <c r="AB15" i="23"/>
  <c r="X16" i="23"/>
  <c r="V16" i="23"/>
  <c r="Z16" i="23"/>
  <c r="W16" i="23"/>
  <c r="AA16" i="23"/>
  <c r="Y16" i="23"/>
  <c r="AB16" i="23"/>
  <c r="X17" i="23"/>
  <c r="V17" i="23"/>
  <c r="Z17" i="23"/>
  <c r="W17" i="23"/>
  <c r="AA17" i="23"/>
  <c r="Y17" i="23"/>
  <c r="AB17" i="23"/>
  <c r="X18" i="23"/>
  <c r="V18" i="23"/>
  <c r="Z18" i="23"/>
  <c r="W18" i="23"/>
  <c r="AA18" i="23"/>
  <c r="Y18" i="23"/>
  <c r="AB18" i="23"/>
  <c r="X19" i="23"/>
  <c r="V19" i="23"/>
  <c r="Z19" i="23"/>
  <c r="W19" i="23"/>
  <c r="AA19" i="23"/>
  <c r="Y19" i="23"/>
  <c r="AB19" i="23"/>
  <c r="X20" i="23"/>
  <c r="V20" i="23"/>
  <c r="Z20" i="23"/>
  <c r="W20" i="23"/>
  <c r="AA20" i="23"/>
  <c r="Y20" i="23"/>
  <c r="AB20" i="23"/>
  <c r="X21" i="23"/>
  <c r="V21" i="23"/>
  <c r="Z21" i="23"/>
  <c r="W21" i="23"/>
  <c r="AA21" i="23"/>
  <c r="Y21" i="23"/>
  <c r="AB21" i="23"/>
  <c r="X22" i="23"/>
  <c r="V22" i="23"/>
  <c r="Z22" i="23"/>
  <c r="W22" i="23"/>
  <c r="AA22" i="23"/>
  <c r="Y22" i="23"/>
  <c r="AB22" i="23"/>
  <c r="X23" i="23"/>
  <c r="V23" i="23"/>
  <c r="Z23" i="23"/>
  <c r="W23" i="23"/>
  <c r="AA23" i="23"/>
  <c r="Y23" i="23"/>
  <c r="AB23" i="23"/>
  <c r="X24" i="23"/>
  <c r="V24" i="23"/>
  <c r="Z24" i="23"/>
  <c r="W24" i="23"/>
  <c r="AA24" i="23"/>
  <c r="Y24" i="23"/>
  <c r="AB24" i="23"/>
  <c r="X25" i="23"/>
  <c r="V25" i="23"/>
  <c r="Z25" i="23"/>
  <c r="W25" i="23"/>
  <c r="AA25" i="23"/>
  <c r="Y25" i="23"/>
  <c r="AB25" i="23"/>
  <c r="X26" i="23"/>
  <c r="V26" i="23"/>
  <c r="Z26" i="23"/>
  <c r="W26" i="23"/>
  <c r="AA26" i="23"/>
  <c r="Y26" i="23"/>
  <c r="AB26" i="23"/>
  <c r="X27" i="23"/>
  <c r="V27" i="23"/>
  <c r="Z27" i="23"/>
  <c r="W27" i="23"/>
  <c r="AA27" i="23"/>
  <c r="Y27" i="23"/>
  <c r="AB27" i="23"/>
  <c r="X28" i="23"/>
  <c r="V28" i="23"/>
  <c r="Z28" i="23"/>
  <c r="W28" i="23"/>
  <c r="AA28" i="23"/>
  <c r="Y28" i="23"/>
  <c r="AB28" i="23"/>
  <c r="X29" i="23"/>
  <c r="V29" i="23"/>
  <c r="Z29" i="23"/>
  <c r="W29" i="23"/>
  <c r="AA29" i="23"/>
  <c r="Y29" i="23"/>
  <c r="AB29" i="23"/>
  <c r="X30" i="23"/>
  <c r="V30" i="23"/>
  <c r="Z30" i="23"/>
  <c r="W30" i="23"/>
  <c r="AA30" i="23"/>
  <c r="Y30" i="23"/>
  <c r="AB30" i="23"/>
  <c r="X31" i="23"/>
  <c r="V31" i="23"/>
  <c r="Z31" i="23"/>
  <c r="W31" i="23"/>
  <c r="AA31" i="23"/>
  <c r="Y31" i="23"/>
  <c r="AB31" i="23"/>
  <c r="X32" i="23"/>
  <c r="V32" i="23"/>
  <c r="Z32" i="23"/>
  <c r="W32" i="23"/>
  <c r="AA32" i="23"/>
  <c r="Y32" i="23"/>
  <c r="AB32" i="23"/>
  <c r="X33" i="23"/>
  <c r="V33" i="23"/>
  <c r="Z33" i="23"/>
  <c r="W33" i="23"/>
  <c r="AA33" i="23"/>
  <c r="Y33" i="23"/>
  <c r="AB33" i="23"/>
  <c r="Z9" i="23"/>
  <c r="AA9" i="23"/>
  <c r="Y9" i="23"/>
  <c r="AB9" i="23"/>
  <c r="R6" i="14"/>
  <c r="R5" i="14"/>
  <c r="T4" i="14" a="1"/>
  <c r="T4" i="14"/>
  <c r="U4" i="14"/>
  <c r="T5" i="14" a="1"/>
  <c r="T5" i="14"/>
  <c r="U5" i="14"/>
  <c r="T6" i="14" a="1"/>
  <c r="T6" i="14"/>
  <c r="U6" i="14"/>
  <c r="T7" i="14" a="1"/>
  <c r="T7" i="14"/>
  <c r="U7" i="14"/>
  <c r="T8" i="14" a="1"/>
  <c r="T8" i="14"/>
  <c r="U8" i="14"/>
  <c r="T9" i="14" a="1"/>
  <c r="T9" i="14"/>
  <c r="U9" i="14"/>
  <c r="T10" i="14" a="1"/>
  <c r="T10" i="14"/>
  <c r="U10" i="14"/>
  <c r="T11" i="14" a="1"/>
  <c r="T11" i="14"/>
  <c r="U11" i="14"/>
  <c r="T12" i="14" a="1"/>
  <c r="T12" i="14"/>
  <c r="U12" i="14"/>
  <c r="T13" i="14" a="1"/>
  <c r="T13" i="14"/>
  <c r="U13" i="14"/>
  <c r="T14" i="14" a="1"/>
  <c r="T14" i="14"/>
  <c r="U14" i="14"/>
  <c r="T15" i="14" a="1"/>
  <c r="T15" i="14"/>
  <c r="U15" i="14"/>
  <c r="U17" i="14"/>
  <c r="U21" i="14"/>
  <c r="V4" i="14"/>
  <c r="V5" i="14"/>
  <c r="V6" i="14"/>
  <c r="V7" i="14"/>
  <c r="V8" i="14"/>
  <c r="V9" i="14"/>
  <c r="V10" i="14"/>
  <c r="V11" i="14"/>
  <c r="V12" i="14"/>
  <c r="V13" i="14"/>
  <c r="V14" i="14"/>
  <c r="V15" i="14"/>
  <c r="V17" i="14"/>
  <c r="T21" i="14"/>
  <c r="V21" i="14"/>
  <c r="W21" i="14"/>
  <c r="T20" i="14"/>
  <c r="M12" i="23"/>
  <c r="U20" i="14"/>
  <c r="M11" i="23"/>
  <c r="L13" i="23"/>
  <c r="L11" i="23"/>
  <c r="L12" i="23"/>
  <c r="V20" i="14"/>
  <c r="AD9" i="23"/>
  <c r="AJ36" i="23"/>
  <c r="AJ37" i="23"/>
  <c r="AJ38" i="23"/>
  <c r="AJ39" i="23"/>
  <c r="AJ40" i="23"/>
  <c r="AJ41" i="23"/>
  <c r="AJ42" i="23"/>
  <c r="AJ43" i="23"/>
  <c r="AJ44" i="23"/>
  <c r="AJ45" i="23"/>
  <c r="AJ46" i="23"/>
  <c r="AJ47" i="23"/>
  <c r="AJ48" i="23"/>
  <c r="AK36" i="23"/>
  <c r="F61" i="10"/>
  <c r="K61" i="10"/>
  <c r="N10" i="14"/>
  <c r="H28" i="14"/>
  <c r="H27" i="14"/>
  <c r="H26" i="14"/>
  <c r="H25" i="14"/>
  <c r="H23" i="14"/>
  <c r="H21" i="14"/>
  <c r="AD10" i="23"/>
  <c r="AD11" i="23"/>
  <c r="AD12" i="23"/>
  <c r="AD13" i="23"/>
  <c r="AD14" i="23"/>
  <c r="AD15" i="23"/>
  <c r="AD16" i="23"/>
  <c r="AD17" i="23"/>
  <c r="AD18" i="23"/>
  <c r="AD19" i="23"/>
  <c r="AD20" i="23"/>
  <c r="AD21" i="23"/>
  <c r="AD22" i="23"/>
  <c r="AD23" i="23"/>
  <c r="AD24" i="23"/>
  <c r="AD25" i="23"/>
  <c r="AD26" i="23"/>
  <c r="AD27" i="23"/>
  <c r="AD28" i="23"/>
  <c r="AD29" i="23"/>
  <c r="AD30" i="23"/>
  <c r="AD31" i="23"/>
  <c r="AD32" i="23"/>
  <c r="AD33" i="23"/>
  <c r="AK38" i="23"/>
  <c r="AK39" i="23"/>
  <c r="AK40" i="23"/>
  <c r="AK41" i="23"/>
  <c r="AK42" i="23"/>
  <c r="AK43" i="23"/>
  <c r="AK44" i="23"/>
  <c r="AK45" i="23"/>
  <c r="AK46" i="23"/>
  <c r="AK47" i="23"/>
  <c r="AK37" i="23"/>
  <c r="D54" i="19"/>
  <c r="D47" i="19"/>
  <c r="G20" i="19"/>
  <c r="H20" i="19"/>
  <c r="H22" i="19"/>
  <c r="H24" i="19"/>
  <c r="H26" i="19"/>
  <c r="H32" i="19"/>
  <c r="H36" i="19"/>
  <c r="H28" i="19"/>
  <c r="H30" i="19"/>
  <c r="H38" i="19"/>
  <c r="D48" i="19"/>
  <c r="D49" i="19"/>
  <c r="D51" i="19"/>
  <c r="D52" i="19"/>
  <c r="D53" i="19"/>
  <c r="D56" i="19"/>
  <c r="V16" i="14"/>
  <c r="AJ49" i="23"/>
  <c r="M16" i="20"/>
  <c r="M17" i="20"/>
  <c r="M18" i="20"/>
  <c r="M19" i="20"/>
  <c r="E31" i="23"/>
  <c r="D31" i="23"/>
  <c r="H19" i="14"/>
  <c r="H17" i="14"/>
  <c r="G51" i="23"/>
  <c r="D62" i="19"/>
  <c r="G50" i="23"/>
  <c r="D61" i="19"/>
  <c r="D60" i="19"/>
  <c r="G48" i="23"/>
  <c r="D59" i="19"/>
  <c r="I11" i="27"/>
  <c r="T9" i="27"/>
  <c r="M18" i="27"/>
  <c r="M16" i="27"/>
  <c r="I11" i="20"/>
  <c r="T9" i="20"/>
  <c r="I13" i="27"/>
  <c r="T11" i="27"/>
  <c r="B13" i="27"/>
  <c r="M11" i="27"/>
  <c r="B11" i="27"/>
  <c r="M9" i="27"/>
  <c r="I9" i="27"/>
  <c r="T7" i="27"/>
  <c r="B9" i="27"/>
  <c r="M7" i="27"/>
  <c r="I7" i="27"/>
  <c r="T5" i="27"/>
  <c r="B7" i="27"/>
  <c r="M5" i="27"/>
  <c r="I5" i="27"/>
  <c r="T4" i="27"/>
  <c r="C5" i="27"/>
  <c r="N4" i="27"/>
  <c r="B5" i="27"/>
  <c r="M4" i="27"/>
  <c r="B4" i="27"/>
  <c r="M3" i="27"/>
  <c r="I15" i="27"/>
  <c r="C67" i="27"/>
  <c r="B67" i="27"/>
  <c r="A62" i="27"/>
  <c r="B62" i="27"/>
  <c r="B63" i="27"/>
  <c r="C62" i="27"/>
  <c r="B17" i="27"/>
  <c r="B15" i="27"/>
  <c r="U73" i="27"/>
  <c r="N73" i="27"/>
  <c r="N72" i="27"/>
  <c r="M72" i="27"/>
  <c r="B71" i="27"/>
  <c r="C69" i="27"/>
  <c r="I69" i="27"/>
  <c r="B34" i="27"/>
  <c r="B33" i="27"/>
  <c r="C32" i="27"/>
  <c r="M19" i="27"/>
  <c r="D17" i="27"/>
  <c r="T13" i="27"/>
  <c r="M13" i="27"/>
  <c r="U5" i="27"/>
  <c r="N9" i="14"/>
  <c r="D24" i="1" a="1"/>
  <c r="D24" i="1"/>
  <c r="L24" i="1"/>
  <c r="V7" i="22"/>
  <c r="AK34" i="22"/>
  <c r="AJ34" i="22"/>
  <c r="AL34" i="22"/>
  <c r="D25" i="1" a="1"/>
  <c r="D25" i="1"/>
  <c r="L25" i="1"/>
  <c r="AK35" i="22"/>
  <c r="AJ35" i="22"/>
  <c r="AL35" i="22"/>
  <c r="D26" i="1" a="1"/>
  <c r="D26" i="1"/>
  <c r="L26" i="1"/>
  <c r="AK36" i="22"/>
  <c r="AJ36" i="22"/>
  <c r="AL36" i="22"/>
  <c r="D27" i="1" a="1"/>
  <c r="D27" i="1"/>
  <c r="L27" i="1"/>
  <c r="AK37" i="22"/>
  <c r="AJ37" i="22"/>
  <c r="AL37" i="22"/>
  <c r="D28" i="1" a="1"/>
  <c r="D28" i="1"/>
  <c r="L28" i="1"/>
  <c r="AK38" i="22"/>
  <c r="AJ38" i="22"/>
  <c r="AL38" i="22"/>
  <c r="D29" i="1" a="1"/>
  <c r="D29" i="1"/>
  <c r="L29" i="1"/>
  <c r="AK39" i="22"/>
  <c r="AJ39" i="22"/>
  <c r="AL39" i="22"/>
  <c r="D30" i="1" a="1"/>
  <c r="D30" i="1"/>
  <c r="L30" i="1"/>
  <c r="AK40" i="22"/>
  <c r="AJ40" i="22"/>
  <c r="AL40" i="22"/>
  <c r="D31" i="1" a="1"/>
  <c r="D31" i="1"/>
  <c r="L31" i="1"/>
  <c r="AK41" i="22"/>
  <c r="AJ41" i="22"/>
  <c r="AL41" i="22"/>
  <c r="D32" i="1" a="1"/>
  <c r="D32" i="1"/>
  <c r="L32" i="1"/>
  <c r="AK42" i="22"/>
  <c r="AJ42" i="22"/>
  <c r="AL42" i="22"/>
  <c r="D33" i="1" a="1"/>
  <c r="D33" i="1"/>
  <c r="L33" i="1"/>
  <c r="AK43" i="22"/>
  <c r="AJ43" i="22"/>
  <c r="AL43" i="22"/>
  <c r="D34" i="1" a="1"/>
  <c r="D34" i="1"/>
  <c r="L34" i="1"/>
  <c r="AK44" i="22"/>
  <c r="AJ44" i="22"/>
  <c r="AL44" i="22"/>
  <c r="D35" i="1" a="1"/>
  <c r="D35" i="1"/>
  <c r="L35" i="1"/>
  <c r="AK45" i="22"/>
  <c r="AJ45" i="22"/>
  <c r="AL45" i="22"/>
  <c r="AL47" i="22"/>
  <c r="G48" i="22"/>
  <c r="AJ47" i="22"/>
  <c r="G47" i="22"/>
  <c r="AD50" i="22"/>
  <c r="A15" i="22"/>
  <c r="B15" i="22"/>
  <c r="G12" i="22"/>
  <c r="J21" i="10"/>
  <c r="J17" i="10"/>
  <c r="J15" i="10"/>
  <c r="F15" i="10"/>
  <c r="AL36" i="23"/>
  <c r="AL37" i="23"/>
  <c r="AL38" i="23"/>
  <c r="AL39" i="23"/>
  <c r="AL40" i="23"/>
  <c r="AL41" i="23"/>
  <c r="AL42" i="23"/>
  <c r="AL43" i="23"/>
  <c r="AL44" i="23"/>
  <c r="AL45" i="23"/>
  <c r="AL46" i="23"/>
  <c r="AL47" i="23"/>
  <c r="AL48" i="23"/>
  <c r="AK48" i="23"/>
  <c r="AM48" i="23"/>
  <c r="AM36" i="23"/>
  <c r="AM37" i="23"/>
  <c r="AM38" i="23"/>
  <c r="AM39" i="23"/>
  <c r="AM40" i="23"/>
  <c r="AM41" i="23"/>
  <c r="AM42" i="23"/>
  <c r="AM43" i="23"/>
  <c r="AM44" i="23"/>
  <c r="AM45" i="23"/>
  <c r="AM46" i="23"/>
  <c r="AM47" i="23"/>
  <c r="AM49" i="23"/>
  <c r="AL46" i="22"/>
  <c r="W7" i="22"/>
  <c r="AD52" i="22"/>
  <c r="X7" i="22"/>
  <c r="Z7" i="22"/>
  <c r="AD51" i="22"/>
  <c r="AB52" i="22"/>
  <c r="AJ46" i="22"/>
  <c r="AB51" i="22"/>
  <c r="AB50" i="22"/>
  <c r="AN48" i="23"/>
  <c r="AN49" i="23"/>
  <c r="AK46" i="22"/>
  <c r="AM46" i="22"/>
  <c r="AM47" i="22"/>
  <c r="AK47" i="22"/>
  <c r="AM35" i="22"/>
  <c r="AM36" i="22"/>
  <c r="AM37" i="22"/>
  <c r="AM38" i="22"/>
  <c r="AM39" i="22"/>
  <c r="AM40" i="22"/>
  <c r="AM41" i="22"/>
  <c r="AM42" i="22"/>
  <c r="AM43" i="22"/>
  <c r="AM44" i="22"/>
  <c r="AM45" i="22"/>
  <c r="AM34" i="22"/>
  <c r="AN36" i="23"/>
  <c r="AL49" i="23"/>
  <c r="AK49" i="23"/>
  <c r="AN37" i="23"/>
  <c r="AN38" i="23"/>
  <c r="AN39" i="23"/>
  <c r="AN40" i="23"/>
  <c r="AN41" i="23"/>
  <c r="AN42" i="23"/>
  <c r="AN43" i="23"/>
  <c r="AN44" i="23"/>
  <c r="AN45" i="23"/>
  <c r="AN46" i="23"/>
  <c r="AN47" i="23"/>
  <c r="AC142" i="23"/>
  <c r="AD143" i="23"/>
  <c r="AD142" i="23"/>
  <c r="AC143" i="23"/>
  <c r="AD141" i="23"/>
  <c r="AC141" i="23"/>
  <c r="AD137" i="23"/>
  <c r="AC137" i="23"/>
  <c r="Y125" i="23"/>
  <c r="S55" i="23"/>
  <c r="N55" i="23"/>
  <c r="AE33" i="23"/>
  <c r="AE32" i="23"/>
  <c r="AE31" i="23"/>
  <c r="AE30" i="23"/>
  <c r="AE29" i="23"/>
  <c r="AE28" i="23"/>
  <c r="AE27" i="23"/>
  <c r="AE26" i="23"/>
  <c r="AE25" i="23"/>
  <c r="AE24" i="23"/>
  <c r="AE23" i="23"/>
  <c r="AE22" i="23"/>
  <c r="AE21" i="23"/>
  <c r="AE20" i="23"/>
  <c r="AE19" i="23"/>
  <c r="AE18" i="23"/>
  <c r="AE17" i="23"/>
  <c r="AE16" i="23"/>
  <c r="AE15" i="23"/>
  <c r="AE14" i="23"/>
  <c r="AE13" i="23"/>
  <c r="AE12" i="23"/>
  <c r="AE11" i="23"/>
  <c r="AE10" i="23"/>
  <c r="AE9" i="23"/>
  <c r="AH9" i="23"/>
  <c r="AH10" i="23"/>
  <c r="AH11" i="23"/>
  <c r="AH12" i="23"/>
  <c r="AH13" i="23"/>
  <c r="AH14" i="23"/>
  <c r="AH15" i="23"/>
  <c r="AH16" i="23"/>
  <c r="AH17" i="23"/>
  <c r="AH18" i="23"/>
  <c r="AH19" i="23"/>
  <c r="AH20" i="23"/>
  <c r="AH21" i="23"/>
  <c r="AH22" i="23"/>
  <c r="AH23" i="23"/>
  <c r="AH24" i="23"/>
  <c r="AH25" i="23"/>
  <c r="AH26" i="23"/>
  <c r="AH27" i="23"/>
  <c r="AH28" i="23"/>
  <c r="AH29" i="23"/>
  <c r="AH30" i="23"/>
  <c r="AH31" i="23"/>
  <c r="AH32" i="23"/>
  <c r="AH33" i="23"/>
  <c r="AG8" i="23"/>
  <c r="AG9" i="23"/>
  <c r="AG10" i="23"/>
  <c r="AG11" i="23"/>
  <c r="AG12" i="23"/>
  <c r="AG13" i="23"/>
  <c r="AG14" i="23"/>
  <c r="AG15" i="23"/>
  <c r="AG16" i="23"/>
  <c r="AG17" i="23"/>
  <c r="AG18" i="23"/>
  <c r="AG19" i="23"/>
  <c r="AG20" i="23"/>
  <c r="AG21" i="23"/>
  <c r="AG22" i="23"/>
  <c r="AG23" i="23"/>
  <c r="AG24" i="23"/>
  <c r="AG25" i="23"/>
  <c r="AG26" i="23"/>
  <c r="AG27" i="23"/>
  <c r="AG28" i="23"/>
  <c r="AG29" i="23"/>
  <c r="AG30" i="23"/>
  <c r="AG31" i="23"/>
  <c r="AG32" i="23"/>
  <c r="AG33" i="23"/>
  <c r="AF8" i="23"/>
  <c r="AF9" i="23"/>
  <c r="AF10" i="23"/>
  <c r="AF11" i="23"/>
  <c r="AF12" i="23"/>
  <c r="AF13" i="23"/>
  <c r="AF14" i="23"/>
  <c r="AF15" i="23"/>
  <c r="AF16" i="23"/>
  <c r="AF17" i="23"/>
  <c r="AF18" i="23"/>
  <c r="AF19" i="23"/>
  <c r="AF20" i="23"/>
  <c r="AF21" i="23"/>
  <c r="AF22" i="23"/>
  <c r="AF23" i="23"/>
  <c r="AF24" i="23"/>
  <c r="AF25" i="23"/>
  <c r="AF26" i="23"/>
  <c r="AF27" i="23"/>
  <c r="AF28" i="23"/>
  <c r="AF29" i="23"/>
  <c r="AF30" i="23"/>
  <c r="AF31" i="23"/>
  <c r="AF32" i="23"/>
  <c r="AF33" i="23"/>
  <c r="AC9" i="23"/>
  <c r="AC10" i="23"/>
  <c r="AC11" i="23"/>
  <c r="AC12" i="23"/>
  <c r="AC13" i="23"/>
  <c r="AC14" i="23"/>
  <c r="AC15" i="23"/>
  <c r="AC16" i="23"/>
  <c r="AC17" i="23"/>
  <c r="AC18" i="23"/>
  <c r="AC19" i="23"/>
  <c r="AC20" i="23"/>
  <c r="AC21" i="23"/>
  <c r="AC22" i="23"/>
  <c r="AC23" i="23"/>
  <c r="AC24" i="23"/>
  <c r="AC25" i="23"/>
  <c r="AC26" i="23"/>
  <c r="AC27" i="23"/>
  <c r="AC28" i="23"/>
  <c r="AC29" i="23"/>
  <c r="AC30" i="23"/>
  <c r="AC31" i="23"/>
  <c r="AC32" i="23"/>
  <c r="AC33" i="23"/>
  <c r="F30" i="23"/>
  <c r="F28" i="23"/>
  <c r="G15" i="23"/>
  <c r="B15" i="23"/>
  <c r="M13" i="23"/>
  <c r="C9" i="23"/>
  <c r="A9" i="23"/>
  <c r="A8" i="23"/>
  <c r="S7" i="23"/>
  <c r="M7" i="23"/>
  <c r="A7" i="23"/>
  <c r="S6" i="23"/>
  <c r="K6" i="23"/>
  <c r="G6" i="23"/>
  <c r="B6" i="23"/>
  <c r="A6" i="23"/>
  <c r="G5" i="23"/>
  <c r="K18" i="14"/>
  <c r="O18" i="14"/>
  <c r="K20" i="14"/>
  <c r="O20" i="14"/>
  <c r="K26" i="14"/>
  <c r="O26" i="14"/>
  <c r="K28" i="14"/>
  <c r="O28" i="14"/>
  <c r="K24" i="14"/>
  <c r="K22" i="14"/>
  <c r="D25" i="22"/>
  <c r="E25" i="22"/>
  <c r="F54" i="19"/>
  <c r="H21" i="5"/>
  <c r="H19" i="5"/>
  <c r="E40" i="1"/>
  <c r="N40" i="1"/>
  <c r="N51" i="1"/>
  <c r="N65" i="1"/>
  <c r="N68" i="1"/>
  <c r="N70" i="1"/>
  <c r="E51" i="1"/>
  <c r="E65" i="1"/>
  <c r="E68" i="1"/>
  <c r="E70" i="1"/>
  <c r="F70" i="1"/>
  <c r="H70" i="1"/>
  <c r="I70" i="1"/>
  <c r="K70" i="1"/>
  <c r="L70" i="1"/>
  <c r="O70" i="1"/>
  <c r="E71" i="1"/>
  <c r="F71" i="1"/>
  <c r="H71" i="1"/>
  <c r="I71" i="1"/>
  <c r="K71" i="1"/>
  <c r="L71" i="1"/>
  <c r="N71" i="1"/>
  <c r="O71" i="1"/>
  <c r="E54" i="1"/>
  <c r="E56" i="1"/>
  <c r="F56" i="1"/>
  <c r="H56" i="1"/>
  <c r="I56" i="1"/>
  <c r="K56" i="1"/>
  <c r="L56" i="1"/>
  <c r="N54" i="1"/>
  <c r="N56" i="1"/>
  <c r="O56" i="1"/>
  <c r="E57" i="1"/>
  <c r="F57" i="1"/>
  <c r="H57" i="1"/>
  <c r="I57" i="1"/>
  <c r="K57" i="1"/>
  <c r="L57" i="1"/>
  <c r="N57" i="1"/>
  <c r="O57" i="1"/>
  <c r="E42" i="1"/>
  <c r="F42" i="1"/>
  <c r="H42" i="1"/>
  <c r="I42" i="1"/>
  <c r="K42" i="1"/>
  <c r="L42" i="1"/>
  <c r="N42" i="1"/>
  <c r="O42" i="1"/>
  <c r="E43" i="1"/>
  <c r="F43" i="1"/>
  <c r="H43" i="1"/>
  <c r="I43" i="1"/>
  <c r="K43" i="1"/>
  <c r="L43" i="1"/>
  <c r="N43" i="1"/>
  <c r="O43" i="1"/>
  <c r="N3" i="1"/>
  <c r="P5" i="1"/>
  <c r="N4" i="1"/>
  <c r="O52" i="1"/>
  <c r="P52" i="1"/>
  <c r="L52" i="1"/>
  <c r="M52" i="1"/>
  <c r="I52" i="1"/>
  <c r="J52" i="1"/>
  <c r="F52" i="1"/>
  <c r="G52" i="1"/>
  <c r="O24" i="1"/>
  <c r="P24" i="1"/>
  <c r="O25" i="1"/>
  <c r="P25" i="1"/>
  <c r="O26" i="1"/>
  <c r="P26" i="1"/>
  <c r="O27" i="1"/>
  <c r="P27" i="1"/>
  <c r="O28" i="1"/>
  <c r="P28" i="1"/>
  <c r="O29" i="1"/>
  <c r="P29" i="1"/>
  <c r="O30" i="1"/>
  <c r="P30" i="1"/>
  <c r="O31" i="1"/>
  <c r="P31" i="1"/>
  <c r="O32" i="1"/>
  <c r="P32" i="1"/>
  <c r="O33" i="1"/>
  <c r="P33" i="1"/>
  <c r="O34" i="1"/>
  <c r="P34" i="1"/>
  <c r="O35" i="1"/>
  <c r="P35" i="1"/>
  <c r="P37" i="1"/>
  <c r="M24" i="1"/>
  <c r="M25" i="1"/>
  <c r="M26" i="1"/>
  <c r="M27" i="1"/>
  <c r="M28" i="1"/>
  <c r="M29" i="1"/>
  <c r="M30" i="1"/>
  <c r="M31" i="1"/>
  <c r="M32" i="1"/>
  <c r="M33" i="1"/>
  <c r="M34" i="1"/>
  <c r="M35" i="1"/>
  <c r="M37" i="1"/>
  <c r="I24" i="1"/>
  <c r="J24" i="1"/>
  <c r="I25" i="1"/>
  <c r="J25" i="1"/>
  <c r="I26" i="1"/>
  <c r="J26" i="1"/>
  <c r="I27" i="1"/>
  <c r="J27" i="1"/>
  <c r="I28" i="1"/>
  <c r="J28" i="1"/>
  <c r="I29" i="1"/>
  <c r="J29" i="1"/>
  <c r="I30" i="1"/>
  <c r="J30" i="1"/>
  <c r="I31" i="1"/>
  <c r="J31" i="1"/>
  <c r="I32" i="1"/>
  <c r="J32" i="1"/>
  <c r="I33" i="1"/>
  <c r="J33" i="1"/>
  <c r="I34" i="1"/>
  <c r="J34" i="1"/>
  <c r="I35" i="1"/>
  <c r="J35" i="1"/>
  <c r="J37" i="1"/>
  <c r="F24" i="1"/>
  <c r="G24" i="1"/>
  <c r="F25" i="1"/>
  <c r="G25" i="1"/>
  <c r="F26" i="1"/>
  <c r="G26" i="1"/>
  <c r="F27" i="1"/>
  <c r="G27" i="1"/>
  <c r="F28" i="1"/>
  <c r="G28" i="1"/>
  <c r="F29" i="1"/>
  <c r="G29" i="1"/>
  <c r="F30" i="1"/>
  <c r="G30" i="1"/>
  <c r="F31" i="1"/>
  <c r="G31" i="1"/>
  <c r="F32" i="1"/>
  <c r="G32" i="1"/>
  <c r="F33" i="1"/>
  <c r="G33" i="1"/>
  <c r="F34" i="1"/>
  <c r="G34" i="1"/>
  <c r="F35" i="1"/>
  <c r="G35" i="1"/>
  <c r="G37" i="1"/>
  <c r="L49" i="19"/>
  <c r="F46" i="19"/>
  <c r="F48" i="19"/>
  <c r="K46" i="19"/>
  <c r="L46" i="19"/>
  <c r="M45" i="19"/>
  <c r="M49" i="19"/>
  <c r="M48" i="19"/>
  <c r="M47" i="19"/>
  <c r="M46" i="19"/>
  <c r="N49" i="19"/>
  <c r="N48" i="19"/>
  <c r="N47" i="19"/>
  <c r="N46" i="19"/>
  <c r="O49" i="19"/>
  <c r="O48" i="19"/>
  <c r="O47" i="19"/>
  <c r="O46" i="19"/>
  <c r="P49" i="19"/>
  <c r="P48" i="19"/>
  <c r="P47" i="19"/>
  <c r="P46" i="19"/>
  <c r="Q49" i="19"/>
  <c r="Q48" i="19"/>
  <c r="Q47" i="19"/>
  <c r="Q46" i="19"/>
  <c r="R49" i="19"/>
  <c r="R48" i="19"/>
  <c r="R47" i="19"/>
  <c r="R46" i="19"/>
  <c r="S49" i="19"/>
  <c r="S48" i="19"/>
  <c r="S47" i="19"/>
  <c r="S46" i="19"/>
  <c r="T49" i="19"/>
  <c r="T48" i="19"/>
  <c r="T47" i="19"/>
  <c r="T46" i="19"/>
  <c r="U49" i="19"/>
  <c r="U48" i="19"/>
  <c r="U47" i="19"/>
  <c r="U46" i="19"/>
  <c r="V49" i="19"/>
  <c r="V48" i="19"/>
  <c r="V47" i="19"/>
  <c r="V46" i="19"/>
  <c r="W49" i="19"/>
  <c r="W48" i="19"/>
  <c r="W47" i="19"/>
  <c r="W46" i="19"/>
  <c r="X49" i="19"/>
  <c r="X48" i="19"/>
  <c r="X47" i="19"/>
  <c r="X46" i="19"/>
  <c r="Z117" i="19"/>
  <c r="AC119" i="19"/>
  <c r="AC120" i="19"/>
  <c r="AC121" i="19"/>
  <c r="AC122" i="19"/>
  <c r="AC123" i="19"/>
  <c r="AC124" i="19"/>
  <c r="AC125" i="19"/>
  <c r="AC126" i="19"/>
  <c r="AC127" i="19"/>
  <c r="AC128" i="19"/>
  <c r="AC129" i="19"/>
  <c r="AC130" i="19"/>
  <c r="AC132" i="19"/>
  <c r="AC131" i="19"/>
  <c r="Y121" i="19"/>
  <c r="Y120" i="19"/>
  <c r="Y119" i="19"/>
  <c r="F47" i="19"/>
  <c r="F49" i="19"/>
  <c r="F51" i="19"/>
  <c r="F52" i="19"/>
  <c r="F53" i="19"/>
  <c r="F55" i="19"/>
  <c r="F56" i="19"/>
  <c r="F57" i="19"/>
  <c r="U82" i="19"/>
  <c r="U81" i="19"/>
  <c r="U80" i="19"/>
  <c r="U79" i="19"/>
  <c r="D55" i="19"/>
  <c r="D57" i="19"/>
  <c r="H5" i="19"/>
  <c r="H4" i="19"/>
  <c r="G3" i="19"/>
  <c r="F61" i="19"/>
  <c r="Y7" i="22"/>
  <c r="F59" i="19"/>
  <c r="F62" i="19"/>
  <c r="G6" i="11"/>
  <c r="H6" i="11"/>
  <c r="I6" i="11"/>
  <c r="J6" i="11"/>
  <c r="K6" i="11"/>
  <c r="L6" i="11"/>
  <c r="M6" i="11"/>
  <c r="N6" i="11"/>
  <c r="O6" i="11"/>
  <c r="P6" i="11"/>
  <c r="Q6" i="11"/>
  <c r="R6" i="11"/>
  <c r="S6" i="11"/>
  <c r="T6" i="11"/>
  <c r="U6" i="11"/>
  <c r="V6" i="11"/>
  <c r="W6" i="11"/>
  <c r="X6" i="11"/>
  <c r="Y6" i="11"/>
  <c r="Z6" i="11"/>
  <c r="AA6" i="11"/>
  <c r="AB6" i="11"/>
  <c r="AC6" i="11"/>
  <c r="AD6" i="11"/>
  <c r="B58" i="10"/>
  <c r="B59" i="10"/>
  <c r="B60" i="10"/>
  <c r="B61" i="10"/>
  <c r="B62" i="10"/>
  <c r="B63" i="10"/>
  <c r="B64" i="10"/>
  <c r="B65" i="10"/>
  <c r="B66" i="10"/>
  <c r="B67" i="10"/>
  <c r="B68" i="10"/>
  <c r="B69" i="10"/>
  <c r="B70" i="10"/>
  <c r="B71" i="10"/>
  <c r="B72" i="10"/>
  <c r="B73" i="10"/>
  <c r="B74" i="10"/>
  <c r="B75" i="10"/>
  <c r="B76" i="10"/>
  <c r="B77" i="10"/>
  <c r="B78" i="10"/>
  <c r="B79" i="10"/>
  <c r="B80" i="10"/>
  <c r="B81" i="10"/>
  <c r="B82" i="10"/>
  <c r="B83" i="10"/>
  <c r="B84" i="10"/>
  <c r="B85" i="10"/>
  <c r="B86" i="10"/>
  <c r="B87" i="10"/>
  <c r="B88" i="10"/>
  <c r="B89" i="10"/>
  <c r="B90" i="10"/>
  <c r="B91" i="10"/>
  <c r="B92" i="10"/>
  <c r="B93" i="10"/>
  <c r="B94" i="10"/>
  <c r="B95" i="10"/>
  <c r="B96" i="10"/>
  <c r="B97" i="10"/>
  <c r="B98" i="10"/>
  <c r="B99" i="10"/>
  <c r="B100" i="10"/>
  <c r="B101" i="10"/>
  <c r="B102" i="10"/>
  <c r="B103" i="10"/>
  <c r="B104" i="10"/>
  <c r="B105" i="10"/>
  <c r="B106" i="10"/>
  <c r="B107" i="10"/>
  <c r="B108" i="10"/>
  <c r="B109" i="10"/>
  <c r="B110" i="10"/>
  <c r="B111" i="10"/>
  <c r="B112" i="10"/>
  <c r="B113" i="10"/>
  <c r="B114" i="10"/>
  <c r="B115" i="10"/>
  <c r="B116" i="10"/>
  <c r="B117" i="10"/>
  <c r="B118" i="10"/>
  <c r="B119" i="10"/>
  <c r="B120" i="10"/>
  <c r="B121" i="10"/>
  <c r="B122" i="10"/>
  <c r="B123" i="10"/>
  <c r="B124" i="10"/>
  <c r="B125" i="10"/>
  <c r="B126" i="10"/>
  <c r="B127" i="10"/>
  <c r="B128" i="10"/>
  <c r="B129" i="10"/>
  <c r="B130" i="10"/>
  <c r="B131" i="10"/>
  <c r="B132" i="10"/>
  <c r="B133" i="10"/>
  <c r="B134" i="10"/>
  <c r="B135" i="10"/>
  <c r="B136" i="10"/>
  <c r="B137" i="10"/>
  <c r="B138" i="10"/>
  <c r="B139" i="10"/>
  <c r="B140" i="10"/>
  <c r="B141" i="10"/>
  <c r="B142" i="10"/>
  <c r="B143" i="10"/>
  <c r="B144" i="10"/>
  <c r="B145" i="10"/>
  <c r="B146" i="10"/>
  <c r="B147" i="10"/>
  <c r="B148" i="10"/>
  <c r="B149" i="10"/>
  <c r="B150" i="10"/>
  <c r="B151" i="10"/>
  <c r="B152" i="10"/>
  <c r="B153" i="10"/>
  <c r="B154" i="10"/>
  <c r="B155" i="10"/>
  <c r="B156" i="10"/>
  <c r="B157" i="10"/>
  <c r="B158" i="10"/>
  <c r="B159" i="10"/>
  <c r="B160" i="10"/>
  <c r="B161" i="10"/>
  <c r="B162" i="10"/>
  <c r="B163" i="10"/>
  <c r="B164" i="10"/>
  <c r="B165" i="10"/>
  <c r="B166" i="10"/>
  <c r="B167" i="10"/>
  <c r="B168" i="10"/>
  <c r="B169" i="10"/>
  <c r="B170" i="10"/>
  <c r="B171" i="10"/>
  <c r="B172" i="10"/>
  <c r="B173" i="10"/>
  <c r="B174" i="10"/>
  <c r="B175" i="10"/>
  <c r="B176" i="10"/>
  <c r="B177" i="10"/>
  <c r="B178" i="10"/>
  <c r="B179" i="10"/>
  <c r="B180" i="10"/>
  <c r="B181" i="10"/>
  <c r="B182" i="10"/>
  <c r="B183" i="10"/>
  <c r="B184" i="10"/>
  <c r="B185" i="10"/>
  <c r="B186" i="10"/>
  <c r="B187" i="10"/>
  <c r="B188" i="10"/>
  <c r="B189" i="10"/>
  <c r="B190" i="10"/>
  <c r="B191" i="10"/>
  <c r="B192" i="10"/>
  <c r="B193" i="10"/>
  <c r="B194" i="10"/>
  <c r="B195" i="10"/>
  <c r="B196" i="10"/>
  <c r="B197" i="10"/>
  <c r="B198" i="10"/>
  <c r="B199" i="10"/>
  <c r="B200" i="10"/>
  <c r="B201" i="10"/>
  <c r="B202" i="10"/>
  <c r="B203" i="10"/>
  <c r="B204" i="10"/>
  <c r="B205" i="10"/>
  <c r="B206" i="10"/>
  <c r="B207" i="10"/>
  <c r="B208" i="10"/>
  <c r="B209" i="10"/>
  <c r="B210" i="10"/>
  <c r="B211" i="10"/>
  <c r="B212" i="10"/>
  <c r="B213" i="10"/>
  <c r="B214" i="10"/>
  <c r="B215" i="10"/>
  <c r="B216" i="10"/>
  <c r="B217" i="10"/>
  <c r="B218" i="10"/>
  <c r="B219" i="10"/>
  <c r="B220" i="10"/>
  <c r="B221" i="10"/>
  <c r="B222" i="10"/>
  <c r="B223" i="10"/>
  <c r="B224" i="10"/>
  <c r="B225" i="10"/>
  <c r="B226" i="10"/>
  <c r="B227" i="10"/>
  <c r="B228" i="10"/>
  <c r="B229" i="10"/>
  <c r="B230" i="10"/>
  <c r="B231" i="10"/>
  <c r="B232" i="10"/>
  <c r="B233" i="10"/>
  <c r="B234" i="10"/>
  <c r="B235" i="10"/>
  <c r="B236" i="10"/>
  <c r="B237" i="10"/>
  <c r="B238" i="10"/>
  <c r="B239" i="10"/>
  <c r="B240" i="10"/>
  <c r="B241" i="10"/>
  <c r="B242" i="10"/>
  <c r="B243" i="10"/>
  <c r="B244" i="10"/>
  <c r="B245" i="10"/>
  <c r="B246" i="10"/>
  <c r="B247" i="10"/>
  <c r="B248" i="10"/>
  <c r="B249" i="10"/>
  <c r="B250" i="10"/>
  <c r="B251" i="10"/>
  <c r="B252" i="10"/>
  <c r="B253" i="10"/>
  <c r="B254" i="10"/>
  <c r="B255" i="10"/>
  <c r="B256" i="10"/>
  <c r="B257" i="10"/>
  <c r="B258" i="10"/>
  <c r="B259" i="10"/>
  <c r="B260" i="10"/>
  <c r="B261" i="10"/>
  <c r="B262" i="10"/>
  <c r="B263" i="10"/>
  <c r="B264" i="10"/>
  <c r="B265" i="10"/>
  <c r="B266" i="10"/>
  <c r="B267" i="10"/>
  <c r="B268" i="10"/>
  <c r="B269" i="10"/>
  <c r="B270" i="10"/>
  <c r="B271" i="10"/>
  <c r="B272" i="10"/>
  <c r="B273" i="10"/>
  <c r="B274" i="10"/>
  <c r="B275" i="10"/>
  <c r="B276" i="10"/>
  <c r="B277" i="10"/>
  <c r="B278" i="10"/>
  <c r="B279" i="10"/>
  <c r="B280" i="10"/>
  <c r="B281" i="10"/>
  <c r="B282" i="10"/>
  <c r="B283" i="10"/>
  <c r="B284" i="10"/>
  <c r="B285" i="10"/>
  <c r="Y46" i="10"/>
  <c r="Y47" i="10"/>
  <c r="Y48" i="10"/>
  <c r="Y49" i="10"/>
  <c r="Y50" i="10"/>
  <c r="Y51" i="10"/>
  <c r="Y52" i="10"/>
  <c r="Y53" i="10"/>
  <c r="Y54" i="10"/>
  <c r="Y55" i="10"/>
  <c r="Y56" i="10"/>
  <c r="Y57" i="10"/>
  <c r="Y58" i="10"/>
  <c r="Y59" i="10"/>
  <c r="Y60" i="10"/>
  <c r="Y61" i="10"/>
  <c r="Y62" i="10"/>
  <c r="Y63" i="10"/>
  <c r="Y64" i="10"/>
  <c r="Y65" i="10"/>
  <c r="Y66" i="10"/>
  <c r="Y67" i="10"/>
  <c r="Y68" i="10"/>
  <c r="Y69" i="10"/>
  <c r="Y70" i="10"/>
  <c r="Y71" i="10"/>
  <c r="Y72" i="10"/>
  <c r="Y73" i="10"/>
  <c r="Y74" i="10"/>
  <c r="Y75" i="10"/>
  <c r="Y76" i="10"/>
  <c r="Y77" i="10"/>
  <c r="Y78" i="10"/>
  <c r="Y79" i="10"/>
  <c r="Y80" i="10"/>
  <c r="Y81" i="10"/>
  <c r="Y82" i="10"/>
  <c r="Y83" i="10"/>
  <c r="Y84" i="10"/>
  <c r="Y85" i="10"/>
  <c r="Y86" i="10"/>
  <c r="Y87" i="10"/>
  <c r="Y88" i="10"/>
  <c r="Y89" i="10"/>
  <c r="Y90" i="10"/>
  <c r="Y91" i="10"/>
  <c r="Y92" i="10"/>
  <c r="Y93" i="10"/>
  <c r="Y94" i="10"/>
  <c r="Y95" i="10"/>
  <c r="Y96" i="10"/>
  <c r="Y97" i="10"/>
  <c r="Y98" i="10"/>
  <c r="Y99" i="10"/>
  <c r="Y100" i="10"/>
  <c r="Y101" i="10"/>
  <c r="Y102" i="10"/>
  <c r="Y103" i="10"/>
  <c r="Y104" i="10"/>
  <c r="Y105" i="10"/>
  <c r="Y106" i="10"/>
  <c r="Y107" i="10"/>
  <c r="Y108" i="10"/>
  <c r="Y109" i="10"/>
  <c r="Y110" i="10"/>
  <c r="Y111" i="10"/>
  <c r="Y112" i="10"/>
  <c r="Y113" i="10"/>
  <c r="Y114" i="10"/>
  <c r="Y115" i="10"/>
  <c r="Y116" i="10"/>
  <c r="Y117" i="10"/>
  <c r="Y118" i="10"/>
  <c r="Y119" i="10"/>
  <c r="Y120" i="10"/>
  <c r="Y121" i="10"/>
  <c r="Y122" i="10"/>
  <c r="Y123" i="10"/>
  <c r="Y124" i="10"/>
  <c r="Y125" i="10"/>
  <c r="Y126" i="10"/>
  <c r="Y127" i="10"/>
  <c r="Y128" i="10"/>
  <c r="Y129" i="10"/>
  <c r="Y130" i="10"/>
  <c r="Y131" i="10"/>
  <c r="Y132" i="10"/>
  <c r="Y133" i="10"/>
  <c r="Y134" i="10"/>
  <c r="Y135" i="10"/>
  <c r="Y136" i="10"/>
  <c r="Y137" i="10"/>
  <c r="Y138" i="10"/>
  <c r="Y139" i="10"/>
  <c r="Y140" i="10"/>
  <c r="Y141" i="10"/>
  <c r="Y142" i="10"/>
  <c r="Y143" i="10"/>
  <c r="Y144" i="10"/>
  <c r="Y145" i="10"/>
  <c r="Y146" i="10"/>
  <c r="Y147" i="10"/>
  <c r="Y148" i="10"/>
  <c r="Y149" i="10"/>
  <c r="Y150" i="10"/>
  <c r="Y151" i="10"/>
  <c r="Y152" i="10"/>
  <c r="Y153" i="10"/>
  <c r="Y154" i="10"/>
  <c r="Y155" i="10"/>
  <c r="Y156" i="10"/>
  <c r="Y157" i="10"/>
  <c r="Y158" i="10"/>
  <c r="Y159" i="10"/>
  <c r="Y160" i="10"/>
  <c r="Y161" i="10"/>
  <c r="Y162" i="10"/>
  <c r="Y163" i="10"/>
  <c r="Y164" i="10"/>
  <c r="Y165" i="10"/>
  <c r="Y166" i="10"/>
  <c r="Y167" i="10"/>
  <c r="Y168" i="10"/>
  <c r="Y169" i="10"/>
  <c r="Y170" i="10"/>
  <c r="Y171" i="10"/>
  <c r="Y172" i="10"/>
  <c r="Y173" i="10"/>
  <c r="Y174" i="10"/>
  <c r="Y175" i="10"/>
  <c r="Y176" i="10"/>
  <c r="Y177" i="10"/>
  <c r="Y178" i="10"/>
  <c r="Y179" i="10"/>
  <c r="Y180" i="10"/>
  <c r="Y181" i="10"/>
  <c r="Y182" i="10"/>
  <c r="Y183" i="10"/>
  <c r="Y184" i="10"/>
  <c r="Y185" i="10"/>
  <c r="Y186" i="10"/>
  <c r="Y187" i="10"/>
  <c r="Y188" i="10"/>
  <c r="Y189" i="10"/>
  <c r="Y190" i="10"/>
  <c r="Y191" i="10"/>
  <c r="Y192" i="10"/>
  <c r="Y193" i="10"/>
  <c r="Y194" i="10"/>
  <c r="Y195" i="10"/>
  <c r="Y196" i="10"/>
  <c r="Y197" i="10"/>
  <c r="Y198" i="10"/>
  <c r="Y199" i="10"/>
  <c r="Y200" i="10"/>
  <c r="Y201" i="10"/>
  <c r="Y202" i="10"/>
  <c r="Y203" i="10"/>
  <c r="Y204" i="10"/>
  <c r="Y205" i="10"/>
  <c r="Y206" i="10"/>
  <c r="Y207" i="10"/>
  <c r="Y208" i="10"/>
  <c r="Y209" i="10"/>
  <c r="Y210" i="10"/>
  <c r="Y211" i="10"/>
  <c r="Y212" i="10"/>
  <c r="Y213" i="10"/>
  <c r="Y214" i="10"/>
  <c r="Y215" i="10"/>
  <c r="Y216" i="10"/>
  <c r="Y217" i="10"/>
  <c r="Y218" i="10"/>
  <c r="Y219" i="10"/>
  <c r="Y220" i="10"/>
  <c r="Y221" i="10"/>
  <c r="Y222" i="10"/>
  <c r="Y223" i="10"/>
  <c r="Y224" i="10"/>
  <c r="Y225" i="10"/>
  <c r="Y226" i="10"/>
  <c r="Y227" i="10"/>
  <c r="Y228" i="10"/>
  <c r="Y229" i="10"/>
  <c r="Y230" i="10"/>
  <c r="Y231" i="10"/>
  <c r="Y232" i="10"/>
  <c r="Y233" i="10"/>
  <c r="Y234" i="10"/>
  <c r="Y235" i="10"/>
  <c r="Y236" i="10"/>
  <c r="Y237" i="10"/>
  <c r="Y238" i="10"/>
  <c r="Y239" i="10"/>
  <c r="Y240" i="10"/>
  <c r="Y241" i="10"/>
  <c r="Y242" i="10"/>
  <c r="Y243" i="10"/>
  <c r="Y244" i="10"/>
  <c r="Y245" i="10"/>
  <c r="Y246" i="10"/>
  <c r="Y247" i="10"/>
  <c r="Y248" i="10"/>
  <c r="Y249" i="10"/>
  <c r="Y250" i="10"/>
  <c r="Y251" i="10"/>
  <c r="Y252" i="10"/>
  <c r="Y253" i="10"/>
  <c r="Y254" i="10"/>
  <c r="Y255" i="10"/>
  <c r="Y256" i="10"/>
  <c r="Y257" i="10"/>
  <c r="Y258" i="10"/>
  <c r="Y259" i="10"/>
  <c r="Y260" i="10"/>
  <c r="Y261" i="10"/>
  <c r="Y262" i="10"/>
  <c r="Y263" i="10"/>
  <c r="Y264" i="10"/>
  <c r="Y265" i="10"/>
  <c r="Y266" i="10"/>
  <c r="Y267" i="10"/>
  <c r="Y268" i="10"/>
  <c r="Y269" i="10"/>
  <c r="Y270" i="10"/>
  <c r="Y271" i="10"/>
  <c r="Y272" i="10"/>
  <c r="Y273" i="10"/>
  <c r="Y274" i="10"/>
  <c r="Y275" i="10"/>
  <c r="Y276" i="10"/>
  <c r="Y277" i="10"/>
  <c r="Y278" i="10"/>
  <c r="Y279" i="10"/>
  <c r="Y280" i="10"/>
  <c r="Y281" i="10"/>
  <c r="Y282" i="10"/>
  <c r="Y283" i="10"/>
  <c r="Y284" i="10"/>
  <c r="Y285" i="10"/>
  <c r="AD27" i="11"/>
  <c r="AD28" i="11"/>
  <c r="AC27" i="11"/>
  <c r="AC28" i="11"/>
  <c r="AB27" i="11"/>
  <c r="AB28" i="11"/>
  <c r="AA27" i="11"/>
  <c r="AA28" i="11"/>
  <c r="Z27" i="11"/>
  <c r="Z28" i="11"/>
  <c r="AD26" i="11"/>
  <c r="AC26" i="11"/>
  <c r="AB26" i="11"/>
  <c r="AA26" i="11"/>
  <c r="Z26" i="11"/>
  <c r="Y26" i="11"/>
  <c r="X26" i="11"/>
  <c r="W26" i="11"/>
  <c r="V26" i="11"/>
  <c r="U26" i="11"/>
  <c r="T26" i="11"/>
  <c r="S26" i="11"/>
  <c r="R26" i="11"/>
  <c r="Q26" i="11"/>
  <c r="P26" i="11"/>
  <c r="O26" i="11"/>
  <c r="N26" i="11"/>
  <c r="M26" i="11"/>
  <c r="L26" i="11"/>
  <c r="K26" i="11"/>
  <c r="J26" i="11"/>
  <c r="I26" i="11"/>
  <c r="H26" i="11"/>
  <c r="G26" i="11"/>
  <c r="F26" i="11"/>
  <c r="Z9" i="11"/>
  <c r="Z12" i="11"/>
  <c r="Z20" i="11"/>
  <c r="Z7" i="11"/>
  <c r="Z10" i="11"/>
  <c r="Z8" i="11"/>
  <c r="Z11" i="11"/>
  <c r="AA9" i="11"/>
  <c r="AA12" i="11"/>
  <c r="AA20" i="11"/>
  <c r="AA7" i="11"/>
  <c r="AA10" i="11"/>
  <c r="AA8" i="11"/>
  <c r="AA11" i="11"/>
  <c r="AB9" i="11"/>
  <c r="AB12" i="11"/>
  <c r="AB20" i="11"/>
  <c r="AB7" i="11"/>
  <c r="AB10" i="11"/>
  <c r="AB8" i="11"/>
  <c r="AB11" i="11"/>
  <c r="AC9" i="11"/>
  <c r="AC12" i="11"/>
  <c r="AC20" i="11"/>
  <c r="AC7" i="11"/>
  <c r="AC10" i="11"/>
  <c r="AC8" i="11"/>
  <c r="AC11" i="11"/>
  <c r="AD9" i="11"/>
  <c r="AD12" i="11"/>
  <c r="AD20" i="11"/>
  <c r="AD7" i="11"/>
  <c r="AD10" i="11"/>
  <c r="AD8" i="11"/>
  <c r="AD11" i="11"/>
  <c r="AD13" i="11"/>
  <c r="AD14" i="11"/>
  <c r="AC13" i="11"/>
  <c r="AC14" i="11"/>
  <c r="AB13" i="11"/>
  <c r="AB14" i="11"/>
  <c r="AA13" i="11"/>
  <c r="AA14" i="11"/>
  <c r="Z13" i="11"/>
  <c r="Z14" i="11"/>
  <c r="Q46" i="10"/>
  <c r="J16" i="10"/>
  <c r="J18" i="10"/>
  <c r="J19" i="10"/>
  <c r="R46" i="10"/>
  <c r="S46" i="10"/>
  <c r="AE17" i="10"/>
  <c r="AF17" i="10"/>
  <c r="AG17" i="10"/>
  <c r="T46" i="10"/>
  <c r="U46" i="10"/>
  <c r="Q47" i="10"/>
  <c r="R47" i="10"/>
  <c r="S47" i="10"/>
  <c r="T47" i="10"/>
  <c r="U47" i="10"/>
  <c r="Q48" i="10"/>
  <c r="R48" i="10"/>
  <c r="S48" i="10"/>
  <c r="T48" i="10"/>
  <c r="U48" i="10"/>
  <c r="Q49" i="10"/>
  <c r="R49" i="10"/>
  <c r="S49" i="10"/>
  <c r="T49" i="10"/>
  <c r="U49" i="10"/>
  <c r="B286" i="10"/>
  <c r="B287" i="10"/>
  <c r="B288" i="10"/>
  <c r="B289" i="10"/>
  <c r="B290" i="10"/>
  <c r="B291" i="10"/>
  <c r="B292" i="10"/>
  <c r="B293" i="10"/>
  <c r="B294" i="10"/>
  <c r="B295" i="10"/>
  <c r="B296" i="10"/>
  <c r="B297" i="10"/>
  <c r="B298" i="10"/>
  <c r="B299" i="10"/>
  <c r="B300" i="10"/>
  <c r="B301" i="10"/>
  <c r="B302" i="10"/>
  <c r="B303" i="10"/>
  <c r="B304" i="10"/>
  <c r="B305" i="10"/>
  <c r="B306" i="10"/>
  <c r="B307" i="10"/>
  <c r="B308" i="10"/>
  <c r="B309" i="10"/>
  <c r="B310" i="10"/>
  <c r="B311" i="10"/>
  <c r="B312" i="10"/>
  <c r="B313" i="10"/>
  <c r="B314" i="10"/>
  <c r="B315" i="10"/>
  <c r="B316" i="10"/>
  <c r="B317" i="10"/>
  <c r="B318" i="10"/>
  <c r="B319" i="10"/>
  <c r="B320" i="10"/>
  <c r="B321" i="10"/>
  <c r="B322" i="10"/>
  <c r="B323" i="10"/>
  <c r="B324" i="10"/>
  <c r="B325" i="10"/>
  <c r="B326" i="10"/>
  <c r="B327" i="10"/>
  <c r="B328" i="10"/>
  <c r="B329" i="10"/>
  <c r="B330" i="10"/>
  <c r="B331" i="10"/>
  <c r="B332" i="10"/>
  <c r="B333" i="10"/>
  <c r="B334" i="10"/>
  <c r="B335" i="10"/>
  <c r="B336" i="10"/>
  <c r="B337" i="10"/>
  <c r="B338" i="10"/>
  <c r="B339" i="10"/>
  <c r="B340" i="10"/>
  <c r="B341" i="10"/>
  <c r="B342" i="10"/>
  <c r="B343" i="10"/>
  <c r="B344" i="10"/>
  <c r="B345" i="10"/>
  <c r="Q50" i="10"/>
  <c r="R50" i="10"/>
  <c r="S50" i="10"/>
  <c r="T50" i="10"/>
  <c r="U50" i="10"/>
  <c r="Q51" i="10"/>
  <c r="R51" i="10"/>
  <c r="S51" i="10"/>
  <c r="T51" i="10"/>
  <c r="U51" i="10"/>
  <c r="Q52" i="10"/>
  <c r="R52" i="10"/>
  <c r="S52" i="10"/>
  <c r="T52" i="10"/>
  <c r="U52" i="10"/>
  <c r="Q53" i="10"/>
  <c r="R53" i="10"/>
  <c r="S53" i="10"/>
  <c r="T53" i="10"/>
  <c r="U53" i="10"/>
  <c r="Q54" i="10"/>
  <c r="R54" i="10"/>
  <c r="S54" i="10"/>
  <c r="T54" i="10"/>
  <c r="U54" i="10"/>
  <c r="Q55" i="10"/>
  <c r="R55" i="10"/>
  <c r="S55" i="10"/>
  <c r="T55" i="10"/>
  <c r="U55" i="10"/>
  <c r="Q56" i="10"/>
  <c r="R56" i="10"/>
  <c r="S56" i="10"/>
  <c r="T56" i="10"/>
  <c r="U56" i="10"/>
  <c r="Q57" i="10"/>
  <c r="R57" i="10"/>
  <c r="S57" i="10"/>
  <c r="T57" i="10"/>
  <c r="U57" i="10"/>
  <c r="S58" i="10"/>
  <c r="AD18" i="10"/>
  <c r="AE18" i="10"/>
  <c r="AF18" i="10"/>
  <c r="AG18" i="10"/>
  <c r="T58" i="10"/>
  <c r="U58" i="10"/>
  <c r="S59" i="10"/>
  <c r="T59" i="10"/>
  <c r="U59" i="10"/>
  <c r="S60" i="10"/>
  <c r="T60" i="10"/>
  <c r="U60" i="10"/>
  <c r="S61" i="10"/>
  <c r="T61" i="10"/>
  <c r="U61" i="10"/>
  <c r="S62" i="10"/>
  <c r="T62" i="10"/>
  <c r="U62" i="10"/>
  <c r="S63" i="10"/>
  <c r="T63" i="10"/>
  <c r="U63" i="10"/>
  <c r="S64" i="10"/>
  <c r="T64" i="10"/>
  <c r="U64" i="10"/>
  <c r="S65" i="10"/>
  <c r="T65" i="10"/>
  <c r="U65" i="10"/>
  <c r="S66" i="10"/>
  <c r="T66" i="10"/>
  <c r="U66" i="10"/>
  <c r="S67" i="10"/>
  <c r="T67" i="10"/>
  <c r="U67" i="10"/>
  <c r="S68" i="10"/>
  <c r="T68" i="10"/>
  <c r="U68" i="10"/>
  <c r="S69" i="10"/>
  <c r="T69" i="10"/>
  <c r="U69" i="10"/>
  <c r="S70" i="10"/>
  <c r="AD19" i="10"/>
  <c r="AE19" i="10"/>
  <c r="AF19" i="10"/>
  <c r="AG19" i="10"/>
  <c r="T70" i="10"/>
  <c r="U70" i="10"/>
  <c r="S71" i="10"/>
  <c r="T71" i="10"/>
  <c r="U71" i="10"/>
  <c r="S72" i="10"/>
  <c r="T72" i="10"/>
  <c r="U72" i="10"/>
  <c r="S73" i="10"/>
  <c r="T73" i="10"/>
  <c r="U73" i="10"/>
  <c r="S74" i="10"/>
  <c r="T74" i="10"/>
  <c r="U74" i="10"/>
  <c r="S75" i="10"/>
  <c r="T75" i="10"/>
  <c r="U75" i="10"/>
  <c r="S76" i="10"/>
  <c r="T76" i="10"/>
  <c r="U76" i="10"/>
  <c r="S77" i="10"/>
  <c r="T77" i="10"/>
  <c r="U77" i="10"/>
  <c r="S78" i="10"/>
  <c r="T78" i="10"/>
  <c r="U78" i="10"/>
  <c r="S79" i="10"/>
  <c r="T79" i="10"/>
  <c r="U79" i="10"/>
  <c r="S80" i="10"/>
  <c r="T80" i="10"/>
  <c r="U80" i="10"/>
  <c r="S81" i="10"/>
  <c r="T81" i="10"/>
  <c r="U81" i="10"/>
  <c r="S82" i="10"/>
  <c r="AD20" i="10"/>
  <c r="AE20" i="10"/>
  <c r="AF20" i="10"/>
  <c r="AG20" i="10"/>
  <c r="T82" i="10"/>
  <c r="U82" i="10"/>
  <c r="S83" i="10"/>
  <c r="T83" i="10"/>
  <c r="U83" i="10"/>
  <c r="S84" i="10"/>
  <c r="T84" i="10"/>
  <c r="U84" i="10"/>
  <c r="S85" i="10"/>
  <c r="T85" i="10"/>
  <c r="U85" i="10"/>
  <c r="S86" i="10"/>
  <c r="T86" i="10"/>
  <c r="U86" i="10"/>
  <c r="S87" i="10"/>
  <c r="T87" i="10"/>
  <c r="U87" i="10"/>
  <c r="S88" i="10"/>
  <c r="T88" i="10"/>
  <c r="U88" i="10"/>
  <c r="S89" i="10"/>
  <c r="T89" i="10"/>
  <c r="U89" i="10"/>
  <c r="S90" i="10"/>
  <c r="T90" i="10"/>
  <c r="U90" i="10"/>
  <c r="S91" i="10"/>
  <c r="T91" i="10"/>
  <c r="U91" i="10"/>
  <c r="S92" i="10"/>
  <c r="T92" i="10"/>
  <c r="U92" i="10"/>
  <c r="S93" i="10"/>
  <c r="T93" i="10"/>
  <c r="U93" i="10"/>
  <c r="S94" i="10"/>
  <c r="AD21" i="10"/>
  <c r="AE21" i="10"/>
  <c r="AF21" i="10"/>
  <c r="AG21" i="10"/>
  <c r="T94" i="10"/>
  <c r="U94" i="10"/>
  <c r="S95" i="10"/>
  <c r="T95" i="10"/>
  <c r="U95" i="10"/>
  <c r="S96" i="10"/>
  <c r="T96" i="10"/>
  <c r="U96" i="10"/>
  <c r="S97" i="10"/>
  <c r="T97" i="10"/>
  <c r="U97" i="10"/>
  <c r="S98" i="10"/>
  <c r="T98" i="10"/>
  <c r="U98" i="10"/>
  <c r="S99" i="10"/>
  <c r="T99" i="10"/>
  <c r="U99" i="10"/>
  <c r="S100" i="10"/>
  <c r="T100" i="10"/>
  <c r="U100" i="10"/>
  <c r="S101" i="10"/>
  <c r="T101" i="10"/>
  <c r="U101" i="10"/>
  <c r="S102" i="10"/>
  <c r="T102" i="10"/>
  <c r="U102" i="10"/>
  <c r="S103" i="10"/>
  <c r="T103" i="10"/>
  <c r="U103" i="10"/>
  <c r="S104" i="10"/>
  <c r="T104" i="10"/>
  <c r="U104" i="10"/>
  <c r="S105" i="10"/>
  <c r="T105" i="10"/>
  <c r="U105" i="10"/>
  <c r="S106" i="10"/>
  <c r="AD22" i="10"/>
  <c r="AE22" i="10"/>
  <c r="AF22" i="10"/>
  <c r="AG22" i="10"/>
  <c r="T106" i="10"/>
  <c r="U106" i="10"/>
  <c r="S107" i="10"/>
  <c r="T107" i="10"/>
  <c r="U107" i="10"/>
  <c r="S108" i="10"/>
  <c r="T108" i="10"/>
  <c r="U108" i="10"/>
  <c r="S109" i="10"/>
  <c r="T109" i="10"/>
  <c r="U109" i="10"/>
  <c r="S110" i="10"/>
  <c r="T110" i="10"/>
  <c r="U110" i="10"/>
  <c r="S111" i="10"/>
  <c r="T111" i="10"/>
  <c r="U111" i="10"/>
  <c r="S112" i="10"/>
  <c r="T112" i="10"/>
  <c r="U112" i="10"/>
  <c r="S113" i="10"/>
  <c r="T113" i="10"/>
  <c r="U113" i="10"/>
  <c r="S114" i="10"/>
  <c r="T114" i="10"/>
  <c r="U114" i="10"/>
  <c r="S115" i="10"/>
  <c r="T115" i="10"/>
  <c r="U115" i="10"/>
  <c r="S116" i="10"/>
  <c r="T116" i="10"/>
  <c r="U116" i="10"/>
  <c r="S117" i="10"/>
  <c r="T117" i="10"/>
  <c r="U117" i="10"/>
  <c r="S118" i="10"/>
  <c r="AD23" i="10"/>
  <c r="AE23" i="10"/>
  <c r="AF23" i="10"/>
  <c r="AG23" i="10"/>
  <c r="T118" i="10"/>
  <c r="U118" i="10"/>
  <c r="S119" i="10"/>
  <c r="T119" i="10"/>
  <c r="U119" i="10"/>
  <c r="S120" i="10"/>
  <c r="T120" i="10"/>
  <c r="U120" i="10"/>
  <c r="S121" i="10"/>
  <c r="T121" i="10"/>
  <c r="U121" i="10"/>
  <c r="S122" i="10"/>
  <c r="T122" i="10"/>
  <c r="U122" i="10"/>
  <c r="S123" i="10"/>
  <c r="T123" i="10"/>
  <c r="U123" i="10"/>
  <c r="S124" i="10"/>
  <c r="T124" i="10"/>
  <c r="U124" i="10"/>
  <c r="S125" i="10"/>
  <c r="T125" i="10"/>
  <c r="U125" i="10"/>
  <c r="S126" i="10"/>
  <c r="T126" i="10"/>
  <c r="U126" i="10"/>
  <c r="S127" i="10"/>
  <c r="T127" i="10"/>
  <c r="U127" i="10"/>
  <c r="S128" i="10"/>
  <c r="T128" i="10"/>
  <c r="U128" i="10"/>
  <c r="S129" i="10"/>
  <c r="T129" i="10"/>
  <c r="U129" i="10"/>
  <c r="S130" i="10"/>
  <c r="AD24" i="10"/>
  <c r="AE24" i="10"/>
  <c r="AF24" i="10"/>
  <c r="AG24" i="10"/>
  <c r="T130" i="10"/>
  <c r="U130" i="10"/>
  <c r="S131" i="10"/>
  <c r="T131" i="10"/>
  <c r="U131" i="10"/>
  <c r="S132" i="10"/>
  <c r="T132" i="10"/>
  <c r="U132" i="10"/>
  <c r="S133" i="10"/>
  <c r="T133" i="10"/>
  <c r="U133" i="10"/>
  <c r="S134" i="10"/>
  <c r="T134" i="10"/>
  <c r="U134" i="10"/>
  <c r="S135" i="10"/>
  <c r="T135" i="10"/>
  <c r="U135" i="10"/>
  <c r="S136" i="10"/>
  <c r="T136" i="10"/>
  <c r="U136" i="10"/>
  <c r="S137" i="10"/>
  <c r="T137" i="10"/>
  <c r="U137" i="10"/>
  <c r="S138" i="10"/>
  <c r="T138" i="10"/>
  <c r="U138" i="10"/>
  <c r="S139" i="10"/>
  <c r="T139" i="10"/>
  <c r="U139" i="10"/>
  <c r="S140" i="10"/>
  <c r="T140" i="10"/>
  <c r="U140" i="10"/>
  <c r="S141" i="10"/>
  <c r="T141" i="10"/>
  <c r="U141" i="10"/>
  <c r="S142" i="10"/>
  <c r="AD25" i="10"/>
  <c r="AE25" i="10"/>
  <c r="AF25" i="10"/>
  <c r="AG25" i="10"/>
  <c r="T142" i="10"/>
  <c r="U142" i="10"/>
  <c r="S143" i="10"/>
  <c r="T143" i="10"/>
  <c r="U143" i="10"/>
  <c r="S144" i="10"/>
  <c r="T144" i="10"/>
  <c r="U144" i="10"/>
  <c r="S145" i="10"/>
  <c r="T145" i="10"/>
  <c r="U145" i="10"/>
  <c r="S146" i="10"/>
  <c r="T146" i="10"/>
  <c r="U146" i="10"/>
  <c r="S147" i="10"/>
  <c r="T147" i="10"/>
  <c r="U147" i="10"/>
  <c r="S148" i="10"/>
  <c r="T148" i="10"/>
  <c r="U148" i="10"/>
  <c r="S149" i="10"/>
  <c r="T149" i="10"/>
  <c r="U149" i="10"/>
  <c r="S150" i="10"/>
  <c r="T150" i="10"/>
  <c r="U150" i="10"/>
  <c r="S151" i="10"/>
  <c r="T151" i="10"/>
  <c r="U151" i="10"/>
  <c r="S152" i="10"/>
  <c r="T152" i="10"/>
  <c r="U152" i="10"/>
  <c r="S153" i="10"/>
  <c r="T153" i="10"/>
  <c r="U153" i="10"/>
  <c r="S154" i="10"/>
  <c r="AD26" i="10"/>
  <c r="AE26" i="10"/>
  <c r="AF26" i="10"/>
  <c r="AG26" i="10"/>
  <c r="T154" i="10"/>
  <c r="U154" i="10"/>
  <c r="S155" i="10"/>
  <c r="T155" i="10"/>
  <c r="U155" i="10"/>
  <c r="S156" i="10"/>
  <c r="T156" i="10"/>
  <c r="U156" i="10"/>
  <c r="S157" i="10"/>
  <c r="T157" i="10"/>
  <c r="U157" i="10"/>
  <c r="S158" i="10"/>
  <c r="T158" i="10"/>
  <c r="U158" i="10"/>
  <c r="S159" i="10"/>
  <c r="T159" i="10"/>
  <c r="U159" i="10"/>
  <c r="S160" i="10"/>
  <c r="T160" i="10"/>
  <c r="U160" i="10"/>
  <c r="S161" i="10"/>
  <c r="T161" i="10"/>
  <c r="U161" i="10"/>
  <c r="S162" i="10"/>
  <c r="T162" i="10"/>
  <c r="U162" i="10"/>
  <c r="S163" i="10"/>
  <c r="T163" i="10"/>
  <c r="U163" i="10"/>
  <c r="S164" i="10"/>
  <c r="T164" i="10"/>
  <c r="U164" i="10"/>
  <c r="S165" i="10"/>
  <c r="T165" i="10"/>
  <c r="U165" i="10"/>
  <c r="S166" i="10"/>
  <c r="T166" i="10"/>
  <c r="U166" i="10"/>
  <c r="S167" i="10"/>
  <c r="T167" i="10"/>
  <c r="U167" i="10"/>
  <c r="S168" i="10"/>
  <c r="T168" i="10"/>
  <c r="U168" i="10"/>
  <c r="S169" i="10"/>
  <c r="T169" i="10"/>
  <c r="U169" i="10"/>
  <c r="S170" i="10"/>
  <c r="T170" i="10"/>
  <c r="U170" i="10"/>
  <c r="S171" i="10"/>
  <c r="T171" i="10"/>
  <c r="U171" i="10"/>
  <c r="S172" i="10"/>
  <c r="T172" i="10"/>
  <c r="U172" i="10"/>
  <c r="S173" i="10"/>
  <c r="T173" i="10"/>
  <c r="U173" i="10"/>
  <c r="S174" i="10"/>
  <c r="T174" i="10"/>
  <c r="U174" i="10"/>
  <c r="S175" i="10"/>
  <c r="T175" i="10"/>
  <c r="U175" i="10"/>
  <c r="S176" i="10"/>
  <c r="T176" i="10"/>
  <c r="U176" i="10"/>
  <c r="S177" i="10"/>
  <c r="T177" i="10"/>
  <c r="U177" i="10"/>
  <c r="S178" i="10"/>
  <c r="T178" i="10"/>
  <c r="U178" i="10"/>
  <c r="S179" i="10"/>
  <c r="T179" i="10"/>
  <c r="U179" i="10"/>
  <c r="S180" i="10"/>
  <c r="T180" i="10"/>
  <c r="U180" i="10"/>
  <c r="S181" i="10"/>
  <c r="T181" i="10"/>
  <c r="U181" i="10"/>
  <c r="S182" i="10"/>
  <c r="T182" i="10"/>
  <c r="U182" i="10"/>
  <c r="S183" i="10"/>
  <c r="T183" i="10"/>
  <c r="U183" i="10"/>
  <c r="S184" i="10"/>
  <c r="T184" i="10"/>
  <c r="U184" i="10"/>
  <c r="S185" i="10"/>
  <c r="T185" i="10"/>
  <c r="U185" i="10"/>
  <c r="S186" i="10"/>
  <c r="T186" i="10"/>
  <c r="U186" i="10"/>
  <c r="S187" i="10"/>
  <c r="T187" i="10"/>
  <c r="U187" i="10"/>
  <c r="S188" i="10"/>
  <c r="T188" i="10"/>
  <c r="U188" i="10"/>
  <c r="S189" i="10"/>
  <c r="T189" i="10"/>
  <c r="U189" i="10"/>
  <c r="S190" i="10"/>
  <c r="T190" i="10"/>
  <c r="U190" i="10"/>
  <c r="S191" i="10"/>
  <c r="T191" i="10"/>
  <c r="U191" i="10"/>
  <c r="S192" i="10"/>
  <c r="T192" i="10"/>
  <c r="U192" i="10"/>
  <c r="S193" i="10"/>
  <c r="T193" i="10"/>
  <c r="U193" i="10"/>
  <c r="S194" i="10"/>
  <c r="T194" i="10"/>
  <c r="U194" i="10"/>
  <c r="S195" i="10"/>
  <c r="T195" i="10"/>
  <c r="U195" i="10"/>
  <c r="S196" i="10"/>
  <c r="T196" i="10"/>
  <c r="U196" i="10"/>
  <c r="S197" i="10"/>
  <c r="T197" i="10"/>
  <c r="U197" i="10"/>
  <c r="S198" i="10"/>
  <c r="T198" i="10"/>
  <c r="U198" i="10"/>
  <c r="S199" i="10"/>
  <c r="T199" i="10"/>
  <c r="U199" i="10"/>
  <c r="S200" i="10"/>
  <c r="T200" i="10"/>
  <c r="U200" i="10"/>
  <c r="S201" i="10"/>
  <c r="T201" i="10"/>
  <c r="U201" i="10"/>
  <c r="S202" i="10"/>
  <c r="T202" i="10"/>
  <c r="U202" i="10"/>
  <c r="S203" i="10"/>
  <c r="T203" i="10"/>
  <c r="U203" i="10"/>
  <c r="S204" i="10"/>
  <c r="T204" i="10"/>
  <c r="U204" i="10"/>
  <c r="S205" i="10"/>
  <c r="T205" i="10"/>
  <c r="U205" i="10"/>
  <c r="S206" i="10"/>
  <c r="T206" i="10"/>
  <c r="U206" i="10"/>
  <c r="S207" i="10"/>
  <c r="T207" i="10"/>
  <c r="U207" i="10"/>
  <c r="S208" i="10"/>
  <c r="T208" i="10"/>
  <c r="U208" i="10"/>
  <c r="S209" i="10"/>
  <c r="T209" i="10"/>
  <c r="U209" i="10"/>
  <c r="S210" i="10"/>
  <c r="T210" i="10"/>
  <c r="U210" i="10"/>
  <c r="S211" i="10"/>
  <c r="T211" i="10"/>
  <c r="U211" i="10"/>
  <c r="S212" i="10"/>
  <c r="T212" i="10"/>
  <c r="U212" i="10"/>
  <c r="S213" i="10"/>
  <c r="T213" i="10"/>
  <c r="U213" i="10"/>
  <c r="S214" i="10"/>
  <c r="T214" i="10"/>
  <c r="U214" i="10"/>
  <c r="S215" i="10"/>
  <c r="T215" i="10"/>
  <c r="U215" i="10"/>
  <c r="S216" i="10"/>
  <c r="T216" i="10"/>
  <c r="U216" i="10"/>
  <c r="S217" i="10"/>
  <c r="T217" i="10"/>
  <c r="U217" i="10"/>
  <c r="S218" i="10"/>
  <c r="T218" i="10"/>
  <c r="U218" i="10"/>
  <c r="S219" i="10"/>
  <c r="T219" i="10"/>
  <c r="U219" i="10"/>
  <c r="S220" i="10"/>
  <c r="T220" i="10"/>
  <c r="U220" i="10"/>
  <c r="S221" i="10"/>
  <c r="T221" i="10"/>
  <c r="U221" i="10"/>
  <c r="S222" i="10"/>
  <c r="T222" i="10"/>
  <c r="U222" i="10"/>
  <c r="S223" i="10"/>
  <c r="T223" i="10"/>
  <c r="U223" i="10"/>
  <c r="S224" i="10"/>
  <c r="T224" i="10"/>
  <c r="U224" i="10"/>
  <c r="S225" i="10"/>
  <c r="T225" i="10"/>
  <c r="U225" i="10"/>
  <c r="S226" i="10"/>
  <c r="T226" i="10"/>
  <c r="U226" i="10"/>
  <c r="S227" i="10"/>
  <c r="T227" i="10"/>
  <c r="U227" i="10"/>
  <c r="S228" i="10"/>
  <c r="T228" i="10"/>
  <c r="U228" i="10"/>
  <c r="S229" i="10"/>
  <c r="T229" i="10"/>
  <c r="U229" i="10"/>
  <c r="S230" i="10"/>
  <c r="T230" i="10"/>
  <c r="U230" i="10"/>
  <c r="S231" i="10"/>
  <c r="T231" i="10"/>
  <c r="U231" i="10"/>
  <c r="S232" i="10"/>
  <c r="T232" i="10"/>
  <c r="U232" i="10"/>
  <c r="S233" i="10"/>
  <c r="T233" i="10"/>
  <c r="U233" i="10"/>
  <c r="S234" i="10"/>
  <c r="T234" i="10"/>
  <c r="U234" i="10"/>
  <c r="S235" i="10"/>
  <c r="T235" i="10"/>
  <c r="U235" i="10"/>
  <c r="S236" i="10"/>
  <c r="T236" i="10"/>
  <c r="U236" i="10"/>
  <c r="S237" i="10"/>
  <c r="T237" i="10"/>
  <c r="U237" i="10"/>
  <c r="S238" i="10"/>
  <c r="T238" i="10"/>
  <c r="U238" i="10"/>
  <c r="S239" i="10"/>
  <c r="T239" i="10"/>
  <c r="U239" i="10"/>
  <c r="S240" i="10"/>
  <c r="T240" i="10"/>
  <c r="U240" i="10"/>
  <c r="S241" i="10"/>
  <c r="T241" i="10"/>
  <c r="U241" i="10"/>
  <c r="S242" i="10"/>
  <c r="T242" i="10"/>
  <c r="U242" i="10"/>
  <c r="S243" i="10"/>
  <c r="T243" i="10"/>
  <c r="U243" i="10"/>
  <c r="S244" i="10"/>
  <c r="T244" i="10"/>
  <c r="U244" i="10"/>
  <c r="S245" i="10"/>
  <c r="T245" i="10"/>
  <c r="U245" i="10"/>
  <c r="S246" i="10"/>
  <c r="T246" i="10"/>
  <c r="U246" i="10"/>
  <c r="S247" i="10"/>
  <c r="T247" i="10"/>
  <c r="U247" i="10"/>
  <c r="S248" i="10"/>
  <c r="T248" i="10"/>
  <c r="U248" i="10"/>
  <c r="S249" i="10"/>
  <c r="T249" i="10"/>
  <c r="U249" i="10"/>
  <c r="S250" i="10"/>
  <c r="T250" i="10"/>
  <c r="U250" i="10"/>
  <c r="S251" i="10"/>
  <c r="T251" i="10"/>
  <c r="U251" i="10"/>
  <c r="S252" i="10"/>
  <c r="T252" i="10"/>
  <c r="U252" i="10"/>
  <c r="S253" i="10"/>
  <c r="T253" i="10"/>
  <c r="U253" i="10"/>
  <c r="S254" i="10"/>
  <c r="T254" i="10"/>
  <c r="U254" i="10"/>
  <c r="S255" i="10"/>
  <c r="T255" i="10"/>
  <c r="U255" i="10"/>
  <c r="S256" i="10"/>
  <c r="T256" i="10"/>
  <c r="U256" i="10"/>
  <c r="S257" i="10"/>
  <c r="T257" i="10"/>
  <c r="U257" i="10"/>
  <c r="S258" i="10"/>
  <c r="T258" i="10"/>
  <c r="U258" i="10"/>
  <c r="S259" i="10"/>
  <c r="T259" i="10"/>
  <c r="U259" i="10"/>
  <c r="S260" i="10"/>
  <c r="T260" i="10"/>
  <c r="U260" i="10"/>
  <c r="S261" i="10"/>
  <c r="T261" i="10"/>
  <c r="U261" i="10"/>
  <c r="S262" i="10"/>
  <c r="T262" i="10"/>
  <c r="U262" i="10"/>
  <c r="S263" i="10"/>
  <c r="T263" i="10"/>
  <c r="U263" i="10"/>
  <c r="S264" i="10"/>
  <c r="T264" i="10"/>
  <c r="U264" i="10"/>
  <c r="S265" i="10"/>
  <c r="T265" i="10"/>
  <c r="U265" i="10"/>
  <c r="S266" i="10"/>
  <c r="T266" i="10"/>
  <c r="U266" i="10"/>
  <c r="S267" i="10"/>
  <c r="T267" i="10"/>
  <c r="U267" i="10"/>
  <c r="S268" i="10"/>
  <c r="T268" i="10"/>
  <c r="U268" i="10"/>
  <c r="S269" i="10"/>
  <c r="T269" i="10"/>
  <c r="U269" i="10"/>
  <c r="S270" i="10"/>
  <c r="T270" i="10"/>
  <c r="U270" i="10"/>
  <c r="S271" i="10"/>
  <c r="T271" i="10"/>
  <c r="U271" i="10"/>
  <c r="S272" i="10"/>
  <c r="T272" i="10"/>
  <c r="U272" i="10"/>
  <c r="S273" i="10"/>
  <c r="T273" i="10"/>
  <c r="U273" i="10"/>
  <c r="S274" i="10"/>
  <c r="T274" i="10"/>
  <c r="U274" i="10"/>
  <c r="S275" i="10"/>
  <c r="T275" i="10"/>
  <c r="U275" i="10"/>
  <c r="S276" i="10"/>
  <c r="T276" i="10"/>
  <c r="U276" i="10"/>
  <c r="S277" i="10"/>
  <c r="T277" i="10"/>
  <c r="U277" i="10"/>
  <c r="S278" i="10"/>
  <c r="T278" i="10"/>
  <c r="U278" i="10"/>
  <c r="S279" i="10"/>
  <c r="T279" i="10"/>
  <c r="U279" i="10"/>
  <c r="S280" i="10"/>
  <c r="T280" i="10"/>
  <c r="U280" i="10"/>
  <c r="S281" i="10"/>
  <c r="T281" i="10"/>
  <c r="U281" i="10"/>
  <c r="S282" i="10"/>
  <c r="T282" i="10"/>
  <c r="U282" i="10"/>
  <c r="S283" i="10"/>
  <c r="T283" i="10"/>
  <c r="U283" i="10"/>
  <c r="S284" i="10"/>
  <c r="T284" i="10"/>
  <c r="U284" i="10"/>
  <c r="S285" i="10"/>
  <c r="T285" i="10"/>
  <c r="U285" i="10"/>
  <c r="S286" i="10"/>
  <c r="T286" i="10"/>
  <c r="U286" i="10"/>
  <c r="S287" i="10"/>
  <c r="T287" i="10"/>
  <c r="U287" i="10"/>
  <c r="S288" i="10"/>
  <c r="T288" i="10"/>
  <c r="U288" i="10"/>
  <c r="S289" i="10"/>
  <c r="T289" i="10"/>
  <c r="U289" i="10"/>
  <c r="S290" i="10"/>
  <c r="T290" i="10"/>
  <c r="U290" i="10"/>
  <c r="S291" i="10"/>
  <c r="T291" i="10"/>
  <c r="U291" i="10"/>
  <c r="S292" i="10"/>
  <c r="T292" i="10"/>
  <c r="U292" i="10"/>
  <c r="S293" i="10"/>
  <c r="T293" i="10"/>
  <c r="U293" i="10"/>
  <c r="S294" i="10"/>
  <c r="T294" i="10"/>
  <c r="U294" i="10"/>
  <c r="S295" i="10"/>
  <c r="T295" i="10"/>
  <c r="U295" i="10"/>
  <c r="S296" i="10"/>
  <c r="T296" i="10"/>
  <c r="U296" i="10"/>
  <c r="S297" i="10"/>
  <c r="T297" i="10"/>
  <c r="U297" i="10"/>
  <c r="S298" i="10"/>
  <c r="T298" i="10"/>
  <c r="U298" i="10"/>
  <c r="S299" i="10"/>
  <c r="T299" i="10"/>
  <c r="U299" i="10"/>
  <c r="S300" i="10"/>
  <c r="T300" i="10"/>
  <c r="U300" i="10"/>
  <c r="S301" i="10"/>
  <c r="T301" i="10"/>
  <c r="U301" i="10"/>
  <c r="S302" i="10"/>
  <c r="T302" i="10"/>
  <c r="U302" i="10"/>
  <c r="S303" i="10"/>
  <c r="T303" i="10"/>
  <c r="U303" i="10"/>
  <c r="S304" i="10"/>
  <c r="T304" i="10"/>
  <c r="U304" i="10"/>
  <c r="S305" i="10"/>
  <c r="T305" i="10"/>
  <c r="U305" i="10"/>
  <c r="S306" i="10"/>
  <c r="T306" i="10"/>
  <c r="U306" i="10"/>
  <c r="S307" i="10"/>
  <c r="T307" i="10"/>
  <c r="U307" i="10"/>
  <c r="S308" i="10"/>
  <c r="T308" i="10"/>
  <c r="U308" i="10"/>
  <c r="S309" i="10"/>
  <c r="T309" i="10"/>
  <c r="U309" i="10"/>
  <c r="S310" i="10"/>
  <c r="T310" i="10"/>
  <c r="U310" i="10"/>
  <c r="S311" i="10"/>
  <c r="T311" i="10"/>
  <c r="U311" i="10"/>
  <c r="S312" i="10"/>
  <c r="T312" i="10"/>
  <c r="U312" i="10"/>
  <c r="S313" i="10"/>
  <c r="T313" i="10"/>
  <c r="U313" i="10"/>
  <c r="S314" i="10"/>
  <c r="T314" i="10"/>
  <c r="U314" i="10"/>
  <c r="S315" i="10"/>
  <c r="T315" i="10"/>
  <c r="U315" i="10"/>
  <c r="S316" i="10"/>
  <c r="T316" i="10"/>
  <c r="U316" i="10"/>
  <c r="S317" i="10"/>
  <c r="T317" i="10"/>
  <c r="U317" i="10"/>
  <c r="S318" i="10"/>
  <c r="T318" i="10"/>
  <c r="U318" i="10"/>
  <c r="S319" i="10"/>
  <c r="T319" i="10"/>
  <c r="U319" i="10"/>
  <c r="S320" i="10"/>
  <c r="T320" i="10"/>
  <c r="U320" i="10"/>
  <c r="S321" i="10"/>
  <c r="T321" i="10"/>
  <c r="U321" i="10"/>
  <c r="S322" i="10"/>
  <c r="T322" i="10"/>
  <c r="U322" i="10"/>
  <c r="S323" i="10"/>
  <c r="T323" i="10"/>
  <c r="U323" i="10"/>
  <c r="S324" i="10"/>
  <c r="T324" i="10"/>
  <c r="U324" i="10"/>
  <c r="S325" i="10"/>
  <c r="T325" i="10"/>
  <c r="U325" i="10"/>
  <c r="S326" i="10"/>
  <c r="T326" i="10"/>
  <c r="U326" i="10"/>
  <c r="S327" i="10"/>
  <c r="T327" i="10"/>
  <c r="U327" i="10"/>
  <c r="S328" i="10"/>
  <c r="T328" i="10"/>
  <c r="U328" i="10"/>
  <c r="S329" i="10"/>
  <c r="T329" i="10"/>
  <c r="U329" i="10"/>
  <c r="S330" i="10"/>
  <c r="T330" i="10"/>
  <c r="U330" i="10"/>
  <c r="S331" i="10"/>
  <c r="T331" i="10"/>
  <c r="U331" i="10"/>
  <c r="S332" i="10"/>
  <c r="T332" i="10"/>
  <c r="U332" i="10"/>
  <c r="S333" i="10"/>
  <c r="T333" i="10"/>
  <c r="U333" i="10"/>
  <c r="S334" i="10"/>
  <c r="T334" i="10"/>
  <c r="U334" i="10"/>
  <c r="S335" i="10"/>
  <c r="T335" i="10"/>
  <c r="U335" i="10"/>
  <c r="S336" i="10"/>
  <c r="T336" i="10"/>
  <c r="U336" i="10"/>
  <c r="S337" i="10"/>
  <c r="T337" i="10"/>
  <c r="U337" i="10"/>
  <c r="S338" i="10"/>
  <c r="T338" i="10"/>
  <c r="U338" i="10"/>
  <c r="S339" i="10"/>
  <c r="T339" i="10"/>
  <c r="U339" i="10"/>
  <c r="S340" i="10"/>
  <c r="T340" i="10"/>
  <c r="U340" i="10"/>
  <c r="S341" i="10"/>
  <c r="T341" i="10"/>
  <c r="U341" i="10"/>
  <c r="S342" i="10"/>
  <c r="T342" i="10"/>
  <c r="U342" i="10"/>
  <c r="S343" i="10"/>
  <c r="T343" i="10"/>
  <c r="U343" i="10"/>
  <c r="S344" i="10"/>
  <c r="T344" i="10"/>
  <c r="U344" i="10"/>
  <c r="S345" i="10"/>
  <c r="T345" i="10"/>
  <c r="U345" i="10"/>
  <c r="F21" i="11"/>
  <c r="G21" i="11"/>
  <c r="H21" i="11"/>
  <c r="I21" i="11"/>
  <c r="J21" i="11"/>
  <c r="K21" i="11"/>
  <c r="L21" i="11"/>
  <c r="M21" i="11"/>
  <c r="N21" i="11"/>
  <c r="O21" i="11"/>
  <c r="P21" i="11"/>
  <c r="Q21" i="11"/>
  <c r="R21" i="11"/>
  <c r="S21" i="11"/>
  <c r="T21" i="11"/>
  <c r="U21" i="11"/>
  <c r="V21" i="11"/>
  <c r="W21" i="11"/>
  <c r="X21" i="11"/>
  <c r="Y21" i="11"/>
  <c r="Z21" i="11"/>
  <c r="Z22" i="11"/>
  <c r="AA21" i="11"/>
  <c r="AA22" i="11"/>
  <c r="AB21" i="11"/>
  <c r="AB22" i="11"/>
  <c r="AC21" i="11"/>
  <c r="AC22" i="11"/>
  <c r="AD21" i="11"/>
  <c r="AD22" i="11"/>
  <c r="Y27" i="11"/>
  <c r="Y28" i="11"/>
  <c r="X27" i="11"/>
  <c r="X28" i="11"/>
  <c r="W27" i="11"/>
  <c r="W28" i="11"/>
  <c r="V27" i="11"/>
  <c r="V28" i="11"/>
  <c r="U27" i="11"/>
  <c r="U28" i="11"/>
  <c r="Y10" i="11"/>
  <c r="Y13" i="11"/>
  <c r="X10" i="11"/>
  <c r="X13" i="11"/>
  <c r="W10" i="11"/>
  <c r="W13" i="11"/>
  <c r="V10" i="11"/>
  <c r="V13" i="11"/>
  <c r="U10" i="11"/>
  <c r="U13" i="11"/>
  <c r="T10" i="11"/>
  <c r="T13" i="11"/>
  <c r="S10" i="11"/>
  <c r="S13" i="11"/>
  <c r="R10" i="11"/>
  <c r="R13" i="11"/>
  <c r="Q10" i="11"/>
  <c r="Q13" i="11"/>
  <c r="P10" i="11"/>
  <c r="P13" i="11"/>
  <c r="O10" i="11"/>
  <c r="O13" i="11"/>
  <c r="N10" i="11"/>
  <c r="N13" i="11"/>
  <c r="M10" i="11"/>
  <c r="M13" i="11"/>
  <c r="L10" i="11"/>
  <c r="L13" i="11"/>
  <c r="K10" i="11"/>
  <c r="K13" i="11"/>
  <c r="J10" i="11"/>
  <c r="J13" i="11"/>
  <c r="I10" i="11"/>
  <c r="I13" i="11"/>
  <c r="H10" i="11"/>
  <c r="H13" i="11"/>
  <c r="G10" i="11"/>
  <c r="G13" i="11"/>
  <c r="F10" i="11"/>
  <c r="F13" i="11"/>
  <c r="G46" i="10"/>
  <c r="G47" i="10"/>
  <c r="G48" i="10"/>
  <c r="G49" i="10"/>
  <c r="G50" i="10"/>
  <c r="G51" i="10"/>
  <c r="G52" i="10"/>
  <c r="G53" i="10"/>
  <c r="G54" i="10"/>
  <c r="G55" i="10"/>
  <c r="G56" i="10"/>
  <c r="G57" i="10"/>
  <c r="G58" i="10"/>
  <c r="G59" i="10"/>
  <c r="G60" i="10"/>
  <c r="G61" i="10"/>
  <c r="F7" i="11"/>
  <c r="F9" i="11"/>
  <c r="F8" i="11"/>
  <c r="F11" i="11"/>
  <c r="F12" i="11"/>
  <c r="F14" i="11"/>
  <c r="H62" i="10"/>
  <c r="H63" i="10"/>
  <c r="H64" i="10"/>
  <c r="H65" i="10"/>
  <c r="H66" i="10"/>
  <c r="H67" i="10"/>
  <c r="H68" i="10"/>
  <c r="H69" i="10"/>
  <c r="H70" i="10"/>
  <c r="H71" i="10"/>
  <c r="H72" i="10"/>
  <c r="H73" i="10"/>
  <c r="H74" i="10"/>
  <c r="H75" i="10"/>
  <c r="H76" i="10"/>
  <c r="H77" i="10"/>
  <c r="H78" i="10"/>
  <c r="H79" i="10"/>
  <c r="H80" i="10"/>
  <c r="H81" i="10"/>
  <c r="H82" i="10"/>
  <c r="H83" i="10"/>
  <c r="H84" i="10"/>
  <c r="H85" i="10"/>
  <c r="H86" i="10"/>
  <c r="H87" i="10"/>
  <c r="H88" i="10"/>
  <c r="H89" i="10"/>
  <c r="H90" i="10"/>
  <c r="H91" i="10"/>
  <c r="H92" i="10"/>
  <c r="H93" i="10"/>
  <c r="H94" i="10"/>
  <c r="H95" i="10"/>
  <c r="H96" i="10"/>
  <c r="H97" i="10"/>
  <c r="H98" i="10"/>
  <c r="H99" i="10"/>
  <c r="H100" i="10"/>
  <c r="H101" i="10"/>
  <c r="H102" i="10"/>
  <c r="H103" i="10"/>
  <c r="H104" i="10"/>
  <c r="H105" i="10"/>
  <c r="H106" i="10"/>
  <c r="H107" i="10"/>
  <c r="H108" i="10"/>
  <c r="H109" i="10"/>
  <c r="H110" i="10"/>
  <c r="H111" i="10"/>
  <c r="H112" i="10"/>
  <c r="H113" i="10"/>
  <c r="H114" i="10"/>
  <c r="H115" i="10"/>
  <c r="H116" i="10"/>
  <c r="H117" i="10"/>
  <c r="H118" i="10"/>
  <c r="H119" i="10"/>
  <c r="H120" i="10"/>
  <c r="H121" i="10"/>
  <c r="H122" i="10"/>
  <c r="H123" i="10"/>
  <c r="H124" i="10"/>
  <c r="H125" i="10"/>
  <c r="H126" i="10"/>
  <c r="H127" i="10"/>
  <c r="H128" i="10"/>
  <c r="H129" i="10"/>
  <c r="H130" i="10"/>
  <c r="H131" i="10"/>
  <c r="H132" i="10"/>
  <c r="H133" i="10"/>
  <c r="H134" i="10"/>
  <c r="H135" i="10"/>
  <c r="H136" i="10"/>
  <c r="H137" i="10"/>
  <c r="H138" i="10"/>
  <c r="H139" i="10"/>
  <c r="H140" i="10"/>
  <c r="H141" i="10"/>
  <c r="H142" i="10"/>
  <c r="H143" i="10"/>
  <c r="H144" i="10"/>
  <c r="H145" i="10"/>
  <c r="H146" i="10"/>
  <c r="H147" i="10"/>
  <c r="H148" i="10"/>
  <c r="H149" i="10"/>
  <c r="H150" i="10"/>
  <c r="H151" i="10"/>
  <c r="H152" i="10"/>
  <c r="H153" i="10"/>
  <c r="H154" i="10"/>
  <c r="H155" i="10"/>
  <c r="H156" i="10"/>
  <c r="H157" i="10"/>
  <c r="H158" i="10"/>
  <c r="H159" i="10"/>
  <c r="H160" i="10"/>
  <c r="H161" i="10"/>
  <c r="H162" i="10"/>
  <c r="H163" i="10"/>
  <c r="H164" i="10"/>
  <c r="H165" i="10"/>
  <c r="H166" i="10"/>
  <c r="H167" i="10"/>
  <c r="H168" i="10"/>
  <c r="H169" i="10"/>
  <c r="H170" i="10"/>
  <c r="H171" i="10"/>
  <c r="H172" i="10"/>
  <c r="H173" i="10"/>
  <c r="H174" i="10"/>
  <c r="H175" i="10"/>
  <c r="H176" i="10"/>
  <c r="H177" i="10"/>
  <c r="H178" i="10"/>
  <c r="H179" i="10"/>
  <c r="H180" i="10"/>
  <c r="H181" i="10"/>
  <c r="H182" i="10"/>
  <c r="H183" i="10"/>
  <c r="H184" i="10"/>
  <c r="H185" i="10"/>
  <c r="H186" i="10"/>
  <c r="H187" i="10"/>
  <c r="H188" i="10"/>
  <c r="H189" i="10"/>
  <c r="H190" i="10"/>
  <c r="H191" i="10"/>
  <c r="H192" i="10"/>
  <c r="H193" i="10"/>
  <c r="H194" i="10"/>
  <c r="H195" i="10"/>
  <c r="H196" i="10"/>
  <c r="H197" i="10"/>
  <c r="H198" i="10"/>
  <c r="H199" i="10"/>
  <c r="H200" i="10"/>
  <c r="H201" i="10"/>
  <c r="H202" i="10"/>
  <c r="H203" i="10"/>
  <c r="H204" i="10"/>
  <c r="H205" i="10"/>
  <c r="H206" i="10"/>
  <c r="H207" i="10"/>
  <c r="H208" i="10"/>
  <c r="H209" i="10"/>
  <c r="H210" i="10"/>
  <c r="H211" i="10"/>
  <c r="H212" i="10"/>
  <c r="H213" i="10"/>
  <c r="H214" i="10"/>
  <c r="H215" i="10"/>
  <c r="H216" i="10"/>
  <c r="H217" i="10"/>
  <c r="H218" i="10"/>
  <c r="H219" i="10"/>
  <c r="H220" i="10"/>
  <c r="H221" i="10"/>
  <c r="H222" i="10"/>
  <c r="H223" i="10"/>
  <c r="H224" i="10"/>
  <c r="H225" i="10"/>
  <c r="H226" i="10"/>
  <c r="H227" i="10"/>
  <c r="H228" i="10"/>
  <c r="H229" i="10"/>
  <c r="H230" i="10"/>
  <c r="H231" i="10"/>
  <c r="H232" i="10"/>
  <c r="H233" i="10"/>
  <c r="H234" i="10"/>
  <c r="H235" i="10"/>
  <c r="H236" i="10"/>
  <c r="H237" i="10"/>
  <c r="H238" i="10"/>
  <c r="H239" i="10"/>
  <c r="H240" i="10"/>
  <c r="H241" i="10"/>
  <c r="H242" i="10"/>
  <c r="H243" i="10"/>
  <c r="H244" i="10"/>
  <c r="H245" i="10"/>
  <c r="H246" i="10"/>
  <c r="H247" i="10"/>
  <c r="H248" i="10"/>
  <c r="H249" i="10"/>
  <c r="H250" i="10"/>
  <c r="H251" i="10"/>
  <c r="H252" i="10"/>
  <c r="H253" i="10"/>
  <c r="H254" i="10"/>
  <c r="H255" i="10"/>
  <c r="H256" i="10"/>
  <c r="H257" i="10"/>
  <c r="H258" i="10"/>
  <c r="H259" i="10"/>
  <c r="H260" i="10"/>
  <c r="H261" i="10"/>
  <c r="H262" i="10"/>
  <c r="H263" i="10"/>
  <c r="H264" i="10"/>
  <c r="H265" i="10"/>
  <c r="H266" i="10"/>
  <c r="H267" i="10"/>
  <c r="H268" i="10"/>
  <c r="H269" i="10"/>
  <c r="H270" i="10"/>
  <c r="H271" i="10"/>
  <c r="H272" i="10"/>
  <c r="H273" i="10"/>
  <c r="H274" i="10"/>
  <c r="H275" i="10"/>
  <c r="H276" i="10"/>
  <c r="H277" i="10"/>
  <c r="H278" i="10"/>
  <c r="H279" i="10"/>
  <c r="H280" i="10"/>
  <c r="H281" i="10"/>
  <c r="H282" i="10"/>
  <c r="H283" i="10"/>
  <c r="H284" i="10"/>
  <c r="H285" i="10"/>
  <c r="G9" i="11"/>
  <c r="G8" i="11"/>
  <c r="G7" i="11"/>
  <c r="G11" i="11"/>
  <c r="G12" i="11"/>
  <c r="G14" i="11"/>
  <c r="H9" i="11"/>
  <c r="H8" i="11"/>
  <c r="H7" i="11"/>
  <c r="H11" i="11"/>
  <c r="H12" i="11"/>
  <c r="H14" i="11"/>
  <c r="I9" i="11"/>
  <c r="I8" i="11"/>
  <c r="I7" i="11"/>
  <c r="I11" i="11"/>
  <c r="I12" i="11"/>
  <c r="I14" i="11"/>
  <c r="J9" i="11"/>
  <c r="J8" i="11"/>
  <c r="J7" i="11"/>
  <c r="J11" i="11"/>
  <c r="J12" i="11"/>
  <c r="J14" i="11"/>
  <c r="K9" i="11"/>
  <c r="K8" i="11"/>
  <c r="K7" i="11"/>
  <c r="K11" i="11"/>
  <c r="K12" i="11"/>
  <c r="K14" i="11"/>
  <c r="L9" i="11"/>
  <c r="L8" i="11"/>
  <c r="L7" i="11"/>
  <c r="L11" i="11"/>
  <c r="L12" i="11"/>
  <c r="L14" i="11"/>
  <c r="M9" i="11"/>
  <c r="M8" i="11"/>
  <c r="M7" i="11"/>
  <c r="M11" i="11"/>
  <c r="M12" i="11"/>
  <c r="M14" i="11"/>
  <c r="N9" i="11"/>
  <c r="N8" i="11"/>
  <c r="N7" i="11"/>
  <c r="N11" i="11"/>
  <c r="N12" i="11"/>
  <c r="N14" i="11"/>
  <c r="O9" i="11"/>
  <c r="O8" i="11"/>
  <c r="O7" i="11"/>
  <c r="O11" i="11"/>
  <c r="O12" i="11"/>
  <c r="O14" i="11"/>
  <c r="P9" i="11"/>
  <c r="P8" i="11"/>
  <c r="P7" i="11"/>
  <c r="P11" i="11"/>
  <c r="P12" i="11"/>
  <c r="P14" i="11"/>
  <c r="Q9" i="11"/>
  <c r="Q8" i="11"/>
  <c r="Q7" i="11"/>
  <c r="Q11" i="11"/>
  <c r="Q12" i="11"/>
  <c r="Q14" i="11"/>
  <c r="R9" i="11"/>
  <c r="R8" i="11"/>
  <c r="R7" i="11"/>
  <c r="R11" i="11"/>
  <c r="R12" i="11"/>
  <c r="R14" i="11"/>
  <c r="S9" i="11"/>
  <c r="S8" i="11"/>
  <c r="S7" i="11"/>
  <c r="S11" i="11"/>
  <c r="S12" i="11"/>
  <c r="S14" i="11"/>
  <c r="T9" i="11"/>
  <c r="T8" i="11"/>
  <c r="T7" i="11"/>
  <c r="T11" i="11"/>
  <c r="T12" i="11"/>
  <c r="T14" i="11"/>
  <c r="U9" i="11"/>
  <c r="U8" i="11"/>
  <c r="U7" i="11"/>
  <c r="U11" i="11"/>
  <c r="U12" i="11"/>
  <c r="U14" i="11"/>
  <c r="V9" i="11"/>
  <c r="V8" i="11"/>
  <c r="V7" i="11"/>
  <c r="V11" i="11"/>
  <c r="V12" i="11"/>
  <c r="V14" i="11"/>
  <c r="W9" i="11"/>
  <c r="W8" i="11"/>
  <c r="W7" i="11"/>
  <c r="W11" i="11"/>
  <c r="W12" i="11"/>
  <c r="W14" i="11"/>
  <c r="X9" i="11"/>
  <c r="X8" i="11"/>
  <c r="X7" i="11"/>
  <c r="X11" i="11"/>
  <c r="X12" i="11"/>
  <c r="X14" i="11"/>
  <c r="Y9" i="11"/>
  <c r="J285" i="10"/>
  <c r="Y8" i="11"/>
  <c r="Y7" i="11"/>
  <c r="Y11" i="11"/>
  <c r="Y12" i="11"/>
  <c r="Y14" i="11"/>
  <c r="F16" i="11"/>
  <c r="F17" i="11"/>
  <c r="F18" i="11"/>
  <c r="G16" i="11"/>
  <c r="G17" i="11"/>
  <c r="G18" i="11"/>
  <c r="H16" i="11"/>
  <c r="H17" i="11"/>
  <c r="H18" i="11"/>
  <c r="I16" i="11"/>
  <c r="I17" i="11"/>
  <c r="I18" i="11"/>
  <c r="J16" i="11"/>
  <c r="J17" i="11"/>
  <c r="J18" i="11"/>
  <c r="K16" i="11"/>
  <c r="K17" i="11"/>
  <c r="K18" i="11"/>
  <c r="L16" i="11"/>
  <c r="L17" i="11"/>
  <c r="L18" i="11"/>
  <c r="M16" i="11"/>
  <c r="M17" i="11"/>
  <c r="M18" i="11"/>
  <c r="N16" i="11"/>
  <c r="N17" i="11"/>
  <c r="N18" i="11"/>
  <c r="O16" i="11"/>
  <c r="O17" i="11"/>
  <c r="O18" i="11"/>
  <c r="P16" i="11"/>
  <c r="P17" i="11"/>
  <c r="P18" i="11"/>
  <c r="Q16" i="11"/>
  <c r="Q17" i="11"/>
  <c r="Q18" i="11"/>
  <c r="R16" i="11"/>
  <c r="R17" i="11"/>
  <c r="R18" i="11"/>
  <c r="S16" i="11"/>
  <c r="S17" i="11"/>
  <c r="S18" i="11"/>
  <c r="T16" i="11"/>
  <c r="T17" i="11"/>
  <c r="T18" i="11"/>
  <c r="U16" i="11"/>
  <c r="U17" i="11"/>
  <c r="U18" i="11"/>
  <c r="V16" i="11"/>
  <c r="V17" i="11"/>
  <c r="V18" i="11"/>
  <c r="W16" i="11"/>
  <c r="W17" i="11"/>
  <c r="W18" i="11"/>
  <c r="X16" i="11"/>
  <c r="X17" i="11"/>
  <c r="X18" i="11"/>
  <c r="Y16" i="11"/>
  <c r="Y17" i="11"/>
  <c r="Y18" i="11"/>
  <c r="Z16" i="11"/>
  <c r="Z17" i="11"/>
  <c r="Z18" i="11"/>
  <c r="AA16" i="11"/>
  <c r="AA17" i="11"/>
  <c r="AA18" i="11"/>
  <c r="AB16" i="11"/>
  <c r="AB17" i="11"/>
  <c r="AB18" i="11"/>
  <c r="AC16" i="11"/>
  <c r="AC17" i="11"/>
  <c r="AC18" i="11"/>
  <c r="AD17" i="11"/>
  <c r="AD16" i="11"/>
  <c r="AD18" i="11"/>
  <c r="F20" i="11"/>
  <c r="F22" i="11"/>
  <c r="F23" i="11"/>
  <c r="G20" i="11"/>
  <c r="G22" i="11"/>
  <c r="G23" i="11"/>
  <c r="H20" i="11"/>
  <c r="H22" i="11"/>
  <c r="H23" i="11"/>
  <c r="I20" i="11"/>
  <c r="I22" i="11"/>
  <c r="I23" i="11"/>
  <c r="J20" i="11"/>
  <c r="J22" i="11"/>
  <c r="J23" i="11"/>
  <c r="K20" i="11"/>
  <c r="K22" i="11"/>
  <c r="K23" i="11"/>
  <c r="L20" i="11"/>
  <c r="L22" i="11"/>
  <c r="L23" i="11"/>
  <c r="M20" i="11"/>
  <c r="M22" i="11"/>
  <c r="M23" i="11"/>
  <c r="N20" i="11"/>
  <c r="N22" i="11"/>
  <c r="N23" i="11"/>
  <c r="O20" i="11"/>
  <c r="O22" i="11"/>
  <c r="O23" i="11"/>
  <c r="P20" i="11"/>
  <c r="P22" i="11"/>
  <c r="P23" i="11"/>
  <c r="Q20" i="11"/>
  <c r="Q22" i="11"/>
  <c r="Q23" i="11"/>
  <c r="R20" i="11"/>
  <c r="R22" i="11"/>
  <c r="R23" i="11"/>
  <c r="S20" i="11"/>
  <c r="S22" i="11"/>
  <c r="S23" i="11"/>
  <c r="T20" i="11"/>
  <c r="T22" i="11"/>
  <c r="T23" i="11"/>
  <c r="U20" i="11"/>
  <c r="U22" i="11"/>
  <c r="U23" i="11"/>
  <c r="V20" i="11"/>
  <c r="V22" i="11"/>
  <c r="V23" i="11"/>
  <c r="W20" i="11"/>
  <c r="W22" i="11"/>
  <c r="W23" i="11"/>
  <c r="X20" i="11"/>
  <c r="X22" i="11"/>
  <c r="X23" i="11"/>
  <c r="Y20" i="11"/>
  <c r="Y22" i="11"/>
  <c r="Y23" i="11"/>
  <c r="Z23" i="11"/>
  <c r="AA23" i="11"/>
  <c r="AB23" i="11"/>
  <c r="AC23" i="11"/>
  <c r="AD23" i="11"/>
  <c r="F27" i="11"/>
  <c r="F28" i="11"/>
  <c r="G27" i="11"/>
  <c r="G28" i="11"/>
  <c r="H27" i="11"/>
  <c r="H28" i="11"/>
  <c r="I27" i="11"/>
  <c r="I28" i="11"/>
  <c r="J27" i="11"/>
  <c r="J28" i="11"/>
  <c r="K27" i="11"/>
  <c r="K28" i="11"/>
  <c r="L27" i="11"/>
  <c r="L28" i="11"/>
  <c r="M27" i="11"/>
  <c r="M28" i="11"/>
  <c r="N27" i="11"/>
  <c r="N28" i="11"/>
  <c r="O27" i="11"/>
  <c r="O28" i="11"/>
  <c r="P27" i="11"/>
  <c r="P28" i="11"/>
  <c r="Q27" i="11"/>
  <c r="Q28" i="11"/>
  <c r="R27" i="11"/>
  <c r="R28" i="11"/>
  <c r="S27" i="11"/>
  <c r="S28" i="11"/>
  <c r="T27" i="11"/>
  <c r="T28" i="11"/>
  <c r="G42" i="22"/>
  <c r="G21" i="22"/>
  <c r="G25" i="22"/>
  <c r="D26" i="22"/>
  <c r="G26" i="22"/>
  <c r="D27" i="22"/>
  <c r="G27" i="22"/>
  <c r="D28" i="22"/>
  <c r="G28" i="22"/>
  <c r="D30" i="22"/>
  <c r="G30" i="22"/>
  <c r="D33" i="22"/>
  <c r="F33" i="22"/>
  <c r="G33" i="22"/>
  <c r="D29" i="22"/>
  <c r="G29" i="22"/>
  <c r="D31" i="22"/>
  <c r="G31" i="22"/>
  <c r="D32" i="22"/>
  <c r="G32" i="22"/>
  <c r="G34" i="22"/>
  <c r="G39" i="22"/>
  <c r="G40" i="22"/>
  <c r="G41" i="22"/>
  <c r="G43" i="22"/>
  <c r="G44" i="22"/>
  <c r="AC7" i="22"/>
  <c r="F29" i="22"/>
  <c r="F31" i="22"/>
  <c r="G45" i="22"/>
  <c r="AD6" i="22"/>
  <c r="M56" i="22"/>
  <c r="V8" i="22"/>
  <c r="V9" i="22"/>
  <c r="V10" i="22"/>
  <c r="V11" i="22"/>
  <c r="V12" i="22"/>
  <c r="V13" i="22"/>
  <c r="V14" i="22"/>
  <c r="V15" i="22"/>
  <c r="V16" i="22"/>
  <c r="V17" i="22"/>
  <c r="V18" i="22"/>
  <c r="V19" i="22"/>
  <c r="V20" i="22"/>
  <c r="V21" i="22"/>
  <c r="V22" i="22"/>
  <c r="V23" i="22"/>
  <c r="V24" i="22"/>
  <c r="V25" i="22"/>
  <c r="V26" i="22"/>
  <c r="V27" i="22"/>
  <c r="V28" i="22"/>
  <c r="V29" i="22"/>
  <c r="V30" i="22"/>
  <c r="V31" i="22"/>
  <c r="AC122" i="22"/>
  <c r="AC123" i="22"/>
  <c r="AC124" i="22"/>
  <c r="AC125" i="22"/>
  <c r="AC126" i="22"/>
  <c r="AC127" i="22"/>
  <c r="AC128" i="22"/>
  <c r="AC129" i="22"/>
  <c r="AC130" i="22"/>
  <c r="AC131" i="22"/>
  <c r="AC132" i="22"/>
  <c r="AC133" i="22"/>
  <c r="AC135" i="22"/>
  <c r="Y123" i="22"/>
  <c r="Y124" i="22"/>
  <c r="AA122" i="22" a="1"/>
  <c r="AA122" i="22"/>
  <c r="AB122" i="22"/>
  <c r="AA123" i="22" a="1"/>
  <c r="AA123" i="22"/>
  <c r="AB123" i="22"/>
  <c r="AA124" i="22" a="1"/>
  <c r="AA124" i="22"/>
  <c r="AB124" i="22"/>
  <c r="AA125" i="22" a="1"/>
  <c r="AA125" i="22"/>
  <c r="AB125" i="22"/>
  <c r="AA126" i="22" a="1"/>
  <c r="AA126" i="22"/>
  <c r="AB126" i="22"/>
  <c r="AA127" i="22" a="1"/>
  <c r="AA127" i="22"/>
  <c r="AB127" i="22"/>
  <c r="AA128" i="22" a="1"/>
  <c r="AA128" i="22"/>
  <c r="AB128" i="22"/>
  <c r="AA129" i="22" a="1"/>
  <c r="AA129" i="22"/>
  <c r="AB129" i="22"/>
  <c r="AA130" i="22" a="1"/>
  <c r="AA130" i="22"/>
  <c r="AB130" i="22"/>
  <c r="AA131" i="22" a="1"/>
  <c r="AA131" i="22"/>
  <c r="AB131" i="22"/>
  <c r="AA132" i="22" a="1"/>
  <c r="AA132" i="22"/>
  <c r="AB132" i="22"/>
  <c r="AA133" i="22" a="1"/>
  <c r="AA133" i="22"/>
  <c r="AB133" i="22"/>
  <c r="AB135" i="22"/>
  <c r="AB139" i="22"/>
  <c r="AC140" i="22"/>
  <c r="AC139" i="22"/>
  <c r="AB140" i="22"/>
  <c r="AC138" i="22"/>
  <c r="AB138" i="22"/>
  <c r="AC134" i="22"/>
  <c r="AB134" i="22"/>
  <c r="Y122" i="22"/>
  <c r="G16" i="22"/>
  <c r="B16" i="22"/>
  <c r="C9" i="22"/>
  <c r="A9" i="22"/>
  <c r="A8" i="22"/>
  <c r="S7" i="22"/>
  <c r="A7" i="22"/>
  <c r="G6" i="22"/>
  <c r="B6" i="22"/>
  <c r="A6" i="22"/>
  <c r="G5" i="22"/>
  <c r="X8" i="22"/>
  <c r="X9" i="22"/>
  <c r="X10" i="22"/>
  <c r="X11" i="22"/>
  <c r="X12" i="22"/>
  <c r="X13" i="22"/>
  <c r="X14" i="22"/>
  <c r="X15" i="22"/>
  <c r="X16" i="22"/>
  <c r="X17" i="22"/>
  <c r="X18" i="22"/>
  <c r="X19" i="22"/>
  <c r="X20" i="22"/>
  <c r="X21" i="22"/>
  <c r="X22" i="22"/>
  <c r="X23" i="22"/>
  <c r="X24" i="22"/>
  <c r="X25" i="22"/>
  <c r="X26" i="22"/>
  <c r="X27" i="22"/>
  <c r="X28" i="22"/>
  <c r="X29" i="22"/>
  <c r="X30" i="22"/>
  <c r="X31" i="22"/>
  <c r="S54" i="22"/>
  <c r="N54" i="22"/>
  <c r="L12" i="22"/>
  <c r="L13" i="22"/>
  <c r="AA7" i="22"/>
  <c r="AD7" i="22"/>
  <c r="AA8" i="22"/>
  <c r="AD8" i="22"/>
  <c r="AA9" i="22"/>
  <c r="AD9" i="22"/>
  <c r="AA10" i="22"/>
  <c r="AD10" i="22"/>
  <c r="AA11" i="22"/>
  <c r="AD11" i="22"/>
  <c r="AA12" i="22"/>
  <c r="AD12" i="22"/>
  <c r="AA13" i="22"/>
  <c r="AD13" i="22"/>
  <c r="AA14" i="22"/>
  <c r="AD14" i="22"/>
  <c r="AA15" i="22"/>
  <c r="AD15" i="22"/>
  <c r="AA16" i="22"/>
  <c r="AD16" i="22"/>
  <c r="AA17" i="22"/>
  <c r="AD17" i="22"/>
  <c r="AA18" i="22"/>
  <c r="AD18" i="22"/>
  <c r="AA19" i="22"/>
  <c r="AD19" i="22"/>
  <c r="AA20" i="22"/>
  <c r="AD20" i="22"/>
  <c r="AA21" i="22"/>
  <c r="AD21" i="22"/>
  <c r="AA22" i="22"/>
  <c r="AD22" i="22"/>
  <c r="AA23" i="22"/>
  <c r="AD23" i="22"/>
  <c r="AA24" i="22"/>
  <c r="AD24" i="22"/>
  <c r="AA25" i="22"/>
  <c r="AD25" i="22"/>
  <c r="AA26" i="22"/>
  <c r="AD26" i="22"/>
  <c r="AA27" i="22"/>
  <c r="AD27" i="22"/>
  <c r="AA28" i="22"/>
  <c r="AD28" i="22"/>
  <c r="AA29" i="22"/>
  <c r="AD29" i="22"/>
  <c r="AA30" i="22"/>
  <c r="AD30" i="22"/>
  <c r="AA31" i="22"/>
  <c r="AD31" i="22"/>
  <c r="K7" i="22"/>
  <c r="AE7" i="22"/>
  <c r="AE8" i="22"/>
  <c r="AE9" i="22"/>
  <c r="AE10" i="22"/>
  <c r="AE11" i="22"/>
  <c r="AE12" i="22"/>
  <c r="AE13" i="22"/>
  <c r="AE14" i="22"/>
  <c r="AE15" i="22"/>
  <c r="AE16" i="22"/>
  <c r="AE17" i="22"/>
  <c r="AE18" i="22"/>
  <c r="AE19" i="22"/>
  <c r="AE20" i="22"/>
  <c r="AE21" i="22"/>
  <c r="AE22" i="22"/>
  <c r="AE23" i="22"/>
  <c r="AE24" i="22"/>
  <c r="AE25" i="22"/>
  <c r="AE26" i="22"/>
  <c r="AE27" i="22"/>
  <c r="AE28" i="22"/>
  <c r="AE29" i="22"/>
  <c r="AE30" i="22"/>
  <c r="AE31" i="22"/>
  <c r="S6" i="22"/>
  <c r="K6" i="22"/>
  <c r="AB7" i="22"/>
  <c r="AB8" i="22"/>
  <c r="AB9" i="22"/>
  <c r="AB10" i="22"/>
  <c r="AB11" i="22"/>
  <c r="AB12" i="22"/>
  <c r="AB13" i="22"/>
  <c r="AB14" i="22"/>
  <c r="AB15" i="22"/>
  <c r="AB16" i="22"/>
  <c r="AB17" i="22"/>
  <c r="AB18" i="22"/>
  <c r="AB19" i="22"/>
  <c r="AB20" i="22"/>
  <c r="AB21" i="22"/>
  <c r="AB22" i="22"/>
  <c r="AB23" i="22"/>
  <c r="AB24" i="22"/>
  <c r="AB25" i="22"/>
  <c r="AB26" i="22"/>
  <c r="AB27" i="22"/>
  <c r="AB28" i="22"/>
  <c r="AB29" i="22"/>
  <c r="AB30" i="22"/>
  <c r="AB31" i="22"/>
  <c r="W8" i="22"/>
  <c r="W9" i="22"/>
  <c r="W10" i="22"/>
  <c r="W11" i="22"/>
  <c r="W12" i="22"/>
  <c r="W13" i="22"/>
  <c r="W14" i="22"/>
  <c r="W15" i="22"/>
  <c r="W16" i="22"/>
  <c r="W17" i="22"/>
  <c r="W18" i="22"/>
  <c r="W19" i="22"/>
  <c r="W20" i="22"/>
  <c r="W21" i="22"/>
  <c r="W22" i="22"/>
  <c r="W23" i="22"/>
  <c r="W24" i="22"/>
  <c r="W25" i="22"/>
  <c r="W26" i="22"/>
  <c r="W27" i="22"/>
  <c r="W28" i="22"/>
  <c r="W29" i="22"/>
  <c r="W30" i="22"/>
  <c r="W31" i="22"/>
  <c r="Z31" i="22"/>
  <c r="Y31" i="22"/>
  <c r="Z30" i="22"/>
  <c r="Y30" i="22"/>
  <c r="Z29" i="22"/>
  <c r="Y29" i="22"/>
  <c r="Z28" i="22"/>
  <c r="Y28" i="22"/>
  <c r="Z27" i="22"/>
  <c r="Y27" i="22"/>
  <c r="Z26" i="22"/>
  <c r="Y26" i="22"/>
  <c r="Z25" i="22"/>
  <c r="Y25" i="22"/>
  <c r="Z24" i="22"/>
  <c r="Y24" i="22"/>
  <c r="Z23" i="22"/>
  <c r="Y23" i="22"/>
  <c r="Z22" i="22"/>
  <c r="Y22" i="22"/>
  <c r="Z21" i="22"/>
  <c r="Y21" i="22"/>
  <c r="Z20" i="22"/>
  <c r="Y20" i="22"/>
  <c r="Z19" i="22"/>
  <c r="Y19" i="22"/>
  <c r="Z18" i="22"/>
  <c r="Y18" i="22"/>
  <c r="Z17" i="22"/>
  <c r="Y17" i="22"/>
  <c r="Z16" i="22"/>
  <c r="Y16" i="22"/>
  <c r="Z15" i="22"/>
  <c r="Y15" i="22"/>
  <c r="Z14" i="22"/>
  <c r="Y14" i="22"/>
  <c r="Z13" i="22"/>
  <c r="Y13" i="22"/>
  <c r="Z12" i="22"/>
  <c r="Y12" i="22"/>
  <c r="Z11" i="22"/>
  <c r="Y11" i="22"/>
  <c r="Z10" i="22"/>
  <c r="Y10" i="22"/>
  <c r="Z9" i="22"/>
  <c r="Y9" i="22"/>
  <c r="Z8" i="22"/>
  <c r="Y8" i="22"/>
  <c r="M13" i="22"/>
  <c r="M12" i="22"/>
  <c r="B17" i="20"/>
  <c r="A63" i="20"/>
  <c r="C63" i="20"/>
  <c r="B63" i="20"/>
  <c r="B64" i="20"/>
  <c r="B34" i="20"/>
  <c r="B4" i="20"/>
  <c r="M3" i="20"/>
  <c r="C5" i="20"/>
  <c r="N4" i="20"/>
  <c r="B5" i="20"/>
  <c r="M4" i="20"/>
  <c r="B7" i="20"/>
  <c r="M5" i="20"/>
  <c r="B9" i="20"/>
  <c r="M7" i="20"/>
  <c r="B11" i="20"/>
  <c r="M9" i="20"/>
  <c r="B13" i="20"/>
  <c r="M11" i="20"/>
  <c r="B15" i="20"/>
  <c r="M13" i="20"/>
  <c r="I15" i="20"/>
  <c r="T13" i="20"/>
  <c r="I13" i="20"/>
  <c r="T11" i="20"/>
  <c r="I5" i="20"/>
  <c r="T4" i="20"/>
  <c r="I7" i="20"/>
  <c r="T5" i="20"/>
  <c r="I9" i="20"/>
  <c r="T7" i="20"/>
  <c r="N72" i="20"/>
  <c r="M72" i="20"/>
  <c r="B68" i="20"/>
  <c r="U73" i="20"/>
  <c r="N73" i="20"/>
  <c r="B72" i="20"/>
  <c r="C70" i="20"/>
  <c r="I70" i="20"/>
  <c r="C68" i="20"/>
  <c r="T16" i="20"/>
  <c r="T21" i="20"/>
  <c r="T20" i="20"/>
  <c r="T18" i="20"/>
  <c r="T17" i="20"/>
  <c r="D17" i="20"/>
  <c r="L59" i="14"/>
  <c r="K59" i="14"/>
  <c r="J59" i="14"/>
  <c r="I59" i="14"/>
  <c r="H59" i="14"/>
  <c r="G59" i="14"/>
  <c r="F59" i="14"/>
  <c r="E59" i="14"/>
  <c r="D64" i="14"/>
  <c r="E64" i="14"/>
  <c r="F64" i="14"/>
  <c r="G64" i="14"/>
  <c r="H64" i="14"/>
  <c r="I64" i="14"/>
  <c r="J64" i="14"/>
  <c r="K64" i="14"/>
  <c r="L64" i="14"/>
  <c r="D65" i="14"/>
  <c r="E65" i="14"/>
  <c r="F65" i="14"/>
  <c r="G65" i="14"/>
  <c r="H65" i="14"/>
  <c r="I65" i="14"/>
  <c r="J65" i="14"/>
  <c r="K65" i="14"/>
  <c r="L65" i="14"/>
  <c r="D62" i="14"/>
  <c r="E62" i="14"/>
  <c r="F62" i="14"/>
  <c r="G62" i="14"/>
  <c r="H62" i="14"/>
  <c r="I62" i="14"/>
  <c r="J62" i="14"/>
  <c r="K62" i="14"/>
  <c r="L62" i="14"/>
  <c r="D63" i="14"/>
  <c r="E63" i="14"/>
  <c r="F63" i="14"/>
  <c r="G63" i="14"/>
  <c r="H63" i="14"/>
  <c r="I63" i="14"/>
  <c r="J63" i="14"/>
  <c r="K63" i="14"/>
  <c r="L63" i="14"/>
  <c r="D60" i="14"/>
  <c r="E60" i="14"/>
  <c r="F60" i="14"/>
  <c r="G60" i="14"/>
  <c r="H60" i="14"/>
  <c r="I60" i="14"/>
  <c r="J60" i="14"/>
  <c r="K60" i="14"/>
  <c r="L60" i="14"/>
  <c r="D61" i="14"/>
  <c r="E61" i="14"/>
  <c r="F61" i="14"/>
  <c r="G61" i="14"/>
  <c r="H61" i="14"/>
  <c r="I61" i="14"/>
  <c r="J61" i="14"/>
  <c r="K61" i="14"/>
  <c r="L61" i="14"/>
  <c r="T34" i="14"/>
  <c r="T35" i="14"/>
  <c r="T36" i="14"/>
  <c r="T37" i="14"/>
  <c r="T38" i="14"/>
  <c r="T39" i="14"/>
  <c r="T40" i="14"/>
  <c r="T41" i="14"/>
  <c r="T42" i="14"/>
  <c r="T43" i="14"/>
  <c r="T44" i="14"/>
  <c r="T45" i="14"/>
  <c r="T46" i="14"/>
  <c r="T47" i="14"/>
  <c r="T48" i="14"/>
  <c r="T49" i="14"/>
  <c r="T50" i="14"/>
  <c r="T51" i="14"/>
  <c r="T52" i="14"/>
  <c r="T53" i="14"/>
  <c r="T54" i="14"/>
  <c r="T55" i="14"/>
  <c r="T56" i="14"/>
  <c r="T57" i="14"/>
  <c r="T58" i="14"/>
  <c r="V34" i="14"/>
  <c r="V35" i="14"/>
  <c r="V36" i="14"/>
  <c r="V37" i="14"/>
  <c r="V38" i="14"/>
  <c r="V39" i="14"/>
  <c r="V40" i="14"/>
  <c r="V41" i="14"/>
  <c r="V42" i="14"/>
  <c r="V43" i="14"/>
  <c r="V44" i="14"/>
  <c r="V45" i="14"/>
  <c r="V46" i="14"/>
  <c r="V47" i="14"/>
  <c r="V48" i="14"/>
  <c r="V49" i="14"/>
  <c r="V50" i="14"/>
  <c r="V51" i="14"/>
  <c r="V52" i="14"/>
  <c r="V53" i="14"/>
  <c r="V54" i="14"/>
  <c r="V55" i="14"/>
  <c r="V56" i="14"/>
  <c r="V57" i="14"/>
  <c r="V58" i="14"/>
  <c r="U34" i="14"/>
  <c r="U35" i="14"/>
  <c r="U36" i="14"/>
  <c r="U37" i="14"/>
  <c r="U38" i="14"/>
  <c r="U39" i="14"/>
  <c r="U40" i="14"/>
  <c r="U41" i="14"/>
  <c r="U42" i="14"/>
  <c r="U43" i="14"/>
  <c r="U44" i="14"/>
  <c r="U45" i="14"/>
  <c r="U46" i="14"/>
  <c r="U47" i="14"/>
  <c r="U48" i="14"/>
  <c r="U49" i="14"/>
  <c r="U50" i="14"/>
  <c r="U51" i="14"/>
  <c r="U52" i="14"/>
  <c r="U53" i="14"/>
  <c r="U54" i="14"/>
  <c r="U55" i="14"/>
  <c r="U56" i="14"/>
  <c r="U57" i="14"/>
  <c r="U58" i="14"/>
  <c r="W58" i="14"/>
  <c r="AA58" i="14"/>
  <c r="AB58" i="14"/>
  <c r="W57" i="14"/>
  <c r="AA57" i="14"/>
  <c r="AB57" i="14"/>
  <c r="W56" i="14"/>
  <c r="AA56" i="14"/>
  <c r="AB56" i="14"/>
  <c r="W55" i="14"/>
  <c r="AA55" i="14"/>
  <c r="AB55" i="14"/>
  <c r="W54" i="14"/>
  <c r="AA54" i="14"/>
  <c r="AB54" i="14"/>
  <c r="W53" i="14"/>
  <c r="AA53" i="14"/>
  <c r="AB53" i="14"/>
  <c r="W52" i="14"/>
  <c r="AA52" i="14"/>
  <c r="AB52" i="14"/>
  <c r="W51" i="14"/>
  <c r="AA51" i="14"/>
  <c r="AB51" i="14"/>
  <c r="W50" i="14"/>
  <c r="AA50" i="14"/>
  <c r="AB50" i="14"/>
  <c r="W49" i="14"/>
  <c r="AA49" i="14"/>
  <c r="AB49" i="14"/>
  <c r="W48" i="14"/>
  <c r="AA48" i="14"/>
  <c r="AB48" i="14"/>
  <c r="W47" i="14"/>
  <c r="AA47" i="14"/>
  <c r="AB47" i="14"/>
  <c r="W46" i="14"/>
  <c r="AA46" i="14"/>
  <c r="AB46" i="14"/>
  <c r="W45" i="14"/>
  <c r="AA45" i="14"/>
  <c r="AB45" i="14"/>
  <c r="W44" i="14"/>
  <c r="AA44" i="14"/>
  <c r="AB44" i="14"/>
  <c r="W43" i="14"/>
  <c r="AA43" i="14"/>
  <c r="AB43" i="14"/>
  <c r="W42" i="14"/>
  <c r="AA42" i="14"/>
  <c r="AB42" i="14"/>
  <c r="W41" i="14"/>
  <c r="AA41" i="14"/>
  <c r="AB41" i="14"/>
  <c r="W40" i="14"/>
  <c r="AA40" i="14"/>
  <c r="AB40" i="14"/>
  <c r="W39" i="14"/>
  <c r="AA39" i="14"/>
  <c r="AB39" i="14"/>
  <c r="W38" i="14"/>
  <c r="AA38" i="14"/>
  <c r="AB38" i="14"/>
  <c r="W37" i="14"/>
  <c r="AA37" i="14"/>
  <c r="AB37" i="14"/>
  <c r="W36" i="14"/>
  <c r="AA36" i="14"/>
  <c r="AB36" i="14"/>
  <c r="W35" i="14"/>
  <c r="AA35" i="14"/>
  <c r="AB35" i="14"/>
  <c r="W34" i="14"/>
  <c r="AA34" i="14"/>
  <c r="AB34" i="14"/>
  <c r="AE34" i="14"/>
  <c r="AE35" i="14"/>
  <c r="AE36" i="14"/>
  <c r="AE37" i="14"/>
  <c r="AE38" i="14"/>
  <c r="AE39" i="14"/>
  <c r="AE40" i="14"/>
  <c r="AE41" i="14"/>
  <c r="AE42" i="14"/>
  <c r="AE43" i="14"/>
  <c r="AE44" i="14"/>
  <c r="AE45" i="14"/>
  <c r="AE46" i="14"/>
  <c r="AE47" i="14"/>
  <c r="AE48" i="14"/>
  <c r="AE49" i="14"/>
  <c r="AE50" i="14"/>
  <c r="AE51" i="14"/>
  <c r="AE52" i="14"/>
  <c r="AE53" i="14"/>
  <c r="AE54" i="14"/>
  <c r="AE55" i="14"/>
  <c r="AE56" i="14"/>
  <c r="AE57" i="14"/>
  <c r="AE58" i="14"/>
  <c r="AD33" i="14"/>
  <c r="AD34" i="14"/>
  <c r="AD35" i="14"/>
  <c r="AD36" i="14"/>
  <c r="AD37" i="14"/>
  <c r="AD38" i="14"/>
  <c r="AD39" i="14"/>
  <c r="AD40" i="14"/>
  <c r="AD41" i="14"/>
  <c r="AD42" i="14"/>
  <c r="AD43" i="14"/>
  <c r="AD44" i="14"/>
  <c r="AD45" i="14"/>
  <c r="AD46" i="14"/>
  <c r="AD47" i="14"/>
  <c r="AD48" i="14"/>
  <c r="AD49" i="14"/>
  <c r="AD50" i="14"/>
  <c r="AD51" i="14"/>
  <c r="AD52" i="14"/>
  <c r="AD53" i="14"/>
  <c r="AD54" i="14"/>
  <c r="AD55" i="14"/>
  <c r="AD56" i="14"/>
  <c r="AD57" i="14"/>
  <c r="AD58" i="14"/>
  <c r="AC33" i="14"/>
  <c r="AC34" i="14"/>
  <c r="AC35" i="14"/>
  <c r="AC36" i="14"/>
  <c r="AC37" i="14"/>
  <c r="AC38" i="14"/>
  <c r="AC39" i="14"/>
  <c r="AC40" i="14"/>
  <c r="AC41" i="14"/>
  <c r="AC42" i="14"/>
  <c r="AC43" i="14"/>
  <c r="AC44" i="14"/>
  <c r="AC45" i="14"/>
  <c r="AC46" i="14"/>
  <c r="AC47" i="14"/>
  <c r="AC48" i="14"/>
  <c r="AC49" i="14"/>
  <c r="AC50" i="14"/>
  <c r="AC51" i="14"/>
  <c r="AC52" i="14"/>
  <c r="AC53" i="14"/>
  <c r="AC54" i="14"/>
  <c r="AC55" i="14"/>
  <c r="AC56" i="14"/>
  <c r="AC57" i="14"/>
  <c r="AC58" i="14"/>
  <c r="Y34" i="14"/>
  <c r="Z34" i="14"/>
  <c r="Y35" i="14"/>
  <c r="Z35" i="14"/>
  <c r="Y36" i="14"/>
  <c r="Z36" i="14"/>
  <c r="Y37" i="14"/>
  <c r="Z37" i="14"/>
  <c r="Y38" i="14"/>
  <c r="Z38" i="14"/>
  <c r="Y39" i="14"/>
  <c r="Z39" i="14"/>
  <c r="Y40" i="14"/>
  <c r="Z40" i="14"/>
  <c r="Y41" i="14"/>
  <c r="Z41" i="14"/>
  <c r="Y42" i="14"/>
  <c r="Z42" i="14"/>
  <c r="Y43" i="14"/>
  <c r="Z43" i="14"/>
  <c r="Y44" i="14"/>
  <c r="Z44" i="14"/>
  <c r="Y45" i="14"/>
  <c r="Z45" i="14"/>
  <c r="Y46" i="14"/>
  <c r="Z46" i="14"/>
  <c r="Y47" i="14"/>
  <c r="Z47" i="14"/>
  <c r="Y48" i="14"/>
  <c r="Z48" i="14"/>
  <c r="Y49" i="14"/>
  <c r="Z49" i="14"/>
  <c r="Y50" i="14"/>
  <c r="Z50" i="14"/>
  <c r="Y51" i="14"/>
  <c r="Z51" i="14"/>
  <c r="Y52" i="14"/>
  <c r="Z52" i="14"/>
  <c r="Y53" i="14"/>
  <c r="Z53" i="14"/>
  <c r="Y54" i="14"/>
  <c r="Z54" i="14"/>
  <c r="Y55" i="14"/>
  <c r="Z55" i="14"/>
  <c r="Y56" i="14"/>
  <c r="Z56" i="14"/>
  <c r="Y57" i="14"/>
  <c r="Z57" i="14"/>
  <c r="Y58" i="14"/>
  <c r="Z58" i="14"/>
  <c r="X58" i="14"/>
  <c r="X57" i="14"/>
  <c r="X56" i="14"/>
  <c r="X55" i="14"/>
  <c r="X54" i="14"/>
  <c r="X53" i="14"/>
  <c r="X52" i="14"/>
  <c r="X51" i="14"/>
  <c r="X50" i="14"/>
  <c r="X49" i="14"/>
  <c r="X48" i="14"/>
  <c r="X47" i="14"/>
  <c r="X46" i="14"/>
  <c r="X45" i="14"/>
  <c r="X44" i="14"/>
  <c r="X43" i="14"/>
  <c r="X42" i="14"/>
  <c r="X41" i="14"/>
  <c r="X40" i="14"/>
  <c r="X39" i="14"/>
  <c r="X38" i="14"/>
  <c r="X37" i="14"/>
  <c r="X36" i="14"/>
  <c r="X35" i="14"/>
  <c r="X34" i="14"/>
  <c r="U16" i="14"/>
  <c r="R4" i="14"/>
  <c r="S2" i="14"/>
  <c r="N13" i="14"/>
  <c r="N12" i="14"/>
  <c r="C11" i="14"/>
  <c r="C10" i="14"/>
  <c r="C9" i="14"/>
  <c r="C8" i="14"/>
  <c r="V46" i="10"/>
  <c r="W46" i="10"/>
  <c r="V47" i="10"/>
  <c r="W47" i="10"/>
  <c r="V48" i="10"/>
  <c r="W48" i="10"/>
  <c r="V49" i="10"/>
  <c r="W49" i="10"/>
  <c r="V50" i="10"/>
  <c r="W50" i="10"/>
  <c r="V51" i="10"/>
  <c r="W51" i="10"/>
  <c r="V52" i="10"/>
  <c r="W52" i="10"/>
  <c r="V53" i="10"/>
  <c r="W53" i="10"/>
  <c r="V54" i="10"/>
  <c r="W54" i="10"/>
  <c r="V55" i="10"/>
  <c r="W55" i="10"/>
  <c r="V56" i="10"/>
  <c r="W56" i="10"/>
  <c r="F36" i="10"/>
  <c r="F37" i="10"/>
  <c r="F39" i="10"/>
  <c r="V57" i="10"/>
  <c r="W57" i="10"/>
  <c r="V58" i="10"/>
  <c r="W58" i="10"/>
  <c r="V59" i="10"/>
  <c r="W59" i="10"/>
  <c r="V60" i="10"/>
  <c r="W60" i="10"/>
  <c r="V61" i="10"/>
  <c r="W61" i="10"/>
  <c r="V62" i="10"/>
  <c r="W62" i="10"/>
  <c r="V63" i="10"/>
  <c r="W63" i="10"/>
  <c r="V64" i="10"/>
  <c r="W64" i="10"/>
  <c r="V65" i="10"/>
  <c r="W65" i="10"/>
  <c r="V66" i="10"/>
  <c r="W66" i="10"/>
  <c r="V67" i="10"/>
  <c r="W67" i="10"/>
  <c r="V68" i="10"/>
  <c r="W68" i="10"/>
  <c r="V69" i="10"/>
  <c r="W69" i="10"/>
  <c r="V70" i="10"/>
  <c r="W70" i="10"/>
  <c r="V71" i="10"/>
  <c r="W71" i="10"/>
  <c r="V72" i="10"/>
  <c r="W72" i="10"/>
  <c r="V73" i="10"/>
  <c r="W73" i="10"/>
  <c r="V74" i="10"/>
  <c r="W74" i="10"/>
  <c r="V75" i="10"/>
  <c r="W75" i="10"/>
  <c r="V76" i="10"/>
  <c r="W76" i="10"/>
  <c r="V77" i="10"/>
  <c r="W77" i="10"/>
  <c r="V78" i="10"/>
  <c r="W78" i="10"/>
  <c r="V79" i="10"/>
  <c r="W79" i="10"/>
  <c r="V80" i="10"/>
  <c r="W80" i="10"/>
  <c r="V81" i="10"/>
  <c r="W81" i="10"/>
  <c r="V82" i="10"/>
  <c r="W82" i="10"/>
  <c r="V83" i="10"/>
  <c r="W83" i="10"/>
  <c r="V84" i="10"/>
  <c r="W84" i="10"/>
  <c r="V85" i="10"/>
  <c r="W85" i="10"/>
  <c r="V86" i="10"/>
  <c r="W86" i="10"/>
  <c r="V87" i="10"/>
  <c r="W87" i="10"/>
  <c r="V88" i="10"/>
  <c r="W88" i="10"/>
  <c r="V89" i="10"/>
  <c r="W89" i="10"/>
  <c r="V90" i="10"/>
  <c r="W90" i="10"/>
  <c r="V91" i="10"/>
  <c r="W91" i="10"/>
  <c r="V92" i="10"/>
  <c r="W92" i="10"/>
  <c r="V93" i="10"/>
  <c r="W93" i="10"/>
  <c r="V94" i="10"/>
  <c r="W94" i="10"/>
  <c r="V95" i="10"/>
  <c r="W95" i="10"/>
  <c r="V96" i="10"/>
  <c r="W96" i="10"/>
  <c r="V97" i="10"/>
  <c r="W97" i="10"/>
  <c r="V98" i="10"/>
  <c r="W98" i="10"/>
  <c r="V99" i="10"/>
  <c r="W99" i="10"/>
  <c r="V100" i="10"/>
  <c r="W100" i="10"/>
  <c r="V101" i="10"/>
  <c r="W101" i="10"/>
  <c r="V102" i="10"/>
  <c r="W102" i="10"/>
  <c r="V103" i="10"/>
  <c r="W103" i="10"/>
  <c r="V104" i="10"/>
  <c r="W104" i="10"/>
  <c r="V105" i="10"/>
  <c r="W105" i="10"/>
  <c r="V106" i="10"/>
  <c r="W106" i="10"/>
  <c r="V107" i="10"/>
  <c r="W107" i="10"/>
  <c r="V108" i="10"/>
  <c r="W108" i="10"/>
  <c r="V109" i="10"/>
  <c r="W109" i="10"/>
  <c r="V110" i="10"/>
  <c r="W110" i="10"/>
  <c r="V111" i="10"/>
  <c r="W111" i="10"/>
  <c r="V112" i="10"/>
  <c r="W112" i="10"/>
  <c r="V113" i="10"/>
  <c r="W113" i="10"/>
  <c r="V114" i="10"/>
  <c r="W114" i="10"/>
  <c r="V115" i="10"/>
  <c r="W115" i="10"/>
  <c r="V116" i="10"/>
  <c r="W116" i="10"/>
  <c r="V117" i="10"/>
  <c r="W117" i="10"/>
  <c r="V118" i="10"/>
  <c r="W118" i="10"/>
  <c r="V119" i="10"/>
  <c r="W119" i="10"/>
  <c r="V120" i="10"/>
  <c r="W120" i="10"/>
  <c r="V121" i="10"/>
  <c r="W121" i="10"/>
  <c r="V122" i="10"/>
  <c r="W122" i="10"/>
  <c r="V123" i="10"/>
  <c r="W123" i="10"/>
  <c r="V124" i="10"/>
  <c r="W124" i="10"/>
  <c r="V125" i="10"/>
  <c r="W125" i="10"/>
  <c r="V126" i="10"/>
  <c r="W126" i="10"/>
  <c r="V127" i="10"/>
  <c r="W127" i="10"/>
  <c r="V128" i="10"/>
  <c r="W128" i="10"/>
  <c r="V129" i="10"/>
  <c r="W129" i="10"/>
  <c r="V130" i="10"/>
  <c r="W130" i="10"/>
  <c r="V131" i="10"/>
  <c r="W131" i="10"/>
  <c r="V132" i="10"/>
  <c r="W132" i="10"/>
  <c r="V133" i="10"/>
  <c r="W133" i="10"/>
  <c r="V134" i="10"/>
  <c r="W134" i="10"/>
  <c r="V135" i="10"/>
  <c r="W135" i="10"/>
  <c r="V136" i="10"/>
  <c r="W136" i="10"/>
  <c r="V137" i="10"/>
  <c r="W137" i="10"/>
  <c r="V138" i="10"/>
  <c r="W138" i="10"/>
  <c r="V139" i="10"/>
  <c r="W139" i="10"/>
  <c r="V140" i="10"/>
  <c r="W140" i="10"/>
  <c r="V141" i="10"/>
  <c r="W141" i="10"/>
  <c r="V142" i="10"/>
  <c r="W142" i="10"/>
  <c r="V143" i="10"/>
  <c r="W143" i="10"/>
  <c r="V144" i="10"/>
  <c r="W144" i="10"/>
  <c r="V145" i="10"/>
  <c r="W145" i="10"/>
  <c r="V146" i="10"/>
  <c r="W146" i="10"/>
  <c r="V147" i="10"/>
  <c r="W147" i="10"/>
  <c r="V148" i="10"/>
  <c r="W148" i="10"/>
  <c r="V149" i="10"/>
  <c r="W149" i="10"/>
  <c r="V150" i="10"/>
  <c r="W150" i="10"/>
  <c r="V151" i="10"/>
  <c r="W151" i="10"/>
  <c r="V152" i="10"/>
  <c r="W152" i="10"/>
  <c r="V153" i="10"/>
  <c r="W153" i="10"/>
  <c r="V154" i="10"/>
  <c r="W154" i="10"/>
  <c r="V155" i="10"/>
  <c r="W155" i="10"/>
  <c r="V156" i="10"/>
  <c r="W156" i="10"/>
  <c r="V157" i="10"/>
  <c r="W157" i="10"/>
  <c r="V158" i="10"/>
  <c r="W158" i="10"/>
  <c r="V159" i="10"/>
  <c r="W159" i="10"/>
  <c r="V160" i="10"/>
  <c r="W160" i="10"/>
  <c r="V161" i="10"/>
  <c r="W161" i="10"/>
  <c r="V162" i="10"/>
  <c r="W162" i="10"/>
  <c r="V163" i="10"/>
  <c r="W163" i="10"/>
  <c r="V164" i="10"/>
  <c r="W164" i="10"/>
  <c r="V165" i="10"/>
  <c r="W165" i="10"/>
  <c r="V166" i="10"/>
  <c r="W166" i="10"/>
  <c r="V167" i="10"/>
  <c r="W167" i="10"/>
  <c r="V168" i="10"/>
  <c r="W168" i="10"/>
  <c r="V169" i="10"/>
  <c r="W169" i="10"/>
  <c r="V170" i="10"/>
  <c r="W170" i="10"/>
  <c r="V171" i="10"/>
  <c r="W171" i="10"/>
  <c r="V172" i="10"/>
  <c r="W172" i="10"/>
  <c r="V173" i="10"/>
  <c r="W173" i="10"/>
  <c r="V174" i="10"/>
  <c r="W174" i="10"/>
  <c r="V175" i="10"/>
  <c r="W175" i="10"/>
  <c r="V176" i="10"/>
  <c r="W176" i="10"/>
  <c r="V177" i="10"/>
  <c r="W177" i="10"/>
  <c r="V178" i="10"/>
  <c r="W178" i="10"/>
  <c r="V179" i="10"/>
  <c r="W179" i="10"/>
  <c r="V180" i="10"/>
  <c r="W180" i="10"/>
  <c r="V181" i="10"/>
  <c r="W181" i="10"/>
  <c r="V182" i="10"/>
  <c r="W182" i="10"/>
  <c r="V183" i="10"/>
  <c r="W183" i="10"/>
  <c r="V184" i="10"/>
  <c r="W184" i="10"/>
  <c r="V185" i="10"/>
  <c r="W185" i="10"/>
  <c r="V186" i="10"/>
  <c r="W186" i="10"/>
  <c r="V187" i="10"/>
  <c r="W187" i="10"/>
  <c r="V188" i="10"/>
  <c r="W188" i="10"/>
  <c r="V189" i="10"/>
  <c r="W189" i="10"/>
  <c r="V190" i="10"/>
  <c r="W190" i="10"/>
  <c r="V191" i="10"/>
  <c r="W191" i="10"/>
  <c r="V192" i="10"/>
  <c r="W192" i="10"/>
  <c r="V193" i="10"/>
  <c r="W193" i="10"/>
  <c r="V194" i="10"/>
  <c r="W194" i="10"/>
  <c r="V195" i="10"/>
  <c r="W195" i="10"/>
  <c r="V196" i="10"/>
  <c r="W196" i="10"/>
  <c r="V197" i="10"/>
  <c r="W197" i="10"/>
  <c r="V198" i="10"/>
  <c r="W198" i="10"/>
  <c r="V199" i="10"/>
  <c r="W199" i="10"/>
  <c r="V200" i="10"/>
  <c r="W200" i="10"/>
  <c r="V201" i="10"/>
  <c r="W201" i="10"/>
  <c r="V202" i="10"/>
  <c r="W202" i="10"/>
  <c r="V203" i="10"/>
  <c r="W203" i="10"/>
  <c r="V204" i="10"/>
  <c r="W204" i="10"/>
  <c r="V205" i="10"/>
  <c r="W205" i="10"/>
  <c r="V206" i="10"/>
  <c r="W206" i="10"/>
  <c r="V207" i="10"/>
  <c r="W207" i="10"/>
  <c r="V208" i="10"/>
  <c r="W208" i="10"/>
  <c r="V209" i="10"/>
  <c r="W209" i="10"/>
  <c r="V210" i="10"/>
  <c r="W210" i="10"/>
  <c r="V211" i="10"/>
  <c r="W211" i="10"/>
  <c r="V212" i="10"/>
  <c r="W212" i="10"/>
  <c r="V213" i="10"/>
  <c r="W213" i="10"/>
  <c r="V214" i="10"/>
  <c r="W214" i="10"/>
  <c r="V215" i="10"/>
  <c r="W215" i="10"/>
  <c r="V216" i="10"/>
  <c r="W216" i="10"/>
  <c r="V217" i="10"/>
  <c r="W217" i="10"/>
  <c r="V218" i="10"/>
  <c r="W218" i="10"/>
  <c r="V219" i="10"/>
  <c r="W219" i="10"/>
  <c r="V220" i="10"/>
  <c r="W220" i="10"/>
  <c r="V221" i="10"/>
  <c r="W221" i="10"/>
  <c r="V222" i="10"/>
  <c r="W222" i="10"/>
  <c r="V223" i="10"/>
  <c r="W223" i="10"/>
  <c r="V224" i="10"/>
  <c r="W224" i="10"/>
  <c r="V225" i="10"/>
  <c r="W225" i="10"/>
  <c r="V226" i="10"/>
  <c r="W226" i="10"/>
  <c r="V227" i="10"/>
  <c r="W227" i="10"/>
  <c r="V228" i="10"/>
  <c r="W228" i="10"/>
  <c r="V229" i="10"/>
  <c r="W229" i="10"/>
  <c r="V230" i="10"/>
  <c r="W230" i="10"/>
  <c r="V231" i="10"/>
  <c r="W231" i="10"/>
  <c r="V232" i="10"/>
  <c r="W232" i="10"/>
  <c r="V233" i="10"/>
  <c r="W233" i="10"/>
  <c r="V234" i="10"/>
  <c r="W234" i="10"/>
  <c r="V235" i="10"/>
  <c r="W235" i="10"/>
  <c r="V236" i="10"/>
  <c r="W236" i="10"/>
  <c r="V237" i="10"/>
  <c r="W237" i="10"/>
  <c r="V238" i="10"/>
  <c r="W238" i="10"/>
  <c r="V239" i="10"/>
  <c r="W239" i="10"/>
  <c r="V240" i="10"/>
  <c r="W240" i="10"/>
  <c r="V241" i="10"/>
  <c r="W241" i="10"/>
  <c r="V242" i="10"/>
  <c r="W242" i="10"/>
  <c r="V243" i="10"/>
  <c r="W243" i="10"/>
  <c r="V244" i="10"/>
  <c r="W244" i="10"/>
  <c r="V245" i="10"/>
  <c r="W245" i="10"/>
  <c r="V246" i="10"/>
  <c r="W246" i="10"/>
  <c r="V247" i="10"/>
  <c r="W247" i="10"/>
  <c r="V248" i="10"/>
  <c r="W248" i="10"/>
  <c r="V249" i="10"/>
  <c r="W249" i="10"/>
  <c r="V250" i="10"/>
  <c r="W250" i="10"/>
  <c r="V251" i="10"/>
  <c r="W251" i="10"/>
  <c r="V252" i="10"/>
  <c r="W252" i="10"/>
  <c r="V253" i="10"/>
  <c r="W253" i="10"/>
  <c r="V254" i="10"/>
  <c r="W254" i="10"/>
  <c r="V255" i="10"/>
  <c r="W255" i="10"/>
  <c r="V256" i="10"/>
  <c r="W256" i="10"/>
  <c r="V257" i="10"/>
  <c r="W257" i="10"/>
  <c r="V258" i="10"/>
  <c r="W258" i="10"/>
  <c r="V259" i="10"/>
  <c r="W259" i="10"/>
  <c r="V260" i="10"/>
  <c r="W260" i="10"/>
  <c r="V261" i="10"/>
  <c r="W261" i="10"/>
  <c r="V262" i="10"/>
  <c r="W262" i="10"/>
  <c r="V263" i="10"/>
  <c r="W263" i="10"/>
  <c r="V264" i="10"/>
  <c r="W264" i="10"/>
  <c r="V265" i="10"/>
  <c r="W265" i="10"/>
  <c r="V266" i="10"/>
  <c r="W266" i="10"/>
  <c r="V267" i="10"/>
  <c r="W267" i="10"/>
  <c r="V268" i="10"/>
  <c r="W268" i="10"/>
  <c r="V269" i="10"/>
  <c r="W269" i="10"/>
  <c r="V270" i="10"/>
  <c r="W270" i="10"/>
  <c r="V271" i="10"/>
  <c r="W271" i="10"/>
  <c r="V272" i="10"/>
  <c r="W272" i="10"/>
  <c r="V273" i="10"/>
  <c r="W273" i="10"/>
  <c r="V274" i="10"/>
  <c r="W274" i="10"/>
  <c r="V275" i="10"/>
  <c r="W275" i="10"/>
  <c r="V276" i="10"/>
  <c r="W276" i="10"/>
  <c r="V277" i="10"/>
  <c r="W277" i="10"/>
  <c r="V278" i="10"/>
  <c r="W278" i="10"/>
  <c r="V279" i="10"/>
  <c r="W279" i="10"/>
  <c r="V280" i="10"/>
  <c r="W280" i="10"/>
  <c r="V281" i="10"/>
  <c r="W281" i="10"/>
  <c r="V282" i="10"/>
  <c r="W282" i="10"/>
  <c r="V283" i="10"/>
  <c r="W283" i="10"/>
  <c r="V284" i="10"/>
  <c r="W284" i="10"/>
  <c r="V285" i="10"/>
  <c r="W285" i="10"/>
  <c r="AA46" i="10"/>
  <c r="D286" i="10"/>
  <c r="D287" i="10"/>
  <c r="D288" i="10"/>
  <c r="D289" i="10"/>
  <c r="D290" i="10"/>
  <c r="D291" i="10"/>
  <c r="D292" i="10"/>
  <c r="D293" i="10"/>
  <c r="D294" i="10"/>
  <c r="D295" i="10"/>
  <c r="D296" i="10"/>
  <c r="D297" i="10"/>
  <c r="D298" i="10"/>
  <c r="D299" i="10"/>
  <c r="D300" i="10"/>
  <c r="D301" i="10"/>
  <c r="D302" i="10"/>
  <c r="D303" i="10"/>
  <c r="D304" i="10"/>
  <c r="D305" i="10"/>
  <c r="D306" i="10"/>
  <c r="D307" i="10"/>
  <c r="D308" i="10"/>
  <c r="D309" i="10"/>
  <c r="D310" i="10"/>
  <c r="D311" i="10"/>
  <c r="D312" i="10"/>
  <c r="D313" i="10"/>
  <c r="D314" i="10"/>
  <c r="D315" i="10"/>
  <c r="D316" i="10"/>
  <c r="D317" i="10"/>
  <c r="D318" i="10"/>
  <c r="D319" i="10"/>
  <c r="D320" i="10"/>
  <c r="D321" i="10"/>
  <c r="D322" i="10"/>
  <c r="D323" i="10"/>
  <c r="D324" i="10"/>
  <c r="D325" i="10"/>
  <c r="D326" i="10"/>
  <c r="D327" i="10"/>
  <c r="D328" i="10"/>
  <c r="D329" i="10"/>
  <c r="D330" i="10"/>
  <c r="D331" i="10"/>
  <c r="D332" i="10"/>
  <c r="D333" i="10"/>
  <c r="D334" i="10"/>
  <c r="D335" i="10"/>
  <c r="D336" i="10"/>
  <c r="D337" i="10"/>
  <c r="D338" i="10"/>
  <c r="D339" i="10"/>
  <c r="D340" i="10"/>
  <c r="D341" i="10"/>
  <c r="D342" i="10"/>
  <c r="D343" i="10"/>
  <c r="D344" i="10"/>
  <c r="D345" i="10"/>
  <c r="L285" i="10"/>
  <c r="F286" i="10"/>
  <c r="G286" i="10"/>
  <c r="V286" i="10"/>
  <c r="W286" i="10"/>
  <c r="I286" i="10"/>
  <c r="K286" i="10"/>
  <c r="J286" i="10"/>
  <c r="L286" i="10"/>
  <c r="F287" i="10"/>
  <c r="G287" i="10"/>
  <c r="V287" i="10"/>
  <c r="W287" i="10"/>
  <c r="I287" i="10"/>
  <c r="K287" i="10"/>
  <c r="J287" i="10"/>
  <c r="L287" i="10"/>
  <c r="F288" i="10"/>
  <c r="G288" i="10"/>
  <c r="V288" i="10"/>
  <c r="W288" i="10"/>
  <c r="I288" i="10"/>
  <c r="K288" i="10"/>
  <c r="J288" i="10"/>
  <c r="L288" i="10"/>
  <c r="F289" i="10"/>
  <c r="G289" i="10"/>
  <c r="V289" i="10"/>
  <c r="W289" i="10"/>
  <c r="I289" i="10"/>
  <c r="K289" i="10"/>
  <c r="J289" i="10"/>
  <c r="L289" i="10"/>
  <c r="F290" i="10"/>
  <c r="G290" i="10"/>
  <c r="V290" i="10"/>
  <c r="W290" i="10"/>
  <c r="I290" i="10"/>
  <c r="K290" i="10"/>
  <c r="J290" i="10"/>
  <c r="L290" i="10"/>
  <c r="F291" i="10"/>
  <c r="G291" i="10"/>
  <c r="V291" i="10"/>
  <c r="W291" i="10"/>
  <c r="I291" i="10"/>
  <c r="K291" i="10"/>
  <c r="J291" i="10"/>
  <c r="L291" i="10"/>
  <c r="F292" i="10"/>
  <c r="G292" i="10"/>
  <c r="V292" i="10"/>
  <c r="W292" i="10"/>
  <c r="I292" i="10"/>
  <c r="K292" i="10"/>
  <c r="J292" i="10"/>
  <c r="L292" i="10"/>
  <c r="F293" i="10"/>
  <c r="G293" i="10"/>
  <c r="V293" i="10"/>
  <c r="W293" i="10"/>
  <c r="I293" i="10"/>
  <c r="K293" i="10"/>
  <c r="J293" i="10"/>
  <c r="L293" i="10"/>
  <c r="F294" i="10"/>
  <c r="G294" i="10"/>
  <c r="V294" i="10"/>
  <c r="W294" i="10"/>
  <c r="I294" i="10"/>
  <c r="K294" i="10"/>
  <c r="J294" i="10"/>
  <c r="L294" i="10"/>
  <c r="F295" i="10"/>
  <c r="G295" i="10"/>
  <c r="V295" i="10"/>
  <c r="W295" i="10"/>
  <c r="I295" i="10"/>
  <c r="K295" i="10"/>
  <c r="J295" i="10"/>
  <c r="L295" i="10"/>
  <c r="F296" i="10"/>
  <c r="G296" i="10"/>
  <c r="V296" i="10"/>
  <c r="W296" i="10"/>
  <c r="I296" i="10"/>
  <c r="K296" i="10"/>
  <c r="J296" i="10"/>
  <c r="L296" i="10"/>
  <c r="F297" i="10"/>
  <c r="G297" i="10"/>
  <c r="V297" i="10"/>
  <c r="W297" i="10"/>
  <c r="I297" i="10"/>
  <c r="K297" i="10"/>
  <c r="J297" i="10"/>
  <c r="L297" i="10"/>
  <c r="F298" i="10"/>
  <c r="G298" i="10"/>
  <c r="V298" i="10"/>
  <c r="W298" i="10"/>
  <c r="I298" i="10"/>
  <c r="K298" i="10"/>
  <c r="J298" i="10"/>
  <c r="L298" i="10"/>
  <c r="F299" i="10"/>
  <c r="G299" i="10"/>
  <c r="V299" i="10"/>
  <c r="W299" i="10"/>
  <c r="I299" i="10"/>
  <c r="K299" i="10"/>
  <c r="J299" i="10"/>
  <c r="L299" i="10"/>
  <c r="F300" i="10"/>
  <c r="G300" i="10"/>
  <c r="V300" i="10"/>
  <c r="W300" i="10"/>
  <c r="I300" i="10"/>
  <c r="K300" i="10"/>
  <c r="J300" i="10"/>
  <c r="L300" i="10"/>
  <c r="F301" i="10"/>
  <c r="G301" i="10"/>
  <c r="V301" i="10"/>
  <c r="W301" i="10"/>
  <c r="I301" i="10"/>
  <c r="K301" i="10"/>
  <c r="J301" i="10"/>
  <c r="L301" i="10"/>
  <c r="F302" i="10"/>
  <c r="G302" i="10"/>
  <c r="V302" i="10"/>
  <c r="W302" i="10"/>
  <c r="I302" i="10"/>
  <c r="K302" i="10"/>
  <c r="J302" i="10"/>
  <c r="L302" i="10"/>
  <c r="F303" i="10"/>
  <c r="G303" i="10"/>
  <c r="V303" i="10"/>
  <c r="W303" i="10"/>
  <c r="I303" i="10"/>
  <c r="K303" i="10"/>
  <c r="J303" i="10"/>
  <c r="L303" i="10"/>
  <c r="F304" i="10"/>
  <c r="G304" i="10"/>
  <c r="V304" i="10"/>
  <c r="W304" i="10"/>
  <c r="I304" i="10"/>
  <c r="K304" i="10"/>
  <c r="J304" i="10"/>
  <c r="L304" i="10"/>
  <c r="F305" i="10"/>
  <c r="G305" i="10"/>
  <c r="V305" i="10"/>
  <c r="W305" i="10"/>
  <c r="I305" i="10"/>
  <c r="K305" i="10"/>
  <c r="J305" i="10"/>
  <c r="L305" i="10"/>
  <c r="F306" i="10"/>
  <c r="G306" i="10"/>
  <c r="V306" i="10"/>
  <c r="W306" i="10"/>
  <c r="I306" i="10"/>
  <c r="K306" i="10"/>
  <c r="J306" i="10"/>
  <c r="L306" i="10"/>
  <c r="F307" i="10"/>
  <c r="G307" i="10"/>
  <c r="V307" i="10"/>
  <c r="W307" i="10"/>
  <c r="I307" i="10"/>
  <c r="K307" i="10"/>
  <c r="J307" i="10"/>
  <c r="L307" i="10"/>
  <c r="F308" i="10"/>
  <c r="G308" i="10"/>
  <c r="V308" i="10"/>
  <c r="W308" i="10"/>
  <c r="I308" i="10"/>
  <c r="K308" i="10"/>
  <c r="J308" i="10"/>
  <c r="L308" i="10"/>
  <c r="F309" i="10"/>
  <c r="G309" i="10"/>
  <c r="V309" i="10"/>
  <c r="W309" i="10"/>
  <c r="I309" i="10"/>
  <c r="K309" i="10"/>
  <c r="J309" i="10"/>
  <c r="L309" i="10"/>
  <c r="F310" i="10"/>
  <c r="G310" i="10"/>
  <c r="V310" i="10"/>
  <c r="W310" i="10"/>
  <c r="I310" i="10"/>
  <c r="K310" i="10"/>
  <c r="J310" i="10"/>
  <c r="L310" i="10"/>
  <c r="F311" i="10"/>
  <c r="G311" i="10"/>
  <c r="V311" i="10"/>
  <c r="W311" i="10"/>
  <c r="I311" i="10"/>
  <c r="K311" i="10"/>
  <c r="J311" i="10"/>
  <c r="L311" i="10"/>
  <c r="F312" i="10"/>
  <c r="G312" i="10"/>
  <c r="V312" i="10"/>
  <c r="W312" i="10"/>
  <c r="I312" i="10"/>
  <c r="K312" i="10"/>
  <c r="J312" i="10"/>
  <c r="L312" i="10"/>
  <c r="F313" i="10"/>
  <c r="G313" i="10"/>
  <c r="V313" i="10"/>
  <c r="W313" i="10"/>
  <c r="I313" i="10"/>
  <c r="K313" i="10"/>
  <c r="J313" i="10"/>
  <c r="L313" i="10"/>
  <c r="F314" i="10"/>
  <c r="G314" i="10"/>
  <c r="V314" i="10"/>
  <c r="W314" i="10"/>
  <c r="I314" i="10"/>
  <c r="K314" i="10"/>
  <c r="J314" i="10"/>
  <c r="L314" i="10"/>
  <c r="F315" i="10"/>
  <c r="G315" i="10"/>
  <c r="V315" i="10"/>
  <c r="W315" i="10"/>
  <c r="I315" i="10"/>
  <c r="K315" i="10"/>
  <c r="J315" i="10"/>
  <c r="L315" i="10"/>
  <c r="F316" i="10"/>
  <c r="G316" i="10"/>
  <c r="V316" i="10"/>
  <c r="W316" i="10"/>
  <c r="I316" i="10"/>
  <c r="K316" i="10"/>
  <c r="J316" i="10"/>
  <c r="L316" i="10"/>
  <c r="F317" i="10"/>
  <c r="G317" i="10"/>
  <c r="V317" i="10"/>
  <c r="W317" i="10"/>
  <c r="I317" i="10"/>
  <c r="K317" i="10"/>
  <c r="J317" i="10"/>
  <c r="L317" i="10"/>
  <c r="F318" i="10"/>
  <c r="G318" i="10"/>
  <c r="V318" i="10"/>
  <c r="W318" i="10"/>
  <c r="I318" i="10"/>
  <c r="K318" i="10"/>
  <c r="J318" i="10"/>
  <c r="L318" i="10"/>
  <c r="F319" i="10"/>
  <c r="G319" i="10"/>
  <c r="V319" i="10"/>
  <c r="W319" i="10"/>
  <c r="I319" i="10"/>
  <c r="K319" i="10"/>
  <c r="J319" i="10"/>
  <c r="L319" i="10"/>
  <c r="F320" i="10"/>
  <c r="G320" i="10"/>
  <c r="V320" i="10"/>
  <c r="W320" i="10"/>
  <c r="I320" i="10"/>
  <c r="K320" i="10"/>
  <c r="J320" i="10"/>
  <c r="L320" i="10"/>
  <c r="F321" i="10"/>
  <c r="G321" i="10"/>
  <c r="V321" i="10"/>
  <c r="W321" i="10"/>
  <c r="I321" i="10"/>
  <c r="K321" i="10"/>
  <c r="J321" i="10"/>
  <c r="L321" i="10"/>
  <c r="F322" i="10"/>
  <c r="G322" i="10"/>
  <c r="V322" i="10"/>
  <c r="W322" i="10"/>
  <c r="I322" i="10"/>
  <c r="K322" i="10"/>
  <c r="J322" i="10"/>
  <c r="L322" i="10"/>
  <c r="F323" i="10"/>
  <c r="G323" i="10"/>
  <c r="V323" i="10"/>
  <c r="W323" i="10"/>
  <c r="I323" i="10"/>
  <c r="K323" i="10"/>
  <c r="J323" i="10"/>
  <c r="L323" i="10"/>
  <c r="F324" i="10"/>
  <c r="G324" i="10"/>
  <c r="V324" i="10"/>
  <c r="W324" i="10"/>
  <c r="I324" i="10"/>
  <c r="K324" i="10"/>
  <c r="J324" i="10"/>
  <c r="L324" i="10"/>
  <c r="F325" i="10"/>
  <c r="G325" i="10"/>
  <c r="V325" i="10"/>
  <c r="W325" i="10"/>
  <c r="I325" i="10"/>
  <c r="K325" i="10"/>
  <c r="J325" i="10"/>
  <c r="L325" i="10"/>
  <c r="F326" i="10"/>
  <c r="G326" i="10"/>
  <c r="V326" i="10"/>
  <c r="W326" i="10"/>
  <c r="I326" i="10"/>
  <c r="K326" i="10"/>
  <c r="J326" i="10"/>
  <c r="L326" i="10"/>
  <c r="F327" i="10"/>
  <c r="G327" i="10"/>
  <c r="V327" i="10"/>
  <c r="W327" i="10"/>
  <c r="I327" i="10"/>
  <c r="K327" i="10"/>
  <c r="J327" i="10"/>
  <c r="L327" i="10"/>
  <c r="F328" i="10"/>
  <c r="G328" i="10"/>
  <c r="V328" i="10"/>
  <c r="W328" i="10"/>
  <c r="I328" i="10"/>
  <c r="K328" i="10"/>
  <c r="J328" i="10"/>
  <c r="L328" i="10"/>
  <c r="F329" i="10"/>
  <c r="G329" i="10"/>
  <c r="V329" i="10"/>
  <c r="W329" i="10"/>
  <c r="I329" i="10"/>
  <c r="K329" i="10"/>
  <c r="J329" i="10"/>
  <c r="L329" i="10"/>
  <c r="F330" i="10"/>
  <c r="G330" i="10"/>
  <c r="V330" i="10"/>
  <c r="W330" i="10"/>
  <c r="I330" i="10"/>
  <c r="K330" i="10"/>
  <c r="J330" i="10"/>
  <c r="L330" i="10"/>
  <c r="F331" i="10"/>
  <c r="G331" i="10"/>
  <c r="V331" i="10"/>
  <c r="W331" i="10"/>
  <c r="I331" i="10"/>
  <c r="K331" i="10"/>
  <c r="J331" i="10"/>
  <c r="L331" i="10"/>
  <c r="F332" i="10"/>
  <c r="G332" i="10"/>
  <c r="V332" i="10"/>
  <c r="W332" i="10"/>
  <c r="I332" i="10"/>
  <c r="K332" i="10"/>
  <c r="J332" i="10"/>
  <c r="L332" i="10"/>
  <c r="F333" i="10"/>
  <c r="G333" i="10"/>
  <c r="V333" i="10"/>
  <c r="W333" i="10"/>
  <c r="I333" i="10"/>
  <c r="K333" i="10"/>
  <c r="J333" i="10"/>
  <c r="L333" i="10"/>
  <c r="F334" i="10"/>
  <c r="G334" i="10"/>
  <c r="V334" i="10"/>
  <c r="W334" i="10"/>
  <c r="I334" i="10"/>
  <c r="K334" i="10"/>
  <c r="J334" i="10"/>
  <c r="L334" i="10"/>
  <c r="F335" i="10"/>
  <c r="G335" i="10"/>
  <c r="V335" i="10"/>
  <c r="W335" i="10"/>
  <c r="I335" i="10"/>
  <c r="K335" i="10"/>
  <c r="J335" i="10"/>
  <c r="L335" i="10"/>
  <c r="F336" i="10"/>
  <c r="G336" i="10"/>
  <c r="V336" i="10"/>
  <c r="W336" i="10"/>
  <c r="I336" i="10"/>
  <c r="K336" i="10"/>
  <c r="J336" i="10"/>
  <c r="L336" i="10"/>
  <c r="F337" i="10"/>
  <c r="G337" i="10"/>
  <c r="V337" i="10"/>
  <c r="W337" i="10"/>
  <c r="I337" i="10"/>
  <c r="K337" i="10"/>
  <c r="J337" i="10"/>
  <c r="L337" i="10"/>
  <c r="F338" i="10"/>
  <c r="G338" i="10"/>
  <c r="V338" i="10"/>
  <c r="W338" i="10"/>
  <c r="I338" i="10"/>
  <c r="K338" i="10"/>
  <c r="J338" i="10"/>
  <c r="L338" i="10"/>
  <c r="F339" i="10"/>
  <c r="G339" i="10"/>
  <c r="V339" i="10"/>
  <c r="W339" i="10"/>
  <c r="I339" i="10"/>
  <c r="K339" i="10"/>
  <c r="J339" i="10"/>
  <c r="L339" i="10"/>
  <c r="F340" i="10"/>
  <c r="G340" i="10"/>
  <c r="V340" i="10"/>
  <c r="W340" i="10"/>
  <c r="I340" i="10"/>
  <c r="K340" i="10"/>
  <c r="J340" i="10"/>
  <c r="L340" i="10"/>
  <c r="F341" i="10"/>
  <c r="G341" i="10"/>
  <c r="V341" i="10"/>
  <c r="W341" i="10"/>
  <c r="I341" i="10"/>
  <c r="K341" i="10"/>
  <c r="J341" i="10"/>
  <c r="L341" i="10"/>
  <c r="F342" i="10"/>
  <c r="G342" i="10"/>
  <c r="V342" i="10"/>
  <c r="W342" i="10"/>
  <c r="I342" i="10"/>
  <c r="K342" i="10"/>
  <c r="J342" i="10"/>
  <c r="L342" i="10"/>
  <c r="F343" i="10"/>
  <c r="G343" i="10"/>
  <c r="V343" i="10"/>
  <c r="W343" i="10"/>
  <c r="I343" i="10"/>
  <c r="K343" i="10"/>
  <c r="J343" i="10"/>
  <c r="L343" i="10"/>
  <c r="F344" i="10"/>
  <c r="G344" i="10"/>
  <c r="V344" i="10"/>
  <c r="W344" i="10"/>
  <c r="I344" i="10"/>
  <c r="F345" i="10"/>
  <c r="R345" i="10"/>
  <c r="Q345" i="10"/>
  <c r="K344" i="10"/>
  <c r="J344" i="10"/>
  <c r="L344" i="10"/>
  <c r="G345" i="10"/>
  <c r="V345" i="10"/>
  <c r="W345" i="10"/>
  <c r="I345" i="10"/>
  <c r="H345" i="10"/>
  <c r="E345" i="10"/>
  <c r="R344" i="10"/>
  <c r="Q344" i="10"/>
  <c r="H344" i="10"/>
  <c r="E344" i="10"/>
  <c r="R343" i="10"/>
  <c r="Q343" i="10"/>
  <c r="H343" i="10"/>
  <c r="E343" i="10"/>
  <c r="R342" i="10"/>
  <c r="Q342" i="10"/>
  <c r="H342" i="10"/>
  <c r="E342" i="10"/>
  <c r="R341" i="10"/>
  <c r="Q341" i="10"/>
  <c r="H341" i="10"/>
  <c r="E341" i="10"/>
  <c r="R340" i="10"/>
  <c r="Q340" i="10"/>
  <c r="H340" i="10"/>
  <c r="E340" i="10"/>
  <c r="R339" i="10"/>
  <c r="Q339" i="10"/>
  <c r="H339" i="10"/>
  <c r="E339" i="10"/>
  <c r="R338" i="10"/>
  <c r="Q338" i="10"/>
  <c r="H338" i="10"/>
  <c r="E338" i="10"/>
  <c r="R337" i="10"/>
  <c r="Q337" i="10"/>
  <c r="H337" i="10"/>
  <c r="E337" i="10"/>
  <c r="R336" i="10"/>
  <c r="Q336" i="10"/>
  <c r="H336" i="10"/>
  <c r="E336" i="10"/>
  <c r="R335" i="10"/>
  <c r="Q335" i="10"/>
  <c r="H335" i="10"/>
  <c r="E335" i="10"/>
  <c r="R334" i="10"/>
  <c r="Q334" i="10"/>
  <c r="H334" i="10"/>
  <c r="E334" i="10"/>
  <c r="R333" i="10"/>
  <c r="Q333" i="10"/>
  <c r="H333" i="10"/>
  <c r="E333" i="10"/>
  <c r="R332" i="10"/>
  <c r="Q332" i="10"/>
  <c r="H332" i="10"/>
  <c r="E332" i="10"/>
  <c r="R331" i="10"/>
  <c r="Q331" i="10"/>
  <c r="H331" i="10"/>
  <c r="E331" i="10"/>
  <c r="R330" i="10"/>
  <c r="Q330" i="10"/>
  <c r="H330" i="10"/>
  <c r="E330" i="10"/>
  <c r="R329" i="10"/>
  <c r="Q329" i="10"/>
  <c r="H329" i="10"/>
  <c r="E329" i="10"/>
  <c r="R328" i="10"/>
  <c r="Q328" i="10"/>
  <c r="H328" i="10"/>
  <c r="E328" i="10"/>
  <c r="R327" i="10"/>
  <c r="Q327" i="10"/>
  <c r="H327" i="10"/>
  <c r="E327" i="10"/>
  <c r="R326" i="10"/>
  <c r="Q326" i="10"/>
  <c r="H326" i="10"/>
  <c r="E326" i="10"/>
  <c r="R325" i="10"/>
  <c r="Q325" i="10"/>
  <c r="H325" i="10"/>
  <c r="E325" i="10"/>
  <c r="R324" i="10"/>
  <c r="Q324" i="10"/>
  <c r="H324" i="10"/>
  <c r="E324" i="10"/>
  <c r="R323" i="10"/>
  <c r="Q323" i="10"/>
  <c r="H323" i="10"/>
  <c r="E323" i="10"/>
  <c r="R322" i="10"/>
  <c r="Q322" i="10"/>
  <c r="H322" i="10"/>
  <c r="E322" i="10"/>
  <c r="R321" i="10"/>
  <c r="Q321" i="10"/>
  <c r="H321" i="10"/>
  <c r="E321" i="10"/>
  <c r="R320" i="10"/>
  <c r="Q320" i="10"/>
  <c r="H320" i="10"/>
  <c r="E320" i="10"/>
  <c r="R319" i="10"/>
  <c r="Q319" i="10"/>
  <c r="H319" i="10"/>
  <c r="E319" i="10"/>
  <c r="R318" i="10"/>
  <c r="Q318" i="10"/>
  <c r="H318" i="10"/>
  <c r="E318" i="10"/>
  <c r="R317" i="10"/>
  <c r="Q317" i="10"/>
  <c r="H317" i="10"/>
  <c r="E317" i="10"/>
  <c r="R316" i="10"/>
  <c r="Q316" i="10"/>
  <c r="H316" i="10"/>
  <c r="E316" i="10"/>
  <c r="R315" i="10"/>
  <c r="Q315" i="10"/>
  <c r="H315" i="10"/>
  <c r="E315" i="10"/>
  <c r="R314" i="10"/>
  <c r="Q314" i="10"/>
  <c r="H314" i="10"/>
  <c r="E314" i="10"/>
  <c r="R313" i="10"/>
  <c r="Q313" i="10"/>
  <c r="H313" i="10"/>
  <c r="E313" i="10"/>
  <c r="R312" i="10"/>
  <c r="Q312" i="10"/>
  <c r="H312" i="10"/>
  <c r="E312" i="10"/>
  <c r="R311" i="10"/>
  <c r="Q311" i="10"/>
  <c r="H311" i="10"/>
  <c r="E311" i="10"/>
  <c r="R310" i="10"/>
  <c r="Q310" i="10"/>
  <c r="H310" i="10"/>
  <c r="E310" i="10"/>
  <c r="R309" i="10"/>
  <c r="Q309" i="10"/>
  <c r="H309" i="10"/>
  <c r="E309" i="10"/>
  <c r="R308" i="10"/>
  <c r="Q308" i="10"/>
  <c r="H308" i="10"/>
  <c r="E308" i="10"/>
  <c r="R307" i="10"/>
  <c r="Q307" i="10"/>
  <c r="H307" i="10"/>
  <c r="E307" i="10"/>
  <c r="R306" i="10"/>
  <c r="Q306" i="10"/>
  <c r="H306" i="10"/>
  <c r="E306" i="10"/>
  <c r="R305" i="10"/>
  <c r="Q305" i="10"/>
  <c r="H305" i="10"/>
  <c r="E305" i="10"/>
  <c r="R304" i="10"/>
  <c r="Q304" i="10"/>
  <c r="H304" i="10"/>
  <c r="E304" i="10"/>
  <c r="R303" i="10"/>
  <c r="Q303" i="10"/>
  <c r="H303" i="10"/>
  <c r="E303" i="10"/>
  <c r="R302" i="10"/>
  <c r="Q302" i="10"/>
  <c r="H302" i="10"/>
  <c r="E302" i="10"/>
  <c r="R301" i="10"/>
  <c r="Q301" i="10"/>
  <c r="H301" i="10"/>
  <c r="E301" i="10"/>
  <c r="R300" i="10"/>
  <c r="Q300" i="10"/>
  <c r="H300" i="10"/>
  <c r="E300" i="10"/>
  <c r="R299" i="10"/>
  <c r="Q299" i="10"/>
  <c r="H299" i="10"/>
  <c r="E299" i="10"/>
  <c r="R298" i="10"/>
  <c r="Q298" i="10"/>
  <c r="H298" i="10"/>
  <c r="E298" i="10"/>
  <c r="R297" i="10"/>
  <c r="Q297" i="10"/>
  <c r="H297" i="10"/>
  <c r="E297" i="10"/>
  <c r="R296" i="10"/>
  <c r="Q296" i="10"/>
  <c r="H296" i="10"/>
  <c r="E296" i="10"/>
  <c r="R295" i="10"/>
  <c r="Q295" i="10"/>
  <c r="H295" i="10"/>
  <c r="E295" i="10"/>
  <c r="R294" i="10"/>
  <c r="Q294" i="10"/>
  <c r="H294" i="10"/>
  <c r="E294" i="10"/>
  <c r="R293" i="10"/>
  <c r="Q293" i="10"/>
  <c r="H293" i="10"/>
  <c r="E293" i="10"/>
  <c r="R292" i="10"/>
  <c r="Q292" i="10"/>
  <c r="H292" i="10"/>
  <c r="E292" i="10"/>
  <c r="R291" i="10"/>
  <c r="Q291" i="10"/>
  <c r="H291" i="10"/>
  <c r="E291" i="10"/>
  <c r="R290" i="10"/>
  <c r="Q290" i="10"/>
  <c r="H290" i="10"/>
  <c r="E290" i="10"/>
  <c r="R289" i="10"/>
  <c r="Q289" i="10"/>
  <c r="H289" i="10"/>
  <c r="E289" i="10"/>
  <c r="R288" i="10"/>
  <c r="Q288" i="10"/>
  <c r="H288" i="10"/>
  <c r="E288" i="10"/>
  <c r="R287" i="10"/>
  <c r="Q287" i="10"/>
  <c r="H287" i="10"/>
  <c r="E287" i="10"/>
  <c r="R286" i="10"/>
  <c r="Q286" i="10"/>
  <c r="H286" i="10"/>
  <c r="E286" i="10"/>
  <c r="Q285" i="10"/>
  <c r="R285" i="10"/>
  <c r="E285" i="10"/>
  <c r="Q284" i="10"/>
  <c r="R284" i="10"/>
  <c r="E284" i="10"/>
  <c r="Q283" i="10"/>
  <c r="R283" i="10"/>
  <c r="E283" i="10"/>
  <c r="Q282" i="10"/>
  <c r="R282" i="10"/>
  <c r="E282" i="10"/>
  <c r="Q281" i="10"/>
  <c r="R281" i="10"/>
  <c r="E281" i="10"/>
  <c r="Q280" i="10"/>
  <c r="R280" i="10"/>
  <c r="E280" i="10"/>
  <c r="Q279" i="10"/>
  <c r="R279" i="10"/>
  <c r="E279" i="10"/>
  <c r="Q278" i="10"/>
  <c r="R278" i="10"/>
  <c r="E278" i="10"/>
  <c r="Q277" i="10"/>
  <c r="R277" i="10"/>
  <c r="E277" i="10"/>
  <c r="Q276" i="10"/>
  <c r="R276" i="10"/>
  <c r="E276" i="10"/>
  <c r="Q275" i="10"/>
  <c r="R275" i="10"/>
  <c r="E275" i="10"/>
  <c r="Q274" i="10"/>
  <c r="R274" i="10"/>
  <c r="E274" i="10"/>
  <c r="Q273" i="10"/>
  <c r="R273" i="10"/>
  <c r="E273" i="10"/>
  <c r="Q272" i="10"/>
  <c r="R272" i="10"/>
  <c r="E272" i="10"/>
  <c r="Q271" i="10"/>
  <c r="R271" i="10"/>
  <c r="E271" i="10"/>
  <c r="Q270" i="10"/>
  <c r="R270" i="10"/>
  <c r="E270" i="10"/>
  <c r="Q269" i="10"/>
  <c r="R269" i="10"/>
  <c r="E269" i="10"/>
  <c r="Q268" i="10"/>
  <c r="R268" i="10"/>
  <c r="E268" i="10"/>
  <c r="Q267" i="10"/>
  <c r="R267" i="10"/>
  <c r="E267" i="10"/>
  <c r="Q266" i="10"/>
  <c r="R266" i="10"/>
  <c r="E266" i="10"/>
  <c r="Q265" i="10"/>
  <c r="R265" i="10"/>
  <c r="E265" i="10"/>
  <c r="Q264" i="10"/>
  <c r="R264" i="10"/>
  <c r="E264" i="10"/>
  <c r="Q263" i="10"/>
  <c r="R263" i="10"/>
  <c r="E263" i="10"/>
  <c r="Q262" i="10"/>
  <c r="R262" i="10"/>
  <c r="E262" i="10"/>
  <c r="Q261" i="10"/>
  <c r="R261" i="10"/>
  <c r="E261" i="10"/>
  <c r="Q260" i="10"/>
  <c r="R260" i="10"/>
  <c r="E260" i="10"/>
  <c r="Q259" i="10"/>
  <c r="R259" i="10"/>
  <c r="E259" i="10"/>
  <c r="Q258" i="10"/>
  <c r="R258" i="10"/>
  <c r="E258" i="10"/>
  <c r="Q257" i="10"/>
  <c r="R257" i="10"/>
  <c r="E257" i="10"/>
  <c r="Q256" i="10"/>
  <c r="R256" i="10"/>
  <c r="E256" i="10"/>
  <c r="Q255" i="10"/>
  <c r="R255" i="10"/>
  <c r="E255" i="10"/>
  <c r="Q254" i="10"/>
  <c r="R254" i="10"/>
  <c r="E254" i="10"/>
  <c r="Q253" i="10"/>
  <c r="R253" i="10"/>
  <c r="E253" i="10"/>
  <c r="Q252" i="10"/>
  <c r="R252" i="10"/>
  <c r="E252" i="10"/>
  <c r="Q251" i="10"/>
  <c r="R251" i="10"/>
  <c r="E251" i="10"/>
  <c r="Q250" i="10"/>
  <c r="R250" i="10"/>
  <c r="E250" i="10"/>
  <c r="Q249" i="10"/>
  <c r="R249" i="10"/>
  <c r="E249" i="10"/>
  <c r="Q248" i="10"/>
  <c r="R248" i="10"/>
  <c r="E248" i="10"/>
  <c r="Q247" i="10"/>
  <c r="R247" i="10"/>
  <c r="E247" i="10"/>
  <c r="Q246" i="10"/>
  <c r="R246" i="10"/>
  <c r="E246" i="10"/>
  <c r="Q245" i="10"/>
  <c r="R245" i="10"/>
  <c r="E245" i="10"/>
  <c r="Q244" i="10"/>
  <c r="R244" i="10"/>
  <c r="E244" i="10"/>
  <c r="Q243" i="10"/>
  <c r="R243" i="10"/>
  <c r="E243" i="10"/>
  <c r="Q242" i="10"/>
  <c r="R242" i="10"/>
  <c r="E242" i="10"/>
  <c r="Q241" i="10"/>
  <c r="R241" i="10"/>
  <c r="E241" i="10"/>
  <c r="Q240" i="10"/>
  <c r="R240" i="10"/>
  <c r="E240" i="10"/>
  <c r="Q239" i="10"/>
  <c r="R239" i="10"/>
  <c r="E239" i="10"/>
  <c r="Q238" i="10"/>
  <c r="R238" i="10"/>
  <c r="E238" i="10"/>
  <c r="Q237" i="10"/>
  <c r="R237" i="10"/>
  <c r="E237" i="10"/>
  <c r="Q236" i="10"/>
  <c r="R236" i="10"/>
  <c r="E236" i="10"/>
  <c r="Q235" i="10"/>
  <c r="R235" i="10"/>
  <c r="E235" i="10"/>
  <c r="Q234" i="10"/>
  <c r="R234" i="10"/>
  <c r="E234" i="10"/>
  <c r="Q233" i="10"/>
  <c r="R233" i="10"/>
  <c r="E233" i="10"/>
  <c r="Q232" i="10"/>
  <c r="R232" i="10"/>
  <c r="E232" i="10"/>
  <c r="Q231" i="10"/>
  <c r="R231" i="10"/>
  <c r="E231" i="10"/>
  <c r="Q230" i="10"/>
  <c r="R230" i="10"/>
  <c r="E230" i="10"/>
  <c r="Q229" i="10"/>
  <c r="R229" i="10"/>
  <c r="E229" i="10"/>
  <c r="Q228" i="10"/>
  <c r="R228" i="10"/>
  <c r="E228" i="10"/>
  <c r="Q227" i="10"/>
  <c r="R227" i="10"/>
  <c r="E227" i="10"/>
  <c r="Q226" i="10"/>
  <c r="R226" i="10"/>
  <c r="E226" i="10"/>
  <c r="Q225" i="10"/>
  <c r="R225" i="10"/>
  <c r="E225" i="10"/>
  <c r="Q224" i="10"/>
  <c r="R224" i="10"/>
  <c r="E224" i="10"/>
  <c r="Q223" i="10"/>
  <c r="R223" i="10"/>
  <c r="E223" i="10"/>
  <c r="Q222" i="10"/>
  <c r="R222" i="10"/>
  <c r="E222" i="10"/>
  <c r="Q221" i="10"/>
  <c r="R221" i="10"/>
  <c r="E221" i="10"/>
  <c r="Q220" i="10"/>
  <c r="R220" i="10"/>
  <c r="E220" i="10"/>
  <c r="Q219" i="10"/>
  <c r="R219" i="10"/>
  <c r="E219" i="10"/>
  <c r="Q218" i="10"/>
  <c r="R218" i="10"/>
  <c r="E218" i="10"/>
  <c r="Q217" i="10"/>
  <c r="R217" i="10"/>
  <c r="E217" i="10"/>
  <c r="Q216" i="10"/>
  <c r="R216" i="10"/>
  <c r="E216" i="10"/>
  <c r="Q215" i="10"/>
  <c r="R215" i="10"/>
  <c r="E215" i="10"/>
  <c r="Q214" i="10"/>
  <c r="R214" i="10"/>
  <c r="E214" i="10"/>
  <c r="Q213" i="10"/>
  <c r="R213" i="10"/>
  <c r="E213" i="10"/>
  <c r="Q212" i="10"/>
  <c r="R212" i="10"/>
  <c r="E212" i="10"/>
  <c r="Q211" i="10"/>
  <c r="R211" i="10"/>
  <c r="E211" i="10"/>
  <c r="Q210" i="10"/>
  <c r="R210" i="10"/>
  <c r="E210" i="10"/>
  <c r="Q209" i="10"/>
  <c r="R209" i="10"/>
  <c r="E209" i="10"/>
  <c r="Q208" i="10"/>
  <c r="R208" i="10"/>
  <c r="E208" i="10"/>
  <c r="Q207" i="10"/>
  <c r="R207" i="10"/>
  <c r="E207" i="10"/>
  <c r="Q206" i="10"/>
  <c r="R206" i="10"/>
  <c r="E206" i="10"/>
  <c r="Q205" i="10"/>
  <c r="R205" i="10"/>
  <c r="E205" i="10"/>
  <c r="Q204" i="10"/>
  <c r="R204" i="10"/>
  <c r="E204" i="10"/>
  <c r="Q203" i="10"/>
  <c r="R203" i="10"/>
  <c r="E203" i="10"/>
  <c r="Q202" i="10"/>
  <c r="R202" i="10"/>
  <c r="E202" i="10"/>
  <c r="Q201" i="10"/>
  <c r="R201" i="10"/>
  <c r="E201" i="10"/>
  <c r="Q200" i="10"/>
  <c r="R200" i="10"/>
  <c r="E200" i="10"/>
  <c r="Q199" i="10"/>
  <c r="R199" i="10"/>
  <c r="E199" i="10"/>
  <c r="Q198" i="10"/>
  <c r="R198" i="10"/>
  <c r="E198" i="10"/>
  <c r="Q197" i="10"/>
  <c r="R197" i="10"/>
  <c r="E197" i="10"/>
  <c r="Q196" i="10"/>
  <c r="R196" i="10"/>
  <c r="E196" i="10"/>
  <c r="Q195" i="10"/>
  <c r="R195" i="10"/>
  <c r="E195" i="10"/>
  <c r="Q194" i="10"/>
  <c r="R194" i="10"/>
  <c r="E194" i="10"/>
  <c r="Q193" i="10"/>
  <c r="R193" i="10"/>
  <c r="E193" i="10"/>
  <c r="Q192" i="10"/>
  <c r="R192" i="10"/>
  <c r="E192" i="10"/>
  <c r="Q191" i="10"/>
  <c r="R191" i="10"/>
  <c r="E191" i="10"/>
  <c r="Q190" i="10"/>
  <c r="R190" i="10"/>
  <c r="E190" i="10"/>
  <c r="Q189" i="10"/>
  <c r="R189" i="10"/>
  <c r="E189" i="10"/>
  <c r="Q188" i="10"/>
  <c r="R188" i="10"/>
  <c r="E188" i="10"/>
  <c r="Q187" i="10"/>
  <c r="R187" i="10"/>
  <c r="E187" i="10"/>
  <c r="Q186" i="10"/>
  <c r="R186" i="10"/>
  <c r="E186" i="10"/>
  <c r="Q185" i="10"/>
  <c r="R185" i="10"/>
  <c r="E185" i="10"/>
  <c r="Q184" i="10"/>
  <c r="R184" i="10"/>
  <c r="E184" i="10"/>
  <c r="Q183" i="10"/>
  <c r="R183" i="10"/>
  <c r="E183" i="10"/>
  <c r="Q182" i="10"/>
  <c r="R182" i="10"/>
  <c r="E182" i="10"/>
  <c r="Q181" i="10"/>
  <c r="R181" i="10"/>
  <c r="E181" i="10"/>
  <c r="Q180" i="10"/>
  <c r="R180" i="10"/>
  <c r="E180" i="10"/>
  <c r="Q179" i="10"/>
  <c r="R179" i="10"/>
  <c r="E179" i="10"/>
  <c r="Q178" i="10"/>
  <c r="R178" i="10"/>
  <c r="E178" i="10"/>
  <c r="Q177" i="10"/>
  <c r="R177" i="10"/>
  <c r="E177" i="10"/>
  <c r="Q176" i="10"/>
  <c r="R176" i="10"/>
  <c r="E176" i="10"/>
  <c r="Q175" i="10"/>
  <c r="R175" i="10"/>
  <c r="E175" i="10"/>
  <c r="Q174" i="10"/>
  <c r="R174" i="10"/>
  <c r="E174" i="10"/>
  <c r="Q173" i="10"/>
  <c r="R173" i="10"/>
  <c r="E173" i="10"/>
  <c r="Q172" i="10"/>
  <c r="R172" i="10"/>
  <c r="E172" i="10"/>
  <c r="Q171" i="10"/>
  <c r="R171" i="10"/>
  <c r="E171" i="10"/>
  <c r="Q170" i="10"/>
  <c r="R170" i="10"/>
  <c r="E170" i="10"/>
  <c r="Q169" i="10"/>
  <c r="R169" i="10"/>
  <c r="E169" i="10"/>
  <c r="Q168" i="10"/>
  <c r="R168" i="10"/>
  <c r="E168" i="10"/>
  <c r="Q167" i="10"/>
  <c r="R167" i="10"/>
  <c r="E167" i="10"/>
  <c r="Q166" i="10"/>
  <c r="R166" i="10"/>
  <c r="E166" i="10"/>
  <c r="Q165" i="10"/>
  <c r="R165" i="10"/>
  <c r="E165" i="10"/>
  <c r="Q164" i="10"/>
  <c r="R164" i="10"/>
  <c r="E164" i="10"/>
  <c r="Q163" i="10"/>
  <c r="R163" i="10"/>
  <c r="E163" i="10"/>
  <c r="Q162" i="10"/>
  <c r="R162" i="10"/>
  <c r="E162" i="10"/>
  <c r="Q161" i="10"/>
  <c r="R161" i="10"/>
  <c r="E161" i="10"/>
  <c r="Q160" i="10"/>
  <c r="R160" i="10"/>
  <c r="E160" i="10"/>
  <c r="Q159" i="10"/>
  <c r="R159" i="10"/>
  <c r="E159" i="10"/>
  <c r="Q158" i="10"/>
  <c r="R158" i="10"/>
  <c r="E158" i="10"/>
  <c r="Q157" i="10"/>
  <c r="R157" i="10"/>
  <c r="E157" i="10"/>
  <c r="Q156" i="10"/>
  <c r="R156" i="10"/>
  <c r="E156" i="10"/>
  <c r="Q155" i="10"/>
  <c r="R155" i="10"/>
  <c r="E155" i="10"/>
  <c r="Q154" i="10"/>
  <c r="R154" i="10"/>
  <c r="E154" i="10"/>
  <c r="Q153" i="10"/>
  <c r="R153" i="10"/>
  <c r="E153" i="10"/>
  <c r="Q152" i="10"/>
  <c r="R152" i="10"/>
  <c r="E152" i="10"/>
  <c r="Q151" i="10"/>
  <c r="R151" i="10"/>
  <c r="E151" i="10"/>
  <c r="Q150" i="10"/>
  <c r="R150" i="10"/>
  <c r="E150" i="10"/>
  <c r="Q149" i="10"/>
  <c r="R149" i="10"/>
  <c r="E149" i="10"/>
  <c r="Q148" i="10"/>
  <c r="R148" i="10"/>
  <c r="E148" i="10"/>
  <c r="Q147" i="10"/>
  <c r="R147" i="10"/>
  <c r="E147" i="10"/>
  <c r="Q146" i="10"/>
  <c r="R146" i="10"/>
  <c r="E146" i="10"/>
  <c r="Q145" i="10"/>
  <c r="R145" i="10"/>
  <c r="E145" i="10"/>
  <c r="Q144" i="10"/>
  <c r="R144" i="10"/>
  <c r="E144" i="10"/>
  <c r="Q143" i="10"/>
  <c r="R143" i="10"/>
  <c r="E143" i="10"/>
  <c r="Q142" i="10"/>
  <c r="R142" i="10"/>
  <c r="E142" i="10"/>
  <c r="Q141" i="10"/>
  <c r="R141" i="10"/>
  <c r="E141" i="10"/>
  <c r="Q140" i="10"/>
  <c r="R140" i="10"/>
  <c r="E140" i="10"/>
  <c r="Q139" i="10"/>
  <c r="R139" i="10"/>
  <c r="E139" i="10"/>
  <c r="Q138" i="10"/>
  <c r="R138" i="10"/>
  <c r="E138" i="10"/>
  <c r="Q137" i="10"/>
  <c r="R137" i="10"/>
  <c r="E137" i="10"/>
  <c r="Q136" i="10"/>
  <c r="R136" i="10"/>
  <c r="E136" i="10"/>
  <c r="Q135" i="10"/>
  <c r="R135" i="10"/>
  <c r="E135" i="10"/>
  <c r="Q134" i="10"/>
  <c r="R134" i="10"/>
  <c r="E134" i="10"/>
  <c r="Q133" i="10"/>
  <c r="R133" i="10"/>
  <c r="E133" i="10"/>
  <c r="Q132" i="10"/>
  <c r="R132" i="10"/>
  <c r="E132" i="10"/>
  <c r="Q131" i="10"/>
  <c r="R131" i="10"/>
  <c r="E131" i="10"/>
  <c r="Q130" i="10"/>
  <c r="R130" i="10"/>
  <c r="E130" i="10"/>
  <c r="Q129" i="10"/>
  <c r="R129" i="10"/>
  <c r="E129" i="10"/>
  <c r="Q128" i="10"/>
  <c r="R128" i="10"/>
  <c r="E128" i="10"/>
  <c r="Q127" i="10"/>
  <c r="R127" i="10"/>
  <c r="E127" i="10"/>
  <c r="Q126" i="10"/>
  <c r="R126" i="10"/>
  <c r="E126" i="10"/>
  <c r="Q125" i="10"/>
  <c r="R125" i="10"/>
  <c r="E125" i="10"/>
  <c r="Q124" i="10"/>
  <c r="R124" i="10"/>
  <c r="E124" i="10"/>
  <c r="Q123" i="10"/>
  <c r="R123" i="10"/>
  <c r="E123" i="10"/>
  <c r="Q122" i="10"/>
  <c r="R122" i="10"/>
  <c r="E122" i="10"/>
  <c r="Q121" i="10"/>
  <c r="R121" i="10"/>
  <c r="E121" i="10"/>
  <c r="Q120" i="10"/>
  <c r="R120" i="10"/>
  <c r="E120" i="10"/>
  <c r="Q119" i="10"/>
  <c r="R119" i="10"/>
  <c r="E119" i="10"/>
  <c r="Q118" i="10"/>
  <c r="R118" i="10"/>
  <c r="E118" i="10"/>
  <c r="Q117" i="10"/>
  <c r="R117" i="10"/>
  <c r="E117" i="10"/>
  <c r="Q116" i="10"/>
  <c r="R116" i="10"/>
  <c r="E116" i="10"/>
  <c r="Q115" i="10"/>
  <c r="R115" i="10"/>
  <c r="E115" i="10"/>
  <c r="Q114" i="10"/>
  <c r="R114" i="10"/>
  <c r="E114" i="10"/>
  <c r="Q113" i="10"/>
  <c r="R113" i="10"/>
  <c r="E113" i="10"/>
  <c r="Q112" i="10"/>
  <c r="R112" i="10"/>
  <c r="E112" i="10"/>
  <c r="Q111" i="10"/>
  <c r="R111" i="10"/>
  <c r="E111" i="10"/>
  <c r="Q110" i="10"/>
  <c r="R110" i="10"/>
  <c r="E110" i="10"/>
  <c r="Q109" i="10"/>
  <c r="R109" i="10"/>
  <c r="E109" i="10"/>
  <c r="Q108" i="10"/>
  <c r="R108" i="10"/>
  <c r="E108" i="10"/>
  <c r="Q107" i="10"/>
  <c r="R107" i="10"/>
  <c r="E107" i="10"/>
  <c r="Q106" i="10"/>
  <c r="R106" i="10"/>
  <c r="E106" i="10"/>
  <c r="Q105" i="10"/>
  <c r="R105" i="10"/>
  <c r="E105" i="10"/>
  <c r="Q104" i="10"/>
  <c r="R104" i="10"/>
  <c r="E104" i="10"/>
  <c r="Q103" i="10"/>
  <c r="R103" i="10"/>
  <c r="E103" i="10"/>
  <c r="Q102" i="10"/>
  <c r="R102" i="10"/>
  <c r="E102" i="10"/>
  <c r="Q101" i="10"/>
  <c r="R101" i="10"/>
  <c r="E101" i="10"/>
  <c r="Q100" i="10"/>
  <c r="R100" i="10"/>
  <c r="E100" i="10"/>
  <c r="Q99" i="10"/>
  <c r="R99" i="10"/>
  <c r="E99" i="10"/>
  <c r="Q98" i="10"/>
  <c r="R98" i="10"/>
  <c r="E98" i="10"/>
  <c r="Q97" i="10"/>
  <c r="R97" i="10"/>
  <c r="E97" i="10"/>
  <c r="Q96" i="10"/>
  <c r="R96" i="10"/>
  <c r="E96" i="10"/>
  <c r="Q95" i="10"/>
  <c r="R95" i="10"/>
  <c r="E95" i="10"/>
  <c r="Q94" i="10"/>
  <c r="R94" i="10"/>
  <c r="E94" i="10"/>
  <c r="Q93" i="10"/>
  <c r="R93" i="10"/>
  <c r="E93" i="10"/>
  <c r="Q92" i="10"/>
  <c r="R92" i="10"/>
  <c r="E92" i="10"/>
  <c r="Q91" i="10"/>
  <c r="R91" i="10"/>
  <c r="E91" i="10"/>
  <c r="Q90" i="10"/>
  <c r="R90" i="10"/>
  <c r="E90" i="10"/>
  <c r="Q89" i="10"/>
  <c r="R89" i="10"/>
  <c r="E89" i="10"/>
  <c r="Q88" i="10"/>
  <c r="R88" i="10"/>
  <c r="E88" i="10"/>
  <c r="Q87" i="10"/>
  <c r="R87" i="10"/>
  <c r="E87" i="10"/>
  <c r="Q86" i="10"/>
  <c r="R86" i="10"/>
  <c r="E86" i="10"/>
  <c r="Q85" i="10"/>
  <c r="R85" i="10"/>
  <c r="E85" i="10"/>
  <c r="Q84" i="10"/>
  <c r="R84" i="10"/>
  <c r="E84" i="10"/>
  <c r="Q83" i="10"/>
  <c r="R83" i="10"/>
  <c r="E83" i="10"/>
  <c r="Q82" i="10"/>
  <c r="R82" i="10"/>
  <c r="E82" i="10"/>
  <c r="Q81" i="10"/>
  <c r="R81" i="10"/>
  <c r="E81" i="10"/>
  <c r="Q80" i="10"/>
  <c r="R80" i="10"/>
  <c r="E80" i="10"/>
  <c r="Q79" i="10"/>
  <c r="R79" i="10"/>
  <c r="E79" i="10"/>
  <c r="Q78" i="10"/>
  <c r="R78" i="10"/>
  <c r="E78" i="10"/>
  <c r="Q77" i="10"/>
  <c r="R77" i="10"/>
  <c r="E77" i="10"/>
  <c r="Q76" i="10"/>
  <c r="R76" i="10"/>
  <c r="E76" i="10"/>
  <c r="Q75" i="10"/>
  <c r="R75" i="10"/>
  <c r="E75" i="10"/>
  <c r="Q74" i="10"/>
  <c r="R74" i="10"/>
  <c r="E74" i="10"/>
  <c r="Q73" i="10"/>
  <c r="R73" i="10"/>
  <c r="E73" i="10"/>
  <c r="Q72" i="10"/>
  <c r="R72" i="10"/>
  <c r="E72" i="10"/>
  <c r="Q71" i="10"/>
  <c r="R71" i="10"/>
  <c r="E71" i="10"/>
  <c r="Q70" i="10"/>
  <c r="R70" i="10"/>
  <c r="E70" i="10"/>
  <c r="Q69" i="10"/>
  <c r="R69" i="10"/>
  <c r="E69" i="10"/>
  <c r="Q68" i="10"/>
  <c r="R68" i="10"/>
  <c r="E68" i="10"/>
  <c r="Q67" i="10"/>
  <c r="R67" i="10"/>
  <c r="E67" i="10"/>
  <c r="Q66" i="10"/>
  <c r="R66" i="10"/>
  <c r="E66" i="10"/>
  <c r="Q65" i="10"/>
  <c r="R65" i="10"/>
  <c r="E65" i="10"/>
  <c r="Q64" i="10"/>
  <c r="R64" i="10"/>
  <c r="E64" i="10"/>
  <c r="Q63" i="10"/>
  <c r="R63" i="10"/>
  <c r="E63" i="10"/>
  <c r="Q62" i="10"/>
  <c r="R62" i="10"/>
  <c r="E62" i="10"/>
  <c r="Q61" i="10"/>
  <c r="R61" i="10"/>
  <c r="E61" i="10"/>
  <c r="Q60" i="10"/>
  <c r="R60" i="10"/>
  <c r="N60" i="10"/>
  <c r="E60" i="10"/>
  <c r="Q59" i="10"/>
  <c r="R59" i="10"/>
  <c r="N59" i="10"/>
  <c r="E59" i="10"/>
  <c r="Q58" i="10"/>
  <c r="R58" i="10"/>
  <c r="N58" i="10"/>
  <c r="E58" i="10"/>
  <c r="N57" i="10"/>
  <c r="E57" i="10"/>
  <c r="N56" i="10"/>
  <c r="E56" i="10"/>
  <c r="N55" i="10"/>
  <c r="E55" i="10"/>
  <c r="N54" i="10"/>
  <c r="E54" i="10"/>
  <c r="N53" i="10"/>
  <c r="E53" i="10"/>
  <c r="N52" i="10"/>
  <c r="E52" i="10"/>
  <c r="N51" i="10"/>
  <c r="E51" i="10"/>
  <c r="N50" i="10"/>
  <c r="E50" i="10"/>
  <c r="N49" i="10"/>
  <c r="E49" i="10"/>
  <c r="N48" i="10"/>
  <c r="E48" i="10"/>
  <c r="N47" i="10"/>
  <c r="E47" i="10"/>
  <c r="N46" i="10"/>
  <c r="E46" i="10"/>
  <c r="AG27" i="10"/>
  <c r="J34" i="10"/>
  <c r="AH17" i="10"/>
  <c r="AH18" i="10"/>
  <c r="AH19" i="10"/>
  <c r="AH20" i="10"/>
  <c r="AH21" i="10"/>
  <c r="AH22" i="10"/>
  <c r="AH23" i="10"/>
  <c r="AH24" i="10"/>
  <c r="AH25" i="10"/>
  <c r="AH26" i="10"/>
  <c r="J20" i="10"/>
  <c r="N61" i="10"/>
  <c r="N62" i="10"/>
  <c r="N63" i="10"/>
  <c r="N64" i="10"/>
  <c r="N65" i="10"/>
  <c r="N66" i="10"/>
  <c r="N67" i="10"/>
  <c r="N68" i="10"/>
  <c r="N69" i="10"/>
  <c r="N70" i="10"/>
  <c r="N71" i="10"/>
  <c r="N72" i="10"/>
  <c r="N73" i="10"/>
  <c r="N74" i="10"/>
  <c r="N75" i="10"/>
  <c r="N76" i="10"/>
  <c r="N77" i="10"/>
  <c r="N78" i="10"/>
  <c r="N79" i="10"/>
  <c r="N80" i="10"/>
  <c r="N81" i="10"/>
  <c r="N82" i="10"/>
  <c r="N83" i="10"/>
  <c r="N84" i="10"/>
  <c r="N85" i="10"/>
  <c r="N86" i="10"/>
  <c r="N87" i="10"/>
  <c r="N88" i="10"/>
  <c r="N89" i="10"/>
  <c r="N90" i="10"/>
  <c r="N91" i="10"/>
  <c r="N92" i="10"/>
  <c r="N93" i="10"/>
  <c r="N94" i="10"/>
  <c r="N95" i="10"/>
  <c r="N96" i="10"/>
  <c r="N97" i="10"/>
  <c r="N98" i="10"/>
  <c r="N99" i="10"/>
  <c r="N100" i="10"/>
  <c r="N101" i="10"/>
  <c r="N102" i="10"/>
  <c r="N103" i="10"/>
  <c r="N104" i="10"/>
  <c r="N105" i="10"/>
  <c r="N106" i="10"/>
  <c r="N107" i="10"/>
  <c r="N108" i="10"/>
  <c r="N109" i="10"/>
  <c r="N110" i="10"/>
  <c r="N111" i="10"/>
  <c r="N112" i="10"/>
  <c r="N113" i="10"/>
  <c r="N114" i="10"/>
  <c r="N115" i="10"/>
  <c r="N116" i="10"/>
  <c r="N117" i="10"/>
  <c r="N118" i="10"/>
  <c r="N119" i="10"/>
  <c r="N120" i="10"/>
  <c r="N121" i="10"/>
  <c r="N122" i="10"/>
  <c r="N123" i="10"/>
  <c r="N124" i="10"/>
  <c r="N125" i="10"/>
  <c r="N126" i="10"/>
  <c r="N127" i="10"/>
  <c r="N128" i="10"/>
  <c r="N129" i="10"/>
  <c r="N130" i="10"/>
  <c r="N131" i="10"/>
  <c r="N132" i="10"/>
  <c r="N133" i="10"/>
  <c r="N134" i="10"/>
  <c r="N135" i="10"/>
  <c r="N136" i="10"/>
  <c r="N137" i="10"/>
  <c r="N138" i="10"/>
  <c r="N139" i="10"/>
  <c r="N140" i="10"/>
  <c r="N141" i="10"/>
  <c r="N142" i="10"/>
  <c r="N143" i="10"/>
  <c r="N144" i="10"/>
  <c r="N145" i="10"/>
  <c r="N146" i="10"/>
  <c r="N147" i="10"/>
  <c r="N148" i="10"/>
  <c r="N149" i="10"/>
  <c r="N150" i="10"/>
  <c r="N151" i="10"/>
  <c r="N152" i="10"/>
  <c r="N153" i="10"/>
  <c r="N154" i="10"/>
  <c r="N155" i="10"/>
  <c r="N156" i="10"/>
  <c r="N157" i="10"/>
  <c r="N158" i="10"/>
  <c r="N159" i="10"/>
  <c r="N160" i="10"/>
  <c r="N161" i="10"/>
  <c r="N162" i="10"/>
  <c r="N163" i="10"/>
  <c r="N164" i="10"/>
  <c r="N165" i="10"/>
  <c r="N166" i="10"/>
  <c r="N167" i="10"/>
  <c r="N168" i="10"/>
  <c r="N169" i="10"/>
  <c r="N170" i="10"/>
  <c r="N171" i="10"/>
  <c r="N172" i="10"/>
  <c r="N173" i="10"/>
  <c r="N174" i="10"/>
  <c r="N175" i="10"/>
  <c r="N176" i="10"/>
  <c r="N177" i="10"/>
  <c r="N178" i="10"/>
  <c r="N179" i="10"/>
  <c r="N180" i="10"/>
  <c r="N181" i="10"/>
  <c r="N182" i="10"/>
  <c r="N183" i="10"/>
  <c r="N184" i="10"/>
  <c r="N185" i="10"/>
  <c r="N186" i="10"/>
  <c r="N187" i="10"/>
  <c r="N188" i="10"/>
  <c r="N189" i="10"/>
  <c r="N190" i="10"/>
  <c r="N191" i="10"/>
  <c r="N192" i="10"/>
  <c r="N193" i="10"/>
  <c r="N194" i="10"/>
  <c r="N195" i="10"/>
  <c r="N196" i="10"/>
  <c r="N197" i="10"/>
  <c r="N198" i="10"/>
  <c r="N199" i="10"/>
  <c r="N200" i="10"/>
  <c r="N201" i="10"/>
  <c r="N202" i="10"/>
  <c r="N203" i="10"/>
  <c r="N204" i="10"/>
  <c r="N205" i="10"/>
  <c r="N206" i="10"/>
  <c r="N207" i="10"/>
  <c r="N208" i="10"/>
  <c r="N209" i="10"/>
  <c r="N210" i="10"/>
  <c r="N211" i="10"/>
  <c r="N212" i="10"/>
  <c r="N213" i="10"/>
  <c r="N214" i="10"/>
  <c r="N215" i="10"/>
  <c r="N216" i="10"/>
  <c r="N217" i="10"/>
  <c r="N218" i="10"/>
  <c r="N219" i="10"/>
  <c r="N220" i="10"/>
  <c r="N221" i="10"/>
  <c r="N222" i="10"/>
  <c r="N223" i="10"/>
  <c r="N224" i="10"/>
  <c r="N225" i="10"/>
  <c r="N226" i="10"/>
  <c r="N227" i="10"/>
  <c r="N228" i="10"/>
  <c r="N229" i="10"/>
  <c r="N230" i="10"/>
  <c r="N231" i="10"/>
  <c r="N232" i="10"/>
  <c r="N233" i="10"/>
  <c r="N234" i="10"/>
  <c r="N235" i="10"/>
  <c r="N236" i="10"/>
  <c r="N237" i="10"/>
  <c r="N238" i="10"/>
  <c r="N239" i="10"/>
  <c r="N240" i="10"/>
  <c r="N241" i="10"/>
  <c r="N242" i="10"/>
  <c r="N243" i="10"/>
  <c r="N244" i="10"/>
  <c r="N245" i="10"/>
  <c r="N246" i="10"/>
  <c r="N247" i="10"/>
  <c r="N248" i="10"/>
  <c r="N249" i="10"/>
  <c r="N250" i="10"/>
  <c r="N251" i="10"/>
  <c r="N252" i="10"/>
  <c r="N253" i="10"/>
  <c r="N254" i="10"/>
  <c r="N255" i="10"/>
  <c r="N256" i="10"/>
  <c r="N257" i="10"/>
  <c r="N258" i="10"/>
  <c r="N259" i="10"/>
  <c r="N260" i="10"/>
  <c r="N261" i="10"/>
  <c r="N262" i="10"/>
  <c r="N263" i="10"/>
  <c r="N264" i="10"/>
  <c r="N265" i="10"/>
  <c r="N266" i="10"/>
  <c r="N267" i="10"/>
  <c r="N268" i="10"/>
  <c r="N269" i="10"/>
  <c r="N270" i="10"/>
  <c r="N271" i="10"/>
  <c r="N272" i="10"/>
  <c r="N273" i="10"/>
  <c r="N274" i="10"/>
  <c r="N275" i="10"/>
  <c r="N276" i="10"/>
  <c r="N277" i="10"/>
  <c r="N278" i="10"/>
  <c r="N279" i="10"/>
  <c r="N280" i="10"/>
  <c r="N281" i="10"/>
  <c r="N282" i="10"/>
  <c r="N283" i="10"/>
  <c r="N284" i="10"/>
  <c r="N285" i="10"/>
  <c r="J25" i="10"/>
  <c r="J26" i="10"/>
  <c r="J27" i="10"/>
  <c r="X46" i="10"/>
  <c r="X47" i="10"/>
  <c r="X48" i="10"/>
  <c r="X49" i="10"/>
  <c r="X50" i="10"/>
  <c r="X51" i="10"/>
  <c r="X52" i="10"/>
  <c r="X53" i="10"/>
  <c r="X54" i="10"/>
  <c r="X55" i="10"/>
  <c r="X56" i="10"/>
  <c r="X57" i="10"/>
  <c r="X58" i="10"/>
  <c r="X59" i="10"/>
  <c r="X60" i="10"/>
  <c r="X61" i="10"/>
  <c r="X62" i="10"/>
  <c r="X63" i="10"/>
  <c r="X64" i="10"/>
  <c r="X65" i="10"/>
  <c r="X66" i="10"/>
  <c r="X67" i="10"/>
  <c r="X68" i="10"/>
  <c r="X69" i="10"/>
  <c r="X70" i="10"/>
  <c r="X71" i="10"/>
  <c r="X72" i="10"/>
  <c r="X73" i="10"/>
  <c r="X74" i="10"/>
  <c r="X75" i="10"/>
  <c r="X76" i="10"/>
  <c r="X77" i="10"/>
  <c r="X78" i="10"/>
  <c r="X79" i="10"/>
  <c r="X80" i="10"/>
  <c r="X81" i="10"/>
  <c r="X82" i="10"/>
  <c r="X83" i="10"/>
  <c r="X84" i="10"/>
  <c r="X85" i="10"/>
  <c r="X86" i="10"/>
  <c r="X87" i="10"/>
  <c r="X88" i="10"/>
  <c r="X89" i="10"/>
  <c r="X90" i="10"/>
  <c r="X91" i="10"/>
  <c r="X92" i="10"/>
  <c r="X93" i="10"/>
  <c r="X94" i="10"/>
  <c r="X95" i="10"/>
  <c r="X96" i="10"/>
  <c r="X97" i="10"/>
  <c r="X98" i="10"/>
  <c r="X99" i="10"/>
  <c r="X100" i="10"/>
  <c r="X101" i="10"/>
  <c r="X102" i="10"/>
  <c r="X103" i="10"/>
  <c r="X104" i="10"/>
  <c r="X105" i="10"/>
  <c r="X106" i="10"/>
  <c r="X107" i="10"/>
  <c r="X108" i="10"/>
  <c r="X109" i="10"/>
  <c r="X110" i="10"/>
  <c r="X111" i="10"/>
  <c r="X112" i="10"/>
  <c r="X113" i="10"/>
  <c r="X114" i="10"/>
  <c r="X115" i="10"/>
  <c r="X116" i="10"/>
  <c r="X117" i="10"/>
  <c r="X118" i="10"/>
  <c r="X119" i="10"/>
  <c r="X120" i="10"/>
  <c r="X121" i="10"/>
  <c r="X122" i="10"/>
  <c r="X123" i="10"/>
  <c r="X124" i="10"/>
  <c r="X125" i="10"/>
  <c r="X126" i="10"/>
  <c r="X127" i="10"/>
  <c r="X128" i="10"/>
  <c r="X129" i="10"/>
  <c r="X130" i="10"/>
  <c r="X131" i="10"/>
  <c r="X132" i="10"/>
  <c r="X133" i="10"/>
  <c r="X134" i="10"/>
  <c r="X135" i="10"/>
  <c r="X136" i="10"/>
  <c r="X137" i="10"/>
  <c r="X138" i="10"/>
  <c r="X139" i="10"/>
  <c r="X140" i="10"/>
  <c r="X141" i="10"/>
  <c r="X142" i="10"/>
  <c r="X143" i="10"/>
  <c r="X144" i="10"/>
  <c r="X145" i="10"/>
  <c r="X146" i="10"/>
  <c r="X147" i="10"/>
  <c r="X148" i="10"/>
  <c r="X149" i="10"/>
  <c r="X150" i="10"/>
  <c r="X151" i="10"/>
  <c r="X152" i="10"/>
  <c r="X153" i="10"/>
  <c r="X154" i="10"/>
  <c r="X155" i="10"/>
  <c r="X156" i="10"/>
  <c r="X157" i="10"/>
  <c r="X158" i="10"/>
  <c r="X159" i="10"/>
  <c r="X160" i="10"/>
  <c r="X161" i="10"/>
  <c r="X162" i="10"/>
  <c r="X163" i="10"/>
  <c r="X164" i="10"/>
  <c r="X165" i="10"/>
  <c r="X166" i="10"/>
  <c r="X167" i="10"/>
  <c r="X168" i="10"/>
  <c r="X169" i="10"/>
  <c r="X170" i="10"/>
  <c r="X171" i="10"/>
  <c r="X172" i="10"/>
  <c r="X173" i="10"/>
  <c r="X174" i="10"/>
  <c r="X175" i="10"/>
  <c r="X176" i="10"/>
  <c r="X177" i="10"/>
  <c r="X178" i="10"/>
  <c r="X179" i="10"/>
  <c r="X180" i="10"/>
  <c r="X181" i="10"/>
  <c r="X182" i="10"/>
  <c r="X183" i="10"/>
  <c r="X184" i="10"/>
  <c r="X185" i="10"/>
  <c r="X186" i="10"/>
  <c r="X187" i="10"/>
  <c r="X188" i="10"/>
  <c r="X189" i="10"/>
  <c r="X190" i="10"/>
  <c r="X191" i="10"/>
  <c r="X192" i="10"/>
  <c r="X193" i="10"/>
  <c r="X194" i="10"/>
  <c r="X195" i="10"/>
  <c r="X196" i="10"/>
  <c r="X197" i="10"/>
  <c r="X198" i="10"/>
  <c r="X199" i="10"/>
  <c r="X200" i="10"/>
  <c r="X201" i="10"/>
  <c r="X202" i="10"/>
  <c r="X203" i="10"/>
  <c r="X204" i="10"/>
  <c r="X205" i="10"/>
  <c r="X206" i="10"/>
  <c r="X207" i="10"/>
  <c r="X208" i="10"/>
  <c r="X209" i="10"/>
  <c r="X210" i="10"/>
  <c r="X211" i="10"/>
  <c r="X212" i="10"/>
  <c r="X213" i="10"/>
  <c r="X214" i="10"/>
  <c r="X215" i="10"/>
  <c r="X216" i="10"/>
  <c r="X217" i="10"/>
  <c r="X218" i="10"/>
  <c r="X219" i="10"/>
  <c r="X220" i="10"/>
  <c r="X221" i="10"/>
  <c r="X222" i="10"/>
  <c r="X223" i="10"/>
  <c r="X224" i="10"/>
  <c r="X225" i="10"/>
  <c r="X226" i="10"/>
  <c r="X227" i="10"/>
  <c r="X228" i="10"/>
  <c r="X229" i="10"/>
  <c r="X230" i="10"/>
  <c r="X231" i="10"/>
  <c r="X232" i="10"/>
  <c r="X233" i="10"/>
  <c r="X234" i="10"/>
  <c r="X235" i="10"/>
  <c r="X236" i="10"/>
  <c r="X237" i="10"/>
  <c r="X238" i="10"/>
  <c r="X239" i="10"/>
  <c r="X240" i="10"/>
  <c r="X241" i="10"/>
  <c r="X242" i="10"/>
  <c r="X243" i="10"/>
  <c r="X244" i="10"/>
  <c r="X245" i="10"/>
  <c r="X246" i="10"/>
  <c r="X247" i="10"/>
  <c r="X248" i="10"/>
  <c r="X249" i="10"/>
  <c r="X250" i="10"/>
  <c r="X251" i="10"/>
  <c r="X252" i="10"/>
  <c r="X253" i="10"/>
  <c r="X254" i="10"/>
  <c r="X255" i="10"/>
  <c r="X256" i="10"/>
  <c r="X257" i="10"/>
  <c r="X258" i="10"/>
  <c r="X259" i="10"/>
  <c r="X260" i="10"/>
  <c r="X261" i="10"/>
  <c r="X262" i="10"/>
  <c r="X263" i="10"/>
  <c r="X264" i="10"/>
  <c r="X265" i="10"/>
  <c r="X266" i="10"/>
  <c r="X267" i="10"/>
  <c r="X268" i="10"/>
  <c r="X269" i="10"/>
  <c r="X270" i="10"/>
  <c r="X271" i="10"/>
  <c r="X272" i="10"/>
  <c r="X273" i="10"/>
  <c r="X274" i="10"/>
  <c r="X275" i="10"/>
  <c r="X276" i="10"/>
  <c r="X277" i="10"/>
  <c r="X278" i="10"/>
  <c r="X279" i="10"/>
  <c r="X280" i="10"/>
  <c r="X281" i="10"/>
  <c r="X282" i="10"/>
  <c r="X283" i="10"/>
  <c r="X284" i="10"/>
  <c r="X285" i="10"/>
  <c r="X286" i="10"/>
  <c r="X287" i="10"/>
  <c r="X288" i="10"/>
  <c r="X289" i="10"/>
  <c r="X290" i="10"/>
  <c r="X291" i="10"/>
  <c r="X292" i="10"/>
  <c r="X293" i="10"/>
  <c r="X294" i="10"/>
  <c r="X295" i="10"/>
  <c r="X296" i="10"/>
  <c r="X297" i="10"/>
  <c r="X298" i="10"/>
  <c r="X299" i="10"/>
  <c r="X300" i="10"/>
  <c r="X301" i="10"/>
  <c r="X302" i="10"/>
  <c r="X303" i="10"/>
  <c r="X304" i="10"/>
  <c r="X305" i="10"/>
  <c r="X306" i="10"/>
  <c r="X307" i="10"/>
  <c r="X308" i="10"/>
  <c r="X309" i="10"/>
  <c r="X310" i="10"/>
  <c r="X311" i="10"/>
  <c r="X312" i="10"/>
  <c r="X313" i="10"/>
  <c r="X314" i="10"/>
  <c r="X315" i="10"/>
  <c r="X316" i="10"/>
  <c r="X317" i="10"/>
  <c r="X318" i="10"/>
  <c r="X319" i="10"/>
  <c r="X320" i="10"/>
  <c r="X321" i="10"/>
  <c r="X322" i="10"/>
  <c r="X323" i="10"/>
  <c r="X324" i="10"/>
  <c r="X325" i="10"/>
  <c r="X326" i="10"/>
  <c r="X327" i="10"/>
  <c r="X328" i="10"/>
  <c r="X329" i="10"/>
  <c r="X330" i="10"/>
  <c r="X331" i="10"/>
  <c r="X332" i="10"/>
  <c r="X333" i="10"/>
  <c r="X334" i="10"/>
  <c r="X335" i="10"/>
  <c r="X336" i="10"/>
  <c r="X337" i="10"/>
  <c r="X338" i="10"/>
  <c r="X339" i="10"/>
  <c r="X340" i="10"/>
  <c r="X341" i="10"/>
  <c r="X342" i="10"/>
  <c r="X343" i="10"/>
  <c r="X344" i="10"/>
  <c r="X345" i="10"/>
  <c r="J28" i="10"/>
  <c r="J39" i="10"/>
  <c r="M46" i="10"/>
  <c r="M47" i="10"/>
  <c r="M48" i="10"/>
  <c r="M49" i="10"/>
  <c r="M50" i="10"/>
  <c r="M51" i="10"/>
  <c r="M52" i="10"/>
  <c r="M53" i="10"/>
  <c r="M54" i="10"/>
  <c r="M55" i="10"/>
  <c r="M56" i="10"/>
  <c r="M57" i="10"/>
  <c r="M58" i="10"/>
  <c r="M59" i="10"/>
  <c r="M60" i="10"/>
  <c r="M61" i="10"/>
  <c r="M62" i="10"/>
  <c r="M63" i="10"/>
  <c r="M64" i="10"/>
  <c r="M65" i="10"/>
  <c r="M66" i="10"/>
  <c r="M67" i="10"/>
  <c r="M68" i="10"/>
  <c r="M69" i="10"/>
  <c r="M70" i="10"/>
  <c r="M71" i="10"/>
  <c r="M72" i="10"/>
  <c r="M73" i="10"/>
  <c r="M74" i="10"/>
  <c r="M75" i="10"/>
  <c r="M76" i="10"/>
  <c r="M77" i="10"/>
  <c r="M78" i="10"/>
  <c r="M79" i="10"/>
  <c r="M80" i="10"/>
  <c r="M81" i="10"/>
  <c r="M82" i="10"/>
  <c r="M83" i="10"/>
  <c r="M84" i="10"/>
  <c r="M85" i="10"/>
  <c r="M86" i="10"/>
  <c r="M87" i="10"/>
  <c r="M88" i="10"/>
  <c r="M89" i="10"/>
  <c r="M90" i="10"/>
  <c r="M91" i="10"/>
  <c r="M92" i="10"/>
  <c r="M93" i="10"/>
  <c r="M94" i="10"/>
  <c r="M95" i="10"/>
  <c r="M96" i="10"/>
  <c r="M97" i="10"/>
  <c r="M98" i="10"/>
  <c r="M99" i="10"/>
  <c r="M100" i="10"/>
  <c r="M101" i="10"/>
  <c r="M102" i="10"/>
  <c r="M103" i="10"/>
  <c r="M104" i="10"/>
  <c r="M105" i="10"/>
  <c r="M106" i="10"/>
  <c r="M107" i="10"/>
  <c r="M108" i="10"/>
  <c r="M109" i="10"/>
  <c r="M110" i="10"/>
  <c r="M111" i="10"/>
  <c r="M112" i="10"/>
  <c r="M113" i="10"/>
  <c r="M114" i="10"/>
  <c r="M115" i="10"/>
  <c r="M116" i="10"/>
  <c r="M117" i="10"/>
  <c r="M118" i="10"/>
  <c r="M119" i="10"/>
  <c r="M120" i="10"/>
  <c r="M121" i="10"/>
  <c r="M122" i="10"/>
  <c r="M123" i="10"/>
  <c r="M124" i="10"/>
  <c r="M125" i="10"/>
  <c r="M126" i="10"/>
  <c r="M127" i="10"/>
  <c r="M128" i="10"/>
  <c r="M129" i="10"/>
  <c r="M130" i="10"/>
  <c r="M131" i="10"/>
  <c r="M132" i="10"/>
  <c r="M133" i="10"/>
  <c r="M134" i="10"/>
  <c r="M135" i="10"/>
  <c r="M136" i="10"/>
  <c r="M137" i="10"/>
  <c r="M138" i="10"/>
  <c r="M139" i="10"/>
  <c r="M140" i="10"/>
  <c r="M141" i="10"/>
  <c r="M142" i="10"/>
  <c r="M143" i="10"/>
  <c r="M144" i="10"/>
  <c r="M145" i="10"/>
  <c r="M146" i="10"/>
  <c r="M147" i="10"/>
  <c r="M148" i="10"/>
  <c r="M149" i="10"/>
  <c r="M150" i="10"/>
  <c r="M151" i="10"/>
  <c r="M152" i="10"/>
  <c r="M153" i="10"/>
  <c r="M154" i="10"/>
  <c r="M155" i="10"/>
  <c r="M156" i="10"/>
  <c r="M157" i="10"/>
  <c r="M158" i="10"/>
  <c r="M159" i="10"/>
  <c r="M160" i="10"/>
  <c r="M161" i="10"/>
  <c r="M162" i="10"/>
  <c r="M163" i="10"/>
  <c r="M164" i="10"/>
  <c r="M165" i="10"/>
  <c r="M166" i="10"/>
  <c r="M167" i="10"/>
  <c r="M168" i="10"/>
  <c r="M169" i="10"/>
  <c r="M170" i="10"/>
  <c r="M171" i="10"/>
  <c r="M172" i="10"/>
  <c r="M173" i="10"/>
  <c r="M174" i="10"/>
  <c r="M175" i="10"/>
  <c r="M176" i="10"/>
  <c r="M177" i="10"/>
  <c r="M178" i="10"/>
  <c r="M179" i="10"/>
  <c r="M180" i="10"/>
  <c r="M181" i="10"/>
  <c r="M182" i="10"/>
  <c r="M183" i="10"/>
  <c r="M184" i="10"/>
  <c r="M185" i="10"/>
  <c r="M186" i="10"/>
  <c r="M187" i="10"/>
  <c r="M188" i="10"/>
  <c r="M189" i="10"/>
  <c r="M190" i="10"/>
  <c r="M191" i="10"/>
  <c r="M192" i="10"/>
  <c r="M193" i="10"/>
  <c r="M194" i="10"/>
  <c r="M195" i="10"/>
  <c r="M196" i="10"/>
  <c r="M197" i="10"/>
  <c r="M198" i="10"/>
  <c r="M199" i="10"/>
  <c r="M200" i="10"/>
  <c r="M201" i="10"/>
  <c r="M202" i="10"/>
  <c r="M203" i="10"/>
  <c r="M204" i="10"/>
  <c r="M205" i="10"/>
  <c r="M206" i="10"/>
  <c r="M207" i="10"/>
  <c r="M208" i="10"/>
  <c r="M209" i="10"/>
  <c r="M210" i="10"/>
  <c r="M211" i="10"/>
  <c r="M212" i="10"/>
  <c r="M213" i="10"/>
  <c r="M214" i="10"/>
  <c r="M215" i="10"/>
  <c r="M216" i="10"/>
  <c r="M217" i="10"/>
  <c r="M218" i="10"/>
  <c r="M219" i="10"/>
  <c r="M220" i="10"/>
  <c r="M221" i="10"/>
  <c r="M222" i="10"/>
  <c r="M223" i="10"/>
  <c r="M224" i="10"/>
  <c r="M225" i="10"/>
  <c r="M226" i="10"/>
  <c r="M227" i="10"/>
  <c r="M228" i="10"/>
  <c r="M229" i="10"/>
  <c r="M230" i="10"/>
  <c r="M231" i="10"/>
  <c r="M232" i="10"/>
  <c r="M233" i="10"/>
  <c r="M234" i="10"/>
  <c r="M235" i="10"/>
  <c r="M236" i="10"/>
  <c r="M237" i="10"/>
  <c r="M238" i="10"/>
  <c r="M239" i="10"/>
  <c r="M240" i="10"/>
  <c r="M241" i="10"/>
  <c r="M242" i="10"/>
  <c r="M243" i="10"/>
  <c r="M244" i="10"/>
  <c r="M245" i="10"/>
  <c r="M246" i="10"/>
  <c r="M247" i="10"/>
  <c r="M248" i="10"/>
  <c r="M249" i="10"/>
  <c r="M250" i="10"/>
  <c r="M251" i="10"/>
  <c r="M252" i="10"/>
  <c r="M253" i="10"/>
  <c r="M254" i="10"/>
  <c r="M255" i="10"/>
  <c r="M256" i="10"/>
  <c r="M257" i="10"/>
  <c r="M258" i="10"/>
  <c r="M259" i="10"/>
  <c r="M260" i="10"/>
  <c r="M261" i="10"/>
  <c r="M262" i="10"/>
  <c r="M263" i="10"/>
  <c r="M264" i="10"/>
  <c r="M265" i="10"/>
  <c r="M266" i="10"/>
  <c r="M267" i="10"/>
  <c r="M268" i="10"/>
  <c r="M269" i="10"/>
  <c r="M270" i="10"/>
  <c r="M271" i="10"/>
  <c r="M272" i="10"/>
  <c r="M273" i="10"/>
  <c r="M274" i="10"/>
  <c r="M275" i="10"/>
  <c r="M276" i="10"/>
  <c r="M277" i="10"/>
  <c r="M278" i="10"/>
  <c r="M279" i="10"/>
  <c r="M280" i="10"/>
  <c r="M281" i="10"/>
  <c r="M282" i="10"/>
  <c r="M283" i="10"/>
  <c r="M284" i="10"/>
  <c r="M285" i="10"/>
  <c r="M286" i="10"/>
  <c r="N286" i="10"/>
  <c r="M287" i="10"/>
  <c r="N287" i="10"/>
  <c r="M288" i="10"/>
  <c r="N288" i="10"/>
  <c r="M289" i="10"/>
  <c r="N289" i="10"/>
  <c r="M290" i="10"/>
  <c r="N290" i="10"/>
  <c r="M291" i="10"/>
  <c r="N291" i="10"/>
  <c r="M292" i="10"/>
  <c r="N292" i="10"/>
  <c r="M293" i="10"/>
  <c r="N293" i="10"/>
  <c r="M294" i="10"/>
  <c r="N294" i="10"/>
  <c r="M295" i="10"/>
  <c r="N295" i="10"/>
  <c r="M296" i="10"/>
  <c r="N296" i="10"/>
  <c r="M297" i="10"/>
  <c r="N297" i="10"/>
  <c r="M298" i="10"/>
  <c r="N298" i="10"/>
  <c r="M299" i="10"/>
  <c r="N299" i="10"/>
  <c r="M300" i="10"/>
  <c r="N300" i="10"/>
  <c r="M301" i="10"/>
  <c r="N301" i="10"/>
  <c r="M302" i="10"/>
  <c r="N302" i="10"/>
  <c r="M303" i="10"/>
  <c r="N303" i="10"/>
  <c r="M304" i="10"/>
  <c r="N304" i="10"/>
  <c r="M305" i="10"/>
  <c r="N305" i="10"/>
  <c r="M306" i="10"/>
  <c r="N306" i="10"/>
  <c r="M307" i="10"/>
  <c r="N307" i="10"/>
  <c r="M308" i="10"/>
  <c r="N308" i="10"/>
  <c r="M309" i="10"/>
  <c r="N309" i="10"/>
  <c r="M310" i="10"/>
  <c r="N310" i="10"/>
  <c r="M311" i="10"/>
  <c r="N311" i="10"/>
  <c r="M312" i="10"/>
  <c r="N312" i="10"/>
  <c r="M313" i="10"/>
  <c r="N313" i="10"/>
  <c r="M314" i="10"/>
  <c r="N314" i="10"/>
  <c r="M315" i="10"/>
  <c r="N315" i="10"/>
  <c r="M316" i="10"/>
  <c r="N316" i="10"/>
  <c r="M317" i="10"/>
  <c r="N317" i="10"/>
  <c r="M318" i="10"/>
  <c r="N318" i="10"/>
  <c r="M319" i="10"/>
  <c r="N319" i="10"/>
  <c r="M320" i="10"/>
  <c r="N320" i="10"/>
  <c r="M321" i="10"/>
  <c r="N321" i="10"/>
  <c r="M322" i="10"/>
  <c r="N322" i="10"/>
  <c r="M323" i="10"/>
  <c r="N323" i="10"/>
  <c r="M324" i="10"/>
  <c r="N324" i="10"/>
  <c r="M325" i="10"/>
  <c r="N325" i="10"/>
  <c r="M326" i="10"/>
  <c r="N326" i="10"/>
  <c r="M327" i="10"/>
  <c r="N327" i="10"/>
  <c r="M328" i="10"/>
  <c r="N328" i="10"/>
  <c r="M329" i="10"/>
  <c r="N329" i="10"/>
  <c r="M330" i="10"/>
  <c r="N330" i="10"/>
  <c r="M331" i="10"/>
  <c r="N331" i="10"/>
  <c r="M332" i="10"/>
  <c r="N332" i="10"/>
  <c r="M333" i="10"/>
  <c r="N333" i="10"/>
  <c r="M334" i="10"/>
  <c r="N334" i="10"/>
  <c r="M335" i="10"/>
  <c r="N335" i="10"/>
  <c r="M336" i="10"/>
  <c r="N336" i="10"/>
  <c r="M337" i="10"/>
  <c r="N337" i="10"/>
  <c r="M338" i="10"/>
  <c r="N338" i="10"/>
  <c r="M339" i="10"/>
  <c r="N339" i="10"/>
  <c r="M340" i="10"/>
  <c r="N340" i="10"/>
  <c r="M341" i="10"/>
  <c r="N341" i="10"/>
  <c r="M342" i="10"/>
  <c r="N342" i="10"/>
  <c r="M343" i="10"/>
  <c r="N343" i="10"/>
  <c r="M344" i="10"/>
  <c r="N344" i="10"/>
  <c r="K345" i="10"/>
  <c r="J345" i="10"/>
  <c r="L345" i="10"/>
  <c r="M345" i="10"/>
  <c r="N345" i="10"/>
  <c r="F16" i="10"/>
  <c r="AA120" i="19"/>
  <c r="AA120" i="19" a="1"/>
  <c r="AB120" i="19"/>
  <c r="AA121" i="19"/>
  <c r="AA121" i="19" a="1"/>
  <c r="AB121" i="19"/>
  <c r="AA122" i="19"/>
  <c r="AA122" i="19" a="1"/>
  <c r="AB122" i="19"/>
  <c r="AA123" i="19"/>
  <c r="AA123" i="19" a="1"/>
  <c r="AB123" i="19"/>
  <c r="AA124" i="19"/>
  <c r="AA124" i="19" a="1"/>
  <c r="AB124" i="19"/>
  <c r="AA125" i="19"/>
  <c r="AA125" i="19" a="1"/>
  <c r="AB125" i="19"/>
  <c r="AA126" i="19"/>
  <c r="AA126" i="19" a="1"/>
  <c r="AB126" i="19"/>
  <c r="AA127" i="19"/>
  <c r="AA127" i="19" a="1"/>
  <c r="AB127" i="19"/>
  <c r="AA128" i="19"/>
  <c r="AA128" i="19" a="1"/>
  <c r="AB128" i="19"/>
  <c r="AA129" i="19"/>
  <c r="AA129" i="19" a="1"/>
  <c r="AB129" i="19"/>
  <c r="AA130" i="19"/>
  <c r="AA130" i="19" a="1"/>
  <c r="AB130" i="19"/>
  <c r="AB131" i="19"/>
  <c r="AB135" i="19"/>
  <c r="AC135" i="19"/>
  <c r="AA119" i="19"/>
  <c r="AC137" i="19"/>
  <c r="AA119" i="19" a="1"/>
  <c r="AB119" i="19"/>
  <c r="AB132" i="19"/>
  <c r="AB136" i="19"/>
  <c r="AC136" i="19"/>
  <c r="AB137" i="19"/>
</calcChain>
</file>

<file path=xl/comments1.xml><?xml version="1.0" encoding="utf-8"?>
<comments xmlns="http://schemas.openxmlformats.org/spreadsheetml/2006/main">
  <authors>
    <author>D.J. Rosebaugh</author>
    <author>Steve</author>
  </authors>
  <commentList>
    <comment ref="J16" authorId="0">
      <text>
        <r>
          <rPr>
            <b/>
            <sz val="9"/>
            <color indexed="81"/>
            <rFont val="Calibri"/>
            <family val="2"/>
          </rPr>
          <t>Calculated on PV Watts based on site specifics.</t>
        </r>
      </text>
    </comment>
    <comment ref="F18" authorId="1">
      <text>
        <r>
          <rPr>
            <sz val="9"/>
            <color indexed="81"/>
            <rFont val="Tahoma"/>
            <family val="2"/>
          </rPr>
          <t>Enter as negative value</t>
        </r>
      </text>
    </comment>
    <comment ref="F20" authorId="1">
      <text>
        <r>
          <rPr>
            <b/>
            <sz val="9"/>
            <color indexed="81"/>
            <rFont val="Tahoma"/>
            <family val="2"/>
          </rPr>
          <t>Term of Loan</t>
        </r>
        <r>
          <rPr>
            <sz val="9"/>
            <color indexed="81"/>
            <rFont val="Tahoma"/>
            <family val="2"/>
          </rPr>
          <t xml:space="preserve">
Maximum Term of 20 years. Long life with no prepayment penalties designed to maximize a Homeowner's month-to-month econmics and provide ultimate flexibility.</t>
        </r>
      </text>
    </comment>
    <comment ref="F28" authorId="1">
      <text>
        <r>
          <rPr>
            <b/>
            <sz val="9"/>
            <color indexed="81"/>
            <rFont val="Tahoma"/>
            <family val="2"/>
          </rPr>
          <t>Steve:</t>
        </r>
        <r>
          <rPr>
            <sz val="9"/>
            <color indexed="81"/>
            <rFont val="Tahoma"/>
            <family val="2"/>
          </rPr>
          <t xml:space="preserve">
Must be within first 16 months</t>
        </r>
      </text>
    </comment>
    <comment ref="R58" authorId="1">
      <text>
        <r>
          <rPr>
            <b/>
            <sz val="9"/>
            <color indexed="81"/>
            <rFont val="Tahoma"/>
            <family val="2"/>
          </rPr>
          <t>Steve:</t>
        </r>
        <r>
          <rPr>
            <sz val="9"/>
            <color indexed="81"/>
            <rFont val="Tahoma"/>
            <family val="2"/>
          </rPr>
          <t xml:space="preserve">
Shift in calculation starting here to be driven by Utility Savings and accounting for System Degradation.</t>
        </r>
      </text>
    </comment>
    <comment ref="S58" authorId="1">
      <text>
        <r>
          <rPr>
            <b/>
            <sz val="9"/>
            <color indexed="81"/>
            <rFont val="Tahoma"/>
            <family val="2"/>
          </rPr>
          <t>Steve:</t>
        </r>
        <r>
          <rPr>
            <sz val="9"/>
            <color indexed="81"/>
            <rFont val="Tahoma"/>
            <family val="2"/>
          </rPr>
          <t xml:space="preserve">
Shift in calculation starting here to be driven by Utility Savings and accounting for System Degradation.</t>
        </r>
      </text>
    </comment>
  </commentList>
</comments>
</file>

<file path=xl/sharedStrings.xml><?xml version="1.0" encoding="utf-8"?>
<sst xmlns="http://schemas.openxmlformats.org/spreadsheetml/2006/main" count="1428" uniqueCount="698">
  <si>
    <t>Investment Summary - Annual Cash Flows</t>
  </si>
  <si>
    <t xml:space="preserve">8.  Optional Edge Screening available for additional charge - $5.00/foot </t>
  </si>
  <si>
    <t>Turnkey Permitting, Installation, Interconnection, Inspection &amp; Comissioning Services</t>
  </si>
  <si>
    <t>Small System Size Adders:</t>
  </si>
  <si>
    <t>3-4kW</t>
  </si>
  <si>
    <t>2-2.99kW</t>
  </si>
  <si>
    <t>&lt;2kW</t>
  </si>
  <si>
    <t>Solar Electric installation/interconnection</t>
  </si>
  <si>
    <t>no tree trimming required</t>
  </si>
  <si>
    <t>Inverter Efficiency</t>
  </si>
  <si>
    <t>Austin Energy Rebate</t>
  </si>
  <si>
    <t>Oncor Energy Rebate</t>
  </si>
  <si>
    <t>Manufacturer</t>
  </si>
  <si>
    <t>Model</t>
  </si>
  <si>
    <t>Efficiency (Inverter)</t>
  </si>
  <si>
    <t>SB3000TL-US-22</t>
  </si>
  <si>
    <t>SB3800TL-US-22</t>
  </si>
  <si>
    <t>SB4000TL-US-22</t>
  </si>
  <si>
    <t>SB5000TL-US-22</t>
  </si>
  <si>
    <t>SB6000TL-US-22</t>
  </si>
  <si>
    <t>SB7000TL-US-22</t>
  </si>
  <si>
    <t>SB7700TL-US-22</t>
  </si>
  <si>
    <t>SB3000US</t>
  </si>
  <si>
    <t>SB3000US-12</t>
  </si>
  <si>
    <t>SB3800US</t>
  </si>
  <si>
    <t>SB3800US-12</t>
  </si>
  <si>
    <t>SB4000US</t>
  </si>
  <si>
    <t>SB4000US-12</t>
  </si>
  <si>
    <t>SB5000US</t>
  </si>
  <si>
    <t>SB5000US-12</t>
  </si>
  <si>
    <t>SB6000US</t>
  </si>
  <si>
    <t>SB6000US-12</t>
  </si>
  <si>
    <t>SB6000TL-US-12</t>
  </si>
  <si>
    <t>SB7000US</t>
  </si>
  <si>
    <t>SB7000US-12</t>
  </si>
  <si>
    <t>SB7000TL-US-12</t>
  </si>
  <si>
    <t>SB8000US</t>
  </si>
  <si>
    <t>SB8000US-12</t>
  </si>
  <si>
    <t>SB8000TL-US-12</t>
  </si>
  <si>
    <t>SB9000TL-US-12</t>
  </si>
  <si>
    <t>SB10000TL-US-12</t>
  </si>
  <si>
    <t>SB11000TL-US-12</t>
  </si>
  <si>
    <t>SE3000A-US</t>
  </si>
  <si>
    <t>SE3300A-US</t>
  </si>
  <si>
    <t>SE3800A-US</t>
  </si>
  <si>
    <t>SE4000A-US</t>
  </si>
  <si>
    <t>SE5000A-US</t>
  </si>
  <si>
    <t>SE6000A-US</t>
  </si>
  <si>
    <t>SE7600A-US</t>
  </si>
  <si>
    <t>SE10000A-US</t>
  </si>
  <si>
    <t>SE11400A-US</t>
  </si>
  <si>
    <t>Power-One</t>
  </si>
  <si>
    <t>PVI-3.0-OUTD-S-US</t>
  </si>
  <si>
    <t>PVI-3.6-OUTD-S-US</t>
  </si>
  <si>
    <t>PVI-3.8-OUTD-S-US</t>
  </si>
  <si>
    <t>PVI-4.2-OUTD-S-US</t>
  </si>
  <si>
    <t>PVI-5000-OUTD-US</t>
  </si>
  <si>
    <t>PVI-6000-OUTD-US</t>
  </si>
  <si>
    <t>UNO-7.6-TL-OUTD-S-US-A</t>
  </si>
  <si>
    <t>UNO-8.6-TL-OUTD-S-US-A</t>
  </si>
  <si>
    <t>M215-60-2LL-S22</t>
  </si>
  <si>
    <t>M250-60-2LL-S2X (-ZC)(-NA)</t>
  </si>
  <si>
    <t>None</t>
  </si>
  <si>
    <t>$0.20-0.75/W DC and up</t>
  </si>
  <si>
    <t>Annual Solar Production:</t>
  </si>
  <si>
    <t>Annual Utility Consumption:</t>
  </si>
  <si>
    <t>&lt;4kW System Size</t>
  </si>
  <si>
    <t>c.  Deposit [see Payment Schedule Exhibit B]</t>
    <phoneticPr fontId="3" type="noConversion"/>
  </si>
  <si>
    <r>
      <t>Checks may be made to:</t>
    </r>
    <r>
      <rPr>
        <i/>
        <sz val="9"/>
        <rFont val="Helvetica"/>
      </rPr>
      <t xml:space="preserve"> </t>
    </r>
    <r>
      <rPr>
        <b/>
        <i/>
        <sz val="9"/>
        <rFont val="Helvetica"/>
      </rPr>
      <t>Lighthouse Solar Austin</t>
    </r>
    <r>
      <rPr>
        <sz val="9"/>
        <rFont val="Helvetica"/>
      </rPr>
      <t xml:space="preserve">  Credit card payments are accepted for an additional 2.7% of total invoice amount [see Exh. B] </t>
    </r>
  </si>
  <si>
    <t>2.  Rebate Application (if applicable)</t>
    <phoneticPr fontId="3" type="noConversion"/>
  </si>
  <si>
    <t xml:space="preserve">     3.  REC Assignment Form (if applicable)</t>
    <phoneticPr fontId="3" type="noConversion"/>
  </si>
  <si>
    <t>4.  Interconnection Agreement Application  (if applicable)</t>
    <phoneticPr fontId="3" type="noConversion"/>
  </si>
  <si>
    <t>5.  Inspection Proxy Assignment (Austin Energy Customers Only)</t>
    <phoneticPr fontId="3" type="noConversion"/>
  </si>
  <si>
    <t>Equipment to be used</t>
    <phoneticPr fontId="3" type="noConversion"/>
  </si>
  <si>
    <t>NEC compliant Electrical Equipment</t>
    <phoneticPr fontId="3" type="noConversion"/>
  </si>
  <si>
    <t>6. Insurance and Licensing</t>
    <phoneticPr fontId="8" type="noConversion"/>
  </si>
  <si>
    <t xml:space="preserve">Lightgauge Data Monitoring Package </t>
    <phoneticPr fontId="3" type="noConversion"/>
  </si>
  <si>
    <t>Lighthouse Solar is a Licensed Texas Electrical Contractor (TECL# 26050).  Mark Pride is a TDLR Licensed Master Electrician (TDLR# 183404). Quentin Keith is a certified PV Installation Professional #031409-71 by the North American Board of Energy Practioners (NABCEP).</t>
    <phoneticPr fontId="8" type="noConversion"/>
  </si>
  <si>
    <t>Signatures</t>
    <phoneticPr fontId="3" type="noConversion"/>
  </si>
  <si>
    <t xml:space="preserve">CLIENT </t>
  </si>
  <si>
    <r>
      <t>Lighthouse</t>
    </r>
    <r>
      <rPr>
        <sz val="10"/>
        <rFont val="Helvetica"/>
      </rPr>
      <t>solar</t>
    </r>
  </si>
  <si>
    <t>LHS Representative</t>
    <phoneticPr fontId="3" type="noConversion"/>
  </si>
  <si>
    <t>Lighthouse Solar maintains (i) comprehensive general liability insurance and (ii) worker's compensation insurance not less than that prescribed by statutory limits covering all employees who shall perform services on behalf of Lighthouse Solar.  Client is responsible for obtaining any and all insurance Client deems necessary, including but not limited to coverage for personal injury and property damage.  The payments Client makes under this Agreement are not related to the value of the Property or Client's pssessions, but rather are based on the cost of the Equipment and Lighthouse Solar's services.</t>
    <phoneticPr fontId="8" type="noConversion"/>
  </si>
  <si>
    <t>Signed</t>
    <phoneticPr fontId="3" type="noConversion"/>
  </si>
  <si>
    <t>Date</t>
    <phoneticPr fontId="3" type="noConversion"/>
  </si>
  <si>
    <t xml:space="preserve">Agreement prepared by: </t>
    <phoneticPr fontId="3" type="noConversion"/>
  </si>
  <si>
    <t>APPROVED and AGREED TO:</t>
  </si>
  <si>
    <r>
      <t>Lighthouse</t>
    </r>
    <r>
      <rPr>
        <sz val="8"/>
        <rFont val="Helvetica"/>
      </rPr>
      <t>solar</t>
    </r>
  </si>
  <si>
    <t>Lighthouse Solar Representative</t>
    <phoneticPr fontId="3" type="noConversion"/>
  </si>
  <si>
    <t>Plus Options as outlined in attached proposal</t>
  </si>
  <si>
    <t>Post Solar Monthly Energy Cost (yr 1)</t>
  </si>
  <si>
    <t>Aluminum Mounting and Racking System</t>
  </si>
  <si>
    <t>Mounting &amp; Electrical Equipment per National Electric Code</t>
  </si>
  <si>
    <t>Lighthouse Solar warrants its Photovoltaic energy systems and their operation against defects in material and workmanship for a period amounting to the “lifetime of the system” from the date of installation. All required service labor and component replacement costs are covered by this warranty. This warranty specifically applies to the installation of the components and how they interact with the structure upon which they are installed. “Lifetime” of the system applies to the length of time of the longest warranted component. Any battery defect or malfunction is excluded from this warranty and covered by the manufacturerʼs warranty. In the event that a component defect occurs, the manufacturer warranty on the component shall be executed. Vandalism, theft, damage due to natural disasters, damage due to abnormal use of system, damage due to accidental event, or any other cause or condition beyond the control of Lighthouse Solar are not covered by this warranty.
This warranty shall also become null and void under the following conditions: (1) The PV system or any component thereof is physically relocated without the express written consent of Lighthouse Solar (2) Inverter loss of power due to action by customer without the express written consent of Lighthouse Solar.; (3) Addition of any new component in the system thereby changing the original system configuration without the express written consent of Lighthouse Solar; (4) The change of any control set point without the express written consent of Lighthouse Solar.  All remedies and the measure of damages are limited to the above.  Lighthouse Solar shall in no event be liable for consequential, incidental, contingent, or special damages, even if Lighthouse Solar has been advised of the possibility of such damages. Any and all other warranties express or implied arising by law, course of dealing, course of performance, usage of trade, or otherwise, including but not limited to implied warranties of merchantability and fitness for a particular purpose, are limited to the duration of five (5) years from the date of installation. Some States do not allow limitations on how long an implied warranty lasts, or the exclusion of incidental or consequential damages. So the above limitations may not apply to you. This warranty gives you specific legal rights. You may also have other rights which vary from State to State.  No warranties will be in effect unless the system is completely paid for and no outstanding balance is owed.</t>
    <phoneticPr fontId="8" type="noConversion"/>
  </si>
  <si>
    <t>Client represents and warrants that the Property and conditions to be encountered by  Lighthouse Solar at the Property and in areas where work is to be performed shall (i) be in compliance with all applicable federal, state and local laws, rules and regulations, (ii) be safe, and (iii) not contain or expose  Lighthouse Solar's representatives to hazardous materials or hazardous substances.  In the event of Client's breach of the foregoing, in addtion to all other remedies,  Lighthouse Solar may immediately suspend work until Client has promptly corrected such condition(s) at Client's expense.  In the event Client cannot or does not correct such condition(s),  Lighthouse Solar may, at its sole discretion terminate the Agreement.  Any termination by  Lighthouse Solar due to a reasonable belief that an unsafe condition exists will not be deemed a breach of the Agreement, and no liability for such decision will attach.</t>
    <phoneticPr fontId="8" type="noConversion"/>
  </si>
  <si>
    <t>Required Documentation (including but not limited to):</t>
    <phoneticPr fontId="3" type="noConversion"/>
  </si>
  <si>
    <t>Lighthouse Solar facilitates all required interconnection administration on behalf of the Client.  Actual administration varies by and at the discretion of each utility.</t>
    <phoneticPr fontId="3" type="noConversion"/>
  </si>
  <si>
    <t xml:space="preserve">     1.  Lighthouse Solar signed Contract [this document - Exhibits A &amp; B]</t>
    <phoneticPr fontId="3" type="noConversion"/>
  </si>
  <si>
    <t>XX</t>
    <phoneticPr fontId="3" type="noConversion"/>
  </si>
  <si>
    <t xml:space="preserve">a.  Copy of Utility Bill including account number </t>
    <phoneticPr fontId="3" type="noConversion"/>
  </si>
  <si>
    <t>5. Limited Warranty</t>
    <phoneticPr fontId="8" type="noConversion"/>
  </si>
  <si>
    <t>b.  Approved Layout with Signature</t>
    <phoneticPr fontId="3" type="noConversion"/>
  </si>
  <si>
    <t>In order to install the equipment at the property and to make all inspections, tests and repairs of the equipment, Client shall provide  Lighthouse Solar access to the Property during the hours of 7:00am to 7:00pm   Lighthouse Solar will use its best efforts to ensure a timely completion of the installation, however  Lighthouse Solar shall be excused from performance hereunder for any period and the the extent that is prevented from performing any services pursuant hereto, in whole or part, as a result of delays caused by the Client, the Client's Contractor or an act of God, or other cause beyond its reasonable control and which it could not have prevented by reasonable precautions, including fire, strike, slowdown or labor interruption, civil commotion, acts of terrorism, embargo, delay or failure of supploers, contractors or common carriers, breakdown of equipment, explosion, accident, governmental act or regulation, failures or fluctuations in electrical power, heat, light, airconditioning or telecommunications equipment and such nonperformance shall not be a default hereunder or a ground for termination hereof.</t>
    <phoneticPr fontId="8" type="noConversion"/>
  </si>
  <si>
    <r>
      <t>Lighthouse Solar works diligently to make the utility processing, installation and inspection as easy as possible for your solar energy system project.  Bear in mind that rebating, permitting and inspection services are often distinct departments across several municipal or corporate entities.  Many signature required forms are necessary to get underway or complete.  It is imperative that Lighthouse Solar receive any necessary signatures or other paperwork from you in as timely a manner as possible.  Should you have any questions regarding any necessary forms or processes, please call or email</t>
    </r>
    <r>
      <rPr>
        <u/>
        <sz val="8"/>
        <rFont val="Helvetica"/>
      </rPr>
      <t xml:space="preserve"> Jeff Swindle at 512-476-5555; jswindle@lighthousesolar.com.</t>
    </r>
    <r>
      <rPr>
        <sz val="8"/>
        <rFont val="Helvetica"/>
      </rPr>
      <t xml:space="preserve">  Lighthouse Solar</t>
    </r>
    <r>
      <rPr>
        <u/>
        <sz val="8"/>
        <rFont val="Helvetica"/>
      </rPr>
      <t xml:space="preserve"> no longer</t>
    </r>
    <r>
      <rPr>
        <sz val="8"/>
        <rFont val="Helvetica"/>
      </rPr>
      <t xml:space="preserve"> uses </t>
    </r>
    <r>
      <rPr>
        <i/>
        <sz val="8"/>
        <rFont val="Helvetica"/>
      </rPr>
      <t>Docusign</t>
    </r>
    <r>
      <rPr>
        <sz val="8"/>
        <rFont val="Helvetica"/>
      </rPr>
      <t xml:space="preserve"> to process electronic signatures.  Wet or facsimilie signatures are accepted. Using US Postal or Private Couriers can slow down processing.</t>
    </r>
  </si>
  <si>
    <t>4. Provide, at minimum, a digital owner's manual and education for customer on system operation, maintenance and safety</t>
    <phoneticPr fontId="3" type="noConversion"/>
  </si>
  <si>
    <t>5.  Electrical work to be performed</t>
    <phoneticPr fontId="3" type="noConversion"/>
  </si>
  <si>
    <t>6.  Shade Mitigation:</t>
    <phoneticPr fontId="3" type="noConversion"/>
  </si>
  <si>
    <r>
      <t xml:space="preserve">In areas where utility rebate incentives are available and, unless otherwise agreed upon, Lighthouse Solar will collect the utility rebate as partial payment of gross system cost.  If Lighthouse Solar is collecting rebates, we reserve the right to specify an alternate recipient. If Lighthouse Solar is collecting rebates, delays in receiving rebates caused by client signature delays will be billed at 2% of incentive amount for each week of delay.  </t>
    </r>
    <r>
      <rPr>
        <sz val="8"/>
        <rFont val="Helvetica"/>
      </rPr>
      <t xml:space="preserve">  Installation will not begin until all materials have arrived and scheduled payments have been remitted.  If the final payment is not made to  Lighthouse Solar upon installation completion, it will be subject to the maximum finance charge allowable by state law, with the first finance charge assessed 30 days after installation completion.  If the Client cancels the project after submitting the initial deposit, a $1000 non-refundable design and re-stocking fee will be charged.   </t>
    </r>
  </si>
  <si>
    <t>7.  Roof Vent Relocation:</t>
    <phoneticPr fontId="3" type="noConversion"/>
  </si>
  <si>
    <t>Any work performed outside of this Scope will be considered a Change Order.  Change orders will be agreed upon with Client prior to execution of any Change Order.</t>
    <phoneticPr fontId="3" type="noConversion"/>
  </si>
  <si>
    <t>4. Installation</t>
    <phoneticPr fontId="8" type="noConversion"/>
  </si>
  <si>
    <r>
      <t xml:space="preserve">Lighthouse Solar shall install the equipment specified (Exhibit A) at the property substantially in accordance with the manufacturer's specifications.  All electrical work will be in accordance with the NEC 2011 or the specfic design criteria of the </t>
    </r>
    <r>
      <rPr>
        <i/>
        <sz val="8"/>
        <rFont val="Helvetica"/>
      </rPr>
      <t>Authority Having Jursdiction</t>
    </r>
    <r>
      <rPr>
        <sz val="8"/>
        <rFont val="Helvetica"/>
      </rPr>
      <t xml:space="preserve"> (AHJ).  Risk of loss to the equipment transfers to Client upon completion of installation.  Title and ownership of the equipment transfers to customer upon final payment of Total System Price.</t>
    </r>
  </si>
  <si>
    <t>Installation Processes</t>
    <phoneticPr fontId="3" type="noConversion"/>
  </si>
  <si>
    <t>Payment Received:</t>
    <phoneticPr fontId="3" type="noConversion"/>
  </si>
  <si>
    <t>Date:</t>
    <phoneticPr fontId="3" type="noConversion"/>
  </si>
  <si>
    <t>1. Obtain necessary permits/apply for rebates if applicable.  Old or uncleared permits on the Client's property are the responsibility of the Client to clear or have cleared.  Lighthouse Solar may assist in the resolution of old or uncleared permits at an additional cost to Client to be determined.</t>
    <phoneticPr fontId="3" type="noConversion"/>
  </si>
  <si>
    <t>3. Payment Terms</t>
    <phoneticPr fontId="8" type="noConversion"/>
  </si>
  <si>
    <r>
      <t xml:space="preserve">Client shall adhere to the payment schedule listed above.  The </t>
    </r>
    <r>
      <rPr>
        <i/>
        <sz val="8"/>
        <rFont val="Helvetica"/>
      </rPr>
      <t>Deposit Payment</t>
    </r>
    <r>
      <rPr>
        <sz val="8"/>
        <rFont val="Helvetica"/>
      </rPr>
      <t xml:space="preserve"> is due with this contract. The </t>
    </r>
    <r>
      <rPr>
        <i/>
        <sz val="8"/>
        <rFont val="Helvetica"/>
      </rPr>
      <t>Installation Payment</t>
    </r>
    <r>
      <rPr>
        <sz val="8"/>
        <rFont val="Helvetica"/>
      </rPr>
      <t xml:space="preserve"> is due when Lighthouse Solar is satisfied that its installation is substantially complete and all major components delivered and installed.  Minor details may still remain in order to be inspected and commissioned.  The </t>
    </r>
    <r>
      <rPr>
        <i/>
        <sz val="8"/>
        <rFont val="Helvetica"/>
      </rPr>
      <t>Final Payment</t>
    </r>
    <r>
      <rPr>
        <sz val="8"/>
        <rFont val="Helvetica"/>
      </rPr>
      <t xml:space="preserve"> is due once the system has been inspected and commissioned.  Actual operation of the system may depend on Utility procedures, rules or regulations and may be delayed because of Utility procedures, rules or regulations.  Credit cards may be accepted for an additional fee of 2.7% per transaction.</t>
    </r>
  </si>
  <si>
    <t xml:space="preserve">     2.  HOA approval is necessary in some areas.  HOA approval is a submission by client and is client's responsibility.  Lighthouse Solar will assist        with any required documentation needed to satisfy HOA.</t>
    <phoneticPr fontId="3" type="noConversion"/>
  </si>
  <si>
    <r>
      <t xml:space="preserve">3. Install system equipment specified below [see Exhibit B - </t>
    </r>
    <r>
      <rPr>
        <i/>
        <sz val="9"/>
        <rFont val="Helvetica"/>
      </rPr>
      <t>Payment Terms]</t>
    </r>
  </si>
  <si>
    <r>
      <t xml:space="preserve">Lighthouse Solar reserves the right to substitute equipment of comparable value, function &amp; quality as necessary and at it's discretion.  Utility rebates or other incentives may change as a result of equipment substitutions.  **Change in Utility rebate will be modified on customer's final invoice.  In the event that the actual Rebate Value is less than any Estimated Rebate Value indicated in </t>
    </r>
    <r>
      <rPr>
        <i/>
        <sz val="8"/>
        <rFont val="Helvetica"/>
      </rPr>
      <t xml:space="preserve">1. System Price </t>
    </r>
    <r>
      <rPr>
        <sz val="8"/>
        <rFont val="Helvetica"/>
      </rPr>
      <t>(above), then the customer shall add the difference between the actual and estimated values to the final payment due to Lighthouse Solar.</t>
    </r>
  </si>
  <si>
    <t>CLIENT'S UTILITY:</t>
    <phoneticPr fontId="3" type="noConversion"/>
  </si>
  <si>
    <t>UTILITY REBATE # (IF APPLICABLE)</t>
    <phoneticPr fontId="3" type="noConversion"/>
  </si>
  <si>
    <t>CLIENT'S UTILITY</t>
    <phoneticPr fontId="3" type="noConversion"/>
  </si>
  <si>
    <t>UTILITY REBATE # (if applicable):</t>
    <phoneticPr fontId="3" type="noConversion"/>
  </si>
  <si>
    <t>1. System Price</t>
    <phoneticPr fontId="3" type="noConversion"/>
  </si>
  <si>
    <t>2. Payment Schedule</t>
    <phoneticPr fontId="3" type="noConversion"/>
  </si>
  <si>
    <t>This agreement is with Horus Partners, Inc. dba Lighthouse Solar Austin hereinafter called Lighthouse Solar</t>
    <phoneticPr fontId="3" type="noConversion"/>
  </si>
  <si>
    <t>Total System Price</t>
    <phoneticPr fontId="3" type="noConversion"/>
  </si>
  <si>
    <t>Invoice amount**</t>
    <phoneticPr fontId="8" type="noConversion"/>
  </si>
  <si>
    <t>System Size</t>
    <phoneticPr fontId="3" type="noConversion"/>
  </si>
  <si>
    <t>Watts (STC-DC)</t>
    <phoneticPr fontId="3" type="noConversion"/>
  </si>
  <si>
    <t>AC Watts Inverted</t>
    <phoneticPr fontId="3" type="noConversion"/>
  </si>
  <si>
    <t>50% Deposit Payment due with a signed contract:</t>
    <phoneticPr fontId="8" type="noConversion"/>
  </si>
  <si>
    <t>Project Timeline</t>
    <phoneticPr fontId="3" type="noConversion"/>
  </si>
  <si>
    <t>Utility Rebate (Estimated)</t>
    <phoneticPr fontId="3" type="noConversion"/>
  </si>
  <si>
    <t xml:space="preserve"> 40% Installation Payment due as installation is complete:</t>
    <phoneticPr fontId="8" type="noConversion"/>
  </si>
  <si>
    <t>Each project has a typical and predictable timeline associated with it.  Lighthouse Solar allows for 90 days or less to thoroughly complete most projects from contract to inspection and customer walk thoughs. Please note that Lighthouse Solar will make every effort to accomplish your installation in a timely manner.  The above stated timeline of 90 days may be delayed due to utility processing, equipment delivery or other factors outside Lighthouse Solar's control.</t>
    <phoneticPr fontId="3" type="noConversion"/>
  </si>
  <si>
    <t>Net "After Rebate" Price*</t>
    <phoneticPr fontId="3" type="noConversion"/>
  </si>
  <si>
    <t xml:space="preserve"> 10% Final Payment due upon passing final inspection and commissioning:</t>
    <phoneticPr fontId="3" type="noConversion"/>
  </si>
  <si>
    <t>Rebates to be collected by Lighthouse Solar unless otherwise agreed upon  in writing</t>
    <phoneticPr fontId="8" type="noConversion"/>
  </si>
  <si>
    <t>Final Cost of System with Sales Tax:</t>
    <phoneticPr fontId="8" type="noConversion"/>
  </si>
  <si>
    <t>Sales Tax Included</t>
    <phoneticPr fontId="8" type="noConversion"/>
  </si>
  <si>
    <t>Permit/Rebate/Interconnection-&gt;</t>
  </si>
  <si>
    <t>Equipment Order -&gt;</t>
  </si>
  <si>
    <t>Scheduling -&gt;</t>
  </si>
  <si>
    <t>Installation -&gt;</t>
  </si>
  <si>
    <t>Commissioning -&gt;</t>
  </si>
  <si>
    <t>Inspection.</t>
  </si>
  <si>
    <t>*Final cost of system does not show 30% federal tax credit to be organized and collected by customer - Use IRS Form 5695.                                                         Please consult a tax professional.</t>
    <phoneticPr fontId="8" type="noConversion"/>
  </si>
  <si>
    <r>
      <t>Form of Payment:</t>
    </r>
    <r>
      <rPr>
        <sz val="9"/>
        <rFont val="Helvetica"/>
      </rPr>
      <t xml:space="preserve"> </t>
    </r>
  </si>
  <si>
    <t>Scope of Project</t>
    <phoneticPr fontId="3" type="noConversion"/>
  </si>
  <si>
    <t>CLIENT'S UTILITY</t>
  </si>
  <si>
    <t>Oncor REP</t>
  </si>
  <si>
    <t>Oncor EISD</t>
  </si>
  <si>
    <t>Year Home Built</t>
  </si>
  <si>
    <t>If older than 10yr, AE Energy Efficiency Work?</t>
  </si>
  <si>
    <t>HOA</t>
  </si>
  <si>
    <t>Roofing Material</t>
  </si>
  <si>
    <t>Tilt</t>
  </si>
  <si>
    <t>Fiance or Cash Purchase</t>
  </si>
  <si>
    <t>Asphalt Shingle</t>
  </si>
  <si>
    <t>Standing Seam</t>
  </si>
  <si>
    <t>Screwdown Metal</t>
  </si>
  <si>
    <t>Clay/Concrete Tile</t>
  </si>
  <si>
    <t>Wood Shingle</t>
  </si>
  <si>
    <t>Post Solar Annual Bill + Loan Payment</t>
  </si>
  <si>
    <t>Estimated Net Monthly Savings (Utility Bill + Loan)</t>
  </si>
  <si>
    <t>Pre-Solar Monthly Energy Cost</t>
  </si>
  <si>
    <t>Post-Solar Estimated Monthly Energy Cost</t>
  </si>
  <si>
    <t>Pre Solar Monthly Energy Cost</t>
  </si>
  <si>
    <t>Critter Guard</t>
  </si>
  <si>
    <t>$5/foot</t>
  </si>
  <si>
    <t>Project Adders</t>
  </si>
  <si>
    <t>Total System Cost</t>
  </si>
  <si>
    <t>Base System Price</t>
  </si>
  <si>
    <t>Estimated Monthly Energy Cost Post Solar (yr 1)</t>
  </si>
  <si>
    <t>Estimated Final System Investment</t>
  </si>
  <si>
    <t>25 Year Reinvested Savings @7% APY</t>
  </si>
  <si>
    <t>Reinvested Savings @ 7% APY</t>
  </si>
  <si>
    <t>Cumulative Energy Savings</t>
  </si>
  <si>
    <t>Cum Cost of Energy With Solar + Loan Payment</t>
  </si>
  <si>
    <t>Cumulative Savings with Solar</t>
  </si>
  <si>
    <t xml:space="preserve">Utility </t>
  </si>
  <si>
    <t>Out of Pocket / Loan Amount</t>
  </si>
  <si>
    <t>Home Value Increase</t>
  </si>
  <si>
    <t>$2.50/Watt</t>
  </si>
  <si>
    <t>Estimate</t>
  </si>
  <si>
    <t>Net Investment</t>
  </si>
  <si>
    <t>Cash Purchase Price</t>
  </si>
  <si>
    <t>Annual Energy Savings</t>
  </si>
  <si>
    <t xml:space="preserve">Net Savings </t>
  </si>
  <si>
    <t>Estimated Net Monthly Savings</t>
  </si>
  <si>
    <t>Solar PV System Budgetary Price Estimator</t>
  </si>
  <si>
    <t>Module Count</t>
  </si>
  <si>
    <t># of Modules</t>
  </si>
  <si>
    <t>SOLAR CONTRACT / EXHIBIT A</t>
    <phoneticPr fontId="3" type="noConversion"/>
  </si>
  <si>
    <t>SOLAR CONTRACT / EXHIBIT B</t>
    <phoneticPr fontId="3" type="noConversion"/>
  </si>
  <si>
    <t>TERMS AND CONDITIONS</t>
    <phoneticPr fontId="3" type="noConversion"/>
  </si>
  <si>
    <t>2000 S. 7th St. Austin TX 78704</t>
    <phoneticPr fontId="3" type="noConversion"/>
  </si>
  <si>
    <t>SALES ASSOCIATE:</t>
    <phoneticPr fontId="8" type="noConversion"/>
  </si>
  <si>
    <t>Sales Representative:</t>
    <phoneticPr fontId="3" type="noConversion"/>
  </si>
  <si>
    <t>512 476 5555 (o); 719 213 2510 (f)</t>
    <phoneticPr fontId="3" type="noConversion"/>
  </si>
  <si>
    <t>CLIENT:</t>
    <phoneticPr fontId="3" type="noConversion"/>
  </si>
  <si>
    <t>DATE:</t>
    <phoneticPr fontId="3" type="noConversion"/>
  </si>
  <si>
    <t>PHONE:</t>
    <phoneticPr fontId="3" type="noConversion"/>
  </si>
  <si>
    <t>PROPOSAL NUMBER:</t>
    <phoneticPr fontId="3" type="noConversion"/>
  </si>
  <si>
    <t>PROPOSAL #:</t>
    <phoneticPr fontId="3" type="noConversion"/>
  </si>
  <si>
    <t>EMAIL:</t>
    <phoneticPr fontId="3" type="noConversion"/>
  </si>
  <si>
    <t>JOB NUMBER:</t>
    <phoneticPr fontId="3" type="noConversion"/>
  </si>
  <si>
    <t>JOB #:</t>
    <phoneticPr fontId="3" type="noConversion"/>
  </si>
  <si>
    <t>PROJECT ADDRESS:</t>
    <phoneticPr fontId="3" type="noConversion"/>
  </si>
  <si>
    <t>UTILITY ACCOUNT NUMBER:</t>
    <phoneticPr fontId="3" type="noConversion"/>
  </si>
  <si>
    <t>UTILITY ACCOUNT #:</t>
    <phoneticPr fontId="3" type="noConversion"/>
  </si>
  <si>
    <t>UTILITY METER NUMBER:</t>
    <phoneticPr fontId="3" type="noConversion"/>
  </si>
  <si>
    <t>CITY/STATE/ZIP</t>
    <phoneticPr fontId="3" type="noConversion"/>
  </si>
  <si>
    <t>UTILITY METER#:</t>
    <phoneticPr fontId="3" type="noConversion"/>
  </si>
  <si>
    <t>SolarEdge</t>
  </si>
  <si>
    <t>Solaredge</t>
  </si>
  <si>
    <t>Standard Warranty</t>
  </si>
  <si>
    <t>20 yr</t>
  </si>
  <si>
    <t>10 yr</t>
  </si>
  <si>
    <t>Extended Warranty</t>
  </si>
  <si>
    <t>25 yr</t>
  </si>
  <si>
    <t>12 yr/ 25yr</t>
  </si>
  <si>
    <t>20 yr/ 25 yr</t>
  </si>
  <si>
    <t>Sales Tax is Not Included</t>
  </si>
  <si>
    <t>Selected Size</t>
  </si>
  <si>
    <t>Qty</t>
  </si>
  <si>
    <t>Subtotal</t>
  </si>
  <si>
    <t>Method 1</t>
  </si>
  <si>
    <t>Monthly Usage</t>
  </si>
  <si>
    <t>Method 2</t>
  </si>
  <si>
    <t>Annual Usage</t>
  </si>
  <si>
    <t>Method 3</t>
  </si>
  <si>
    <t>Square Footage</t>
  </si>
  <si>
    <t>Monhtly Production Factor</t>
  </si>
  <si>
    <t>Solar</t>
  </si>
  <si>
    <t>Square Footage of House</t>
  </si>
  <si>
    <t>Rated Efficiency of House</t>
  </si>
  <si>
    <t>High</t>
  </si>
  <si>
    <t>Medium</t>
  </si>
  <si>
    <t>Low</t>
  </si>
  <si>
    <t>Annual</t>
  </si>
  <si>
    <t>Pitch</t>
  </si>
  <si>
    <t>Azimuth</t>
  </si>
  <si>
    <t>Roof Pitch</t>
  </si>
  <si>
    <t>East</t>
  </si>
  <si>
    <t>South East</t>
  </si>
  <si>
    <t>South</t>
  </si>
  <si>
    <t>South West</t>
  </si>
  <si>
    <t>West</t>
  </si>
  <si>
    <t>Financed or Cash Purchase</t>
  </si>
  <si>
    <t>Cash</t>
  </si>
  <si>
    <t>Utility</t>
  </si>
  <si>
    <t>Austin Energy</t>
  </si>
  <si>
    <t>Option A1</t>
  </si>
  <si>
    <t>Option A2</t>
  </si>
  <si>
    <t>Option B1</t>
  </si>
  <si>
    <t>Option B2</t>
  </si>
  <si>
    <t>Option C1</t>
  </si>
  <si>
    <t>Option C2</t>
  </si>
  <si>
    <t>Option D1</t>
  </si>
  <si>
    <t>Option D2</t>
  </si>
  <si>
    <t>Option E1</t>
  </si>
  <si>
    <t>Intake Date:</t>
  </si>
  <si>
    <t>Contract Date:</t>
  </si>
  <si>
    <t>Step 1</t>
  </si>
  <si>
    <t>Select System Size</t>
  </si>
  <si>
    <t>Step 2</t>
  </si>
  <si>
    <t>Step 3</t>
  </si>
  <si>
    <t>Select Module</t>
  </si>
  <si>
    <t>Step 4</t>
  </si>
  <si>
    <t xml:space="preserve">Select Inverter </t>
  </si>
  <si>
    <t>Step 5</t>
  </si>
  <si>
    <t>Select Inverter Warranty</t>
  </si>
  <si>
    <t>Step 6</t>
  </si>
  <si>
    <t>Select Project Adders</t>
  </si>
  <si>
    <t>Estimated System Cost Summary</t>
  </si>
  <si>
    <t>Solar Edge</t>
  </si>
  <si>
    <t>Standard</t>
  </si>
  <si>
    <t>Extended</t>
  </si>
  <si>
    <t>Adder</t>
  </si>
  <si>
    <t>Ehphase</t>
  </si>
  <si>
    <t>4kW</t>
  </si>
  <si>
    <t>5kW</t>
  </si>
  <si>
    <t>Ground Mount Minimum Size:</t>
  </si>
  <si>
    <t>Residence</t>
  </si>
  <si>
    <t>Sizing Sheet Lookup Tables</t>
  </si>
  <si>
    <t>PV Calculator - System Size Estimator</t>
  </si>
  <si>
    <t>Inputs</t>
  </si>
  <si>
    <t>Efficient Envelope (Spray Foam, Air Barrier), High Efficiency HVAC,  Efficient water heater, appliances, lighting</t>
  </si>
  <si>
    <t>Production
kWh</t>
  </si>
  <si>
    <t>Remaining
kWh</t>
  </si>
  <si>
    <t>Lighthouse Solar Consultant</t>
  </si>
  <si>
    <t>System Details</t>
  </si>
  <si>
    <t>Totals</t>
  </si>
  <si>
    <t>Base System Subtotal</t>
  </si>
  <si>
    <t>Additional Equipment &amp; Services Subtotal</t>
  </si>
  <si>
    <t>System Subtotal</t>
  </si>
  <si>
    <t>Financed Levelized Cost per kWh</t>
  </si>
  <si>
    <t>Cash Levelized Cost per kWh</t>
  </si>
  <si>
    <t>System DC Size Rating:</t>
  </si>
  <si>
    <t>Environmental Impact:</t>
  </si>
  <si>
    <t>25 Year Savings</t>
  </si>
  <si>
    <t>Investment Summary - Cash Purchase</t>
  </si>
  <si>
    <t>Net Savings</t>
  </si>
  <si>
    <t>Investment Summary - Financed Solution</t>
  </si>
  <si>
    <t>Assumptions:</t>
  </si>
  <si>
    <t>APY on Reinvested Savings</t>
  </si>
  <si>
    <t>Annual Utility Rate Increase</t>
  </si>
  <si>
    <t>Matt Camacho</t>
  </si>
  <si>
    <t>Steep Roof (&gt;30˚)</t>
  </si>
  <si>
    <t>$0.15/Watt DC Adder</t>
  </si>
  <si>
    <t>Option</t>
  </si>
  <si>
    <t>Module Size</t>
  </si>
  <si>
    <t>Cash/Finance</t>
  </si>
  <si>
    <t>Inverter</t>
  </si>
  <si>
    <t>Cash Price</t>
  </si>
  <si>
    <t>Financed Price</t>
  </si>
  <si>
    <t>A1</t>
  </si>
  <si>
    <t>SMA Transformerless String Inverter</t>
  </si>
  <si>
    <t>A2</t>
  </si>
  <si>
    <t>Included</t>
  </si>
  <si>
    <t>$10/  linear foot</t>
  </si>
  <si>
    <t>B2</t>
  </si>
  <si>
    <t>C1</t>
  </si>
  <si>
    <t>Enphase M215 Micro Inverter</t>
  </si>
  <si>
    <t>Estimated Sales Tax</t>
  </si>
  <si>
    <t>C2</t>
  </si>
  <si>
    <t>Estimated Total</t>
  </si>
  <si>
    <t>D1</t>
  </si>
  <si>
    <t>Enphase M250 MicroInverter</t>
  </si>
  <si>
    <t>Estimated Rebate</t>
  </si>
  <si>
    <t>D2</t>
  </si>
  <si>
    <t>Estimated Federal Tax Credit</t>
  </si>
  <si>
    <t>E1</t>
  </si>
  <si>
    <t>SolarEdge Central Inverter &amp; DC Optimizers</t>
  </si>
  <si>
    <t>E2</t>
  </si>
  <si>
    <t>F1</t>
  </si>
  <si>
    <t>F2</t>
  </si>
  <si>
    <t>Pricing Method</t>
  </si>
  <si>
    <t>Sales Representative:</t>
    <phoneticPr fontId="4" type="noConversion"/>
  </si>
  <si>
    <t>CLIENT:  First , Last Name</t>
    <phoneticPr fontId="4" type="noConversion"/>
  </si>
  <si>
    <t>PHONE:</t>
    <phoneticPr fontId="4" type="noConversion"/>
  </si>
  <si>
    <t>EMAIL:</t>
    <phoneticPr fontId="4" type="noConversion"/>
  </si>
  <si>
    <t>PROJECT ADDRESS:</t>
    <phoneticPr fontId="4" type="noConversion"/>
  </si>
  <si>
    <t>CITY/STATE/ZIP</t>
    <phoneticPr fontId="4" type="noConversion"/>
  </si>
  <si>
    <t>PROPOSAL #:</t>
    <phoneticPr fontId="4" type="noConversion"/>
  </si>
  <si>
    <t>JOB #:</t>
    <phoneticPr fontId="4" type="noConversion"/>
  </si>
  <si>
    <t>UTILITY ACCOUNT #:</t>
    <phoneticPr fontId="4" type="noConversion"/>
  </si>
  <si>
    <t>UTILITY METER#:</t>
    <phoneticPr fontId="4" type="noConversion"/>
  </si>
  <si>
    <t>UTILITY REBATE #:</t>
    <phoneticPr fontId="4" type="noConversion"/>
  </si>
  <si>
    <t>Solar Permit #</t>
    <phoneticPr fontId="0" type="noConversion"/>
  </si>
  <si>
    <t>Rebuild Permit #</t>
    <phoneticPr fontId="0" type="noConversion"/>
  </si>
  <si>
    <t>D.J. Rosebaugh</t>
  </si>
  <si>
    <t>Date:</t>
    <phoneticPr fontId="9" type="noConversion"/>
  </si>
  <si>
    <t>PV Modules</t>
    <phoneticPr fontId="9" type="noConversion"/>
  </si>
  <si>
    <t>Inverter</t>
    <phoneticPr fontId="9" type="noConversion"/>
  </si>
  <si>
    <t xml:space="preserve">Extended Warranty </t>
  </si>
  <si>
    <t>Home in need of Energy Efficiency Upgrades</t>
  </si>
  <si>
    <t>Current Energy Code Compliance, Batt Insulation, Double Paned Windows, Efficient Systems</t>
  </si>
  <si>
    <t>kwh/sf/year</t>
  </si>
  <si>
    <t>Total Annual Usage</t>
  </si>
  <si>
    <t>Historical Usage</t>
  </si>
  <si>
    <t>Month</t>
  </si>
  <si>
    <t>Jan</t>
  </si>
  <si>
    <t>Feb</t>
  </si>
  <si>
    <t>Input</t>
  </si>
  <si>
    <t>Mar</t>
  </si>
  <si>
    <t>Apr</t>
  </si>
  <si>
    <t>May</t>
  </si>
  <si>
    <t>Jun</t>
  </si>
  <si>
    <t>Jul</t>
  </si>
  <si>
    <t>Aug</t>
  </si>
  <si>
    <t>Sep</t>
  </si>
  <si>
    <t>Oct</t>
  </si>
  <si>
    <t>Nov</t>
  </si>
  <si>
    <t>Dec</t>
  </si>
  <si>
    <t>PV Production Factor</t>
  </si>
  <si>
    <t>kwh/kw/yr</t>
  </si>
  <si>
    <t>Target Sizes</t>
  </si>
  <si>
    <t>Case 1</t>
  </si>
  <si>
    <t>Case 2</t>
  </si>
  <si>
    <t>Case 3</t>
  </si>
  <si>
    <t>Net Zero</t>
  </si>
  <si>
    <t>Base Load</t>
  </si>
  <si>
    <t>Peak Shaving</t>
  </si>
  <si>
    <t>Case 4</t>
  </si>
  <si>
    <t>PV System orientation</t>
  </si>
  <si>
    <t>PV System Tilt</t>
  </si>
  <si>
    <t>Total</t>
  </si>
  <si>
    <t>Production</t>
  </si>
  <si>
    <t>Remaining</t>
  </si>
  <si>
    <t>kwh</t>
  </si>
  <si>
    <t>Consumption</t>
  </si>
  <si>
    <t>KW</t>
  </si>
  <si>
    <t xml:space="preserve">Minimum Rooftop System Size: </t>
  </si>
  <si>
    <t>Clay Tile Roof</t>
  </si>
  <si>
    <t>Electrical Upgrade</t>
  </si>
  <si>
    <t>Vents</t>
  </si>
  <si>
    <t>Ground Mount</t>
  </si>
  <si>
    <t>Trenching</t>
  </si>
  <si>
    <t>$0.26/Watt DC Adder</t>
  </si>
  <si>
    <t>$200 - $1,200</t>
  </si>
  <si>
    <t>$200/vent</t>
  </si>
  <si>
    <t>$0.55/W DC and up</t>
  </si>
  <si>
    <t>SMA</t>
  </si>
  <si>
    <t>Enphase M250</t>
  </si>
  <si>
    <t>Enphase M215</t>
  </si>
  <si>
    <t>Price per Watt</t>
  </si>
  <si>
    <t>PV Watts Solar production factor</t>
  </si>
  <si>
    <t>Contract Price</t>
  </si>
  <si>
    <t>Initial Utility Rate</t>
  </si>
  <si>
    <t>Less: Initial Downpayment</t>
  </si>
  <si>
    <t>Monthly Savings</t>
  </si>
  <si>
    <t>Loan Amount</t>
  </si>
  <si>
    <t>Post-Solar Utility Bill</t>
  </si>
  <si>
    <t>Term</t>
  </si>
  <si>
    <t>Savings Before Debt Service</t>
  </si>
  <si>
    <t>Payments Per Year</t>
  </si>
  <si>
    <t>Utility Price Inflation</t>
  </si>
  <si>
    <t>Total Monthly Payments</t>
  </si>
  <si>
    <t>Annual Degradation</t>
  </si>
  <si>
    <t>Interest Rate ("APR")</t>
  </si>
  <si>
    <t>Use Savings to Paydown Loan?</t>
  </si>
  <si>
    <t>Initial Payment Date</t>
  </si>
  <si>
    <t>Loan Economics - Summary Statistics</t>
  </si>
  <si>
    <t>Monthly Pmt (Post-Buydown)</t>
  </si>
  <si>
    <t>Loan Payoff (Months)</t>
  </si>
  <si>
    <t>Loan Payoff (Years)</t>
  </si>
  <si>
    <t>Incentive Prepayments</t>
  </si>
  <si>
    <t>Cumulative Interest Paid</t>
  </si>
  <si>
    <t>Mandatory Buydown Due</t>
  </si>
  <si>
    <t>Cumulative Homeowner Savings</t>
  </si>
  <si>
    <t>Estimated Buydown Date</t>
  </si>
  <si>
    <t>Other Incentives Buydown Date</t>
  </si>
  <si>
    <t>SREC Payments</t>
  </si>
  <si>
    <r>
      <t xml:space="preserve">Mandatory Buydown </t>
    </r>
    <r>
      <rPr>
        <i/>
        <sz val="11"/>
        <rFont val="Calibri"/>
        <family val="2"/>
      </rPr>
      <t>(%)</t>
    </r>
  </si>
  <si>
    <t>Value per SREC to Homeowner</t>
  </si>
  <si>
    <t>Mandatory Buydown</t>
  </si>
  <si>
    <t>Years of SRECs</t>
  </si>
  <si>
    <r>
      <t xml:space="preserve">Local Incentive </t>
    </r>
    <r>
      <rPr>
        <i/>
        <sz val="11"/>
        <rFont val="Calibri"/>
        <family val="2"/>
      </rPr>
      <t>($)</t>
    </r>
  </si>
  <si>
    <t>Data Monitoring</t>
    <phoneticPr fontId="9" type="noConversion"/>
  </si>
  <si>
    <t>Additional Services</t>
    <phoneticPr fontId="9" type="noConversion"/>
  </si>
  <si>
    <t>Total System Cost</t>
    <phoneticPr fontId="9" type="noConversion"/>
  </si>
  <si>
    <t>Signature</t>
    <phoneticPr fontId="9" type="noConversion"/>
  </si>
  <si>
    <t>(by signing, you accept this proposal)</t>
    <phoneticPr fontId="9" type="noConversion"/>
  </si>
  <si>
    <t>Andy Hernandez</t>
  </si>
  <si>
    <t>Farwell Pipkin</t>
  </si>
  <si>
    <t>Micah Jasuta</t>
  </si>
  <si>
    <t>Mike Saavedra</t>
  </si>
  <si>
    <t>Stan Pipkin</t>
  </si>
  <si>
    <t>Year</t>
  </si>
  <si>
    <t>Utility Rate</t>
  </si>
  <si>
    <t>Solar (kWh)</t>
    <phoneticPr fontId="6" type="noConversion"/>
  </si>
  <si>
    <t>House (kWh)</t>
    <phoneticPr fontId="6" type="noConversion"/>
  </si>
  <si>
    <t>Jan</t>
    <phoneticPr fontId="6" type="noConversion"/>
  </si>
  <si>
    <t>Feb</t>
    <phoneticPr fontId="6" type="noConversion"/>
  </si>
  <si>
    <t>Mar</t>
    <phoneticPr fontId="6" type="noConversion"/>
  </si>
  <si>
    <t>Solar Production</t>
  </si>
  <si>
    <t>Annual Savings</t>
  </si>
  <si>
    <t>Cumulative Cash Flow</t>
  </si>
  <si>
    <t>Annual Output Degredation</t>
  </si>
  <si>
    <t>Tax Credit</t>
  </si>
  <si>
    <t>Cumulative Savings</t>
  </si>
  <si>
    <t>Post Solar Annual Bill</t>
  </si>
  <si>
    <t>Pre Solar Annual Bill</t>
  </si>
  <si>
    <t>With Solar</t>
  </si>
  <si>
    <t>CO2 Emissions Avoided</t>
  </si>
  <si>
    <t>Miles Driven Offset</t>
  </si>
  <si>
    <t>25 Year IRR</t>
  </si>
  <si>
    <t>Estimated Home Value Increase</t>
  </si>
  <si>
    <t>PVWatts v1 Derate:</t>
  </si>
  <si>
    <t>Option E2</t>
  </si>
  <si>
    <t>Option F1</t>
  </si>
  <si>
    <t>Option F2</t>
  </si>
  <si>
    <t>Percent of Energy Demand</t>
  </si>
  <si>
    <t>Approximate System Size</t>
  </si>
  <si>
    <t>Don't Touch This Area!</t>
  </si>
  <si>
    <t>Selected Option</t>
  </si>
  <si>
    <t>B1</t>
  </si>
  <si>
    <t>Oncor</t>
  </si>
  <si>
    <t>Yes</t>
  </si>
  <si>
    <t>Price Per Watt</t>
  </si>
  <si>
    <t>No</t>
  </si>
  <si>
    <t>Financed</t>
  </si>
  <si>
    <t>Enphase</t>
  </si>
  <si>
    <t>Other</t>
  </si>
  <si>
    <t>System Size</t>
  </si>
  <si>
    <t>Tall/2 Story Roof</t>
  </si>
  <si>
    <t>$0.05/Watt DC Adder</t>
  </si>
  <si>
    <t>Homeowner Cash Flow Summary</t>
  </si>
  <si>
    <t>Interest Expense</t>
  </si>
  <si>
    <t>Mandatory Principal</t>
  </si>
  <si>
    <t>Optional Principal Payments</t>
  </si>
  <si>
    <t>Total Annual Debt Service</t>
  </si>
  <si>
    <t>Add Back: Incentive Prepayments</t>
  </si>
  <si>
    <t>Add Back: Optional Principal</t>
  </si>
  <si>
    <t>Cumulative Principal Payments</t>
  </si>
  <si>
    <t>Cumulative Interest Payments</t>
  </si>
  <si>
    <t>Total Cumulative Debt Payments</t>
  </si>
  <si>
    <t>Add Back: Incentive Payments</t>
  </si>
  <si>
    <t>Add Back: Value of Solar</t>
  </si>
  <si>
    <t>Annual Cash Flow</t>
  </si>
  <si>
    <t>Annual O&amp;M Payments</t>
  </si>
  <si>
    <t xml:space="preserve">*Note: This model is intended to illustrate the terms and monthly payment structure for loans of varying amounts and designed to be imported into your existing sales proposal tool (if preferred vs. our Proposal Tool on the EmpowerPortal). For simplicity purposes, Value of Solar is driven by a Customer's utility bill pre- and post-solar plus the value of SREC's, if applicable. </t>
  </si>
  <si>
    <t xml:space="preserve"> The specific terms, size and economics of each loan will, of course, vary on a case-by-case basis.</t>
  </si>
  <si>
    <t>DS EmpowerLoan - Monthly Debt Service</t>
  </si>
  <si>
    <t>With 30% Incentive Prepayment &amp; Option to Reinvest Savings to Maximize Economics</t>
  </si>
  <si>
    <t>Notes:</t>
  </si>
  <si>
    <t>This model is intended to illustrate the terms and monthly payment structure for loans of varying amounts and designed to be imported into your existing sales proposal tool (if preferred vs. our Proposal Tool on the EmpowerPortal). The specific terms, size and economics of each loan will, of course, vary on a case-by-case basis.</t>
  </si>
  <si>
    <t>Loan can pre-paid by Homeowner at any time without penalty. Cell 'J20' turns optional pre-payments on and off. Gross Utility Savings in Cell 'J17', less monthly debt expense, drive annual economics.</t>
  </si>
  <si>
    <t>Assumes Homeowner paydown of 30% of Loan principal by month 16 (inclusive of non-ITC related principal payments); APR would otherwise increase to 9.99%.</t>
  </si>
  <si>
    <t>Assumptions</t>
  </si>
  <si>
    <t>SREC Calculation</t>
  </si>
  <si>
    <t>Option 1: Exact Payment</t>
  </si>
  <si>
    <t>Loan Data</t>
  </si>
  <si>
    <t>Illustrative Utility Data</t>
  </si>
  <si>
    <t># of SRECs</t>
  </si>
  <si>
    <t xml:space="preserve">Implied Value </t>
  </si>
  <si>
    <t>Cumulative Value</t>
  </si>
  <si>
    <t>System Size (Watts)</t>
  </si>
  <si>
    <t>Initial Monthly Utility Bill</t>
  </si>
  <si>
    <t>All Systems come equipped with Locus Data Monitoring</t>
    <phoneticPr fontId="31" type="noConversion"/>
  </si>
  <si>
    <t>Estimated Utility Rebate</t>
    <phoneticPr fontId="9" type="noConversion"/>
  </si>
  <si>
    <t xml:space="preserve">Acceptance of this proposal does not represent a contract, but is a best faith estimate of your system cost.  Final system cost and contract will be presented after an onsite design audit.  Rebate will be determined by your utility. only an estimate.  Tax credit estimate is calculated at 30% of  customer's net expense after any utility rebate or other subsidy. Please consult a tax professional for advice on taking the federal tax credit. </t>
  </si>
  <si>
    <t>Proposal to:</t>
  </si>
  <si>
    <t>Down Payment</t>
  </si>
  <si>
    <t>Without Solar</t>
  </si>
  <si>
    <t>Estimated Monthly Loan Payment</t>
  </si>
  <si>
    <t>Solar Energy System Proposal - Financed Solution</t>
  </si>
  <si>
    <t>Solar Energy System Proposal - Cash Purchase</t>
  </si>
  <si>
    <t>COMMUNITY GROUP</t>
    <phoneticPr fontId="31" type="noConversion"/>
  </si>
  <si>
    <t>WELLS BRANCH</t>
    <phoneticPr fontId="31" type="noConversion"/>
  </si>
  <si>
    <t>GILLESPIE</t>
    <phoneticPr fontId="31" type="noConversion"/>
  </si>
  <si>
    <t>PEC</t>
    <phoneticPr fontId="31" type="noConversion"/>
  </si>
  <si>
    <t>HUNT</t>
    <phoneticPr fontId="31" type="noConversion"/>
  </si>
  <si>
    <t>GROUP ID</t>
    <phoneticPr fontId="31" type="noConversion"/>
  </si>
  <si>
    <t xml:space="preserve">Project Information </t>
    <phoneticPr fontId="31" type="noConversion"/>
  </si>
  <si>
    <t>Intake Information</t>
    <phoneticPr fontId="31" type="noConversion"/>
  </si>
  <si>
    <t>Phase 1</t>
    <phoneticPr fontId="31" type="noConversion"/>
  </si>
  <si>
    <t>Phase 2</t>
    <phoneticPr fontId="31" type="noConversion"/>
  </si>
  <si>
    <t>Phase 3</t>
    <phoneticPr fontId="31" type="noConversion"/>
  </si>
  <si>
    <t>Year 1 Production</t>
  </si>
  <si>
    <r>
      <t xml:space="preserve">State Incentive </t>
    </r>
    <r>
      <rPr>
        <i/>
        <sz val="11"/>
        <rFont val="Calibri"/>
        <family val="2"/>
      </rPr>
      <t>($)</t>
    </r>
  </si>
  <si>
    <t>Total SREC Value</t>
  </si>
  <si>
    <r>
      <t xml:space="preserve">Other Incentive </t>
    </r>
    <r>
      <rPr>
        <i/>
        <sz val="11"/>
        <rFont val="Calibri"/>
        <family val="2"/>
      </rPr>
      <t>($)</t>
    </r>
  </si>
  <si>
    <t>ITC, net of State/Local</t>
  </si>
  <si>
    <t>Installation Partner Payments</t>
  </si>
  <si>
    <t>Total Incentives</t>
  </si>
  <si>
    <t>Annual Installer O&amp;M Payment</t>
  </si>
  <si>
    <t>Remaining Mandatory Buydown</t>
  </si>
  <si>
    <t>O&amp;M Contract Term</t>
  </si>
  <si>
    <t>Incentives, Excess of Mandatory</t>
  </si>
  <si>
    <t>Cumulative O&amp;M Payments</t>
  </si>
  <si>
    <t>Homeowner Debt Service Payments</t>
  </si>
  <si>
    <t>Monthly Payment</t>
  </si>
  <si>
    <t>Illustrative Monthly System Economics</t>
  </si>
  <si>
    <t>Payment Date</t>
  </si>
  <si>
    <t>Interest Rate</t>
  </si>
  <si>
    <t>Interest</t>
  </si>
  <si>
    <t>Tax Credit Buydowns</t>
  </si>
  <si>
    <t>Optional Paydown (From Solar Savings)</t>
  </si>
  <si>
    <t>Total Principal</t>
  </si>
  <si>
    <t>Total Payment</t>
  </si>
  <si>
    <t>Remaining Balance</t>
  </si>
  <si>
    <t>Cumulative Principal Paid</t>
  </si>
  <si>
    <t>Original Utility Bill</t>
  </si>
  <si>
    <t>Utility Bill w/ Solar</t>
  </si>
  <si>
    <t>Utility Savings</t>
  </si>
  <si>
    <t>SREC Income</t>
  </si>
  <si>
    <t>Utility Savings + SRECs</t>
  </si>
  <si>
    <t>Mandatory Debt Service</t>
  </si>
  <si>
    <t>Net Monthly Savings</t>
  </si>
  <si>
    <t>Installer O&amp;M Fee</t>
  </si>
  <si>
    <t>DS EmpowerLoan - Annual Debt Service</t>
  </si>
  <si>
    <t>Summary Economics</t>
  </si>
  <si>
    <t>Pre Solar Energy Cost</t>
  </si>
  <si>
    <t>After Solar Energy Cost</t>
  </si>
  <si>
    <t>% of bill offset by Solar</t>
  </si>
  <si>
    <t>Solar Energy Offset</t>
  </si>
  <si>
    <t>Monthly Loan Payment</t>
  </si>
  <si>
    <t>Average</t>
  </si>
  <si>
    <t>Cost/kWh</t>
  </si>
  <si>
    <t>Annual Energy Costs</t>
  </si>
  <si>
    <t>No Solar</t>
  </si>
  <si>
    <t>Monthly Energy Costs (average)</t>
  </si>
  <si>
    <t xml:space="preserve"> 250 W Poly</t>
  </si>
  <si>
    <t xml:space="preserve"> 280 W Mono</t>
  </si>
  <si>
    <t>Solar Modules</t>
  </si>
  <si>
    <t>SOLAR CONTRACT / EXHIBIT A</t>
    <phoneticPr fontId="12" type="noConversion"/>
  </si>
  <si>
    <t>SOLAR CONTRACT / EXHIBIT B</t>
    <phoneticPr fontId="12" type="noConversion"/>
  </si>
  <si>
    <t>TERMS AND CONDITIONS</t>
    <phoneticPr fontId="12" type="noConversion"/>
  </si>
  <si>
    <t>2000 S. 7th St. Austin TX 78704</t>
    <phoneticPr fontId="12" type="noConversion"/>
  </si>
  <si>
    <t>SALES ASSOCIATE:</t>
    <phoneticPr fontId="16" type="noConversion"/>
  </si>
  <si>
    <t>Sales Representative:</t>
    <phoneticPr fontId="12" type="noConversion"/>
  </si>
  <si>
    <t>512 476 5555 (o); 719 213 2510 (f)</t>
    <phoneticPr fontId="12" type="noConversion"/>
  </si>
  <si>
    <t>CLIENT:</t>
    <phoneticPr fontId="12" type="noConversion"/>
  </si>
  <si>
    <t>Financing Partner</t>
    <phoneticPr fontId="12" type="noConversion"/>
  </si>
  <si>
    <t>CLIENT:</t>
    <phoneticPr fontId="12" type="noConversion"/>
  </si>
  <si>
    <t>DATE:</t>
    <phoneticPr fontId="12" type="noConversion"/>
  </si>
  <si>
    <t>PHONE:</t>
    <phoneticPr fontId="12" type="noConversion"/>
  </si>
  <si>
    <t>PHONE:</t>
    <phoneticPr fontId="12" type="noConversion"/>
  </si>
  <si>
    <t>PROPOSAL #:</t>
    <phoneticPr fontId="12" type="noConversion"/>
  </si>
  <si>
    <t>EMAIL:</t>
    <phoneticPr fontId="12" type="noConversion"/>
  </si>
  <si>
    <t>JOB #:</t>
    <phoneticPr fontId="12" type="noConversion"/>
  </si>
  <si>
    <t>PROJECT ADDRESS:</t>
    <phoneticPr fontId="12" type="noConversion"/>
  </si>
  <si>
    <t>PROJECT ADDRESS:</t>
    <phoneticPr fontId="12" type="noConversion"/>
  </si>
  <si>
    <t>UTILITY ACCOUNT #:</t>
    <phoneticPr fontId="12" type="noConversion"/>
  </si>
  <si>
    <t>CITY/STATE/ZIP</t>
    <phoneticPr fontId="12" type="noConversion"/>
  </si>
  <si>
    <t>UTILITY METER#:</t>
    <phoneticPr fontId="12" type="noConversion"/>
  </si>
  <si>
    <t>CLIENT'S UTILITY:</t>
    <phoneticPr fontId="12" type="noConversion"/>
  </si>
  <si>
    <t>UTILITY REBATE # (IF APPLICABLE)</t>
    <phoneticPr fontId="12" type="noConversion"/>
  </si>
  <si>
    <t>CLIENT'S UTILITY</t>
    <phoneticPr fontId="12" type="noConversion"/>
  </si>
  <si>
    <t>UTILITY REBATE # (if applicable):</t>
    <phoneticPr fontId="12" type="noConversion"/>
  </si>
  <si>
    <t>1. System Price</t>
    <phoneticPr fontId="12" type="noConversion"/>
  </si>
  <si>
    <t>2. Third Party Financing</t>
    <phoneticPr fontId="12" type="noConversion"/>
  </si>
  <si>
    <t>This agreement is with Horus Partners, Inc. dba Lighthouse Solar Austin hereinafter called Lighthouse Solar</t>
    <phoneticPr fontId="12" type="noConversion"/>
  </si>
  <si>
    <t>Total System Price</t>
    <phoneticPr fontId="12" type="noConversion"/>
  </si>
  <si>
    <t>Lighthouse Solar is proud to offer solar energy financing through it's partner, Dividend Solar (herein refered to as DS).  Lighthouse Solar agrees to facilitate a DS Financing Agreement on behalf of the customer.  Lighthouse Solar will also accept and work with Velocity Credit Union.  It is customer's responsibility to secure any loans from Velocity.  LHS will accept payment from DS and Velocity on their payment terms. If financing is secured by the customer through other companies, banks or options,  Lighthouse Solar requires a draw schedule of 50% down, 40% upon substantial completion and 10% upon inspection/PTO (See also - 3.Payment Terms (below)</t>
    <phoneticPr fontId="12" type="noConversion"/>
  </si>
  <si>
    <t>System Size</t>
    <phoneticPr fontId="12" type="noConversion"/>
  </si>
  <si>
    <t>AC Watts Inverted</t>
    <phoneticPr fontId="12" type="noConversion"/>
  </si>
  <si>
    <t>Project Timeline</t>
    <phoneticPr fontId="12" type="noConversion"/>
  </si>
  <si>
    <t>Utility Rebate (Estimated)</t>
    <phoneticPr fontId="12" type="noConversion"/>
  </si>
  <si>
    <t>Each project has a typical and predictable timeline associated with it.  Lighthouse Solar allows for 90 days or less to thoroughly complete most projects from contract to inspection and customer walk thoughs. Please note that Lighthouse Solar will make every effort to accomplish your installation in a timely manner.  The above stated timeline of 90 days may be delayed due to utility processing, equipment delivery or other factors outside Lighthouse Solar's control.</t>
    <phoneticPr fontId="12" type="noConversion"/>
  </si>
  <si>
    <t>Net "After Rebate" Price*</t>
    <phoneticPr fontId="12" type="noConversion"/>
  </si>
  <si>
    <t>Rebates to be collected by Lighthouse Solar unless otherwise agreed upon  in writing</t>
    <phoneticPr fontId="16" type="noConversion"/>
  </si>
  <si>
    <t>3. Payment Terms</t>
    <phoneticPr fontId="16" type="noConversion"/>
  </si>
  <si>
    <t>Sales Tax Included</t>
    <phoneticPr fontId="16" type="noConversion"/>
  </si>
  <si>
    <t xml:space="preserve"> If financing is cancelled by DS or the customer during construction and after formal commencement of the project, customer is responsible for work performed or completion and payment of the project.  If rebate is available, Lighthouse Solar does accept Utility rebate as partial payment for service rendered.</t>
    <phoneticPr fontId="12" type="noConversion"/>
  </si>
  <si>
    <t>*Final cost of system does not show 30% federal tax credit to be organized and collected by customer - Use IRS Form 5695.                                                         Please consult a tax professional.</t>
    <phoneticPr fontId="16" type="noConversion"/>
  </si>
  <si>
    <t>Scope of Project</t>
    <phoneticPr fontId="12" type="noConversion"/>
  </si>
  <si>
    <t>1. Obtain necessary permits/apply for rebates if applicable.  Old or uncleared permits on the Client's property are the responsibility of the Client to clear or have cleared.  Lighthouse Solar may assist in the resolution of old or uncleared permits at an additional cost to Client to be determined.</t>
    <phoneticPr fontId="12" type="noConversion"/>
  </si>
  <si>
    <t xml:space="preserve">     2.  HOA approval is necessary in some areas.  HOA approval is a submission by client and is client's responsibility.  Lighthouse Solar will assist        with any required documentation needed to satisfy HOA.</t>
    <phoneticPr fontId="12" type="noConversion"/>
  </si>
  <si>
    <t>In some jurisdiction, energy efficiency measures may be required to be made in order to qualify for utility rebates or other incentives.</t>
    <phoneticPr fontId="12" type="noConversion"/>
  </si>
  <si>
    <t>4. Provide, at minimum, a digital owner's manual and education for customer on system operation, maintenance and safety</t>
    <phoneticPr fontId="12" type="noConversion"/>
  </si>
  <si>
    <t>5.  Electrical work to be performed</t>
    <phoneticPr fontId="12" type="noConversion"/>
  </si>
  <si>
    <t>6.  Shade Mitigation:</t>
    <phoneticPr fontId="12" type="noConversion"/>
  </si>
  <si>
    <t>3. Energy Efficiency Requirements</t>
    <phoneticPr fontId="12" type="noConversion"/>
  </si>
  <si>
    <t>7.  Roof Vent Relocation:</t>
    <phoneticPr fontId="12" type="noConversion"/>
  </si>
  <si>
    <t>In some jurisdictions, Energy Efficiency (EE) measures may be required to be made on the property in order to qualify for utility solar rebates or other incentives.  Lighthoiuse Solar may or may not facilitate such energy efficiency measures on behalf of the customer  If financing EE remediation through DS as a part of the whole financing package, Lighthouse Solar will assist in administering the EE measures required.  Applying for and collecting any rebates on EE testing or measures is the customer's responsibility.  LHS does not accpet EE rebates in leiu payment.</t>
    <phoneticPr fontId="12" type="noConversion"/>
  </si>
  <si>
    <t>Any work performed outside of this Scope will be considered a Change Order.  Change orders will be agreed upon with Client prior to execution of any Change Order.</t>
    <phoneticPr fontId="12" type="noConversion"/>
  </si>
  <si>
    <t>5. Installation</t>
    <phoneticPr fontId="16" type="noConversion"/>
  </si>
  <si>
    <t>Installation Processes</t>
    <phoneticPr fontId="12" type="noConversion"/>
  </si>
  <si>
    <t>In order to install the equipment at the property and to make all inspections, tests and repairs of the equipment, Client shall provide  Lighthouse Solar access to the Property during the hours of 7:00am to 7:00pm   Lighthouse Solar will use its best efforts to ensure a timely completion of the installation, however  Lighthouse Solar shall be excused from performance hereunder for any period and the the extent that is prevented from performing any services pursuant hereto, in whole or part, as a result of delays caused by the Client, the Client's Contractor or an act of God, or other cause beyond its reasonable control and which it could not have prevented by reasonable precautions, including fire, strike, slowdown or labor interruption, civil commotion, acts of terrorism, embargo, delay or failure of supploers, contractors or common carriers, breakdown of equipment, explosion, accident, governmental act or regulation, failures or fluctuations in electrical power, heat, light, airconditioning or telecommunications equipment and such nonperformance shall not be a default hereunder or a ground for termination hereof.</t>
    <phoneticPr fontId="16" type="noConversion"/>
  </si>
  <si>
    <t>Client represents and warrants that the Property and conditions to be encountered by  Lighthouse Solar at the Property and in areas where work is to be performed shall (i) be in compliance with all applicable federal, state and local laws, rules and regulations, (ii) be safe, and (iii) not contain or expose  Lighthouse Solar's representatives to hazardous materials or hazardous substances.  In the event of Client's breach of the foregoing, in addtion to all other remedies,  Lighthouse Solar may immediately suspend work until Client has promptly corrected such condition(s) at Client's expense.  In the event Client cannot or does not correct such condition(s),  Lighthouse Solar may, at its sole discretion terminate the Agreement.  Any termination by  Lighthouse Solar due to a reasonable belief that an unsafe condition exists will not be deemed a breach of the Agreement, and no liability for such decision will attach.</t>
    <phoneticPr fontId="16" type="noConversion"/>
  </si>
  <si>
    <t>Required Documentation (including but not limited to):</t>
    <phoneticPr fontId="12" type="noConversion"/>
  </si>
  <si>
    <t>Lighthouse Solar facilitates all required interconnection administration on behalf of the Client.  Actual administration varies by and at the discretion of each utility.</t>
    <phoneticPr fontId="12" type="noConversion"/>
  </si>
  <si>
    <t xml:space="preserve">     1.  Lighthouse Solar signed Contract [this document - Exhibits A &amp; B]</t>
    <phoneticPr fontId="12" type="noConversion"/>
  </si>
  <si>
    <t>XX</t>
    <phoneticPr fontId="12" type="noConversion"/>
  </si>
  <si>
    <t xml:space="preserve">a.  Copy of Utility Bill including account number </t>
    <phoneticPr fontId="12" type="noConversion"/>
  </si>
  <si>
    <t>6. Limited Warranty</t>
    <phoneticPr fontId="16" type="noConversion"/>
  </si>
  <si>
    <t>b.  Approved Layout with Signature</t>
    <phoneticPr fontId="12" type="noConversion"/>
  </si>
  <si>
    <t>Lighthouse Solar warrants its Photovoltaic energy systems and their operation against defects in material and workmanship for a period amounting to the “lifetime of the system” from the date of installation. All required service labor and component replacement costs are covered by this warranty. This warranty specifically applies to the installation of the components and how they interact with the structure upon which they are installed. “Lifetime” of the system applies to the length of time of the longest warranted component. Any battery defect or malfunction is excluded from this warranty and covered by the manufacturerʼs warranty. In the event that a component defect occurs, the manufacturer warranty on the component shall be executed. Vandalism, theft, damage due to natural disasters, damage due to abnormal use of system, damage due to accidental event, or any other cause or condition beyond the control of Lighthouse Solar are not covered by this warranty.
This warranty shall also become null and void under the following conditions: (1) The PV system or any component thereof is physically relocated without the express written consent of Lighthouse Solar (2) Inverter loss of power due to action by customer without the express written consent of Lighthouse Solar.; (3) Addition of any new component in the system thereby changing the original system configuration without the express written consent of Lighthouse Solar; (4) The change of any control set point without the express written consent of Lighthouse Solar.  All remedies and the measure of damages are limited to the above.  Lighthouse Solar shall in no event be liable for consequential, incidental, contingent, or special damages, even if Lighthouse Solar has been advised of the possibility of such damages. Any and all other warranties express or implied arising by law, course of dealing, course of performance, usage of trade, or otherwise, including but not limited to implied warranties of merchantability and fitness for a particular purpose, are limited to the duration of five (5) years from the date of installation. Some States do not allow limitations on how long an implied warranty lasts, or the exclusion of incidental or consequential damages. So the above limitations may not apply to you. This warranty gives you specific legal rights. You may also have other rights which vary from State to State.  No warranties will be in effect unless the system is completely paid for and no outstanding balance is owed.</t>
    <phoneticPr fontId="16" type="noConversion"/>
  </si>
  <si>
    <t>c.  Deposit [see Payment Schedule Exhibit B]</t>
    <phoneticPr fontId="12" type="noConversion"/>
  </si>
  <si>
    <t>2.  Rebate Application (if applicable)</t>
    <phoneticPr fontId="12" type="noConversion"/>
  </si>
  <si>
    <t xml:space="preserve">     3.  REC Assignment Form (if applicable)</t>
    <phoneticPr fontId="12" type="noConversion"/>
  </si>
  <si>
    <t>4.  Interconnection Agreement Application  (if applicable)</t>
    <phoneticPr fontId="12" type="noConversion"/>
  </si>
  <si>
    <t>5.  Inspection Proxy Assignment (Austin Energy Customers Only)</t>
    <phoneticPr fontId="12" type="noConversion"/>
  </si>
  <si>
    <t>Equipment to be used</t>
    <phoneticPr fontId="12" type="noConversion"/>
  </si>
  <si>
    <t>7. Insurance and Licensing</t>
    <phoneticPr fontId="16" type="noConversion"/>
  </si>
  <si>
    <t>Lighthouse Solar is a Licensed Texas Electrical Contractor (TECL# 26050).  Mark Pride is a TDLR Licensed Master Electrician (TDLR# 183404). Quentin Keith is a certified PV Installation Professional #031409-71 by the North American Board of Energy Practioners (NABCEP).</t>
    <phoneticPr fontId="16" type="noConversion"/>
  </si>
  <si>
    <t>Signatures</t>
    <phoneticPr fontId="12" type="noConversion"/>
  </si>
  <si>
    <r>
      <t>Lighthouse</t>
    </r>
    <r>
      <rPr>
        <sz val="12"/>
        <color indexed="8"/>
        <rFont val="Helvetica"/>
        <family val="2"/>
      </rPr>
      <t>solar</t>
    </r>
  </si>
  <si>
    <t>LHS Representative</t>
    <phoneticPr fontId="12" type="noConversion"/>
  </si>
  <si>
    <t>Lighthouse Solar maintains (i) comprehensive general liability insurance and (ii) worker's compensation insurance not less than that prescribed by statutory limits covering all employees who shall perform services on behalf of Lighthouse Solar.  Client is responsible for obtaining any and all insurance Client deems necessary, including but not limited to coverage for personal injury and property damage.  The payments Client makes under this Agreement are not related to the value of the Property or Client's pssessions, but rather are based on the cost of the Equipment and Lighthouse Solar's services.</t>
    <phoneticPr fontId="16" type="noConversion"/>
  </si>
  <si>
    <t>Signed</t>
    <phoneticPr fontId="12" type="noConversion"/>
  </si>
  <si>
    <t>Date</t>
    <phoneticPr fontId="12" type="noConversion"/>
  </si>
  <si>
    <t xml:space="preserve">Agreement prepared by: </t>
    <phoneticPr fontId="12" type="noConversion"/>
  </si>
  <si>
    <t>Lighthouse Solar Representative</t>
    <phoneticPr fontId="12" type="noConversion"/>
  </si>
  <si>
    <t>Signed</t>
    <phoneticPr fontId="12" type="noConversion"/>
  </si>
  <si>
    <t>Date</t>
    <phoneticPr fontId="12" type="noConversion"/>
  </si>
  <si>
    <t>Watts (STC-DC)</t>
  </si>
  <si>
    <t>Quentin Keith</t>
  </si>
  <si>
    <t>Jeff Bendall</t>
  </si>
  <si>
    <t>Dripping Springs</t>
  </si>
  <si>
    <t>Dripping Springs, TX 78620</t>
  </si>
  <si>
    <t>Cash/Check</t>
  </si>
  <si>
    <t>Purchase Price</t>
  </si>
  <si>
    <t>PEC</t>
  </si>
  <si>
    <t>Energy Efficiency Upgrades</t>
  </si>
  <si>
    <t>Energy Efficiency</t>
  </si>
  <si>
    <t>9.  Energy Efficiency</t>
  </si>
  <si>
    <t>Energy Efficiency Upgrades Savings</t>
  </si>
  <si>
    <t>Post Solar &amp; EE Upgrades Annual Bill</t>
  </si>
  <si>
    <t>Cumulative Savings with Solar + EE</t>
  </si>
  <si>
    <t>Pricing Matrix</t>
  </si>
  <si>
    <t>Annual EE Savings:</t>
  </si>
  <si>
    <t xml:space="preserve"> 250 W Silver</t>
  </si>
  <si>
    <t xml:space="preserve"> 265 W B/B</t>
  </si>
  <si>
    <t>Phase 1</t>
  </si>
  <si>
    <t>All Systems come equipped with Data Monitoring</t>
  </si>
  <si>
    <t>Nest Thermostat + $12.50/LED light</t>
  </si>
  <si>
    <t>Suzy</t>
  </si>
  <si>
    <t>512-476-5555</t>
  </si>
  <si>
    <t>austin@lighthousesolar.com</t>
  </si>
  <si>
    <t>123 Sunshine Court</t>
  </si>
</sst>
</file>

<file path=xl/styles.xml><?xml version="1.0" encoding="utf-8"?>
<styleSheet xmlns="http://schemas.openxmlformats.org/spreadsheetml/2006/main" xmlns:mc="http://schemas.openxmlformats.org/markup-compatibility/2006" xmlns:x14ac="http://schemas.microsoft.com/office/spreadsheetml/2009/9/ac" mc:Ignorable="x14ac">
  <numFmts count="55">
    <numFmt numFmtId="6" formatCode="&quot;$&quot;#,##0_);[Red]\(&quot;$&quot;#,##0\)"/>
    <numFmt numFmtId="7" formatCode="&quot;$&quot;#,##0.00_);\(&quot;$&quot;#,##0.00\)"/>
    <numFmt numFmtId="8" formatCode="&quot;$&quot;#,##0.00_);[Red]\(&quot;$&quot;#,##0.00\)"/>
    <numFmt numFmtId="42" formatCode="_(&quot;$&quot;* #,##0_);_(&quot;$&quot;* \(#,##0\);_(&quot;$&quot;* &quot;-&quot;_);_(@_)"/>
    <numFmt numFmtId="44" formatCode="_(&quot;$&quot;* #,##0.00_);_(&quot;$&quot;* \(#,##0.00\);_(&quot;$&quot;* &quot;-&quot;??_);_(@_)"/>
    <numFmt numFmtId="43" formatCode="_(* #,##0.00_);_(* \(#,##0.00\);_(* &quot;-&quot;??_);_(@_)"/>
    <numFmt numFmtId="164" formatCode="_(* #,##0_);_(* \(#,##0\);_(* &quot;-&quot;??_);_(@_)"/>
    <numFmt numFmtId="165" formatCode="0\˚_);[Red]\(0\)"/>
    <numFmt numFmtId="166" formatCode="\$#,##0.00"/>
    <numFmt numFmtId="167" formatCode="_(* #,##0.00_'\k\W;_(* \(#,##0.00\'\k\W;_(* &quot;-&quot;??_);_(@_)"/>
    <numFmt numFmtId="168" formatCode="0\ \W\a\t\t;[Red]0"/>
    <numFmt numFmtId="169" formatCode="\$#,##0"/>
    <numFmt numFmtId="170" formatCode="_(* #,##0.00_'\W;_(* \(#,##0.00\'\W;_(* &quot;-&quot;??_);_(@_)"/>
    <numFmt numFmtId="171" formatCode="_(&quot;$&quot;* #,##0_);_(&quot;$&quot;* \(#,##0\);_(&quot;$&quot;* &quot;-&quot;??_);_(@_)"/>
    <numFmt numFmtId="172" formatCode="0.00\ \k\W"/>
    <numFmt numFmtId="173" formatCode="0.0%"/>
    <numFmt numFmtId="174" formatCode="0\ \W\a\t\t"/>
    <numFmt numFmtId="175" formatCode="&quot;$&quot;#,##0"/>
    <numFmt numFmtId="176" formatCode="0.0"/>
    <numFmt numFmtId="177" formatCode="_(&quot;$&quot;* #,##0.000_);_(&quot;$&quot;* \(#,##0.000\);_(&quot;$&quot;* &quot;-&quot;??_);_(@_)"/>
    <numFmt numFmtId="178" formatCode="#,##0\ &quot;lbs&quot;"/>
    <numFmt numFmtId="179" formatCode="&quot;$&quot;#,##0.00_);\(&quot;$&quot;#,##0.00\);\–_);&quot;–&quot;_)"/>
    <numFmt numFmtId="180" formatCode="&quot;$&quot;#,##0_);\(&quot;$&quot;#,##0\);\–_);&quot;–&quot;_)"/>
    <numFmt numFmtId="181" formatCode="##,###&quot; kWh &quot;"/>
    <numFmt numFmtId="182" formatCode="#,##0.0_);\(#,##0.0\)"/>
    <numFmt numFmtId="183" formatCode="&quot;$&quot;#,##0.0_);\(&quot;$&quot;#,##0.0\)"/>
    <numFmt numFmtId="184" formatCode="#,##0.0"/>
    <numFmt numFmtId="185" formatCode="&quot;$&quot;#,##0.0_);\(&quot;$&quot;#,##0.0\);\–_);&quot;–&quot;_)"/>
    <numFmt numFmtId="186" formatCode="0&quot; Years &quot;"/>
    <numFmt numFmtId="187" formatCode="#,##0_);\(#,##0\);\–_);&quot;–&quot;_)"/>
    <numFmt numFmtId="188" formatCode="0.0%_);\(0.0%\);&quot;–&quot;_)"/>
    <numFmt numFmtId="189" formatCode="0.00%_);\(0.00%\);&quot;–&quot;_)"/>
    <numFmt numFmtId="190" formatCode="[=1]&quot;Yes &quot;;[=0]&quot;No &quot;;&quot;0 for No; 1-Yes&quot;"/>
    <numFmt numFmtId="191" formatCode="m/d/yyyy&quot; &quot;"/>
    <numFmt numFmtId="192" formatCode="0\ &quot;Months &quot;"/>
    <numFmt numFmtId="193" formatCode="0.0\ &quot;Years &quot;"/>
    <numFmt numFmtId="194" formatCode="&quot;Month &quot;0&quot; &quot;"/>
    <numFmt numFmtId="195" formatCode="#,##0.00_);\(#,##0.00\);\–_);&quot;–&quot;_)"/>
    <numFmt numFmtId="196" formatCode="0.000%"/>
    <numFmt numFmtId="197" formatCode="#,##0.0_);\(#,##0.0\);\–_);&quot;–&quot;_)"/>
    <numFmt numFmtId="198" formatCode="#,##0.000000000000_);\(#,##0.000000000000\)"/>
    <numFmt numFmtId="199" formatCode="#,##0.0000000000000_);\(#,##0.0000000000000\)"/>
    <numFmt numFmtId="200" formatCode="#,##0.000000000000000_);\(#,##0.000000000000000\)"/>
    <numFmt numFmtId="201" formatCode="&quot;Year &quot;0"/>
    <numFmt numFmtId="202" formatCode="0.00\ &quot;kW DC&quot;"/>
    <numFmt numFmtId="203" formatCode="_(* #,##0.0000_);_(* \(#,##0.0000\);_(* &quot;-&quot;??_);_(@_)"/>
    <numFmt numFmtId="204" formatCode="_(* #,##0.0_);_(* \(#,##0.0\);_(* &quot;-&quot;?_);_(@_)"/>
    <numFmt numFmtId="205" formatCode="General\ \W\a\t\t"/>
    <numFmt numFmtId="206" formatCode="0\˚"/>
    <numFmt numFmtId="207" formatCode="#,##0\ &quot;kWh&quot;"/>
    <numFmt numFmtId="208" formatCode="&quot;$&quot;#,##0\ &quot;per Vent&quot;"/>
    <numFmt numFmtId="209" formatCode="&quot;$&quot;#,##0.00\ &quot;/Watt&quot;"/>
    <numFmt numFmtId="210" formatCode="&quot;$&quot;#,##0.00\ &quot;/Foot&quot;"/>
    <numFmt numFmtId="211" formatCode="_(&quot;$&quot;* #,##0.000_);_(&quot;$&quot;* \(#,##0.000\);_(&quot;$&quot;* &quot;-&quot;_);_(@_)"/>
    <numFmt numFmtId="212" formatCode="&quot;$&quot;#,##0.00"/>
  </numFmts>
  <fonts count="132" x14ac:knownFonts="1">
    <font>
      <sz val="12"/>
      <color indexed="8"/>
      <name val="Helvetica"/>
      <family val="2"/>
    </font>
    <font>
      <b/>
      <sz val="10"/>
      <name val="Helvetica"/>
    </font>
    <font>
      <b/>
      <sz val="12"/>
      <color indexed="8"/>
      <name val="Helvetica"/>
      <family val="2"/>
    </font>
    <font>
      <b/>
      <sz val="20"/>
      <color indexed="8"/>
      <name val="Helvetica"/>
    </font>
    <font>
      <sz val="10"/>
      <color indexed="8"/>
      <name val="Helvetica"/>
    </font>
    <font>
      <sz val="20"/>
      <color indexed="8"/>
      <name val="Helvetica"/>
    </font>
    <font>
      <sz val="12"/>
      <color indexed="8"/>
      <name val="Arial"/>
    </font>
    <font>
      <b/>
      <sz val="26"/>
      <color indexed="8"/>
      <name val="Helvetica"/>
    </font>
    <font>
      <b/>
      <sz val="22"/>
      <color indexed="8"/>
      <name val="Helvetica"/>
    </font>
    <font>
      <b/>
      <sz val="16"/>
      <color indexed="8"/>
      <name val="Helvetica"/>
    </font>
    <font>
      <sz val="8"/>
      <name val="Verdana"/>
    </font>
    <font>
      <sz val="12"/>
      <color indexed="8"/>
      <name val="Helvetica"/>
      <family val="2"/>
    </font>
    <font>
      <sz val="12"/>
      <color indexed="9"/>
      <name val="Helvetica"/>
    </font>
    <font>
      <b/>
      <sz val="12"/>
      <color indexed="8"/>
      <name val="Arial"/>
      <family val="2"/>
    </font>
    <font>
      <sz val="10"/>
      <color indexed="8"/>
      <name val="Arial"/>
      <family val="2"/>
    </font>
    <font>
      <sz val="10"/>
      <name val="Helvetica"/>
    </font>
    <font>
      <b/>
      <sz val="16"/>
      <color indexed="9"/>
      <name val="Arial"/>
    </font>
    <font>
      <sz val="12"/>
      <color indexed="9"/>
      <name val="Arial"/>
      <family val="2"/>
    </font>
    <font>
      <sz val="12"/>
      <name val="Helvetica"/>
    </font>
    <font>
      <sz val="10"/>
      <color indexed="9"/>
      <name val="Helvetica"/>
    </font>
    <font>
      <b/>
      <sz val="14"/>
      <color indexed="8"/>
      <name val="Arial"/>
      <family val="2"/>
    </font>
    <font>
      <sz val="10"/>
      <color indexed="8"/>
      <name val="Arial"/>
      <family val="2"/>
    </font>
    <font>
      <sz val="12"/>
      <color indexed="8"/>
      <name val="Arial"/>
    </font>
    <font>
      <sz val="10"/>
      <name val="Arial"/>
    </font>
    <font>
      <u/>
      <sz val="10"/>
      <color indexed="12"/>
      <name val="Arial"/>
    </font>
    <font>
      <u/>
      <sz val="10"/>
      <color indexed="12"/>
      <name val="Tahoma"/>
      <family val="2"/>
    </font>
    <font>
      <sz val="10"/>
      <name val="Tahoma"/>
      <family val="2"/>
    </font>
    <font>
      <sz val="12"/>
      <color indexed="8"/>
      <name val="Helvetica"/>
      <family val="2"/>
    </font>
    <font>
      <b/>
      <sz val="10"/>
      <name val="Helvetica"/>
    </font>
    <font>
      <b/>
      <sz val="9"/>
      <name val="Helvetica"/>
      <family val="2"/>
    </font>
    <font>
      <sz val="9"/>
      <name val="Helvetica"/>
    </font>
    <font>
      <sz val="8"/>
      <name val="Helvetica"/>
    </font>
    <font>
      <sz val="10"/>
      <color indexed="63"/>
      <name val="Helvetica"/>
    </font>
    <font>
      <b/>
      <sz val="14"/>
      <name val="Helvetica"/>
    </font>
    <font>
      <b/>
      <sz val="9"/>
      <color indexed="63"/>
      <name val="Helvetica"/>
    </font>
    <font>
      <sz val="9"/>
      <color indexed="63"/>
      <name val="Helvetica"/>
    </font>
    <font>
      <b/>
      <i/>
      <sz val="7.5"/>
      <name val="Helvetica"/>
    </font>
    <font>
      <b/>
      <sz val="10"/>
      <color indexed="63"/>
      <name val="Helvetica"/>
    </font>
    <font>
      <b/>
      <sz val="12"/>
      <color indexed="63"/>
      <name val="Helvetica"/>
    </font>
    <font>
      <sz val="20"/>
      <name val="Helvetica"/>
    </font>
    <font>
      <sz val="10"/>
      <name val="Verdana"/>
    </font>
    <font>
      <b/>
      <sz val="18"/>
      <color indexed="8"/>
      <name val="Arial"/>
    </font>
    <font>
      <i/>
      <sz val="11"/>
      <name val="Calibri"/>
      <family val="2"/>
    </font>
    <font>
      <b/>
      <sz val="9"/>
      <color indexed="81"/>
      <name val="Calibri"/>
      <family val="2"/>
    </font>
    <font>
      <sz val="9"/>
      <color indexed="81"/>
      <name val="Tahoma"/>
      <family val="2"/>
    </font>
    <font>
      <b/>
      <sz val="9"/>
      <color indexed="81"/>
      <name val="Tahoma"/>
      <family val="2"/>
    </font>
    <font>
      <b/>
      <sz val="18"/>
      <name val="Helvetica"/>
    </font>
    <font>
      <sz val="14"/>
      <color indexed="8"/>
      <name val="Arial"/>
    </font>
    <font>
      <sz val="14"/>
      <name val="Helvetica"/>
    </font>
    <font>
      <sz val="16"/>
      <color indexed="8"/>
      <name val="Arial"/>
    </font>
    <font>
      <b/>
      <sz val="16"/>
      <color indexed="8"/>
      <name val="Arial"/>
      <family val="2"/>
    </font>
    <font>
      <sz val="16"/>
      <name val="Helvetica"/>
    </font>
    <font>
      <b/>
      <sz val="24"/>
      <color indexed="8"/>
      <name val="Arial"/>
    </font>
    <font>
      <b/>
      <sz val="26"/>
      <name val="Helvetica"/>
    </font>
    <font>
      <b/>
      <sz val="12"/>
      <name val="Helvetica"/>
    </font>
    <font>
      <b/>
      <sz val="24"/>
      <color indexed="8"/>
      <name val="Helvetica"/>
    </font>
    <font>
      <b/>
      <sz val="14"/>
      <color indexed="8"/>
      <name val="Helvetica"/>
    </font>
    <font>
      <b/>
      <sz val="18"/>
      <color indexed="8"/>
      <name val="Helvetica"/>
    </font>
    <font>
      <sz val="14"/>
      <color indexed="8"/>
      <name val="Helvetica"/>
    </font>
    <font>
      <sz val="16"/>
      <color indexed="8"/>
      <name val="Helvetica"/>
    </font>
    <font>
      <b/>
      <sz val="10"/>
      <color indexed="8"/>
      <name val="Arial"/>
    </font>
    <font>
      <b/>
      <sz val="18"/>
      <color indexed="63"/>
      <name val="Helvetica"/>
    </font>
    <font>
      <sz val="18"/>
      <color indexed="63"/>
      <name val="Helvetica"/>
    </font>
    <font>
      <b/>
      <sz val="11"/>
      <color indexed="63"/>
      <name val="Helvetica"/>
    </font>
    <font>
      <b/>
      <i/>
      <sz val="10"/>
      <name val="Helvetica"/>
    </font>
    <font>
      <b/>
      <i/>
      <sz val="9"/>
      <name val="Helvetica"/>
    </font>
    <font>
      <b/>
      <sz val="7.5"/>
      <name val="Helvetica"/>
    </font>
    <font>
      <i/>
      <sz val="9"/>
      <name val="Helvetica"/>
    </font>
    <font>
      <b/>
      <sz val="16"/>
      <name val="Helvetica"/>
    </font>
    <font>
      <b/>
      <sz val="8"/>
      <name val="Helvetica"/>
    </font>
    <font>
      <sz val="9"/>
      <color indexed="63"/>
      <name val="Helvetica Neue"/>
    </font>
    <font>
      <b/>
      <sz val="6"/>
      <name val="Helvetica"/>
    </font>
    <font>
      <sz val="8"/>
      <color indexed="10"/>
      <name val="Helvetica"/>
    </font>
    <font>
      <b/>
      <i/>
      <sz val="8"/>
      <name val="Helvetica"/>
    </font>
    <font>
      <i/>
      <sz val="8"/>
      <name val="Helvetica"/>
    </font>
    <font>
      <u/>
      <sz val="8"/>
      <name val="Helvetica"/>
    </font>
    <font>
      <i/>
      <sz val="10"/>
      <name val="Helvetica"/>
    </font>
    <font>
      <u/>
      <sz val="12"/>
      <color indexed="12"/>
      <name val="Helvetica"/>
      <family val="2"/>
    </font>
    <font>
      <sz val="12"/>
      <color indexed="9"/>
      <name val="Arial"/>
      <family val="2"/>
    </font>
    <font>
      <sz val="12"/>
      <color indexed="9"/>
      <name val="Helvetica"/>
    </font>
    <font>
      <sz val="10"/>
      <color indexed="9"/>
      <name val="Helvetica"/>
    </font>
    <font>
      <b/>
      <sz val="12"/>
      <color indexed="9"/>
      <name val="Helvetica"/>
    </font>
    <font>
      <b/>
      <sz val="16"/>
      <color indexed="9"/>
      <name val="Helvetica"/>
    </font>
    <font>
      <b/>
      <sz val="10"/>
      <color indexed="9"/>
      <name val="Helvetica"/>
    </font>
    <font>
      <sz val="6"/>
      <name val="Helvetica"/>
    </font>
    <font>
      <sz val="9"/>
      <color indexed="10"/>
      <name val="Helvetica"/>
    </font>
    <font>
      <sz val="10"/>
      <color indexed="10"/>
      <name val="Helvetica"/>
    </font>
    <font>
      <sz val="9"/>
      <color theme="1"/>
      <name val="Calibri"/>
      <family val="2"/>
      <scheme val="minor"/>
    </font>
    <font>
      <sz val="11"/>
      <color theme="1"/>
      <name val="Calibri"/>
      <family val="2"/>
      <scheme val="minor"/>
    </font>
    <font>
      <b/>
      <sz val="9"/>
      <color theme="1"/>
      <name val="Calibri"/>
      <family val="2"/>
      <scheme val="minor"/>
    </font>
    <font>
      <b/>
      <sz val="12"/>
      <color theme="4"/>
      <name val="Calibri"/>
      <family val="2"/>
      <scheme val="minor"/>
    </font>
    <font>
      <sz val="10"/>
      <name val="Calibri"/>
      <family val="2"/>
      <scheme val="minor"/>
    </font>
    <font>
      <sz val="8"/>
      <color indexed="9"/>
      <name val="Calibri"/>
      <family val="2"/>
      <scheme val="minor"/>
    </font>
    <font>
      <b/>
      <sz val="14"/>
      <color indexed="9"/>
      <name val="Calibri"/>
      <family val="2"/>
      <scheme val="minor"/>
    </font>
    <font>
      <sz val="10"/>
      <color indexed="9"/>
      <name val="Calibri"/>
      <family val="2"/>
      <scheme val="minor"/>
    </font>
    <font>
      <u/>
      <sz val="8"/>
      <color indexed="9"/>
      <name val="Calibri"/>
      <family val="2"/>
      <scheme val="minor"/>
    </font>
    <font>
      <b/>
      <u/>
      <sz val="10"/>
      <color rgb="FFFF0000"/>
      <name val="Calibri"/>
      <family val="2"/>
      <scheme val="minor"/>
    </font>
    <font>
      <b/>
      <i/>
      <sz val="12"/>
      <color indexed="9"/>
      <name val="Calibri"/>
      <family val="2"/>
      <scheme val="minor"/>
    </font>
    <font>
      <b/>
      <i/>
      <sz val="10"/>
      <color rgb="FFFF0000"/>
      <name val="Calibri"/>
      <family val="2"/>
      <scheme val="minor"/>
    </font>
    <font>
      <i/>
      <sz val="10"/>
      <color rgb="FFFF0000"/>
      <name val="Calibri"/>
      <family val="2"/>
      <scheme val="minor"/>
    </font>
    <font>
      <b/>
      <sz val="11"/>
      <name val="Calibri"/>
      <family val="2"/>
      <scheme val="minor"/>
    </font>
    <font>
      <sz val="11"/>
      <name val="Calibri"/>
      <family val="2"/>
      <scheme val="minor"/>
    </font>
    <font>
      <b/>
      <sz val="10"/>
      <name val="Calibri"/>
      <family val="2"/>
      <scheme val="minor"/>
    </font>
    <font>
      <sz val="11"/>
      <color rgb="FF0000FF"/>
      <name val="Calibri"/>
      <family val="2"/>
      <scheme val="minor"/>
    </font>
    <font>
      <b/>
      <sz val="11"/>
      <color rgb="FF000000"/>
      <name val="Calibri"/>
      <family val="2"/>
      <scheme val="minor"/>
    </font>
    <font>
      <b/>
      <u/>
      <sz val="10"/>
      <name val="Calibri"/>
      <family val="2"/>
      <scheme val="minor"/>
    </font>
    <font>
      <sz val="10"/>
      <color rgb="FF0000FF"/>
      <name val="Calibri"/>
      <family val="2"/>
      <scheme val="minor"/>
    </font>
    <font>
      <sz val="11"/>
      <color rgb="FF000000"/>
      <name val="Calibri"/>
      <family val="2"/>
      <scheme val="minor"/>
    </font>
    <font>
      <b/>
      <sz val="11"/>
      <color rgb="FFFF0000"/>
      <name val="Calibri"/>
      <family val="2"/>
      <scheme val="minor"/>
    </font>
    <font>
      <b/>
      <sz val="12"/>
      <color rgb="FFFF0000"/>
      <name val="Calibri"/>
      <family val="2"/>
      <scheme val="minor"/>
    </font>
    <font>
      <sz val="2"/>
      <color indexed="9"/>
      <name val="Calibri"/>
      <family val="2"/>
      <scheme val="minor"/>
    </font>
    <font>
      <b/>
      <sz val="14"/>
      <color rgb="FFFF0000"/>
      <name val="Calibri"/>
      <family val="2"/>
      <scheme val="minor"/>
    </font>
    <font>
      <sz val="10"/>
      <color rgb="FFFF0000"/>
      <name val="Calibri"/>
      <family val="2"/>
      <scheme val="minor"/>
    </font>
    <font>
      <b/>
      <sz val="8"/>
      <name val="Calibri"/>
      <family val="2"/>
      <scheme val="minor"/>
    </font>
    <font>
      <sz val="8"/>
      <name val="Calibri"/>
      <family val="2"/>
      <scheme val="minor"/>
    </font>
    <font>
      <b/>
      <sz val="10"/>
      <color theme="1"/>
      <name val="Calibri"/>
      <family val="2"/>
      <scheme val="minor"/>
    </font>
    <font>
      <sz val="10"/>
      <color theme="1"/>
      <name val="Calibri"/>
      <family val="2"/>
      <scheme val="minor"/>
    </font>
    <font>
      <b/>
      <sz val="10"/>
      <color rgb="FF0000FF"/>
      <name val="Calibri"/>
      <family val="2"/>
      <scheme val="minor"/>
    </font>
    <font>
      <sz val="9.5"/>
      <color theme="1"/>
      <name val="Calibri"/>
      <family val="2"/>
      <scheme val="minor"/>
    </font>
    <font>
      <b/>
      <sz val="9.5"/>
      <color theme="1"/>
      <name val="Calibri"/>
      <family val="2"/>
      <scheme val="minor"/>
    </font>
    <font>
      <sz val="9.5"/>
      <color rgb="FF0000FF"/>
      <name val="Calibri"/>
      <family val="2"/>
      <scheme val="minor"/>
    </font>
    <font>
      <i/>
      <sz val="8.5"/>
      <color theme="1"/>
      <name val="Calibri"/>
      <family val="2"/>
      <scheme val="minor"/>
    </font>
    <font>
      <sz val="14"/>
      <color theme="0" tint="-0.14999847407452621"/>
      <name val="Helvetica"/>
    </font>
    <font>
      <b/>
      <sz val="14"/>
      <color theme="0" tint="-0.14999847407452621"/>
      <name val="Helvetica"/>
    </font>
    <font>
      <b/>
      <sz val="16"/>
      <color theme="0"/>
      <name val="Arial"/>
    </font>
    <font>
      <b/>
      <sz val="16"/>
      <color theme="0"/>
      <name val="Helvetica"/>
    </font>
    <font>
      <sz val="16"/>
      <color theme="0"/>
      <name val="Helvetica"/>
    </font>
    <font>
      <sz val="16"/>
      <color theme="0"/>
      <name val="Arial"/>
    </font>
    <font>
      <b/>
      <sz val="16"/>
      <color theme="0" tint="-0.14999847407452621"/>
      <name val="Arial"/>
    </font>
    <font>
      <b/>
      <sz val="16"/>
      <color theme="0" tint="-0.14999847407452621"/>
      <name val="Helvetica"/>
    </font>
    <font>
      <b/>
      <sz val="16"/>
      <color theme="6" tint="-0.249977111117893"/>
      <name val="Helvetica"/>
    </font>
    <font>
      <u/>
      <sz val="12"/>
      <color theme="11"/>
      <name val="Helvetica"/>
      <family val="2"/>
    </font>
  </fonts>
  <fills count="29">
    <fill>
      <patternFill patternType="none"/>
    </fill>
    <fill>
      <patternFill patternType="gray125"/>
    </fill>
    <fill>
      <patternFill patternType="solid">
        <fgColor indexed="9"/>
        <bgColor indexed="64"/>
      </patternFill>
    </fill>
    <fill>
      <patternFill patternType="solid">
        <fgColor indexed="9"/>
        <bgColor indexed="26"/>
      </patternFill>
    </fill>
    <fill>
      <patternFill patternType="solid">
        <fgColor indexed="43"/>
        <bgColor indexed="64"/>
      </patternFill>
    </fill>
    <fill>
      <patternFill patternType="solid">
        <fgColor indexed="22"/>
        <bgColor indexed="64"/>
      </patternFill>
    </fill>
    <fill>
      <patternFill patternType="solid">
        <fgColor indexed="47"/>
        <bgColor indexed="64"/>
      </patternFill>
    </fill>
    <fill>
      <patternFill patternType="solid">
        <fgColor theme="8" tint="0.79998168889431442"/>
        <bgColor indexed="64"/>
      </patternFill>
    </fill>
    <fill>
      <patternFill patternType="solid">
        <fgColor theme="6" tint="0.39997558519241921"/>
        <bgColor indexed="64"/>
      </patternFill>
    </fill>
    <fill>
      <patternFill patternType="solid">
        <fgColor theme="6" tint="-0.249977111117893"/>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rgb="FFFF0000"/>
        <bgColor indexed="64"/>
      </patternFill>
    </fill>
    <fill>
      <patternFill patternType="solid">
        <fgColor rgb="FF00B0F0"/>
        <bgColor indexed="64"/>
      </patternFill>
    </fill>
    <fill>
      <patternFill patternType="solid">
        <fgColor rgb="FFFFFF00"/>
        <bgColor indexed="64"/>
      </patternFill>
    </fill>
    <fill>
      <patternFill patternType="solid">
        <fgColor theme="4" tint="0.39997558519241921"/>
        <bgColor indexed="64"/>
      </patternFill>
    </fill>
    <fill>
      <patternFill patternType="solid">
        <fgColor theme="0" tint="-0.14999847407452621"/>
        <bgColor indexed="41"/>
      </patternFill>
    </fill>
    <fill>
      <patternFill patternType="solid">
        <fgColor theme="0" tint="-0.14999847407452621"/>
        <bgColor indexed="64"/>
      </patternFill>
    </fill>
    <fill>
      <patternFill patternType="solid">
        <fgColor theme="6" tint="0.39997558519241921"/>
        <bgColor indexed="26"/>
      </patternFill>
    </fill>
    <fill>
      <patternFill patternType="solid">
        <fgColor theme="9" tint="0.59999389629810485"/>
        <bgColor indexed="64"/>
      </patternFill>
    </fill>
    <fill>
      <patternFill patternType="solid">
        <fgColor theme="9" tint="0.39997558519241921"/>
        <bgColor indexed="64"/>
      </patternFill>
    </fill>
    <fill>
      <patternFill patternType="solid">
        <fgColor theme="0" tint="-0.14999847407452621"/>
        <bgColor indexed="9"/>
      </patternFill>
    </fill>
    <fill>
      <patternFill patternType="solid">
        <fgColor theme="0" tint="-0.14999847407452621"/>
        <bgColor indexed="27"/>
      </patternFill>
    </fill>
    <fill>
      <patternFill patternType="solid">
        <fgColor theme="9" tint="-0.249977111117893"/>
        <bgColor indexed="64"/>
      </patternFill>
    </fill>
    <fill>
      <patternFill patternType="solid">
        <fgColor theme="0"/>
        <bgColor indexed="64"/>
      </patternFill>
    </fill>
    <fill>
      <patternFill patternType="solid">
        <fgColor theme="0"/>
        <bgColor indexed="26"/>
      </patternFill>
    </fill>
    <fill>
      <patternFill patternType="solid">
        <fgColor theme="6" tint="0.79998168889431442"/>
        <bgColor indexed="64"/>
      </patternFill>
    </fill>
    <fill>
      <patternFill patternType="solid">
        <fgColor theme="0" tint="-0.249977111117893"/>
        <bgColor indexed="64"/>
      </patternFill>
    </fill>
    <fill>
      <patternFill patternType="solid">
        <fgColor theme="6" tint="0.59999389629810485"/>
        <bgColor indexed="64"/>
      </patternFill>
    </fill>
  </fills>
  <borders count="74">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right/>
      <top style="medium">
        <color auto="1"/>
      </top>
      <bottom/>
      <diagonal/>
    </border>
    <border>
      <left/>
      <right style="thin">
        <color auto="1"/>
      </right>
      <top style="medium">
        <color auto="1"/>
      </top>
      <bottom/>
      <diagonal/>
    </border>
    <border>
      <left style="thin">
        <color auto="1"/>
      </left>
      <right/>
      <top style="medium">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style="thin">
        <color auto="1"/>
      </right>
      <top style="thin">
        <color auto="1"/>
      </top>
      <bottom/>
      <diagonal/>
    </border>
    <border>
      <left/>
      <right style="medium">
        <color auto="1"/>
      </right>
      <top style="thin">
        <color auto="1"/>
      </top>
      <bottom/>
      <diagonal/>
    </border>
    <border>
      <left style="medium">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bottom/>
      <diagonal/>
    </border>
    <border>
      <left style="medium">
        <color auto="1"/>
      </left>
      <right/>
      <top style="thin">
        <color auto="1"/>
      </top>
      <bottom/>
      <diagonal/>
    </border>
    <border>
      <left style="thin">
        <color auto="1"/>
      </left>
      <right style="thin">
        <color auto="1"/>
      </right>
      <top style="thin">
        <color auto="1"/>
      </top>
      <bottom style="thin">
        <color auto="1"/>
      </bottom>
      <diagonal/>
    </border>
    <border>
      <left/>
      <right/>
      <top style="medium">
        <color auto="1"/>
      </top>
      <bottom style="thin">
        <color auto="1"/>
      </bottom>
      <diagonal/>
    </border>
    <border>
      <left style="medium">
        <color auto="1"/>
      </left>
      <right/>
      <top style="medium">
        <color auto="1"/>
      </top>
      <bottom/>
      <diagonal/>
    </border>
    <border>
      <left style="thin">
        <color auto="1"/>
      </left>
      <right style="medium">
        <color auto="1"/>
      </right>
      <top style="thin">
        <color auto="1"/>
      </top>
      <bottom style="thin">
        <color auto="1"/>
      </bottom>
      <diagonal/>
    </border>
    <border>
      <left/>
      <right style="medium">
        <color auto="1"/>
      </right>
      <top style="medium">
        <color auto="1"/>
      </top>
      <bottom/>
      <diagonal/>
    </border>
    <border>
      <left style="medium">
        <color auto="1"/>
      </left>
      <right style="thin">
        <color auto="1"/>
      </right>
      <top style="thin">
        <color auto="1"/>
      </top>
      <bottom/>
      <diagonal/>
    </border>
    <border>
      <left style="medium">
        <color auto="1"/>
      </left>
      <right style="thin">
        <color auto="1"/>
      </right>
      <top/>
      <bottom style="thin">
        <color auto="1"/>
      </bottom>
      <diagonal/>
    </border>
    <border>
      <left/>
      <right style="medium">
        <color auto="1"/>
      </right>
      <top/>
      <bottom style="thin">
        <color auto="1"/>
      </bottom>
      <diagonal/>
    </border>
    <border>
      <left style="medium">
        <color auto="1"/>
      </left>
      <right/>
      <top/>
      <bottom style="thin">
        <color auto="1"/>
      </bottom>
      <diagonal/>
    </border>
    <border>
      <left style="medium">
        <color auto="1"/>
      </left>
      <right style="medium">
        <color auto="1"/>
      </right>
      <top style="medium">
        <color auto="1"/>
      </top>
      <bottom style="medium">
        <color auto="1"/>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medium">
        <color auto="1"/>
      </bottom>
      <diagonal/>
    </border>
    <border>
      <left style="medium">
        <color auto="1"/>
      </left>
      <right style="thin">
        <color auto="1"/>
      </right>
      <top style="thin">
        <color auto="1"/>
      </top>
      <bottom style="thin">
        <color auto="1"/>
      </bottom>
      <diagonal/>
    </border>
    <border>
      <left style="medium">
        <color auto="1"/>
      </left>
      <right/>
      <top style="medium">
        <color auto="1"/>
      </top>
      <bottom style="thin">
        <color auto="1"/>
      </bottom>
      <diagonal/>
    </border>
    <border>
      <left/>
      <right style="medium">
        <color auto="1"/>
      </right>
      <top style="medium">
        <color auto="1"/>
      </top>
      <bottom style="thin">
        <color auto="1"/>
      </bottom>
      <diagonal/>
    </border>
    <border>
      <left/>
      <right/>
      <top/>
      <bottom style="dashed">
        <color theme="0" tint="-0.24994659260841701"/>
      </bottom>
      <diagonal/>
    </border>
    <border>
      <left/>
      <right/>
      <top style="medium">
        <color theme="4"/>
      </top>
      <bottom/>
      <diagonal/>
    </border>
    <border>
      <left/>
      <right/>
      <top/>
      <bottom style="thick">
        <color theme="4"/>
      </bottom>
      <diagonal/>
    </border>
    <border>
      <left style="thick">
        <color theme="0"/>
      </left>
      <right style="thick">
        <color theme="0"/>
      </right>
      <top/>
      <bottom style="thin">
        <color theme="0" tint="-0.24994659260841701"/>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right/>
      <top/>
      <bottom style="thin">
        <color theme="0" tint="-0.34998626667073579"/>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right/>
      <top/>
      <bottom style="medium">
        <color theme="0" tint="-0.34998626667073579"/>
      </bottom>
      <diagonal/>
    </border>
    <border>
      <left/>
      <right/>
      <top style="thin">
        <color theme="0" tint="-0.24994659260841701"/>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mediumDashed">
        <color rgb="FF002060"/>
      </left>
      <right/>
      <top/>
      <bottom/>
      <diagonal/>
    </border>
    <border>
      <left style="dashed">
        <color theme="0" tint="-0.499984740745262"/>
      </left>
      <right/>
      <top/>
      <bottom style="medium">
        <color theme="0" tint="-0.34998626667073579"/>
      </bottom>
      <diagonal/>
    </border>
    <border>
      <left style="dashed">
        <color theme="0" tint="-0.499984740745262"/>
      </left>
      <right/>
      <top/>
      <bottom/>
      <diagonal/>
    </border>
    <border>
      <left style="mediumDashed">
        <color rgb="FF002060"/>
      </left>
      <right/>
      <top/>
      <bottom style="thin">
        <color auto="1"/>
      </bottom>
      <diagonal/>
    </border>
    <border>
      <left style="dashed">
        <color theme="0" tint="-0.499984740745262"/>
      </left>
      <right/>
      <top style="thin">
        <color auto="1"/>
      </top>
      <bottom/>
      <diagonal/>
    </border>
    <border>
      <left style="dashed">
        <color theme="9" tint="-0.24994659260841701"/>
      </left>
      <right/>
      <top style="dashed">
        <color theme="9" tint="-0.24994659260841701"/>
      </top>
      <bottom/>
      <diagonal/>
    </border>
    <border>
      <left/>
      <right/>
      <top style="dashed">
        <color theme="9" tint="-0.24994659260841701"/>
      </top>
      <bottom/>
      <diagonal/>
    </border>
    <border>
      <left/>
      <right style="dashed">
        <color theme="9" tint="-0.24994659260841701"/>
      </right>
      <top style="dashed">
        <color theme="9" tint="-0.24994659260841701"/>
      </top>
      <bottom/>
      <diagonal/>
    </border>
    <border>
      <left style="dashed">
        <color theme="9" tint="-0.24994659260841701"/>
      </left>
      <right/>
      <top/>
      <bottom/>
      <diagonal/>
    </border>
    <border>
      <left/>
      <right style="dashed">
        <color theme="9" tint="-0.24994659260841701"/>
      </right>
      <top/>
      <bottom/>
      <diagonal/>
    </border>
    <border>
      <left/>
      <right style="dashed">
        <color theme="9" tint="-0.24994659260841701"/>
      </right>
      <top style="thin">
        <color theme="0" tint="-0.34998626667073579"/>
      </top>
      <bottom/>
      <diagonal/>
    </border>
    <border>
      <left style="dashed">
        <color theme="9" tint="-0.24994659260841701"/>
      </left>
      <right/>
      <top/>
      <bottom style="dashed">
        <color theme="9" tint="-0.24994659260841701"/>
      </bottom>
      <diagonal/>
    </border>
    <border>
      <left/>
      <right/>
      <top/>
      <bottom style="dashed">
        <color theme="9" tint="-0.24994659260841701"/>
      </bottom>
      <diagonal/>
    </border>
    <border>
      <left/>
      <right style="dashed">
        <color theme="9" tint="-0.24994659260841701"/>
      </right>
      <top/>
      <bottom style="dashed">
        <color theme="9" tint="-0.24994659260841701"/>
      </bottom>
      <diagonal/>
    </border>
  </borders>
  <cellStyleXfs count="36">
    <xf numFmtId="0" fontId="0" fillId="0" borderId="0"/>
    <xf numFmtId="0" fontId="87" fillId="0" borderId="43" applyNumberFormat="0" applyFont="0" applyProtection="0">
      <alignment wrapText="1"/>
    </xf>
    <xf numFmtId="43" fontId="11" fillId="0" borderId="0" applyFont="0" applyFill="0" applyBorder="0" applyAlignment="0" applyProtection="0"/>
    <xf numFmtId="43" fontId="15" fillId="0" borderId="0" applyFont="0" applyFill="0" applyBorder="0" applyAlignment="0" applyProtection="0"/>
    <xf numFmtId="43" fontId="88" fillId="0" borderId="0" applyFont="0" applyFill="0" applyBorder="0" applyAlignment="0" applyProtection="0"/>
    <xf numFmtId="44" fontId="11" fillId="0" borderId="0" applyFont="0" applyFill="0" applyBorder="0" applyAlignment="0" applyProtection="0"/>
    <xf numFmtId="44" fontId="15" fillId="0" borderId="0" applyFont="0" applyFill="0" applyBorder="0" applyAlignment="0" applyProtection="0"/>
    <xf numFmtId="44" fontId="21" fillId="0" borderId="0" applyFont="0" applyFill="0" applyBorder="0" applyAlignment="0" applyProtection="0"/>
    <xf numFmtId="44" fontId="23" fillId="0" borderId="0" applyFont="0" applyFill="0" applyBorder="0" applyAlignment="0" applyProtection="0"/>
    <xf numFmtId="44" fontId="88" fillId="0" borderId="0" applyFont="0" applyFill="0" applyBorder="0" applyAlignment="0" applyProtection="0"/>
    <xf numFmtId="44" fontId="40" fillId="0" borderId="0" applyFont="0" applyFill="0" applyBorder="0" applyAlignment="0" applyProtection="0"/>
    <xf numFmtId="0" fontId="6" fillId="0" borderId="0"/>
    <xf numFmtId="0" fontId="87" fillId="0" borderId="0" applyNumberFormat="0" applyFill="0" applyBorder="0" applyAlignment="0" applyProtection="0"/>
    <xf numFmtId="0" fontId="87" fillId="0" borderId="0" applyNumberFormat="0" applyProtection="0">
      <alignment vertical="top" wrapText="1"/>
    </xf>
    <xf numFmtId="0" fontId="87" fillId="0" borderId="44" applyNumberFormat="0" applyProtection="0">
      <alignment vertical="top" wrapText="1"/>
    </xf>
    <xf numFmtId="0" fontId="89" fillId="0" borderId="45" applyNumberFormat="0" applyProtection="0">
      <alignment wrapText="1"/>
    </xf>
    <xf numFmtId="0" fontId="89" fillId="0" borderId="46" applyNumberFormat="0" applyProtection="0">
      <alignment horizontal="left" wrapText="1"/>
    </xf>
    <xf numFmtId="0" fontId="77"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alignment vertical="top"/>
      <protection locked="0"/>
    </xf>
    <xf numFmtId="0" fontId="15" fillId="0" borderId="0"/>
    <xf numFmtId="0" fontId="21" fillId="0" borderId="0"/>
    <xf numFmtId="0" fontId="26" fillId="0" borderId="0"/>
    <xf numFmtId="0" fontId="26" fillId="0" borderId="0"/>
    <xf numFmtId="0" fontId="27" fillId="0" borderId="0"/>
    <xf numFmtId="0" fontId="88" fillId="0" borderId="0"/>
    <xf numFmtId="0" fontId="40" fillId="0" borderId="0"/>
    <xf numFmtId="0" fontId="89" fillId="0" borderId="47" applyNumberFormat="0" applyProtection="0">
      <alignment wrapText="1"/>
    </xf>
    <xf numFmtId="9" fontId="11" fillId="0" borderId="0" applyFont="0" applyFill="0" applyBorder="0" applyAlignment="0" applyProtection="0"/>
    <xf numFmtId="9" fontId="15" fillId="0" borderId="0" applyFont="0" applyFill="0" applyBorder="0" applyAlignment="0" applyProtection="0"/>
    <xf numFmtId="9" fontId="21" fillId="0" borderId="0" applyFont="0" applyFill="0" applyBorder="0" applyAlignment="0" applyProtection="0"/>
    <xf numFmtId="9" fontId="23" fillId="0" borderId="0" applyFont="0" applyFill="0" applyBorder="0" applyAlignment="0" applyProtection="0"/>
    <xf numFmtId="0" fontId="87" fillId="0" borderId="48" applyNumberFormat="0" applyFont="0" applyFill="0" applyProtection="0">
      <alignment wrapText="1"/>
    </xf>
    <xf numFmtId="0" fontId="89" fillId="0" borderId="49" applyNumberFormat="0" applyFill="0" applyProtection="0">
      <alignment wrapText="1"/>
    </xf>
    <xf numFmtId="0" fontId="90" fillId="0" borderId="0" applyNumberFormat="0" applyProtection="0">
      <alignment horizontal="left"/>
    </xf>
    <xf numFmtId="0" fontId="131" fillId="0" borderId="0" applyNumberFormat="0" applyFill="0" applyBorder="0" applyAlignment="0" applyProtection="0"/>
  </cellStyleXfs>
  <cellXfs count="1168">
    <xf numFmtId="0" fontId="0" fillId="0" borderId="0" xfId="0"/>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1" fontId="0" fillId="0" borderId="0" xfId="0" applyNumberFormat="1" applyBorder="1" applyAlignment="1">
      <alignment horizontal="center"/>
    </xf>
    <xf numFmtId="1" fontId="0" fillId="0" borderId="5" xfId="0" applyNumberFormat="1" applyBorder="1" applyAlignment="1">
      <alignment horizontal="center"/>
    </xf>
    <xf numFmtId="0" fontId="0" fillId="0" borderId="0" xfId="0" applyBorder="1"/>
    <xf numFmtId="0" fontId="0" fillId="0" borderId="5" xfId="0" applyBorder="1"/>
    <xf numFmtId="0" fontId="0" fillId="0" borderId="3" xfId="0" applyBorder="1"/>
    <xf numFmtId="0" fontId="0" fillId="7" borderId="6" xfId="0" applyFill="1" applyBorder="1"/>
    <xf numFmtId="0" fontId="0" fillId="7" borderId="7" xfId="0" applyFill="1" applyBorder="1"/>
    <xf numFmtId="0" fontId="0" fillId="7" borderId="8" xfId="0" applyFill="1" applyBorder="1"/>
    <xf numFmtId="0" fontId="0" fillId="0" borderId="0" xfId="0" applyAlignment="1">
      <alignment horizontal="center"/>
    </xf>
    <xf numFmtId="9" fontId="0" fillId="0" borderId="4" xfId="0" applyNumberFormat="1" applyBorder="1" applyAlignment="1">
      <alignment horizontal="center"/>
    </xf>
    <xf numFmtId="9" fontId="4" fillId="0" borderId="0" xfId="0" applyNumberFormat="1" applyFont="1" applyBorder="1" applyAlignment="1">
      <alignment horizontal="center"/>
    </xf>
    <xf numFmtId="9" fontId="4" fillId="0" borderId="5" xfId="0" applyNumberFormat="1" applyFont="1" applyBorder="1" applyAlignment="1">
      <alignment horizontal="center"/>
    </xf>
    <xf numFmtId="0" fontId="2" fillId="8" borderId="0" xfId="0" applyFont="1" applyFill="1" applyBorder="1" applyAlignment="1">
      <alignment horizontal="center" wrapText="1"/>
    </xf>
    <xf numFmtId="0" fontId="2" fillId="8" borderId="5" xfId="0" applyFont="1" applyFill="1" applyBorder="1" applyAlignment="1">
      <alignment horizontal="center" wrapText="1"/>
    </xf>
    <xf numFmtId="0" fontId="2" fillId="9" borderId="0" xfId="0" applyFont="1" applyFill="1" applyBorder="1" applyAlignment="1">
      <alignment horizontal="center" wrapText="1"/>
    </xf>
    <xf numFmtId="0" fontId="0" fillId="0" borderId="0" xfId="0" applyBorder="1" applyAlignment="1">
      <alignment horizontal="center" wrapText="1"/>
    </xf>
    <xf numFmtId="0" fontId="0" fillId="0" borderId="5" xfId="0" applyBorder="1" applyAlignment="1">
      <alignment horizontal="center" wrapText="1"/>
    </xf>
    <xf numFmtId="0" fontId="0" fillId="0" borderId="9" xfId="0" applyBorder="1" applyAlignment="1">
      <alignment horizontal="center" wrapText="1"/>
    </xf>
    <xf numFmtId="0" fontId="0" fillId="0" borderId="10" xfId="0" applyBorder="1" applyAlignment="1">
      <alignment horizontal="center" wrapText="1"/>
    </xf>
    <xf numFmtId="0" fontId="0" fillId="0" borderId="11" xfId="0" applyBorder="1" applyAlignment="1">
      <alignment horizontal="center" wrapText="1"/>
    </xf>
    <xf numFmtId="0" fontId="2" fillId="8" borderId="4" xfId="0" applyFont="1" applyFill="1" applyBorder="1" applyAlignment="1">
      <alignment horizontal="center" wrapText="1"/>
    </xf>
    <xf numFmtId="0" fontId="2" fillId="9" borderId="4" xfId="0" applyFont="1" applyFill="1" applyBorder="1" applyAlignment="1">
      <alignment horizontal="center" wrapText="1"/>
    </xf>
    <xf numFmtId="0" fontId="2" fillId="9" borderId="5" xfId="0" applyFont="1" applyFill="1" applyBorder="1" applyAlignment="1">
      <alignment horizontal="center" wrapText="1"/>
    </xf>
    <xf numFmtId="0" fontId="4" fillId="0" borderId="0" xfId="0" applyFont="1" applyAlignment="1">
      <alignment horizontal="center" wrapText="1"/>
    </xf>
    <xf numFmtId="164" fontId="0" fillId="0" borderId="0" xfId="2" applyNumberFormat="1" applyFont="1"/>
    <xf numFmtId="164" fontId="0" fillId="0" borderId="0" xfId="2" applyNumberFormat="1" applyFont="1" applyFill="1"/>
    <xf numFmtId="0" fontId="0" fillId="0" borderId="0" xfId="0" applyProtection="1">
      <protection hidden="1"/>
    </xf>
    <xf numFmtId="0" fontId="2" fillId="0" borderId="12" xfId="0" applyFont="1" applyBorder="1" applyAlignment="1" applyProtection="1">
      <alignment horizontal="center"/>
      <protection hidden="1"/>
    </xf>
    <xf numFmtId="0" fontId="2" fillId="0" borderId="13" xfId="0" applyFont="1" applyBorder="1" applyAlignment="1" applyProtection="1">
      <alignment horizontal="center"/>
      <protection hidden="1"/>
    </xf>
    <xf numFmtId="0" fontId="2" fillId="0" borderId="14" xfId="0" applyFont="1" applyBorder="1" applyAlignment="1" applyProtection="1">
      <alignment horizontal="center"/>
      <protection hidden="1"/>
    </xf>
    <xf numFmtId="0" fontId="0" fillId="10" borderId="15" xfId="0" applyFill="1" applyBorder="1" applyAlignment="1" applyProtection="1">
      <alignment horizontal="center"/>
      <protection hidden="1"/>
    </xf>
    <xf numFmtId="0" fontId="0" fillId="10" borderId="0" xfId="0" applyFill="1" applyBorder="1" applyAlignment="1" applyProtection="1">
      <alignment horizontal="center"/>
      <protection hidden="1"/>
    </xf>
    <xf numFmtId="164" fontId="11" fillId="10" borderId="0" xfId="2" applyNumberFormat="1" applyFont="1" applyFill="1" applyBorder="1" applyProtection="1">
      <protection hidden="1"/>
    </xf>
    <xf numFmtId="164" fontId="11" fillId="10" borderId="16" xfId="2" applyNumberFormat="1" applyFont="1" applyFill="1" applyBorder="1" applyProtection="1">
      <protection hidden="1"/>
    </xf>
    <xf numFmtId="0" fontId="0" fillId="8" borderId="15" xfId="0" applyFill="1" applyBorder="1" applyAlignment="1" applyProtection="1">
      <alignment horizontal="center"/>
      <protection hidden="1"/>
    </xf>
    <xf numFmtId="0" fontId="0" fillId="8" borderId="0" xfId="0" applyFill="1" applyBorder="1" applyAlignment="1" applyProtection="1">
      <alignment horizontal="center"/>
      <protection hidden="1"/>
    </xf>
    <xf numFmtId="164" fontId="11" fillId="8" borderId="0" xfId="2" applyNumberFormat="1" applyFont="1" applyFill="1" applyBorder="1" applyProtection="1">
      <protection hidden="1"/>
    </xf>
    <xf numFmtId="164" fontId="11" fillId="8" borderId="16" xfId="2" applyNumberFormat="1" applyFont="1" applyFill="1" applyBorder="1" applyProtection="1">
      <protection hidden="1"/>
    </xf>
    <xf numFmtId="0" fontId="0" fillId="11" borderId="15" xfId="0" applyFill="1" applyBorder="1" applyAlignment="1" applyProtection="1">
      <alignment horizontal="center"/>
      <protection hidden="1"/>
    </xf>
    <xf numFmtId="164" fontId="11" fillId="11" borderId="0" xfId="2" applyNumberFormat="1" applyFont="1" applyFill="1" applyBorder="1" applyAlignment="1" applyProtection="1">
      <alignment horizontal="center"/>
      <protection hidden="1"/>
    </xf>
    <xf numFmtId="164" fontId="11" fillId="11" borderId="0" xfId="2" applyNumberFormat="1" applyFont="1" applyFill="1" applyBorder="1" applyProtection="1">
      <protection hidden="1"/>
    </xf>
    <xf numFmtId="164" fontId="11" fillId="11" borderId="16" xfId="2" applyNumberFormat="1" applyFont="1" applyFill="1" applyBorder="1" applyProtection="1">
      <protection hidden="1"/>
    </xf>
    <xf numFmtId="0" fontId="0" fillId="11" borderId="17" xfId="0" applyFill="1" applyBorder="1" applyAlignment="1" applyProtection="1">
      <alignment horizontal="center"/>
      <protection hidden="1"/>
    </xf>
    <xf numFmtId="164" fontId="11" fillId="11" borderId="18" xfId="2" applyNumberFormat="1" applyFont="1" applyFill="1" applyBorder="1" applyAlignment="1" applyProtection="1">
      <alignment horizontal="center"/>
      <protection hidden="1"/>
    </xf>
    <xf numFmtId="164" fontId="11" fillId="11" borderId="18" xfId="2" applyNumberFormat="1" applyFont="1" applyFill="1" applyBorder="1" applyProtection="1">
      <protection hidden="1"/>
    </xf>
    <xf numFmtId="164" fontId="11" fillId="11" borderId="19" xfId="2" applyNumberFormat="1" applyFont="1" applyFill="1" applyBorder="1" applyProtection="1">
      <protection hidden="1"/>
    </xf>
    <xf numFmtId="0" fontId="6" fillId="0" borderId="0" xfId="11"/>
    <xf numFmtId="2" fontId="6" fillId="3" borderId="0" xfId="11" applyNumberFormat="1" applyFill="1"/>
    <xf numFmtId="0" fontId="6" fillId="0" borderId="0" xfId="11" applyAlignment="1">
      <alignment horizontal="right"/>
    </xf>
    <xf numFmtId="0" fontId="17" fillId="12" borderId="20" xfId="11" applyFont="1" applyFill="1" applyBorder="1"/>
    <xf numFmtId="168" fontId="17" fillId="12" borderId="20" xfId="11" applyNumberFormat="1" applyFont="1" applyFill="1" applyBorder="1"/>
    <xf numFmtId="0" fontId="17" fillId="12" borderId="2" xfId="11" applyFont="1" applyFill="1" applyBorder="1"/>
    <xf numFmtId="0" fontId="17" fillId="12" borderId="21" xfId="11" applyFont="1" applyFill="1" applyBorder="1"/>
    <xf numFmtId="0" fontId="17" fillId="12" borderId="22" xfId="11" applyFont="1" applyFill="1" applyBorder="1"/>
    <xf numFmtId="0" fontId="17" fillId="12" borderId="23" xfId="11" applyFont="1" applyFill="1" applyBorder="1"/>
    <xf numFmtId="168" fontId="17" fillId="12" borderId="23" xfId="11" applyNumberFormat="1" applyFont="1" applyFill="1" applyBorder="1"/>
    <xf numFmtId="0" fontId="17" fillId="12" borderId="24" xfId="11" applyFont="1" applyFill="1" applyBorder="1"/>
    <xf numFmtId="0" fontId="17" fillId="12" borderId="0" xfId="11" applyFont="1" applyFill="1" applyBorder="1"/>
    <xf numFmtId="0" fontId="17" fillId="12" borderId="16" xfId="11" applyFont="1" applyFill="1" applyBorder="1"/>
    <xf numFmtId="0" fontId="17" fillId="12" borderId="15" xfId="11" applyFont="1" applyFill="1" applyBorder="1"/>
    <xf numFmtId="0" fontId="6" fillId="0" borderId="0" xfId="11" applyFont="1"/>
    <xf numFmtId="167" fontId="17" fillId="12" borderId="24" xfId="3" applyNumberFormat="1" applyFont="1" applyFill="1" applyBorder="1"/>
    <xf numFmtId="0" fontId="19" fillId="12" borderId="0" xfId="20" applyFont="1" applyFill="1" applyBorder="1"/>
    <xf numFmtId="0" fontId="19" fillId="12" borderId="16" xfId="20" applyFont="1" applyFill="1" applyBorder="1"/>
    <xf numFmtId="0" fontId="15" fillId="0" borderId="0" xfId="20"/>
    <xf numFmtId="0" fontId="6" fillId="0" borderId="0" xfId="11" applyBorder="1"/>
    <xf numFmtId="167" fontId="17" fillId="12" borderId="23" xfId="3" applyNumberFormat="1" applyFont="1" applyFill="1" applyBorder="1"/>
    <xf numFmtId="0" fontId="17" fillId="12" borderId="25" xfId="11" applyFont="1" applyFill="1" applyBorder="1"/>
    <xf numFmtId="44" fontId="17" fillId="12" borderId="0" xfId="6" applyFont="1" applyFill="1" applyBorder="1"/>
    <xf numFmtId="44" fontId="17" fillId="12" borderId="16" xfId="6" applyFont="1" applyFill="1" applyBorder="1"/>
    <xf numFmtId="44" fontId="12" fillId="12" borderId="16" xfId="6" applyFont="1" applyFill="1" applyBorder="1"/>
    <xf numFmtId="0" fontId="17" fillId="12" borderId="17" xfId="11" applyFont="1" applyFill="1" applyBorder="1"/>
    <xf numFmtId="0" fontId="17" fillId="12" borderId="18" xfId="11" applyFont="1" applyFill="1" applyBorder="1"/>
    <xf numFmtId="44" fontId="17" fillId="12" borderId="18" xfId="6" applyFont="1" applyFill="1" applyBorder="1"/>
    <xf numFmtId="44" fontId="17" fillId="12" borderId="19" xfId="6" applyFont="1" applyFill="1" applyBorder="1"/>
    <xf numFmtId="10" fontId="6" fillId="3" borderId="0" xfId="28" applyNumberFormat="1" applyFont="1" applyFill="1"/>
    <xf numFmtId="0" fontId="6" fillId="0" borderId="0" xfId="11" applyAlignment="1">
      <alignment horizontal="center"/>
    </xf>
    <xf numFmtId="0" fontId="2" fillId="8" borderId="9" xfId="0" applyFont="1" applyFill="1" applyBorder="1" applyAlignment="1">
      <alignment horizontal="center" wrapText="1"/>
    </xf>
    <xf numFmtId="0" fontId="2" fillId="8" borderId="10" xfId="0" applyFont="1" applyFill="1" applyBorder="1" applyAlignment="1">
      <alignment horizontal="center" wrapText="1"/>
    </xf>
    <xf numFmtId="0" fontId="2" fillId="8" borderId="11" xfId="0" applyFont="1" applyFill="1" applyBorder="1" applyAlignment="1">
      <alignment horizontal="center" wrapText="1"/>
    </xf>
    <xf numFmtId="0" fontId="2" fillId="9" borderId="9" xfId="0" applyFont="1" applyFill="1" applyBorder="1" applyAlignment="1">
      <alignment horizontal="center" wrapText="1"/>
    </xf>
    <xf numFmtId="0" fontId="2" fillId="9" borderId="10" xfId="0" applyFont="1" applyFill="1" applyBorder="1" applyAlignment="1">
      <alignment horizontal="center" wrapText="1"/>
    </xf>
    <xf numFmtId="0" fontId="2" fillId="9" borderId="11" xfId="0" applyFont="1" applyFill="1" applyBorder="1" applyAlignment="1">
      <alignment horizontal="center" wrapText="1"/>
    </xf>
    <xf numFmtId="0" fontId="0" fillId="0" borderId="4" xfId="0" applyBorder="1" applyAlignment="1">
      <alignment horizontal="center" wrapText="1"/>
    </xf>
    <xf numFmtId="9" fontId="0" fillId="8" borderId="4" xfId="0" applyNumberFormat="1" applyFill="1" applyBorder="1" applyAlignment="1">
      <alignment horizontal="center"/>
    </xf>
    <xf numFmtId="9" fontId="4" fillId="8" borderId="0" xfId="0" applyNumberFormat="1" applyFont="1" applyFill="1" applyBorder="1" applyAlignment="1">
      <alignment horizontal="center"/>
    </xf>
    <xf numFmtId="9" fontId="4" fillId="8" borderId="5" xfId="0" applyNumberFormat="1" applyFont="1" applyFill="1" applyBorder="1" applyAlignment="1">
      <alignment horizontal="center"/>
    </xf>
    <xf numFmtId="9" fontId="0" fillId="9" borderId="4" xfId="0" applyNumberFormat="1" applyFill="1" applyBorder="1" applyAlignment="1">
      <alignment horizontal="center"/>
    </xf>
    <xf numFmtId="9" fontId="4" fillId="9" borderId="0" xfId="0" applyNumberFormat="1" applyFont="1" applyFill="1" applyBorder="1" applyAlignment="1">
      <alignment horizontal="center"/>
    </xf>
    <xf numFmtId="9" fontId="4" fillId="9" borderId="5" xfId="0" applyNumberFormat="1" applyFont="1" applyFill="1" applyBorder="1" applyAlignment="1">
      <alignment horizontal="center"/>
    </xf>
    <xf numFmtId="0" fontId="15" fillId="0" borderId="0" xfId="20" applyProtection="1"/>
    <xf numFmtId="0" fontId="35" fillId="0" borderId="0" xfId="20" applyFont="1" applyProtection="1"/>
    <xf numFmtId="0" fontId="32" fillId="0" borderId="0" xfId="20" applyFont="1" applyProtection="1"/>
    <xf numFmtId="49" fontId="35" fillId="0" borderId="0" xfId="20" applyNumberFormat="1" applyFont="1" applyFill="1" applyProtection="1"/>
    <xf numFmtId="0" fontId="32" fillId="0" borderId="0" xfId="20" applyFont="1" applyFill="1" applyProtection="1"/>
    <xf numFmtId="0" fontId="15" fillId="0" borderId="0" xfId="20" applyBorder="1" applyProtection="1"/>
    <xf numFmtId="1" fontId="15" fillId="2" borderId="0" xfId="20" applyNumberFormat="1" applyFont="1" applyFill="1" applyBorder="1" applyAlignment="1" applyProtection="1">
      <alignment horizontal="right" wrapText="1"/>
    </xf>
    <xf numFmtId="0" fontId="30" fillId="0" borderId="0" xfId="20" applyFont="1" applyProtection="1"/>
    <xf numFmtId="0" fontId="35" fillId="0" borderId="0" xfId="20" applyFont="1" applyFill="1" applyProtection="1"/>
    <xf numFmtId="164" fontId="30" fillId="2" borderId="0" xfId="3" applyNumberFormat="1" applyFont="1" applyFill="1" applyBorder="1" applyAlignment="1" applyProtection="1">
      <alignment horizontal="right" wrapText="1"/>
    </xf>
    <xf numFmtId="0" fontId="35" fillId="0" borderId="10" xfId="20" applyFont="1" applyBorder="1" applyProtection="1"/>
    <xf numFmtId="0" fontId="34" fillId="0" borderId="10" xfId="20" applyFont="1" applyBorder="1" applyAlignment="1" applyProtection="1">
      <alignment horizontal="center"/>
    </xf>
    <xf numFmtId="175" fontId="35" fillId="0" borderId="0" xfId="20" applyNumberFormat="1" applyFont="1" applyFill="1" applyProtection="1"/>
    <xf numFmtId="44" fontId="0" fillId="0" borderId="0" xfId="6" applyFont="1" applyBorder="1" applyProtection="1"/>
    <xf numFmtId="0" fontId="15" fillId="0" borderId="26" xfId="20" applyBorder="1" applyProtection="1"/>
    <xf numFmtId="175" fontId="30" fillId="0" borderId="26" xfId="20" applyNumberFormat="1" applyFont="1" applyBorder="1" applyAlignment="1" applyProtection="1">
      <alignment vertical="center"/>
    </xf>
    <xf numFmtId="0" fontId="30" fillId="0" borderId="0" xfId="20" applyFont="1" applyBorder="1" applyProtection="1"/>
    <xf numFmtId="0" fontId="30" fillId="0" borderId="26" xfId="20" applyFont="1" applyBorder="1" applyAlignment="1" applyProtection="1">
      <alignment vertical="center"/>
    </xf>
    <xf numFmtId="177" fontId="30" fillId="0" borderId="26" xfId="6" applyNumberFormat="1" applyFont="1" applyBorder="1" applyProtection="1"/>
    <xf numFmtId="164" fontId="30" fillId="0" borderId="26" xfId="20" applyNumberFormat="1" applyFont="1" applyFill="1" applyBorder="1" applyAlignment="1" applyProtection="1">
      <alignment horizontal="left" vertical="center"/>
    </xf>
    <xf numFmtId="171" fontId="30" fillId="0" borderId="26" xfId="6" applyNumberFormat="1" applyFont="1" applyFill="1" applyBorder="1" applyAlignment="1" applyProtection="1">
      <alignment horizontal="left" vertical="center"/>
    </xf>
    <xf numFmtId="171" fontId="30" fillId="0" borderId="26" xfId="6" applyNumberFormat="1" applyFont="1" applyBorder="1" applyProtection="1"/>
    <xf numFmtId="175" fontId="30" fillId="0" borderId="26" xfId="20" applyNumberFormat="1" applyFont="1" applyBorder="1" applyAlignment="1" applyProtection="1">
      <alignment vertical="center" wrapText="1"/>
    </xf>
    <xf numFmtId="164" fontId="30" fillId="0" borderId="26" xfId="3" applyNumberFormat="1" applyFont="1" applyBorder="1" applyProtection="1"/>
    <xf numFmtId="0" fontId="29" fillId="0" borderId="0" xfId="20" applyFont="1" applyAlignment="1" applyProtection="1">
      <alignment horizontal="center" wrapText="1"/>
    </xf>
    <xf numFmtId="0" fontId="30" fillId="0" borderId="0" xfId="20" applyFont="1" applyFill="1" applyBorder="1" applyProtection="1"/>
    <xf numFmtId="0" fontId="39" fillId="0" borderId="0" xfId="20" applyFont="1" applyAlignment="1" applyProtection="1">
      <alignment horizontal="center" vertical="center"/>
    </xf>
    <xf numFmtId="0" fontId="0" fillId="0" borderId="0" xfId="0" applyProtection="1"/>
    <xf numFmtId="0" fontId="15" fillId="0" borderId="1" xfId="20" applyBorder="1" applyProtection="1"/>
    <xf numFmtId="0" fontId="15" fillId="0" borderId="2" xfId="20" applyBorder="1" applyProtection="1"/>
    <xf numFmtId="0" fontId="15" fillId="0" borderId="3" xfId="20" applyBorder="1" applyProtection="1"/>
    <xf numFmtId="0" fontId="32" fillId="0" borderId="9" xfId="20" applyFont="1" applyBorder="1" applyAlignment="1" applyProtection="1">
      <alignment vertical="top" wrapText="1"/>
    </xf>
    <xf numFmtId="0" fontId="32" fillId="0" borderId="10" xfId="20" applyFont="1" applyBorder="1" applyAlignment="1" applyProtection="1">
      <alignment vertical="top" wrapText="1"/>
    </xf>
    <xf numFmtId="0" fontId="32" fillId="0" borderId="11" xfId="20" applyFont="1" applyBorder="1" applyAlignment="1" applyProtection="1">
      <alignment vertical="top" wrapText="1"/>
    </xf>
    <xf numFmtId="0" fontId="30" fillId="0" borderId="9" xfId="20" applyFont="1" applyBorder="1" applyProtection="1"/>
    <xf numFmtId="0" fontId="30" fillId="0" borderId="10" xfId="20" applyFont="1" applyBorder="1" applyProtection="1"/>
    <xf numFmtId="0" fontId="30" fillId="0" borderId="11" xfId="20" applyFont="1" applyBorder="1" applyProtection="1"/>
    <xf numFmtId="0" fontId="15" fillId="0" borderId="0" xfId="20" applyAlignment="1" applyProtection="1">
      <alignment horizontal="right"/>
    </xf>
    <xf numFmtId="0" fontId="33" fillId="0" borderId="0" xfId="20" applyFont="1" applyAlignment="1" applyProtection="1">
      <alignment horizontal="center"/>
    </xf>
    <xf numFmtId="177" fontId="15" fillId="0" borderId="0" xfId="20" applyNumberFormat="1" applyFont="1" applyBorder="1" applyProtection="1"/>
    <xf numFmtId="0" fontId="91" fillId="0" borderId="0" xfId="22" applyFont="1" applyProtection="1"/>
    <xf numFmtId="0" fontId="92" fillId="13" borderId="0" xfId="22" applyFont="1" applyFill="1" applyBorder="1" applyAlignment="1">
      <alignment horizontal="right" vertical="center"/>
    </xf>
    <xf numFmtId="0" fontId="93" fillId="13" borderId="0" xfId="22" applyFont="1" applyFill="1" applyAlignment="1" applyProtection="1">
      <alignment vertical="center"/>
    </xf>
    <xf numFmtId="0" fontId="94" fillId="13" borderId="0" xfId="22" applyFont="1" applyFill="1" applyAlignment="1" applyProtection="1">
      <alignment vertical="center"/>
    </xf>
    <xf numFmtId="0" fontId="95" fillId="13" borderId="0" xfId="19" applyFont="1" applyFill="1" applyAlignment="1" applyProtection="1">
      <alignment horizontal="right" vertical="center"/>
    </xf>
    <xf numFmtId="0" fontId="91" fillId="0" borderId="0" xfId="22" applyFont="1" applyAlignment="1" applyProtection="1">
      <alignment vertical="center"/>
    </xf>
    <xf numFmtId="0" fontId="96" fillId="0" borderId="0" xfId="22" applyFont="1" applyProtection="1"/>
    <xf numFmtId="0" fontId="97" fillId="13" borderId="0" xfId="22" applyFont="1" applyFill="1" applyAlignment="1" applyProtection="1">
      <alignment vertical="center"/>
    </xf>
    <xf numFmtId="0" fontId="98" fillId="0" borderId="50" xfId="22" applyFont="1" applyBorder="1" applyProtection="1"/>
    <xf numFmtId="0" fontId="91" fillId="0" borderId="50" xfId="22" applyFont="1" applyBorder="1" applyProtection="1"/>
    <xf numFmtId="0" fontId="99" fillId="0" borderId="0" xfId="22" applyFont="1" applyAlignment="1" applyProtection="1">
      <alignment horizontal="left" indent="1"/>
    </xf>
    <xf numFmtId="0" fontId="91" fillId="0" borderId="0" xfId="22" quotePrefix="1" applyFont="1" applyProtection="1"/>
    <xf numFmtId="0" fontId="91" fillId="0" borderId="51" xfId="22" applyFont="1" applyBorder="1" applyProtection="1"/>
    <xf numFmtId="0" fontId="91" fillId="0" borderId="52" xfId="22" applyFont="1" applyBorder="1" applyProtection="1"/>
    <xf numFmtId="0" fontId="91" fillId="0" borderId="53" xfId="22" applyFont="1" applyBorder="1" applyProtection="1"/>
    <xf numFmtId="0" fontId="91" fillId="0" borderId="54" xfId="22" applyFont="1" applyBorder="1" applyProtection="1"/>
    <xf numFmtId="0" fontId="100" fillId="0" borderId="18" xfId="22" applyFont="1" applyBorder="1" applyProtection="1"/>
    <xf numFmtId="0" fontId="101" fillId="0" borderId="18" xfId="22" applyFont="1" applyBorder="1" applyProtection="1"/>
    <xf numFmtId="0" fontId="91" fillId="0" borderId="0" xfId="22" applyFont="1" applyBorder="1" applyProtection="1"/>
    <xf numFmtId="0" fontId="91" fillId="0" borderId="55" xfId="22" applyFont="1" applyBorder="1" applyProtection="1"/>
    <xf numFmtId="0" fontId="102" fillId="0" borderId="56" xfId="22" applyFont="1" applyFill="1" applyBorder="1" applyAlignment="1" applyProtection="1">
      <alignment horizontal="left" vertical="center"/>
    </xf>
    <xf numFmtId="0" fontId="102" fillId="0" borderId="10" xfId="22" applyFont="1" applyBorder="1" applyAlignment="1" applyProtection="1">
      <alignment horizontal="centerContinuous"/>
    </xf>
    <xf numFmtId="0" fontId="91" fillId="0" borderId="10" xfId="22" applyFont="1" applyBorder="1" applyAlignment="1" applyProtection="1">
      <alignment horizontal="centerContinuous"/>
    </xf>
    <xf numFmtId="0" fontId="102" fillId="0" borderId="0" xfId="22" applyFont="1" applyBorder="1" applyAlignment="1" applyProtection="1">
      <alignment horizontal="centerContinuous"/>
    </xf>
    <xf numFmtId="0" fontId="91" fillId="0" borderId="0" xfId="22" applyFont="1" applyBorder="1" applyAlignment="1" applyProtection="1">
      <alignment horizontal="centerContinuous"/>
    </xf>
    <xf numFmtId="0" fontId="101" fillId="0" borderId="0" xfId="22" applyFont="1" applyBorder="1" applyProtection="1"/>
    <xf numFmtId="0" fontId="100" fillId="0" borderId="56" xfId="22" applyFont="1" applyFill="1" applyBorder="1" applyAlignment="1" applyProtection="1">
      <alignment horizontal="left" vertical="center"/>
    </xf>
    <xf numFmtId="0" fontId="100" fillId="0" borderId="56" xfId="22" applyFont="1" applyFill="1" applyBorder="1" applyAlignment="1" applyProtection="1">
      <alignment horizontal="centerContinuous" vertical="center"/>
    </xf>
    <xf numFmtId="0" fontId="102" fillId="0" borderId="0" xfId="22" applyFont="1" applyFill="1" applyBorder="1" applyAlignment="1" applyProtection="1">
      <alignment horizontal="centerContinuous" vertical="center"/>
    </xf>
    <xf numFmtId="0" fontId="102" fillId="0" borderId="56" xfId="22" applyFont="1" applyFill="1" applyBorder="1" applyAlignment="1" applyProtection="1">
      <alignment horizontal="centerContinuous" vertical="center"/>
    </xf>
    <xf numFmtId="0" fontId="101" fillId="0" borderId="0" xfId="22" applyFont="1" applyFill="1" applyBorder="1" applyAlignment="1" applyProtection="1">
      <alignment horizontal="left" vertical="center"/>
    </xf>
    <xf numFmtId="0" fontId="100" fillId="0" borderId="0" xfId="22" applyFont="1" applyFill="1" applyBorder="1" applyAlignment="1" applyProtection="1">
      <alignment horizontal="centerContinuous" vertical="center"/>
    </xf>
    <xf numFmtId="164" fontId="103" fillId="0" borderId="0" xfId="4" applyNumberFormat="1" applyFont="1" applyFill="1" applyBorder="1" applyProtection="1"/>
    <xf numFmtId="0" fontId="101" fillId="0" borderId="0" xfId="22" applyFont="1" applyFill="1" applyBorder="1" applyAlignment="1" applyProtection="1">
      <alignment horizontal="left"/>
    </xf>
    <xf numFmtId="179" fontId="103" fillId="0" borderId="0" xfId="8" applyNumberFormat="1" applyFont="1" applyFill="1" applyBorder="1" applyProtection="1"/>
    <xf numFmtId="0" fontId="102" fillId="0" borderId="0" xfId="22" applyFont="1" applyFill="1" applyBorder="1" applyAlignment="1" applyProtection="1">
      <alignment horizontal="left" vertical="center"/>
    </xf>
    <xf numFmtId="0" fontId="101" fillId="0" borderId="0" xfId="22" applyFont="1" applyFill="1" applyBorder="1" applyAlignment="1" applyProtection="1">
      <alignment horizontal="right" vertical="center"/>
    </xf>
    <xf numFmtId="180" fontId="103" fillId="0" borderId="0" xfId="8" applyNumberFormat="1" applyFont="1" applyFill="1" applyBorder="1" applyProtection="1"/>
    <xf numFmtId="177" fontId="91" fillId="0" borderId="0" xfId="9" applyNumberFormat="1" applyFont="1" applyProtection="1"/>
    <xf numFmtId="7" fontId="91" fillId="0" borderId="0" xfId="22" applyNumberFormat="1" applyFont="1" applyProtection="1"/>
    <xf numFmtId="0" fontId="91" fillId="0" borderId="0" xfId="22" applyFont="1" applyAlignment="1" applyProtection="1">
      <alignment horizontal="center"/>
    </xf>
    <xf numFmtId="181" fontId="91" fillId="0" borderId="0" xfId="22" applyNumberFormat="1" applyFont="1" applyFill="1" applyBorder="1" applyAlignment="1" applyProtection="1">
      <alignment horizontal="right"/>
    </xf>
    <xf numFmtId="182" fontId="91" fillId="0" borderId="0" xfId="22" applyNumberFormat="1" applyFont="1" applyProtection="1"/>
    <xf numFmtId="183" fontId="91" fillId="0" borderId="0" xfId="22" applyNumberFormat="1" applyFont="1" applyProtection="1"/>
    <xf numFmtId="184" fontId="91" fillId="0" borderId="0" xfId="22" applyNumberFormat="1" applyFont="1" applyFill="1" applyBorder="1" applyProtection="1"/>
    <xf numFmtId="183" fontId="91" fillId="0" borderId="0" xfId="22" applyNumberFormat="1" applyFont="1" applyBorder="1" applyProtection="1"/>
    <xf numFmtId="180" fontId="103" fillId="0" borderId="50" xfId="8" applyNumberFormat="1" applyFont="1" applyFill="1" applyBorder="1" applyProtection="1"/>
    <xf numFmtId="180" fontId="91" fillId="0" borderId="0" xfId="22" applyNumberFormat="1" applyFont="1" applyProtection="1"/>
    <xf numFmtId="0" fontId="100" fillId="0" borderId="57" xfId="22" applyFont="1" applyFill="1" applyBorder="1" applyAlignment="1" applyProtection="1">
      <alignment horizontal="left" indent="1"/>
    </xf>
    <xf numFmtId="0" fontId="100" fillId="0" borderId="57" xfId="22" applyFont="1" applyBorder="1" applyProtection="1"/>
    <xf numFmtId="180" fontId="100" fillId="0" borderId="0" xfId="8" applyNumberFormat="1" applyFont="1" applyFill="1" applyBorder="1" applyProtection="1"/>
    <xf numFmtId="185" fontId="103" fillId="0" borderId="0" xfId="8" applyNumberFormat="1" applyFont="1" applyFill="1" applyBorder="1" applyProtection="1"/>
    <xf numFmtId="186" fontId="103" fillId="0" borderId="0" xfId="22" applyNumberFormat="1" applyFont="1" applyFill="1" applyBorder="1" applyProtection="1"/>
    <xf numFmtId="0" fontId="101" fillId="0" borderId="57" xfId="22" applyFont="1" applyFill="1" applyBorder="1" applyAlignment="1" applyProtection="1">
      <alignment horizontal="left"/>
    </xf>
    <xf numFmtId="185" fontId="104" fillId="0" borderId="52" xfId="31" applyNumberFormat="1" applyFont="1" applyFill="1" applyBorder="1" applyProtection="1"/>
    <xf numFmtId="187" fontId="103" fillId="0" borderId="0" xfId="22" applyNumberFormat="1" applyFont="1" applyFill="1" applyBorder="1" applyProtection="1">
      <protection locked="0"/>
    </xf>
    <xf numFmtId="188" fontId="103" fillId="0" borderId="0" xfId="25" applyNumberFormat="1" applyFont="1" applyBorder="1"/>
    <xf numFmtId="7" fontId="91" fillId="0" borderId="0" xfId="22" applyNumberFormat="1" applyFont="1" applyBorder="1" applyProtection="1"/>
    <xf numFmtId="184" fontId="91" fillId="0" borderId="0" xfId="22" applyNumberFormat="1" applyFont="1" applyProtection="1"/>
    <xf numFmtId="0" fontId="105" fillId="0" borderId="0" xfId="22" applyFont="1" applyProtection="1"/>
    <xf numFmtId="187" fontId="104" fillId="0" borderId="52" xfId="22" applyNumberFormat="1" applyFont="1" applyFill="1" applyBorder="1" applyProtection="1">
      <protection locked="0"/>
    </xf>
    <xf numFmtId="189" fontId="103" fillId="0" borderId="0" xfId="25" applyNumberFormat="1" applyFont="1" applyBorder="1"/>
    <xf numFmtId="189" fontId="103" fillId="0" borderId="0" xfId="31" applyNumberFormat="1" applyFont="1" applyFill="1" applyBorder="1" applyProtection="1"/>
    <xf numFmtId="190" fontId="103" fillId="14" borderId="0" xfId="22" applyNumberFormat="1" applyFont="1" applyFill="1" applyBorder="1" applyProtection="1"/>
    <xf numFmtId="191" fontId="103" fillId="0" borderId="0" xfId="22" applyNumberFormat="1" applyFont="1" applyFill="1" applyBorder="1" applyAlignment="1" applyProtection="1">
      <alignment horizontal="right"/>
      <protection locked="0"/>
    </xf>
    <xf numFmtId="0" fontId="101" fillId="0" borderId="0" xfId="22" applyFont="1" applyFill="1" applyBorder="1" applyProtection="1"/>
    <xf numFmtId="0" fontId="101" fillId="0" borderId="0" xfId="22" applyFont="1" applyFill="1" applyBorder="1" applyAlignment="1" applyProtection="1">
      <alignment horizontal="right"/>
    </xf>
    <xf numFmtId="8" fontId="101" fillId="0" borderId="0" xfId="22" applyNumberFormat="1" applyFont="1" applyFill="1" applyBorder="1" applyProtection="1"/>
    <xf numFmtId="192" fontId="101" fillId="0" borderId="0" xfId="22" applyNumberFormat="1" applyFont="1" applyBorder="1" applyProtection="1"/>
    <xf numFmtId="0" fontId="100" fillId="0" borderId="0" xfId="22" applyFont="1" applyBorder="1" applyProtection="1"/>
    <xf numFmtId="193" fontId="100" fillId="0" borderId="0" xfId="22" applyNumberFormat="1" applyFont="1" applyBorder="1" applyProtection="1"/>
    <xf numFmtId="180" fontId="101" fillId="0" borderId="0" xfId="22" applyNumberFormat="1" applyFont="1" applyBorder="1" applyProtection="1"/>
    <xf numFmtId="0" fontId="91" fillId="0" borderId="10" xfId="22" applyFont="1" applyBorder="1" applyAlignment="1" applyProtection="1">
      <alignment horizontal="center"/>
    </xf>
    <xf numFmtId="181" fontId="91" fillId="0" borderId="10" xfId="22" applyNumberFormat="1" applyFont="1" applyFill="1" applyBorder="1" applyAlignment="1" applyProtection="1">
      <alignment horizontal="right"/>
    </xf>
    <xf numFmtId="182" fontId="91" fillId="0" borderId="10" xfId="22" applyNumberFormat="1" applyFont="1" applyBorder="1" applyProtection="1"/>
    <xf numFmtId="183" fontId="91" fillId="0" borderId="10" xfId="22" applyNumberFormat="1" applyFont="1" applyBorder="1" applyProtection="1"/>
    <xf numFmtId="0" fontId="102" fillId="0" borderId="0" xfId="22" applyFont="1" applyAlignment="1" applyProtection="1">
      <alignment horizontal="center"/>
    </xf>
    <xf numFmtId="183" fontId="102" fillId="0" borderId="0" xfId="22" applyNumberFormat="1" applyFont="1" applyProtection="1"/>
    <xf numFmtId="194" fontId="103" fillId="0" borderId="0" xfId="22" applyNumberFormat="1" applyFont="1" applyFill="1" applyBorder="1" applyProtection="1">
      <protection locked="0"/>
    </xf>
    <xf numFmtId="180" fontId="100" fillId="0" borderId="0" xfId="22" applyNumberFormat="1" applyFont="1" applyProtection="1"/>
    <xf numFmtId="181" fontId="91" fillId="0" borderId="0" xfId="22" applyNumberFormat="1" applyFont="1" applyFill="1" applyBorder="1" applyProtection="1"/>
    <xf numFmtId="188" fontId="103" fillId="0" borderId="0" xfId="22" applyNumberFormat="1" applyFont="1" applyFill="1" applyBorder="1" applyProtection="1"/>
    <xf numFmtId="0" fontId="101" fillId="0" borderId="57" xfId="22" applyFont="1" applyFill="1" applyBorder="1" applyProtection="1"/>
    <xf numFmtId="180" fontId="104" fillId="0" borderId="52" xfId="22" applyNumberFormat="1" applyFont="1" applyFill="1" applyBorder="1" applyProtection="1"/>
    <xf numFmtId="179" fontId="103" fillId="0" borderId="0" xfId="22" applyNumberFormat="1" applyFont="1" applyBorder="1" applyProtection="1"/>
    <xf numFmtId="181" fontId="103" fillId="0" borderId="0" xfId="22" applyNumberFormat="1" applyFont="1" applyFill="1" applyBorder="1" applyAlignment="1" applyProtection="1">
      <alignment horizontal="right"/>
    </xf>
    <xf numFmtId="180" fontId="103" fillId="0" borderId="0" xfId="22" applyNumberFormat="1" applyFont="1" applyBorder="1" applyProtection="1"/>
    <xf numFmtId="180" fontId="101" fillId="0" borderId="0" xfId="22" applyNumberFormat="1" applyFont="1" applyBorder="1" applyAlignment="1" applyProtection="1">
      <alignment horizontal="right"/>
    </xf>
    <xf numFmtId="0" fontId="106" fillId="0" borderId="0" xfId="22" applyFont="1" applyFill="1" applyBorder="1" applyProtection="1">
      <protection locked="0"/>
    </xf>
    <xf numFmtId="0" fontId="102" fillId="0" borderId="0" xfId="22" applyFont="1" applyBorder="1" applyProtection="1"/>
    <xf numFmtId="176" fontId="91" fillId="0" borderId="0" xfId="22" applyNumberFormat="1" applyFont="1" applyProtection="1"/>
    <xf numFmtId="180" fontId="107" fillId="0" borderId="50" xfId="31" applyNumberFormat="1" applyFont="1" applyFill="1" applyBorder="1" applyProtection="1"/>
    <xf numFmtId="8" fontId="101" fillId="0" borderId="0" xfId="22" applyNumberFormat="1" applyFont="1" applyBorder="1" applyProtection="1"/>
    <xf numFmtId="180" fontId="104" fillId="0" borderId="52" xfId="31" applyNumberFormat="1" applyFont="1" applyFill="1" applyBorder="1" applyProtection="1"/>
    <xf numFmtId="189" fontId="103" fillId="0" borderId="0" xfId="22" applyNumberFormat="1" applyFont="1" applyFill="1" applyBorder="1" applyProtection="1"/>
    <xf numFmtId="187" fontId="101" fillId="0" borderId="0" xfId="22" applyNumberFormat="1" applyFont="1" applyFill="1" applyBorder="1" applyProtection="1"/>
    <xf numFmtId="8" fontId="101" fillId="0" borderId="0" xfId="31" applyNumberFormat="1" applyFont="1" applyFill="1" applyBorder="1" applyAlignment="1" applyProtection="1">
      <alignment horizontal="centerContinuous"/>
    </xf>
    <xf numFmtId="180" fontId="100" fillId="0" borderId="0" xfId="22" applyNumberFormat="1" applyFont="1" applyBorder="1" applyProtection="1"/>
    <xf numFmtId="0" fontId="108" fillId="0" borderId="0" xfId="22" applyFont="1" applyFill="1" applyBorder="1" applyAlignment="1" applyProtection="1">
      <alignment horizontal="centerContinuous"/>
    </xf>
    <xf numFmtId="0" fontId="108" fillId="0" borderId="58" xfId="22" applyFont="1" applyFill="1" applyBorder="1" applyAlignment="1" applyProtection="1">
      <alignment horizontal="centerContinuous"/>
    </xf>
    <xf numFmtId="0" fontId="109" fillId="0" borderId="50" xfId="22" applyFont="1" applyBorder="1" applyAlignment="1" applyProtection="1">
      <alignment horizontal="centerContinuous"/>
    </xf>
    <xf numFmtId="0" fontId="101" fillId="0" borderId="50" xfId="22" applyFont="1" applyFill="1" applyBorder="1" applyAlignment="1" applyProtection="1">
      <alignment horizontal="centerContinuous"/>
    </xf>
    <xf numFmtId="0" fontId="91" fillId="0" borderId="50" xfId="22" applyFont="1" applyBorder="1" applyAlignment="1" applyProtection="1">
      <alignment horizontal="centerContinuous"/>
    </xf>
    <xf numFmtId="0" fontId="110" fillId="0" borderId="50" xfId="22" applyFont="1" applyBorder="1" applyAlignment="1" applyProtection="1">
      <alignment horizontal="centerContinuous"/>
    </xf>
    <xf numFmtId="0" fontId="91" fillId="0" borderId="50" xfId="22" applyFont="1" applyFill="1" applyBorder="1" applyAlignment="1" applyProtection="1">
      <alignment horizontal="centerContinuous"/>
    </xf>
    <xf numFmtId="10" fontId="106" fillId="0" borderId="50" xfId="31" applyNumberFormat="1" applyFont="1" applyFill="1" applyBorder="1" applyAlignment="1" applyProtection="1">
      <alignment horizontal="centerContinuous"/>
      <protection locked="0"/>
    </xf>
    <xf numFmtId="0" fontId="91" fillId="0" borderId="59" xfId="22" applyFont="1" applyBorder="1" applyAlignment="1" applyProtection="1">
      <alignment horizontal="centerContinuous"/>
    </xf>
    <xf numFmtId="195" fontId="91" fillId="0" borderId="0" xfId="22" applyNumberFormat="1" applyFont="1" applyProtection="1"/>
    <xf numFmtId="0" fontId="111" fillId="0" borderId="0" xfId="22" applyFont="1" applyAlignment="1" applyProtection="1">
      <alignment horizontal="centerContinuous"/>
    </xf>
    <xf numFmtId="0" fontId="112" fillId="0" borderId="0" xfId="22" applyFont="1" applyAlignment="1" applyProtection="1">
      <alignment horizontal="centerContinuous"/>
    </xf>
    <xf numFmtId="0" fontId="91" fillId="0" borderId="60" xfId="22" applyFont="1" applyBorder="1" applyProtection="1"/>
    <xf numFmtId="0" fontId="91" fillId="0" borderId="6" xfId="22" applyFont="1" applyBorder="1" applyProtection="1"/>
    <xf numFmtId="0" fontId="91" fillId="0" borderId="6" xfId="22" applyFont="1" applyFill="1" applyBorder="1" applyAlignment="1" applyProtection="1">
      <alignment horizontal="right" indent="1"/>
    </xf>
    <xf numFmtId="10" fontId="100" fillId="0" borderId="27" xfId="31" applyNumberFormat="1" applyFont="1" applyBorder="1" applyAlignment="1" applyProtection="1">
      <alignment horizontal="centerContinuous" vertical="center"/>
    </xf>
    <xf numFmtId="0" fontId="102" fillId="0" borderId="27" xfId="22" applyFont="1" applyBorder="1" applyAlignment="1" applyProtection="1">
      <alignment horizontal="centerContinuous" vertical="center"/>
    </xf>
    <xf numFmtId="0" fontId="94" fillId="0" borderId="6" xfId="22" applyFont="1" applyBorder="1" applyAlignment="1" applyProtection="1">
      <alignment horizontal="right"/>
    </xf>
    <xf numFmtId="10" fontId="100" fillId="0" borderId="10" xfId="31" applyNumberFormat="1" applyFont="1" applyBorder="1" applyAlignment="1" applyProtection="1">
      <alignment horizontal="centerContinuous" vertical="center"/>
    </xf>
    <xf numFmtId="0" fontId="102" fillId="0" borderId="10" xfId="22" applyFont="1" applyBorder="1" applyAlignment="1" applyProtection="1">
      <alignment horizontal="centerContinuous" vertical="center"/>
    </xf>
    <xf numFmtId="0" fontId="113" fillId="0" borderId="56" xfId="22" applyFont="1" applyFill="1" applyBorder="1" applyAlignment="1" applyProtection="1">
      <alignment horizontal="center"/>
    </xf>
    <xf numFmtId="0" fontId="113" fillId="0" borderId="56" xfId="22" applyFont="1" applyFill="1" applyBorder="1" applyAlignment="1" applyProtection="1">
      <alignment horizontal="center" wrapText="1"/>
    </xf>
    <xf numFmtId="0" fontId="113" fillId="0" borderId="61" xfId="22" applyFont="1" applyFill="1" applyBorder="1" applyAlignment="1" applyProtection="1">
      <alignment horizontal="center" wrapText="1"/>
    </xf>
    <xf numFmtId="0" fontId="114" fillId="0" borderId="0" xfId="22" applyFont="1" applyProtection="1"/>
    <xf numFmtId="0" fontId="114" fillId="0" borderId="60" xfId="22" applyFont="1" applyBorder="1" applyProtection="1"/>
    <xf numFmtId="0" fontId="113" fillId="0" borderId="0" xfId="22" applyFont="1" applyFill="1" applyBorder="1" applyAlignment="1" applyProtection="1">
      <alignment horizontal="center" wrapText="1"/>
    </xf>
    <xf numFmtId="0" fontId="106" fillId="0" borderId="0" xfId="22" applyFont="1" applyFill="1" applyAlignment="1" applyProtection="1">
      <alignment horizontal="center"/>
    </xf>
    <xf numFmtId="0" fontId="91" fillId="0" borderId="0" xfId="22" applyFont="1" applyFill="1" applyAlignment="1" applyProtection="1">
      <alignment horizontal="right"/>
    </xf>
    <xf numFmtId="0" fontId="91" fillId="0" borderId="0" xfId="22" applyFont="1" applyFill="1" applyAlignment="1" applyProtection="1">
      <alignment horizontal="center"/>
    </xf>
    <xf numFmtId="179" fontId="91" fillId="0" borderId="0" xfId="22" applyNumberFormat="1" applyFont="1" applyFill="1" applyProtection="1"/>
    <xf numFmtId="179" fontId="91" fillId="0" borderId="62" xfId="22" applyNumberFormat="1" applyFont="1" applyFill="1" applyBorder="1" applyProtection="1"/>
    <xf numFmtId="171" fontId="91" fillId="0" borderId="0" xfId="22" applyNumberFormat="1" applyFont="1" applyFill="1" applyProtection="1"/>
    <xf numFmtId="179" fontId="106" fillId="0" borderId="0" xfId="22" applyNumberFormat="1" applyFont="1" applyProtection="1"/>
    <xf numFmtId="0" fontId="112" fillId="0" borderId="0" xfId="23" applyFont="1" applyAlignment="1" applyProtection="1">
      <alignment horizontal="center"/>
    </xf>
    <xf numFmtId="14" fontId="91" fillId="0" borderId="0" xfId="22" applyNumberFormat="1" applyFont="1" applyAlignment="1" applyProtection="1">
      <alignment horizontal="right"/>
    </xf>
    <xf numFmtId="196" fontId="91" fillId="0" borderId="0" xfId="31" applyNumberFormat="1" applyFont="1" applyAlignment="1" applyProtection="1">
      <alignment horizontal="right"/>
    </xf>
    <xf numFmtId="179" fontId="91" fillId="0" borderId="0" xfId="22" applyNumberFormat="1" applyFont="1" applyAlignment="1" applyProtection="1">
      <alignment horizontal="right"/>
    </xf>
    <xf numFmtId="195" fontId="91" fillId="0" borderId="0" xfId="22" applyNumberFormat="1" applyFont="1" applyAlignment="1" applyProtection="1">
      <alignment horizontal="right"/>
    </xf>
    <xf numFmtId="195" fontId="91" fillId="0" borderId="62" xfId="22" applyNumberFormat="1" applyFont="1" applyBorder="1" applyAlignment="1" applyProtection="1">
      <alignment horizontal="right"/>
    </xf>
    <xf numFmtId="179" fontId="91" fillId="0" borderId="0" xfId="22" applyNumberFormat="1" applyFont="1" applyProtection="1"/>
    <xf numFmtId="185" fontId="91" fillId="0" borderId="0" xfId="22" applyNumberFormat="1" applyFont="1" applyProtection="1"/>
    <xf numFmtId="185" fontId="91" fillId="0" borderId="0" xfId="22" applyNumberFormat="1" applyFont="1" applyBorder="1" applyProtection="1"/>
    <xf numFmtId="164" fontId="91" fillId="0" borderId="0" xfId="4" applyNumberFormat="1" applyFont="1" applyProtection="1"/>
    <xf numFmtId="2" fontId="91" fillId="0" borderId="0" xfId="22" quotePrefix="1" applyNumberFormat="1" applyFont="1" applyProtection="1"/>
    <xf numFmtId="197" fontId="91" fillId="0" borderId="0" xfId="22" applyNumberFormat="1" applyFont="1" applyProtection="1"/>
    <xf numFmtId="197" fontId="91" fillId="0" borderId="0" xfId="22" applyNumberFormat="1" applyFont="1" applyBorder="1" applyProtection="1"/>
    <xf numFmtId="173" fontId="91" fillId="0" borderId="0" xfId="22" applyNumberFormat="1" applyFont="1" applyProtection="1"/>
    <xf numFmtId="198" fontId="91" fillId="0" borderId="0" xfId="22" applyNumberFormat="1" applyFont="1" applyProtection="1"/>
    <xf numFmtId="0" fontId="102" fillId="0" borderId="0" xfId="22" applyFont="1" applyProtection="1"/>
    <xf numFmtId="7" fontId="102" fillId="0" borderId="0" xfId="22" applyNumberFormat="1" applyFont="1" applyProtection="1"/>
    <xf numFmtId="199" fontId="91" fillId="0" borderId="0" xfId="22" applyNumberFormat="1" applyFont="1" applyProtection="1"/>
    <xf numFmtId="200" fontId="91" fillId="0" borderId="0" xfId="22" applyNumberFormat="1" applyFont="1" applyProtection="1"/>
    <xf numFmtId="0" fontId="112" fillId="0" borderId="10" xfId="23" applyFont="1" applyBorder="1" applyAlignment="1" applyProtection="1">
      <alignment horizontal="center"/>
    </xf>
    <xf numFmtId="14" fontId="91" fillId="0" borderId="10" xfId="22" applyNumberFormat="1" applyFont="1" applyBorder="1" applyAlignment="1" applyProtection="1">
      <alignment horizontal="right"/>
    </xf>
    <xf numFmtId="196" fontId="91" fillId="0" borderId="10" xfId="31" applyNumberFormat="1" applyFont="1" applyBorder="1" applyAlignment="1" applyProtection="1">
      <alignment horizontal="right"/>
    </xf>
    <xf numFmtId="195" fontId="91" fillId="0" borderId="10" xfId="22" applyNumberFormat="1" applyFont="1" applyBorder="1" applyAlignment="1" applyProtection="1">
      <alignment horizontal="right"/>
    </xf>
    <xf numFmtId="195" fontId="91" fillId="0" borderId="10" xfId="22" applyNumberFormat="1" applyFont="1" applyBorder="1" applyProtection="1"/>
    <xf numFmtId="0" fontId="91" fillId="0" borderId="10" xfId="22" applyFont="1" applyBorder="1" applyProtection="1"/>
    <xf numFmtId="0" fontId="91" fillId="0" borderId="63" xfId="22" applyFont="1" applyBorder="1" applyProtection="1"/>
    <xf numFmtId="197" fontId="91" fillId="0" borderId="10" xfId="22" applyNumberFormat="1" applyFont="1" applyBorder="1" applyProtection="1"/>
    <xf numFmtId="0" fontId="91" fillId="0" borderId="0" xfId="22" applyFont="1" applyBorder="1" applyAlignment="1" applyProtection="1">
      <alignment horizontal="center"/>
    </xf>
    <xf numFmtId="14" fontId="91" fillId="0" borderId="0" xfId="22" applyNumberFormat="1" applyFont="1" applyBorder="1" applyAlignment="1" applyProtection="1">
      <alignment horizontal="right"/>
    </xf>
    <xf numFmtId="195" fontId="91" fillId="0" borderId="2" xfId="22" applyNumberFormat="1" applyFont="1" applyBorder="1" applyAlignment="1" applyProtection="1">
      <alignment horizontal="right"/>
    </xf>
    <xf numFmtId="195" fontId="91" fillId="0" borderId="64" xfId="22" applyNumberFormat="1" applyFont="1" applyBorder="1" applyAlignment="1" applyProtection="1">
      <alignment horizontal="right"/>
    </xf>
    <xf numFmtId="195" fontId="91" fillId="0" borderId="0" xfId="22" applyNumberFormat="1" applyFont="1" applyBorder="1" applyAlignment="1" applyProtection="1">
      <alignment horizontal="right"/>
    </xf>
    <xf numFmtId="185" fontId="91" fillId="0" borderId="2" xfId="22" applyNumberFormat="1" applyFont="1" applyBorder="1" applyProtection="1"/>
    <xf numFmtId="185" fontId="91" fillId="0" borderId="0" xfId="22" applyNumberFormat="1" applyFont="1" applyAlignment="1" applyProtection="1">
      <alignment horizontal="right"/>
    </xf>
    <xf numFmtId="195" fontId="91" fillId="0" borderId="0" xfId="22" applyNumberFormat="1" applyFont="1" applyBorder="1" applyProtection="1"/>
    <xf numFmtId="0" fontId="88" fillId="0" borderId="0" xfId="25"/>
    <xf numFmtId="0" fontId="88" fillId="13" borderId="0" xfId="25" applyFont="1" applyFill="1"/>
    <xf numFmtId="0" fontId="88" fillId="0" borderId="0" xfId="25" applyFont="1" applyBorder="1"/>
    <xf numFmtId="0" fontId="88" fillId="0" borderId="0" xfId="25" quotePrefix="1" applyFont="1" applyBorder="1"/>
    <xf numFmtId="201" fontId="115" fillId="0" borderId="56" xfId="25" applyNumberFormat="1" applyFont="1" applyBorder="1" applyAlignment="1">
      <alignment horizontal="left"/>
    </xf>
    <xf numFmtId="0" fontId="116" fillId="0" borderId="0" xfId="25" applyFont="1"/>
    <xf numFmtId="201" fontId="117" fillId="0" borderId="56" xfId="23" applyNumberFormat="1" applyFont="1" applyBorder="1" applyAlignment="1" applyProtection="1">
      <alignment horizontal="center"/>
    </xf>
    <xf numFmtId="201" fontId="102" fillId="0" borderId="56" xfId="23" applyNumberFormat="1" applyFont="1" applyBorder="1" applyAlignment="1" applyProtection="1">
      <alignment horizontal="center"/>
    </xf>
    <xf numFmtId="0" fontId="118" fillId="0" borderId="0" xfId="25" applyFont="1"/>
    <xf numFmtId="180" fontId="118" fillId="0" borderId="0" xfId="25" applyNumberFormat="1" applyFont="1"/>
    <xf numFmtId="187" fontId="118" fillId="0" borderId="0" xfId="25" applyNumberFormat="1" applyFont="1"/>
    <xf numFmtId="0" fontId="119" fillId="0" borderId="52" xfId="25" applyFont="1" applyBorder="1" applyAlignment="1">
      <alignment horizontal="left" indent="1"/>
    </xf>
    <xf numFmtId="180" fontId="119" fillId="0" borderId="52" xfId="25" applyNumberFormat="1" applyFont="1" applyBorder="1"/>
    <xf numFmtId="188" fontId="120" fillId="0" borderId="0" xfId="25" applyNumberFormat="1" applyFont="1"/>
    <xf numFmtId="0" fontId="119" fillId="0" borderId="0" xfId="25" applyFont="1" applyBorder="1" applyAlignment="1">
      <alignment horizontal="left" indent="1"/>
    </xf>
    <xf numFmtId="180" fontId="119" fillId="0" borderId="0" xfId="25" applyNumberFormat="1" applyFont="1" applyBorder="1"/>
    <xf numFmtId="0" fontId="88" fillId="0" borderId="65" xfId="25" applyBorder="1"/>
    <xf numFmtId="0" fontId="118" fillId="0" borderId="66" xfId="25" applyFont="1" applyBorder="1"/>
    <xf numFmtId="180" fontId="118" fillId="0" borderId="66" xfId="25" applyNumberFormat="1" applyFont="1" applyBorder="1"/>
    <xf numFmtId="180" fontId="118" fillId="0" borderId="67" xfId="25" applyNumberFormat="1" applyFont="1" applyBorder="1"/>
    <xf numFmtId="0" fontId="88" fillId="0" borderId="68" xfId="25" applyBorder="1"/>
    <xf numFmtId="0" fontId="118" fillId="0" borderId="0" xfId="25" applyFont="1" applyBorder="1"/>
    <xf numFmtId="187" fontId="118" fillId="0" borderId="0" xfId="25" applyNumberFormat="1" applyFont="1" applyBorder="1"/>
    <xf numFmtId="187" fontId="118" fillId="0" borderId="69" xfId="25" applyNumberFormat="1" applyFont="1" applyBorder="1"/>
    <xf numFmtId="180" fontId="118" fillId="0" borderId="52" xfId="25" applyNumberFormat="1" applyFont="1" applyBorder="1"/>
    <xf numFmtId="180" fontId="118" fillId="0" borderId="70" xfId="25" applyNumberFormat="1" applyFont="1" applyBorder="1"/>
    <xf numFmtId="0" fontId="119" fillId="0" borderId="0" xfId="25" applyFont="1" applyBorder="1" applyAlignment="1">
      <alignment horizontal="left" indent="2"/>
    </xf>
    <xf numFmtId="180" fontId="119" fillId="0" borderId="69" xfId="25" applyNumberFormat="1" applyFont="1" applyBorder="1"/>
    <xf numFmtId="0" fontId="88" fillId="0" borderId="71" xfId="25" applyBorder="1"/>
    <xf numFmtId="0" fontId="88" fillId="0" borderId="72" xfId="25" applyBorder="1"/>
    <xf numFmtId="8" fontId="88" fillId="0" borderId="72" xfId="25" applyNumberFormat="1" applyBorder="1"/>
    <xf numFmtId="180" fontId="88" fillId="0" borderId="72" xfId="25" applyNumberFormat="1" applyBorder="1"/>
    <xf numFmtId="180" fontId="88" fillId="0" borderId="73" xfId="25" applyNumberFormat="1" applyBorder="1"/>
    <xf numFmtId="180" fontId="116" fillId="0" borderId="0" xfId="25" applyNumberFormat="1" applyFont="1"/>
    <xf numFmtId="0" fontId="121" fillId="0" borderId="52" xfId="25" applyFont="1" applyBorder="1"/>
    <xf numFmtId="0" fontId="88" fillId="0" borderId="52" xfId="25" applyBorder="1"/>
    <xf numFmtId="0" fontId="121" fillId="0" borderId="0" xfId="25" applyFont="1" applyAlignment="1">
      <alignment horizontal="left"/>
    </xf>
    <xf numFmtId="0" fontId="15" fillId="0" borderId="0" xfId="20" applyAlignment="1" applyProtection="1">
      <alignment wrapText="1"/>
    </xf>
    <xf numFmtId="177" fontId="15" fillId="0" borderId="28" xfId="5" applyNumberFormat="1" applyFont="1" applyBorder="1" applyProtection="1"/>
    <xf numFmtId="177" fontId="15" fillId="0" borderId="15" xfId="5" applyNumberFormat="1" applyFont="1" applyBorder="1" applyProtection="1"/>
    <xf numFmtId="1" fontId="15" fillId="2" borderId="15" xfId="20" applyNumberFormat="1" applyFont="1" applyFill="1" applyBorder="1" applyAlignment="1" applyProtection="1">
      <alignment horizontal="right" wrapText="1"/>
    </xf>
    <xf numFmtId="164" fontId="4" fillId="4" borderId="29" xfId="3" applyNumberFormat="1" applyFont="1" applyFill="1" applyBorder="1" applyProtection="1"/>
    <xf numFmtId="164" fontId="4" fillId="5" borderId="0" xfId="3" applyNumberFormat="1" applyFont="1" applyFill="1" applyBorder="1" applyProtection="1"/>
    <xf numFmtId="164" fontId="4" fillId="5" borderId="16" xfId="3" applyNumberFormat="1" applyFont="1" applyFill="1" applyBorder="1" applyProtection="1"/>
    <xf numFmtId="164" fontId="15" fillId="0" borderId="19" xfId="3" applyNumberFormat="1" applyFont="1" applyFill="1" applyBorder="1" applyProtection="1"/>
    <xf numFmtId="0" fontId="15" fillId="4" borderId="0" xfId="20" applyFont="1" applyFill="1" applyBorder="1" applyAlignment="1" applyProtection="1">
      <alignment horizontal="left"/>
      <protection locked="0"/>
    </xf>
    <xf numFmtId="0" fontId="7" fillId="8" borderId="0" xfId="0" applyFont="1" applyFill="1"/>
    <xf numFmtId="0" fontId="8" fillId="8" borderId="0" xfId="0" applyFont="1" applyFill="1"/>
    <xf numFmtId="0" fontId="7" fillId="15" borderId="0" xfId="0" applyFont="1" applyFill="1"/>
    <xf numFmtId="0" fontId="8" fillId="15" borderId="0" xfId="0" applyFont="1" applyFill="1"/>
    <xf numFmtId="0" fontId="14" fillId="3" borderId="0" xfId="11" applyFont="1" applyFill="1" applyBorder="1" applyAlignment="1">
      <alignment wrapText="1"/>
    </xf>
    <xf numFmtId="0" fontId="14" fillId="16" borderId="0" xfId="11" applyFont="1" applyFill="1" applyBorder="1" applyAlignment="1">
      <alignment wrapText="1"/>
    </xf>
    <xf numFmtId="0" fontId="14" fillId="16" borderId="5" xfId="11" applyFont="1" applyFill="1" applyBorder="1" applyAlignment="1">
      <alignment wrapText="1"/>
    </xf>
    <xf numFmtId="168" fontId="17" fillId="12" borderId="0" xfId="11" applyNumberFormat="1" applyFont="1" applyFill="1" applyBorder="1"/>
    <xf numFmtId="9" fontId="17" fillId="12" borderId="24" xfId="28" applyFont="1" applyFill="1" applyBorder="1"/>
    <xf numFmtId="9" fontId="17" fillId="12" borderId="23" xfId="28" applyFont="1" applyFill="1" applyBorder="1"/>
    <xf numFmtId="0" fontId="0" fillId="12" borderId="0" xfId="0" applyFill="1" applyBorder="1"/>
    <xf numFmtId="44" fontId="12" fillId="12" borderId="0" xfId="6" applyFont="1" applyFill="1" applyBorder="1"/>
    <xf numFmtId="0" fontId="0" fillId="12" borderId="6" xfId="0" applyFill="1" applyBorder="1"/>
    <xf numFmtId="0" fontId="0" fillId="12" borderId="30" xfId="0" applyFill="1" applyBorder="1"/>
    <xf numFmtId="0" fontId="0" fillId="12" borderId="16" xfId="0" applyFill="1" applyBorder="1"/>
    <xf numFmtId="0" fontId="0" fillId="12" borderId="18" xfId="0" applyFill="1" applyBorder="1"/>
    <xf numFmtId="0" fontId="0" fillId="12" borderId="19" xfId="0" applyFill="1" applyBorder="1"/>
    <xf numFmtId="0" fontId="12" fillId="12" borderId="20" xfId="0" applyFont="1" applyFill="1" applyBorder="1"/>
    <xf numFmtId="0" fontId="12" fillId="12" borderId="24" xfId="0" applyFont="1" applyFill="1" applyBorder="1"/>
    <xf numFmtId="0" fontId="12" fillId="12" borderId="23" xfId="0" applyFont="1" applyFill="1" applyBorder="1"/>
    <xf numFmtId="0" fontId="17" fillId="12" borderId="3" xfId="11" applyFont="1" applyFill="1" applyBorder="1"/>
    <xf numFmtId="0" fontId="19" fillId="12" borderId="10" xfId="20" applyFont="1" applyFill="1" applyBorder="1"/>
    <xf numFmtId="0" fontId="17" fillId="12" borderId="10" xfId="11" applyFont="1" applyFill="1" applyBorder="1"/>
    <xf numFmtId="0" fontId="17" fillId="12" borderId="31" xfId="11" applyFont="1" applyFill="1" applyBorder="1"/>
    <xf numFmtId="0" fontId="17" fillId="12" borderId="32" xfId="11" applyFont="1" applyFill="1" applyBorder="1"/>
    <xf numFmtId="0" fontId="19" fillId="12" borderId="33" xfId="20" applyFont="1" applyFill="1" applyBorder="1"/>
    <xf numFmtId="168" fontId="17" fillId="12" borderId="1" xfId="11" applyNumberFormat="1" applyFont="1" applyFill="1" applyBorder="1"/>
    <xf numFmtId="168" fontId="17" fillId="12" borderId="4" xfId="11" applyNumberFormat="1" applyFont="1" applyFill="1" applyBorder="1"/>
    <xf numFmtId="168" fontId="17" fillId="12" borderId="9" xfId="11" applyNumberFormat="1" applyFont="1" applyFill="1" applyBorder="1"/>
    <xf numFmtId="0" fontId="17" fillId="12" borderId="11" xfId="11" applyFont="1" applyFill="1" applyBorder="1"/>
    <xf numFmtId="0" fontId="5" fillId="0" borderId="0" xfId="0" applyFont="1" applyAlignment="1">
      <alignment wrapText="1"/>
    </xf>
    <xf numFmtId="0" fontId="22" fillId="0" borderId="0" xfId="21" applyFont="1" applyFill="1" applyBorder="1" applyAlignment="1">
      <alignment wrapText="1"/>
    </xf>
    <xf numFmtId="0" fontId="22" fillId="0" borderId="0" xfId="21" applyFont="1" applyFill="1" applyBorder="1" applyAlignment="1">
      <alignment horizontal="center" wrapText="1"/>
    </xf>
    <xf numFmtId="0" fontId="19" fillId="12" borderId="23" xfId="20" applyFont="1" applyFill="1" applyBorder="1"/>
    <xf numFmtId="168" fontId="17" fillId="12" borderId="2" xfId="11" applyNumberFormat="1" applyFont="1" applyFill="1" applyBorder="1"/>
    <xf numFmtId="0" fontId="49" fillId="0" borderId="0" xfId="11" applyFont="1"/>
    <xf numFmtId="0" fontId="49" fillId="0" borderId="0" xfId="11" applyFont="1" applyAlignment="1">
      <alignment horizontal="right"/>
    </xf>
    <xf numFmtId="0" fontId="6" fillId="17" borderId="2" xfId="11" applyFill="1" applyBorder="1"/>
    <xf numFmtId="0" fontId="50" fillId="17" borderId="2" xfId="11" applyFont="1" applyFill="1" applyBorder="1" applyAlignment="1">
      <alignment horizontal="right"/>
    </xf>
    <xf numFmtId="0" fontId="50" fillId="0" borderId="0" xfId="11" applyFont="1" applyBorder="1" applyAlignment="1">
      <alignment horizontal="right"/>
    </xf>
    <xf numFmtId="0" fontId="6" fillId="0" borderId="0" xfId="11" applyFill="1"/>
    <xf numFmtId="0" fontId="6" fillId="0" borderId="0" xfId="11" applyAlignment="1">
      <alignment vertical="center"/>
    </xf>
    <xf numFmtId="0" fontId="41" fillId="17" borderId="0" xfId="11" applyFont="1" applyFill="1" applyAlignment="1">
      <alignment vertical="center" wrapText="1"/>
    </xf>
    <xf numFmtId="0" fontId="78" fillId="12" borderId="0" xfId="11" applyFont="1" applyFill="1" applyBorder="1" applyAlignment="1">
      <alignment horizontal="right"/>
    </xf>
    <xf numFmtId="0" fontId="78" fillId="12" borderId="16" xfId="11" applyFont="1" applyFill="1" applyBorder="1" applyAlignment="1" applyProtection="1">
      <alignment horizontal="center"/>
    </xf>
    <xf numFmtId="0" fontId="12" fillId="12" borderId="0" xfId="0" applyFont="1" applyFill="1" applyBorder="1"/>
    <xf numFmtId="0" fontId="52" fillId="0" borderId="0" xfId="11" applyFont="1" applyAlignment="1"/>
    <xf numFmtId="0" fontId="52" fillId="0" borderId="0" xfId="11" applyFont="1" applyAlignment="1">
      <alignment horizontal="right"/>
    </xf>
    <xf numFmtId="44" fontId="51" fillId="8" borderId="0" xfId="6" applyFont="1" applyFill="1"/>
    <xf numFmtId="169" fontId="49" fillId="18" borderId="0" xfId="11" applyNumberFormat="1" applyFont="1" applyFill="1"/>
    <xf numFmtId="0" fontId="50" fillId="19" borderId="0" xfId="11" applyFont="1" applyFill="1" applyBorder="1" applyAlignment="1" applyProtection="1">
      <alignment horizontal="center" vertical="center" wrapText="1"/>
      <protection locked="0"/>
    </xf>
    <xf numFmtId="9" fontId="50" fillId="19" borderId="0" xfId="28" applyFont="1" applyFill="1" applyAlignment="1" applyProtection="1">
      <alignment horizontal="center" vertical="center" wrapText="1"/>
      <protection locked="0"/>
    </xf>
    <xf numFmtId="174" fontId="50" fillId="19" borderId="0" xfId="11" applyNumberFormat="1" applyFont="1" applyFill="1" applyAlignment="1" applyProtection="1">
      <alignment horizontal="center" vertical="center" wrapText="1"/>
      <protection locked="0"/>
    </xf>
    <xf numFmtId="0" fontId="50" fillId="19" borderId="0" xfId="11" applyFont="1" applyFill="1" applyAlignment="1" applyProtection="1">
      <alignment horizontal="center" vertical="center" wrapText="1"/>
      <protection locked="0"/>
    </xf>
    <xf numFmtId="0" fontId="49" fillId="0" borderId="0" xfId="11" applyFont="1" applyAlignment="1">
      <alignment vertical="center"/>
    </xf>
    <xf numFmtId="0" fontId="79" fillId="12" borderId="0" xfId="0" applyFont="1" applyFill="1"/>
    <xf numFmtId="0" fontId="80" fillId="12" borderId="0" xfId="20" applyFont="1" applyFill="1"/>
    <xf numFmtId="0" fontId="18" fillId="14" borderId="0" xfId="0" applyFont="1" applyFill="1" applyBorder="1" applyAlignment="1" applyProtection="1">
      <alignment horizontal="center"/>
      <protection hidden="1"/>
    </xf>
    <xf numFmtId="0" fontId="54" fillId="14" borderId="12" xfId="0" applyFont="1" applyFill="1" applyBorder="1" applyAlignment="1" applyProtection="1">
      <alignment horizontal="center"/>
      <protection hidden="1"/>
    </xf>
    <xf numFmtId="0" fontId="54" fillId="14" borderId="13" xfId="0" applyFont="1" applyFill="1" applyBorder="1" applyAlignment="1" applyProtection="1">
      <alignment horizontal="center"/>
      <protection hidden="1"/>
    </xf>
    <xf numFmtId="0" fontId="54" fillId="14" borderId="14" xfId="0" applyFont="1" applyFill="1" applyBorder="1" applyAlignment="1" applyProtection="1">
      <alignment horizontal="center"/>
      <protection hidden="1"/>
    </xf>
    <xf numFmtId="0" fontId="18" fillId="14" borderId="15" xfId="0" applyFont="1" applyFill="1" applyBorder="1" applyAlignment="1" applyProtection="1">
      <alignment horizontal="center"/>
      <protection hidden="1"/>
    </xf>
    <xf numFmtId="164" fontId="18" fillId="14" borderId="0" xfId="2" applyNumberFormat="1" applyFont="1" applyFill="1" applyBorder="1" applyProtection="1">
      <protection hidden="1"/>
    </xf>
    <xf numFmtId="164" fontId="18" fillId="14" borderId="16" xfId="2" applyNumberFormat="1" applyFont="1" applyFill="1" applyBorder="1" applyProtection="1">
      <protection hidden="1"/>
    </xf>
    <xf numFmtId="164" fontId="18" fillId="14" borderId="0" xfId="2" applyNumberFormat="1" applyFont="1" applyFill="1" applyBorder="1" applyAlignment="1" applyProtection="1">
      <alignment horizontal="center"/>
      <protection hidden="1"/>
    </xf>
    <xf numFmtId="0" fontId="18" fillId="14" borderId="17" xfId="0" applyFont="1" applyFill="1" applyBorder="1" applyAlignment="1" applyProtection="1">
      <alignment horizontal="center"/>
      <protection hidden="1"/>
    </xf>
    <xf numFmtId="164" fontId="18" fillId="14" borderId="18" xfId="2" applyNumberFormat="1" applyFont="1" applyFill="1" applyBorder="1" applyAlignment="1" applyProtection="1">
      <alignment horizontal="center"/>
      <protection hidden="1"/>
    </xf>
    <xf numFmtId="164" fontId="18" fillId="14" borderId="18" xfId="2" applyNumberFormat="1" applyFont="1" applyFill="1" applyBorder="1" applyProtection="1">
      <protection hidden="1"/>
    </xf>
    <xf numFmtId="164" fontId="18" fillId="14" borderId="19" xfId="2" applyNumberFormat="1" applyFont="1" applyFill="1" applyBorder="1" applyProtection="1">
      <protection hidden="1"/>
    </xf>
    <xf numFmtId="0" fontId="18" fillId="14" borderId="3" xfId="0" applyFont="1" applyFill="1" applyBorder="1" applyProtection="1">
      <protection hidden="1"/>
    </xf>
    <xf numFmtId="0" fontId="18" fillId="14" borderId="5" xfId="0" applyFont="1" applyFill="1" applyBorder="1" applyAlignment="1" applyProtection="1">
      <alignment horizontal="center"/>
      <protection hidden="1"/>
    </xf>
    <xf numFmtId="0" fontId="18" fillId="14" borderId="11" xfId="0" applyFont="1" applyFill="1" applyBorder="1" applyAlignment="1" applyProtection="1">
      <alignment horizontal="center"/>
      <protection hidden="1"/>
    </xf>
    <xf numFmtId="0" fontId="18" fillId="14" borderId="6" xfId="0" applyFont="1" applyFill="1" applyBorder="1" applyProtection="1">
      <protection hidden="1"/>
    </xf>
    <xf numFmtId="0" fontId="18" fillId="14" borderId="30" xfId="0" applyFont="1" applyFill="1" applyBorder="1" applyProtection="1">
      <protection hidden="1"/>
    </xf>
    <xf numFmtId="0" fontId="18" fillId="14" borderId="25" xfId="0" applyFont="1" applyFill="1" applyBorder="1" applyProtection="1">
      <protection hidden="1"/>
    </xf>
    <xf numFmtId="0" fontId="18" fillId="14" borderId="0" xfId="0" applyFont="1" applyFill="1" applyBorder="1" applyProtection="1">
      <protection hidden="1"/>
    </xf>
    <xf numFmtId="0" fontId="53" fillId="14" borderId="0" xfId="0" applyFont="1" applyFill="1" applyBorder="1"/>
    <xf numFmtId="0" fontId="18" fillId="14" borderId="16" xfId="0" applyFont="1" applyFill="1" applyBorder="1" applyProtection="1">
      <protection hidden="1"/>
    </xf>
    <xf numFmtId="165" fontId="18" fillId="14" borderId="15" xfId="0" applyNumberFormat="1" applyFont="1" applyFill="1" applyBorder="1" applyAlignment="1" applyProtection="1">
      <alignment horizontal="center"/>
      <protection hidden="1"/>
    </xf>
    <xf numFmtId="0" fontId="18" fillId="14" borderId="15" xfId="0" applyFont="1" applyFill="1" applyBorder="1" applyProtection="1">
      <protection hidden="1"/>
    </xf>
    <xf numFmtId="0" fontId="18" fillId="14" borderId="34" xfId="0" applyFont="1" applyFill="1" applyBorder="1" applyProtection="1">
      <protection hidden="1"/>
    </xf>
    <xf numFmtId="0" fontId="33" fillId="14" borderId="28" xfId="0" applyFont="1" applyFill="1" applyBorder="1" applyProtection="1">
      <protection hidden="1"/>
    </xf>
    <xf numFmtId="0" fontId="55" fillId="0" borderId="0" xfId="0" applyFont="1" applyAlignment="1">
      <alignment wrapText="1"/>
    </xf>
    <xf numFmtId="0" fontId="57" fillId="0" borderId="0" xfId="0" applyFont="1"/>
    <xf numFmtId="0" fontId="59" fillId="17" borderId="0" xfId="0" applyFont="1" applyFill="1" applyBorder="1"/>
    <xf numFmtId="0" fontId="59" fillId="0" borderId="0" xfId="0" applyFont="1" applyBorder="1"/>
    <xf numFmtId="0" fontId="59" fillId="0" borderId="0" xfId="0" applyFont="1" applyFill="1" applyBorder="1"/>
    <xf numFmtId="164" fontId="59" fillId="17" borderId="0" xfId="2" applyNumberFormat="1" applyFont="1" applyFill="1" applyBorder="1" applyAlignment="1">
      <alignment horizontal="right"/>
    </xf>
    <xf numFmtId="0" fontId="4" fillId="0" borderId="0" xfId="0" applyFont="1" applyAlignment="1">
      <alignment horizontal="left"/>
    </xf>
    <xf numFmtId="0" fontId="4" fillId="0" borderId="0" xfId="0" applyFont="1"/>
    <xf numFmtId="1" fontId="4" fillId="0" borderId="0" xfId="0" applyNumberFormat="1" applyFont="1"/>
    <xf numFmtId="0" fontId="4" fillId="0" borderId="0" xfId="0" applyFont="1" applyAlignment="1">
      <alignment horizontal="left" indent="2"/>
    </xf>
    <xf numFmtId="9" fontId="0" fillId="20" borderId="4" xfId="0" applyNumberFormat="1" applyFill="1" applyBorder="1" applyAlignment="1" applyProtection="1">
      <alignment horizontal="center"/>
      <protection locked="0"/>
    </xf>
    <xf numFmtId="0" fontId="0" fillId="20" borderId="26" xfId="0" applyFill="1" applyBorder="1" applyAlignment="1">
      <alignment horizontal="center"/>
    </xf>
    <xf numFmtId="0" fontId="0" fillId="0" borderId="0" xfId="0" applyAlignment="1">
      <alignment horizontal="right" wrapText="1"/>
    </xf>
    <xf numFmtId="0" fontId="58" fillId="0" borderId="0" xfId="0" applyFont="1"/>
    <xf numFmtId="0" fontId="59" fillId="0" borderId="0" xfId="0" applyFont="1"/>
    <xf numFmtId="164" fontId="57" fillId="0" borderId="0" xfId="2" applyNumberFormat="1" applyFont="1"/>
    <xf numFmtId="2" fontId="57" fillId="7" borderId="9" xfId="0" applyNumberFormat="1" applyFont="1" applyFill="1" applyBorder="1"/>
    <xf numFmtId="2" fontId="57" fillId="7" borderId="10" xfId="0" applyNumberFormat="1" applyFont="1" applyFill="1" applyBorder="1"/>
    <xf numFmtId="2" fontId="57" fillId="7" borderId="11" xfId="0" applyNumberFormat="1" applyFont="1" applyFill="1" applyBorder="1"/>
    <xf numFmtId="0" fontId="57" fillId="7" borderId="11" xfId="0" applyFont="1" applyFill="1" applyBorder="1"/>
    <xf numFmtId="0" fontId="0" fillId="0" borderId="0" xfId="0" applyBorder="1" applyAlignment="1">
      <alignment horizontal="right" wrapText="1"/>
    </xf>
    <xf numFmtId="9" fontId="4" fillId="0" borderId="0" xfId="0" applyNumberFormat="1" applyFont="1" applyBorder="1" applyAlignment="1">
      <alignment horizontal="center" wrapText="1"/>
    </xf>
    <xf numFmtId="9" fontId="4" fillId="0" borderId="5" xfId="0" applyNumberFormat="1" applyFont="1" applyBorder="1" applyAlignment="1">
      <alignment horizontal="center" wrapText="1"/>
    </xf>
    <xf numFmtId="164" fontId="57" fillId="20" borderId="35" xfId="2" applyNumberFormat="1" applyFont="1" applyFill="1" applyBorder="1" applyProtection="1">
      <protection locked="0"/>
    </xf>
    <xf numFmtId="0" fontId="59" fillId="0" borderId="0" xfId="0" applyFont="1" applyAlignment="1">
      <alignment horizontal="center"/>
    </xf>
    <xf numFmtId="0" fontId="59" fillId="0" borderId="0" xfId="0" applyFont="1" applyAlignment="1">
      <alignment horizontal="right"/>
    </xf>
    <xf numFmtId="0" fontId="58" fillId="0" borderId="36" xfId="0" applyFont="1" applyBorder="1"/>
    <xf numFmtId="164" fontId="58" fillId="0" borderId="9" xfId="2" applyNumberFormat="1" applyFont="1" applyBorder="1"/>
    <xf numFmtId="164" fontId="58" fillId="0" borderId="10" xfId="2" applyNumberFormat="1" applyFont="1" applyBorder="1" applyAlignment="1">
      <alignment horizontal="center"/>
    </xf>
    <xf numFmtId="164" fontId="58" fillId="0" borderId="11" xfId="2" applyNumberFormat="1" applyFont="1" applyBorder="1" applyAlignment="1">
      <alignment horizontal="center"/>
    </xf>
    <xf numFmtId="164" fontId="58" fillId="0" borderId="37" xfId="2" applyNumberFormat="1" applyFont="1" applyBorder="1"/>
    <xf numFmtId="164" fontId="58" fillId="0" borderId="36" xfId="2" applyNumberFormat="1" applyFont="1" applyBorder="1" applyAlignment="1">
      <alignment horizontal="center"/>
    </xf>
    <xf numFmtId="164" fontId="58" fillId="0" borderId="38" xfId="2" applyNumberFormat="1" applyFont="1" applyBorder="1" applyAlignment="1">
      <alignment horizontal="center"/>
    </xf>
    <xf numFmtId="164" fontId="58" fillId="0" borderId="4" xfId="2" applyNumberFormat="1" applyFont="1" applyBorder="1"/>
    <xf numFmtId="164" fontId="58" fillId="0" borderId="0" xfId="2" applyNumberFormat="1" applyFont="1" applyBorder="1" applyAlignment="1">
      <alignment horizontal="center"/>
    </xf>
    <xf numFmtId="164" fontId="58" fillId="0" borderId="5" xfId="2" applyNumberFormat="1" applyFont="1" applyBorder="1" applyAlignment="1">
      <alignment horizontal="center"/>
    </xf>
    <xf numFmtId="164" fontId="56" fillId="0" borderId="4" xfId="2" applyNumberFormat="1" applyFont="1" applyBorder="1"/>
    <xf numFmtId="164" fontId="56" fillId="0" borderId="0" xfId="2" applyNumberFormat="1" applyFont="1" applyBorder="1" applyAlignment="1">
      <alignment horizontal="center"/>
    </xf>
    <xf numFmtId="164" fontId="56" fillId="0" borderId="5" xfId="2" applyNumberFormat="1" applyFont="1" applyBorder="1" applyAlignment="1">
      <alignment horizontal="center"/>
    </xf>
    <xf numFmtId="164" fontId="58" fillId="0" borderId="9" xfId="2" applyNumberFormat="1" applyFont="1" applyBorder="1" applyAlignment="1">
      <alignment horizontal="center" wrapText="1"/>
    </xf>
    <xf numFmtId="164" fontId="56" fillId="0" borderId="10" xfId="2" applyNumberFormat="1" applyFont="1" applyFill="1" applyBorder="1" applyAlignment="1">
      <alignment horizontal="center" wrapText="1"/>
    </xf>
    <xf numFmtId="164" fontId="56" fillId="0" borderId="11" xfId="2" applyNumberFormat="1" applyFont="1" applyBorder="1" applyAlignment="1">
      <alignment horizontal="center" wrapText="1"/>
    </xf>
    <xf numFmtId="164" fontId="56" fillId="8" borderId="9" xfId="2" applyNumberFormat="1" applyFont="1" applyFill="1" applyBorder="1" applyAlignment="1">
      <alignment horizontal="center" wrapText="1"/>
    </xf>
    <xf numFmtId="164" fontId="56" fillId="8" borderId="10" xfId="2" applyNumberFormat="1" applyFont="1" applyFill="1" applyBorder="1" applyAlignment="1">
      <alignment horizontal="center" wrapText="1"/>
    </xf>
    <xf numFmtId="164" fontId="56" fillId="8" borderId="11" xfId="2" applyNumberFormat="1" applyFont="1" applyFill="1" applyBorder="1" applyAlignment="1">
      <alignment horizontal="center" wrapText="1"/>
    </xf>
    <xf numFmtId="164" fontId="56" fillId="9" borderId="9" xfId="2" applyNumberFormat="1" applyFont="1" applyFill="1" applyBorder="1" applyAlignment="1">
      <alignment horizontal="center" wrapText="1"/>
    </xf>
    <xf numFmtId="164" fontId="56" fillId="9" borderId="10" xfId="2" applyNumberFormat="1" applyFont="1" applyFill="1" applyBorder="1" applyAlignment="1">
      <alignment horizontal="center" wrapText="1"/>
    </xf>
    <xf numFmtId="164" fontId="56" fillId="9" borderId="11" xfId="2" applyNumberFormat="1" applyFont="1" applyFill="1" applyBorder="1" applyAlignment="1">
      <alignment horizontal="center" wrapText="1"/>
    </xf>
    <xf numFmtId="0" fontId="0" fillId="17" borderId="0" xfId="0" applyFill="1"/>
    <xf numFmtId="0" fontId="9" fillId="17" borderId="0" xfId="0" applyFont="1" applyFill="1" applyBorder="1"/>
    <xf numFmtId="0" fontId="3" fillId="0" borderId="0" xfId="0" applyFont="1" applyAlignment="1">
      <alignment wrapText="1"/>
    </xf>
    <xf numFmtId="0" fontId="6" fillId="9" borderId="0" xfId="11" applyFill="1"/>
    <xf numFmtId="0" fontId="0" fillId="9" borderId="0" xfId="0" applyFill="1"/>
    <xf numFmtId="0" fontId="57" fillId="9" borderId="0" xfId="0" applyFont="1" applyFill="1"/>
    <xf numFmtId="0" fontId="52" fillId="9" borderId="0" xfId="11" applyFont="1" applyFill="1" applyAlignment="1"/>
    <xf numFmtId="0" fontId="6" fillId="9" borderId="0" xfId="11" applyFill="1" applyAlignment="1">
      <alignment horizontal="right"/>
    </xf>
    <xf numFmtId="164" fontId="9" fillId="20" borderId="35" xfId="2" applyNumberFormat="1" applyFont="1" applyFill="1" applyBorder="1" applyAlignment="1" applyProtection="1">
      <alignment horizontal="center"/>
      <protection locked="0"/>
    </xf>
    <xf numFmtId="0" fontId="9" fillId="20" borderId="35" xfId="0" applyFont="1" applyFill="1" applyBorder="1" applyAlignment="1" applyProtection="1">
      <alignment horizontal="center"/>
      <protection locked="0"/>
    </xf>
    <xf numFmtId="0" fontId="14" fillId="0" borderId="1" xfId="11" applyFont="1" applyBorder="1"/>
    <xf numFmtId="0" fontId="14" fillId="0" borderId="2" xfId="11" applyFont="1" applyBorder="1"/>
    <xf numFmtId="0" fontId="60" fillId="3" borderId="2" xfId="11" applyFont="1" applyFill="1" applyBorder="1" applyAlignment="1">
      <alignment horizontal="center"/>
    </xf>
    <xf numFmtId="0" fontId="60" fillId="16" borderId="2" xfId="11" applyFont="1" applyFill="1" applyBorder="1" applyAlignment="1">
      <alignment horizontal="center"/>
    </xf>
    <xf numFmtId="0" fontId="60" fillId="0" borderId="2" xfId="11" applyFont="1" applyFill="1" applyBorder="1" applyAlignment="1">
      <alignment horizontal="center"/>
    </xf>
    <xf numFmtId="0" fontId="60" fillId="21" borderId="2" xfId="11" applyFont="1" applyFill="1" applyBorder="1" applyAlignment="1">
      <alignment horizontal="center"/>
    </xf>
    <xf numFmtId="0" fontId="60" fillId="22" borderId="2" xfId="11" applyFont="1" applyFill="1" applyBorder="1" applyAlignment="1">
      <alignment horizontal="center"/>
    </xf>
    <xf numFmtId="0" fontId="60" fillId="22" borderId="3" xfId="11" applyFont="1" applyFill="1" applyBorder="1" applyAlignment="1">
      <alignment horizontal="center"/>
    </xf>
    <xf numFmtId="0" fontId="14" fillId="0" borderId="4" xfId="11" applyFont="1" applyBorder="1"/>
    <xf numFmtId="0" fontId="14" fillId="0" borderId="0" xfId="11" applyFont="1" applyBorder="1"/>
    <xf numFmtId="0" fontId="14" fillId="3" borderId="0" xfId="11" applyFont="1" applyFill="1" applyBorder="1"/>
    <xf numFmtId="0" fontId="14" fillId="16" borderId="0" xfId="11" applyFont="1" applyFill="1" applyBorder="1"/>
    <xf numFmtId="0" fontId="14" fillId="0" borderId="0" xfId="11" applyFont="1" applyFill="1" applyBorder="1"/>
    <xf numFmtId="0" fontId="14" fillId="21" borderId="0" xfId="11" applyFont="1" applyFill="1" applyBorder="1"/>
    <xf numFmtId="0" fontId="14" fillId="22" borderId="0" xfId="11" applyFont="1" applyFill="1" applyBorder="1"/>
    <xf numFmtId="0" fontId="14" fillId="22" borderId="5" xfId="11" applyFont="1" applyFill="1" applyBorder="1"/>
    <xf numFmtId="44" fontId="14" fillId="3" borderId="0" xfId="6" applyFont="1" applyFill="1" applyBorder="1"/>
    <xf numFmtId="44" fontId="14" fillId="16" borderId="0" xfId="6" applyFont="1" applyFill="1" applyBorder="1"/>
    <xf numFmtId="44" fontId="14" fillId="0" borderId="0" xfId="6" applyFont="1" applyFill="1" applyBorder="1"/>
    <xf numFmtId="44" fontId="14" fillId="21" borderId="0" xfId="6" applyFont="1" applyFill="1" applyBorder="1"/>
    <xf numFmtId="44" fontId="14" fillId="22" borderId="0" xfId="6" applyFont="1" applyFill="1" applyBorder="1"/>
    <xf numFmtId="44" fontId="14" fillId="22" borderId="5" xfId="6" applyFont="1" applyFill="1" applyBorder="1"/>
    <xf numFmtId="9" fontId="14" fillId="0" borderId="4" xfId="11" applyNumberFormat="1" applyFont="1" applyBorder="1"/>
    <xf numFmtId="172" fontId="60" fillId="0" borderId="0" xfId="11" applyNumberFormat="1" applyFont="1" applyBorder="1"/>
    <xf numFmtId="166" fontId="14" fillId="3" borderId="0" xfId="11" applyNumberFormat="1" applyFont="1" applyFill="1" applyBorder="1"/>
    <xf numFmtId="9" fontId="14" fillId="0" borderId="9" xfId="11" applyNumberFormat="1" applyFont="1" applyBorder="1"/>
    <xf numFmtId="172" fontId="60" fillId="0" borderId="10" xfId="11" applyNumberFormat="1" applyFont="1" applyBorder="1"/>
    <xf numFmtId="0" fontId="14" fillId="0" borderId="0" xfId="11" applyFont="1"/>
    <xf numFmtId="2" fontId="14" fillId="3" borderId="0" xfId="11" applyNumberFormat="1" applyFont="1" applyFill="1"/>
    <xf numFmtId="0" fontId="14" fillId="0" borderId="0" xfId="11" applyFont="1" applyAlignment="1">
      <alignment horizontal="left"/>
    </xf>
    <xf numFmtId="0" fontId="14" fillId="0" borderId="0" xfId="11" applyFont="1" applyAlignment="1">
      <alignment horizontal="right"/>
    </xf>
    <xf numFmtId="0" fontId="60" fillId="0" borderId="0" xfId="11" applyFont="1" applyBorder="1" applyAlignment="1">
      <alignment horizontal="center" wrapText="1"/>
    </xf>
    <xf numFmtId="0" fontId="60" fillId="0" borderId="4" xfId="11" applyFont="1" applyBorder="1" applyAlignment="1">
      <alignment horizontal="center" wrapText="1"/>
    </xf>
    <xf numFmtId="0" fontId="47" fillId="0" borderId="1" xfId="11" applyFont="1" applyBorder="1"/>
    <xf numFmtId="0" fontId="20" fillId="0" borderId="2" xfId="11" applyFont="1" applyBorder="1" applyAlignment="1">
      <alignment horizontal="right" vertical="center" indent="2"/>
    </xf>
    <xf numFmtId="0" fontId="47" fillId="0" borderId="2" xfId="11" applyFont="1" applyBorder="1"/>
    <xf numFmtId="166" fontId="20" fillId="3" borderId="3" xfId="11" applyNumberFormat="1" applyFont="1" applyFill="1" applyBorder="1" applyAlignment="1">
      <alignment horizontal="center" vertical="center"/>
    </xf>
    <xf numFmtId="0" fontId="47" fillId="17" borderId="4" xfId="11" applyFont="1" applyFill="1" applyBorder="1"/>
    <xf numFmtId="0" fontId="20" fillId="17" borderId="0" xfId="11" applyFont="1" applyFill="1" applyBorder="1" applyAlignment="1">
      <alignment horizontal="right" indent="2"/>
    </xf>
    <xf numFmtId="0" fontId="47" fillId="20" borderId="0" xfId="11" applyFont="1" applyFill="1" applyBorder="1" applyProtection="1">
      <protection locked="0"/>
    </xf>
    <xf numFmtId="0" fontId="47" fillId="17" borderId="0" xfId="11" applyFont="1" applyFill="1" applyBorder="1" applyAlignment="1"/>
    <xf numFmtId="0" fontId="47" fillId="17" borderId="0" xfId="11" applyFont="1" applyFill="1" applyBorder="1" applyAlignment="1">
      <alignment wrapText="1"/>
    </xf>
    <xf numFmtId="170" fontId="47" fillId="17" borderId="0" xfId="3" applyNumberFormat="1" applyFont="1" applyFill="1" applyBorder="1"/>
    <xf numFmtId="166" fontId="20" fillId="17" borderId="5" xfId="11" applyNumberFormat="1" applyFont="1" applyFill="1" applyBorder="1"/>
    <xf numFmtId="0" fontId="47" fillId="0" borderId="4" xfId="11" applyFont="1" applyBorder="1"/>
    <xf numFmtId="0" fontId="20" fillId="0" borderId="0" xfId="11" applyFont="1" applyBorder="1" applyAlignment="1">
      <alignment horizontal="right" indent="2"/>
    </xf>
    <xf numFmtId="0" fontId="47" fillId="0" borderId="0" xfId="11" applyFont="1" applyBorder="1"/>
    <xf numFmtId="0" fontId="47" fillId="0" borderId="0" xfId="11" applyFont="1" applyFill="1" applyBorder="1" applyAlignment="1">
      <alignment wrapText="1"/>
    </xf>
    <xf numFmtId="166" fontId="20" fillId="0" borderId="5" xfId="11" applyNumberFormat="1" applyFont="1" applyBorder="1"/>
    <xf numFmtId="164" fontId="47" fillId="20" borderId="0" xfId="2" applyNumberFormat="1" applyFont="1" applyFill="1" applyBorder="1" applyProtection="1">
      <protection locked="0"/>
    </xf>
    <xf numFmtId="0" fontId="47" fillId="17" borderId="9" xfId="11" applyFont="1" applyFill="1" applyBorder="1"/>
    <xf numFmtId="0" fontId="20" fillId="17" borderId="10" xfId="11" applyFont="1" applyFill="1" applyBorder="1" applyAlignment="1">
      <alignment horizontal="right" indent="2"/>
    </xf>
    <xf numFmtId="0" fontId="47" fillId="20" borderId="10" xfId="11" applyFont="1" applyFill="1" applyBorder="1" applyProtection="1">
      <protection locked="0"/>
    </xf>
    <xf numFmtId="0" fontId="47" fillId="17" borderId="10" xfId="11" applyFont="1" applyFill="1" applyBorder="1"/>
    <xf numFmtId="164" fontId="47" fillId="20" borderId="10" xfId="2" applyNumberFormat="1" applyFont="1" applyFill="1" applyBorder="1" applyProtection="1">
      <protection locked="0"/>
    </xf>
    <xf numFmtId="166" fontId="20" fillId="17" borderId="11" xfId="11" applyNumberFormat="1" applyFont="1" applyFill="1" applyBorder="1"/>
    <xf numFmtId="0" fontId="7" fillId="23" borderId="0" xfId="0" applyFont="1" applyFill="1"/>
    <xf numFmtId="0" fontId="8" fillId="23" borderId="0" xfId="0" applyFont="1" applyFill="1"/>
    <xf numFmtId="0" fontId="15" fillId="9" borderId="0" xfId="20" applyFill="1" applyProtection="1"/>
    <xf numFmtId="0" fontId="15" fillId="0" borderId="0" xfId="20" applyFill="1" applyProtection="1"/>
    <xf numFmtId="0" fontId="15" fillId="17" borderId="0" xfId="20" applyFill="1" applyProtection="1"/>
    <xf numFmtId="0" fontId="35" fillId="0" borderId="0" xfId="20" applyFont="1" applyFill="1" applyAlignment="1" applyProtection="1">
      <alignment horizontal="center"/>
    </xf>
    <xf numFmtId="0" fontId="34" fillId="0" borderId="0" xfId="20" applyFont="1" applyFill="1" applyProtection="1"/>
    <xf numFmtId="0" fontId="38" fillId="0" borderId="0" xfId="20" applyFont="1" applyFill="1" applyProtection="1"/>
    <xf numFmtId="0" fontId="34" fillId="0" borderId="0" xfId="20" applyFont="1" applyFill="1" applyAlignment="1" applyProtection="1">
      <alignment horizontal="right"/>
    </xf>
    <xf numFmtId="0" fontId="32" fillId="17" borderId="0" xfId="20" applyFont="1" applyFill="1" applyProtection="1"/>
    <xf numFmtId="0" fontId="54" fillId="0" borderId="0" xfId="20" applyFont="1" applyProtection="1"/>
    <xf numFmtId="0" fontId="37" fillId="0" borderId="0" xfId="20" applyFont="1" applyProtection="1"/>
    <xf numFmtId="0" fontId="15" fillId="0" borderId="0" xfId="20" applyFont="1" applyProtection="1"/>
    <xf numFmtId="164" fontId="30" fillId="0" borderId="0" xfId="3" applyNumberFormat="1" applyFont="1" applyFill="1" applyBorder="1" applyAlignment="1" applyProtection="1">
      <alignment horizontal="right" wrapText="1"/>
    </xf>
    <xf numFmtId="0" fontId="15" fillId="0" borderId="0" xfId="20" applyFill="1" applyBorder="1" applyProtection="1"/>
    <xf numFmtId="1" fontId="15" fillId="0" borderId="0" xfId="20" applyNumberFormat="1" applyFont="1" applyFill="1" applyBorder="1" applyAlignment="1" applyProtection="1">
      <alignment horizontal="right" wrapText="1"/>
    </xf>
    <xf numFmtId="44" fontId="0" fillId="0" borderId="0" xfId="6" applyFont="1" applyFill="1" applyBorder="1" applyProtection="1"/>
    <xf numFmtId="175" fontId="54" fillId="0" borderId="0" xfId="20" applyNumberFormat="1" applyFont="1" applyFill="1" applyProtection="1"/>
    <xf numFmtId="0" fontId="18" fillId="0" borderId="0" xfId="20" applyFont="1" applyFill="1" applyProtection="1"/>
    <xf numFmtId="0" fontId="15" fillId="0" borderId="0" xfId="20" applyFont="1" applyFill="1" applyProtection="1"/>
    <xf numFmtId="0" fontId="54" fillId="17" borderId="0" xfId="20" applyFont="1" applyFill="1" applyProtection="1"/>
    <xf numFmtId="0" fontId="18" fillId="17" borderId="0" xfId="20" applyFont="1" applyFill="1" applyProtection="1"/>
    <xf numFmtId="0" fontId="15" fillId="17" borderId="0" xfId="20" applyFont="1" applyFill="1" applyProtection="1"/>
    <xf numFmtId="175" fontId="54" fillId="17" borderId="0" xfId="20" applyNumberFormat="1" applyFont="1" applyFill="1" applyProtection="1"/>
    <xf numFmtId="175" fontId="54" fillId="17" borderId="0" xfId="6" applyNumberFormat="1" applyFont="1" applyFill="1" applyProtection="1"/>
    <xf numFmtId="0" fontId="80" fillId="9" borderId="0" xfId="20" applyFont="1" applyFill="1" applyProtection="1"/>
    <xf numFmtId="0" fontId="81" fillId="9" borderId="0" xfId="20" applyFont="1" applyFill="1" applyProtection="1"/>
    <xf numFmtId="0" fontId="79" fillId="9" borderId="0" xfId="20" applyFont="1" applyFill="1" applyAlignment="1" applyProtection="1">
      <alignment wrapText="1"/>
    </xf>
    <xf numFmtId="175" fontId="81" fillId="9" borderId="0" xfId="20" applyNumberFormat="1" applyFont="1" applyFill="1" applyProtection="1"/>
    <xf numFmtId="202" fontId="38" fillId="0" borderId="0" xfId="2" applyNumberFormat="1" applyFont="1" applyAlignment="1" applyProtection="1">
      <alignment horizontal="left" vertical="center"/>
    </xf>
    <xf numFmtId="0" fontId="80" fillId="12" borderId="15" xfId="20" applyFont="1" applyFill="1" applyBorder="1" applyProtection="1"/>
    <xf numFmtId="0" fontId="80" fillId="12" borderId="0" xfId="20" applyFont="1" applyFill="1" applyBorder="1" applyAlignment="1" applyProtection="1">
      <alignment horizontal="right"/>
    </xf>
    <xf numFmtId="177" fontId="80" fillId="12" borderId="16" xfId="20" applyNumberFormat="1" applyFont="1" applyFill="1" applyBorder="1" applyProtection="1"/>
    <xf numFmtId="0" fontId="80" fillId="12" borderId="17" xfId="20" applyFont="1" applyFill="1" applyBorder="1" applyProtection="1"/>
    <xf numFmtId="0" fontId="80" fillId="12" borderId="18" xfId="20" applyFont="1" applyFill="1" applyBorder="1" applyAlignment="1" applyProtection="1">
      <alignment horizontal="right"/>
    </xf>
    <xf numFmtId="177" fontId="80" fillId="12" borderId="19" xfId="5" applyNumberFormat="1" applyFont="1" applyFill="1" applyBorder="1" applyProtection="1"/>
    <xf numFmtId="0" fontId="15" fillId="0" borderId="0" xfId="20" applyFont="1" applyBorder="1" applyProtection="1"/>
    <xf numFmtId="9" fontId="15" fillId="0" borderId="0" xfId="28" applyFont="1" applyBorder="1" applyProtection="1"/>
    <xf numFmtId="0" fontId="18" fillId="0" borderId="0" xfId="20" applyFont="1" applyBorder="1" applyProtection="1"/>
    <xf numFmtId="0" fontId="54" fillId="0" borderId="0" xfId="20" applyFont="1" applyBorder="1" applyAlignment="1" applyProtection="1">
      <alignment horizontal="right"/>
    </xf>
    <xf numFmtId="0" fontId="33" fillId="0" borderId="0" xfId="20" applyFont="1" applyBorder="1" applyAlignment="1" applyProtection="1">
      <alignment horizontal="right"/>
    </xf>
    <xf numFmtId="0" fontId="48" fillId="0" borderId="0" xfId="20" applyFont="1" applyBorder="1" applyProtection="1"/>
    <xf numFmtId="0" fontId="48" fillId="0" borderId="0" xfId="20" applyFont="1" applyProtection="1"/>
    <xf numFmtId="177" fontId="48" fillId="0" borderId="0" xfId="5" applyNumberFormat="1" applyFont="1" applyBorder="1" applyProtection="1"/>
    <xf numFmtId="0" fontId="63" fillId="0" borderId="0" xfId="20" applyFont="1" applyAlignment="1" applyProtection="1">
      <alignment horizontal="right"/>
    </xf>
    <xf numFmtId="0" fontId="33" fillId="0" borderId="0" xfId="20" applyFont="1" applyBorder="1" applyAlignment="1" applyProtection="1">
      <alignment horizontal="left"/>
    </xf>
    <xf numFmtId="0" fontId="48" fillId="17" borderId="0" xfId="20" applyFont="1" applyFill="1" applyProtection="1"/>
    <xf numFmtId="0" fontId="48" fillId="17" borderId="0" xfId="20" applyFont="1" applyFill="1" applyBorder="1" applyProtection="1"/>
    <xf numFmtId="0" fontId="33" fillId="17" borderId="0" xfId="20" applyFont="1" applyFill="1" applyBorder="1" applyAlignment="1" applyProtection="1">
      <alignment horizontal="right"/>
    </xf>
    <xf numFmtId="0" fontId="81" fillId="9" borderId="0" xfId="20" applyFont="1" applyFill="1" applyBorder="1" applyAlignment="1" applyProtection="1">
      <alignment vertical="center"/>
    </xf>
    <xf numFmtId="0" fontId="81" fillId="9" borderId="0" xfId="20" applyFont="1" applyFill="1" applyBorder="1" applyAlignment="1" applyProtection="1">
      <alignment horizontal="right" vertical="center"/>
    </xf>
    <xf numFmtId="178" fontId="81" fillId="9" borderId="0" xfId="2" applyNumberFormat="1" applyFont="1" applyFill="1" applyBorder="1" applyAlignment="1" applyProtection="1">
      <alignment vertical="center"/>
    </xf>
    <xf numFmtId="0" fontId="37" fillId="17" borderId="0" xfId="20" applyFont="1" applyFill="1" applyProtection="1"/>
    <xf numFmtId="175" fontId="32" fillId="0" borderId="0" xfId="20" applyNumberFormat="1" applyFont="1" applyFill="1" applyProtection="1"/>
    <xf numFmtId="0" fontId="15" fillId="17" borderId="0" xfId="20" applyFont="1" applyFill="1" applyAlignment="1" applyProtection="1">
      <alignment horizontal="center"/>
    </xf>
    <xf numFmtId="175" fontId="32" fillId="17" borderId="0" xfId="20" applyNumberFormat="1" applyFont="1" applyFill="1" applyProtection="1"/>
    <xf numFmtId="0" fontId="32" fillId="17" borderId="0" xfId="20" applyFont="1" applyFill="1" applyAlignment="1" applyProtection="1">
      <alignment horizontal="center"/>
    </xf>
    <xf numFmtId="0" fontId="32" fillId="0" borderId="0" xfId="20" applyFont="1" applyFill="1" applyAlignment="1" applyProtection="1">
      <alignment horizontal="center"/>
    </xf>
    <xf numFmtId="174" fontId="32" fillId="0" borderId="0" xfId="20" applyNumberFormat="1" applyFont="1" applyFill="1" applyAlignment="1" applyProtection="1">
      <alignment horizontal="left"/>
    </xf>
    <xf numFmtId="0" fontId="32" fillId="17" borderId="0" xfId="20" applyFont="1" applyFill="1" applyAlignment="1" applyProtection="1">
      <alignment horizontal="left"/>
    </xf>
    <xf numFmtId="0" fontId="37" fillId="17" borderId="0" xfId="20" applyFont="1" applyFill="1" applyAlignment="1" applyProtection="1">
      <alignment horizontal="right"/>
    </xf>
    <xf numFmtId="175" fontId="37" fillId="17" borderId="0" xfId="20" applyNumberFormat="1" applyFont="1" applyFill="1" applyAlignment="1" applyProtection="1">
      <alignment horizontal="right"/>
    </xf>
    <xf numFmtId="0" fontId="37" fillId="0" borderId="0" xfId="20" applyFont="1" applyFill="1" applyProtection="1"/>
    <xf numFmtId="0" fontId="37" fillId="0" borderId="0" xfId="20" applyFont="1" applyAlignment="1" applyProtection="1">
      <alignment horizontal="right"/>
    </xf>
    <xf numFmtId="49" fontId="32" fillId="0" borderId="0" xfId="20" applyNumberFormat="1" applyFont="1" applyFill="1" applyProtection="1"/>
    <xf numFmtId="14" fontId="32" fillId="0" borderId="0" xfId="20" applyNumberFormat="1" applyFont="1" applyFill="1" applyAlignment="1" applyProtection="1">
      <alignment horizontal="left"/>
      <protection locked="0"/>
    </xf>
    <xf numFmtId="0" fontId="1" fillId="0" borderId="0" xfId="20" applyFont="1" applyBorder="1" applyAlignment="1" applyProtection="1">
      <alignment horizontal="right"/>
    </xf>
    <xf numFmtId="173" fontId="30" fillId="0" borderId="0" xfId="20" applyNumberFormat="1" applyFont="1" applyAlignment="1" applyProtection="1">
      <alignment horizontal="left"/>
    </xf>
    <xf numFmtId="0" fontId="65" fillId="0" borderId="0" xfId="20" applyFont="1" applyAlignment="1" applyProtection="1">
      <alignment horizontal="right"/>
    </xf>
    <xf numFmtId="167" fontId="50" fillId="8" borderId="0" xfId="3" applyNumberFormat="1" applyFont="1" applyFill="1" applyAlignment="1" applyProtection="1">
      <alignment horizontal="right"/>
    </xf>
    <xf numFmtId="0" fontId="49" fillId="8" borderId="0" xfId="11" applyFont="1" applyFill="1" applyAlignment="1" applyProtection="1">
      <alignment horizontal="right"/>
    </xf>
    <xf numFmtId="165" fontId="59" fillId="0" borderId="0" xfId="0" applyNumberFormat="1" applyFont="1" applyFill="1" applyBorder="1" applyAlignment="1" applyProtection="1">
      <alignment horizontal="center"/>
    </xf>
    <xf numFmtId="0" fontId="59" fillId="0" borderId="0" xfId="0" applyFont="1" applyFill="1" applyBorder="1" applyAlignment="1" applyProtection="1">
      <alignment horizontal="center"/>
    </xf>
    <xf numFmtId="9" fontId="122" fillId="17" borderId="0" xfId="20" applyNumberFormat="1" applyFont="1" applyFill="1" applyBorder="1" applyAlignment="1" applyProtection="1">
      <alignment horizontal="center"/>
    </xf>
    <xf numFmtId="0" fontId="123" fillId="17" borderId="0" xfId="20" applyFont="1" applyFill="1" applyBorder="1" applyAlignment="1" applyProtection="1">
      <alignment horizontal="left"/>
    </xf>
    <xf numFmtId="9" fontId="67" fillId="0" borderId="0" xfId="28" applyFont="1" applyAlignment="1" applyProtection="1">
      <alignment horizontal="left"/>
    </xf>
    <xf numFmtId="9" fontId="30" fillId="0" borderId="0" xfId="20" applyNumberFormat="1" applyFont="1" applyAlignment="1" applyProtection="1">
      <alignment horizontal="left"/>
    </xf>
    <xf numFmtId="0" fontId="64" fillId="0" borderId="0" xfId="20" applyFont="1" applyProtection="1"/>
    <xf numFmtId="173" fontId="17" fillId="12" borderId="0" xfId="28" applyNumberFormat="1" applyFont="1" applyFill="1" applyBorder="1"/>
    <xf numFmtId="0" fontId="35" fillId="0" borderId="0" xfId="20" applyFont="1" applyFill="1" applyAlignment="1" applyProtection="1">
      <alignment wrapText="1"/>
    </xf>
    <xf numFmtId="14" fontId="15" fillId="4" borderId="0" xfId="20" applyNumberFormat="1" applyFont="1" applyFill="1" applyBorder="1" applyAlignment="1" applyProtection="1">
      <alignment horizontal="left"/>
      <protection locked="0"/>
    </xf>
    <xf numFmtId="203" fontId="91" fillId="0" borderId="0" xfId="22" applyNumberFormat="1" applyFont="1" applyBorder="1" applyProtection="1"/>
    <xf numFmtId="0" fontId="0" fillId="0" borderId="0" xfId="0" applyFill="1" applyProtection="1"/>
    <xf numFmtId="0" fontId="15" fillId="8" borderId="0" xfId="20" applyFill="1" applyProtection="1"/>
    <xf numFmtId="0" fontId="0" fillId="8" borderId="0" xfId="0" applyFill="1" applyProtection="1"/>
    <xf numFmtId="0" fontId="19" fillId="12" borderId="0" xfId="20" applyFont="1" applyFill="1" applyProtection="1"/>
    <xf numFmtId="0" fontId="46" fillId="0" borderId="0" xfId="20" applyFont="1" applyProtection="1"/>
    <xf numFmtId="14" fontId="15" fillId="0" borderId="0" xfId="20" applyNumberFormat="1" applyFont="1" applyFill="1" applyBorder="1" applyAlignment="1" applyProtection="1"/>
    <xf numFmtId="0" fontId="15" fillId="0" borderId="0" xfId="20" applyFont="1" applyFill="1" applyBorder="1" applyAlignment="1" applyProtection="1"/>
    <xf numFmtId="0" fontId="29" fillId="0" borderId="0" xfId="20" applyFont="1" applyFill="1" applyBorder="1" applyAlignment="1" applyProtection="1">
      <alignment horizontal="left"/>
    </xf>
    <xf numFmtId="0" fontId="17" fillId="12" borderId="28" xfId="11" applyFont="1" applyFill="1" applyBorder="1"/>
    <xf numFmtId="0" fontId="17" fillId="12" borderId="6" xfId="11" applyFont="1" applyFill="1" applyBorder="1"/>
    <xf numFmtId="168" fontId="17" fillId="12" borderId="18" xfId="11" applyNumberFormat="1" applyFont="1" applyFill="1" applyBorder="1"/>
    <xf numFmtId="0" fontId="30" fillId="0" borderId="0" xfId="20" applyFont="1" applyBorder="1" applyAlignment="1" applyProtection="1">
      <alignment vertical="center" wrapText="1"/>
    </xf>
    <xf numFmtId="0" fontId="1" fillId="17" borderId="0" xfId="20" applyFont="1" applyFill="1" applyProtection="1"/>
    <xf numFmtId="0" fontId="15" fillId="0" borderId="0" xfId="20" applyBorder="1" applyAlignment="1" applyProtection="1">
      <alignment wrapText="1"/>
    </xf>
    <xf numFmtId="169" fontId="50" fillId="18" borderId="0" xfId="11" applyNumberFormat="1" applyFont="1" applyFill="1"/>
    <xf numFmtId="0" fontId="50" fillId="0" borderId="0" xfId="11" applyFont="1" applyAlignment="1">
      <alignment horizontal="right"/>
    </xf>
    <xf numFmtId="0" fontId="1" fillId="0" borderId="0" xfId="20" applyFont="1" applyBorder="1" applyAlignment="1" applyProtection="1">
      <alignment horizontal="center"/>
    </xf>
    <xf numFmtId="0" fontId="15" fillId="0" borderId="28" xfId="20" applyFont="1" applyBorder="1" applyProtection="1"/>
    <xf numFmtId="0" fontId="15" fillId="0" borderId="6" xfId="20" applyFont="1" applyBorder="1" applyProtection="1"/>
    <xf numFmtId="0" fontId="4" fillId="0" borderId="15" xfId="0" applyFont="1" applyBorder="1"/>
    <xf numFmtId="0" fontId="4" fillId="0" borderId="28" xfId="0" applyFont="1" applyBorder="1" applyAlignment="1">
      <alignment horizontal="right"/>
    </xf>
    <xf numFmtId="0" fontId="15" fillId="0" borderId="6" xfId="20" applyFont="1" applyBorder="1" applyAlignment="1" applyProtection="1">
      <alignment horizontal="right"/>
    </xf>
    <xf numFmtId="43" fontId="15" fillId="0" borderId="0" xfId="20" applyNumberFormat="1" applyFont="1" applyBorder="1" applyProtection="1"/>
    <xf numFmtId="0" fontId="4" fillId="0" borderId="15" xfId="0" applyFont="1" applyBorder="1" applyAlignment="1">
      <alignment horizontal="right"/>
    </xf>
    <xf numFmtId="0" fontId="15" fillId="0" borderId="0" xfId="20" applyFont="1" applyBorder="1" applyAlignment="1" applyProtection="1">
      <alignment horizontal="right"/>
    </xf>
    <xf numFmtId="0" fontId="15" fillId="0" borderId="17" xfId="20" applyFont="1" applyBorder="1" applyProtection="1"/>
    <xf numFmtId="0" fontId="15" fillId="0" borderId="18" xfId="20" applyFont="1" applyBorder="1" applyProtection="1"/>
    <xf numFmtId="0" fontId="4" fillId="0" borderId="17" xfId="0" applyFont="1" applyBorder="1" applyAlignment="1">
      <alignment horizontal="right"/>
    </xf>
    <xf numFmtId="0" fontId="15" fillId="0" borderId="18" xfId="20" applyFont="1" applyBorder="1" applyAlignment="1" applyProtection="1">
      <alignment horizontal="right"/>
    </xf>
    <xf numFmtId="2" fontId="15" fillId="0" borderId="0" xfId="20" applyNumberFormat="1" applyFont="1" applyProtection="1"/>
    <xf numFmtId="164" fontId="15" fillId="0" borderId="18" xfId="20" applyNumberFormat="1" applyFont="1" applyBorder="1" applyProtection="1"/>
    <xf numFmtId="0" fontId="36" fillId="0" borderId="26" xfId="20" applyFont="1" applyBorder="1" applyAlignment="1" applyProtection="1">
      <alignment horizontal="center" wrapText="1"/>
    </xf>
    <xf numFmtId="171" fontId="15" fillId="0" borderId="26" xfId="20" applyNumberFormat="1" applyBorder="1" applyProtection="1"/>
    <xf numFmtId="0" fontId="36" fillId="0" borderId="20" xfId="20" applyFont="1" applyBorder="1" applyAlignment="1" applyProtection="1">
      <alignment horizontal="center" wrapText="1"/>
    </xf>
    <xf numFmtId="164" fontId="15" fillId="0" borderId="0" xfId="20" applyNumberFormat="1" applyProtection="1"/>
    <xf numFmtId="9" fontId="15" fillId="0" borderId="0" xfId="28" applyFont="1" applyProtection="1"/>
    <xf numFmtId="204" fontId="0" fillId="0" borderId="0" xfId="0" applyNumberFormat="1"/>
    <xf numFmtId="0" fontId="67" fillId="0" borderId="0" xfId="20" applyFont="1" applyAlignment="1" applyProtection="1">
      <alignment horizontal="left"/>
    </xf>
    <xf numFmtId="0" fontId="66" fillId="0" borderId="20" xfId="20" applyFont="1" applyBorder="1" applyAlignment="1" applyProtection="1">
      <alignment horizontal="center" wrapText="1"/>
    </xf>
    <xf numFmtId="6" fontId="30" fillId="0" borderId="26" xfId="20" applyNumberFormat="1" applyFont="1" applyBorder="1" applyProtection="1"/>
    <xf numFmtId="0" fontId="30" fillId="0" borderId="26" xfId="20" applyFont="1" applyBorder="1" applyProtection="1"/>
    <xf numFmtId="164" fontId="47" fillId="17" borderId="0" xfId="2" applyNumberFormat="1" applyFont="1" applyFill="1" applyBorder="1" applyProtection="1"/>
    <xf numFmtId="0" fontId="47" fillId="17" borderId="0" xfId="11" applyFont="1" applyFill="1" applyBorder="1" applyAlignment="1">
      <alignment horizontal="right" wrapText="1"/>
    </xf>
    <xf numFmtId="0" fontId="57" fillId="0" borderId="0" xfId="0" applyFont="1" applyAlignment="1">
      <alignment horizontal="right"/>
    </xf>
    <xf numFmtId="0" fontId="50" fillId="0" borderId="0" xfId="11" applyFont="1" applyAlignment="1">
      <alignment horizontal="center"/>
    </xf>
    <xf numFmtId="167" fontId="15" fillId="0" borderId="28" xfId="20" applyNumberFormat="1" applyFont="1" applyBorder="1" applyProtection="1"/>
    <xf numFmtId="175" fontId="68" fillId="17" borderId="0" xfId="20" applyNumberFormat="1" applyFont="1" applyFill="1" applyProtection="1"/>
    <xf numFmtId="175" fontId="68" fillId="0" borderId="0" xfId="20" applyNumberFormat="1" applyFont="1" applyFill="1" applyProtection="1"/>
    <xf numFmtId="175" fontId="82" fillId="9" borderId="0" xfId="20" applyNumberFormat="1" applyFont="1" applyFill="1" applyProtection="1"/>
    <xf numFmtId="0" fontId="49" fillId="0" borderId="0" xfId="11" applyFont="1" applyBorder="1"/>
    <xf numFmtId="0" fontId="49" fillId="17" borderId="0" xfId="11" applyFont="1" applyFill="1" applyBorder="1"/>
    <xf numFmtId="0" fontId="6" fillId="17" borderId="0" xfId="11" applyFill="1" applyBorder="1"/>
    <xf numFmtId="0" fontId="50" fillId="17" borderId="0" xfId="11" applyFont="1" applyFill="1" applyBorder="1" applyAlignment="1">
      <alignment horizontal="right"/>
    </xf>
    <xf numFmtId="171" fontId="50" fillId="17" borderId="0" xfId="6" applyNumberFormat="1" applyFont="1" applyFill="1" applyBorder="1"/>
    <xf numFmtId="44" fontId="6" fillId="17" borderId="0" xfId="5" applyFont="1" applyFill="1" applyBorder="1"/>
    <xf numFmtId="171" fontId="50" fillId="0" borderId="0" xfId="6" applyNumberFormat="1" applyFont="1" applyBorder="1"/>
    <xf numFmtId="44" fontId="6" fillId="0" borderId="0" xfId="5" applyFont="1" applyBorder="1"/>
    <xf numFmtId="0" fontId="49" fillId="0" borderId="0" xfId="11" applyFont="1" applyFill="1" applyBorder="1"/>
    <xf numFmtId="0" fontId="6" fillId="0" borderId="0" xfId="11" applyFill="1" applyBorder="1"/>
    <xf numFmtId="0" fontId="50" fillId="0" borderId="0" xfId="11" applyFont="1" applyFill="1" applyBorder="1" applyAlignment="1">
      <alignment horizontal="right"/>
    </xf>
    <xf numFmtId="171" fontId="50" fillId="0" borderId="0" xfId="6" applyNumberFormat="1" applyFont="1" applyFill="1" applyBorder="1"/>
    <xf numFmtId="44" fontId="6" fillId="0" borderId="0" xfId="5" applyFont="1" applyFill="1" applyBorder="1"/>
    <xf numFmtId="0" fontId="49" fillId="17" borderId="2" xfId="11" applyFont="1" applyFill="1" applyBorder="1"/>
    <xf numFmtId="171" fontId="50" fillId="17" borderId="2" xfId="6" applyNumberFormat="1" applyFont="1" applyFill="1" applyBorder="1"/>
    <xf numFmtId="44" fontId="6" fillId="17" borderId="2" xfId="5" applyFont="1" applyFill="1" applyBorder="1"/>
    <xf numFmtId="0" fontId="0" fillId="0" borderId="0" xfId="0" applyFill="1"/>
    <xf numFmtId="164" fontId="11" fillId="0" borderId="0" xfId="2" applyNumberFormat="1" applyFont="1" applyFill="1"/>
    <xf numFmtId="1" fontId="11" fillId="0" borderId="0" xfId="0" applyNumberFormat="1" applyFont="1" applyFill="1" applyBorder="1"/>
    <xf numFmtId="164" fontId="11" fillId="0" borderId="0" xfId="0" applyNumberFormat="1" applyFont="1" applyFill="1" applyBorder="1" applyAlignment="1"/>
    <xf numFmtId="9" fontId="0" fillId="0" borderId="0" xfId="0" applyNumberFormat="1"/>
    <xf numFmtId="0" fontId="13" fillId="0" borderId="0" xfId="11" applyFont="1"/>
    <xf numFmtId="0" fontId="33" fillId="0" borderId="0" xfId="20" applyFont="1" applyAlignment="1"/>
    <xf numFmtId="0" fontId="15" fillId="0" borderId="0" xfId="20" applyAlignment="1"/>
    <xf numFmtId="0" fontId="15" fillId="0" borderId="0" xfId="20" applyAlignment="1">
      <alignment horizontal="right"/>
    </xf>
    <xf numFmtId="0" fontId="69" fillId="0" borderId="0" xfId="20" applyFont="1" applyAlignment="1">
      <alignment horizontal="right"/>
    </xf>
    <xf numFmtId="0" fontId="31" fillId="0" borderId="10" xfId="20" applyFont="1" applyBorder="1" applyAlignment="1">
      <alignment horizontal="center"/>
    </xf>
    <xf numFmtId="0" fontId="1" fillId="0" borderId="0" xfId="20" applyFont="1" applyAlignment="1">
      <alignment horizontal="right"/>
    </xf>
    <xf numFmtId="0" fontId="31" fillId="0" borderId="36" xfId="20" applyFont="1" applyBorder="1" applyAlignment="1">
      <alignment horizontal="right"/>
    </xf>
    <xf numFmtId="0" fontId="31" fillId="0" borderId="10" xfId="20" applyFont="1" applyBorder="1" applyAlignment="1"/>
    <xf numFmtId="0" fontId="31" fillId="0" borderId="0" xfId="20" applyFont="1" applyAlignment="1"/>
    <xf numFmtId="14" fontId="31" fillId="0" borderId="10" xfId="20" applyNumberFormat="1" applyFont="1" applyBorder="1" applyAlignment="1">
      <alignment horizontal="center"/>
    </xf>
    <xf numFmtId="0" fontId="15" fillId="0" borderId="0" xfId="20" applyBorder="1" applyAlignment="1"/>
    <xf numFmtId="0" fontId="29" fillId="0" borderId="0" xfId="20" applyFont="1" applyAlignment="1">
      <alignment horizontal="right"/>
    </xf>
    <xf numFmtId="0" fontId="30" fillId="0" borderId="0" xfId="20" applyFont="1" applyAlignment="1"/>
    <xf numFmtId="14" fontId="30" fillId="0" borderId="10" xfId="20" applyNumberFormat="1" applyFont="1" applyBorder="1" applyAlignment="1">
      <alignment horizontal="center"/>
    </xf>
    <xf numFmtId="0" fontId="15" fillId="0" borderId="10" xfId="20" applyBorder="1" applyAlignment="1"/>
    <xf numFmtId="0" fontId="31" fillId="0" borderId="10" xfId="20" applyFont="1" applyFill="1" applyBorder="1" applyAlignment="1"/>
    <xf numFmtId="0" fontId="30" fillId="0" borderId="0" xfId="20" applyFont="1" applyAlignment="1">
      <alignment horizontal="right"/>
    </xf>
    <xf numFmtId="0" fontId="70" fillId="0" borderId="10" xfId="20" applyFont="1" applyBorder="1"/>
    <xf numFmtId="0" fontId="30" fillId="0" borderId="10" xfId="20" applyFont="1" applyFill="1" applyBorder="1" applyAlignment="1"/>
    <xf numFmtId="0" fontId="30" fillId="0" borderId="10" xfId="20" applyFont="1" applyBorder="1" applyAlignment="1">
      <alignment horizontal="center"/>
    </xf>
    <xf numFmtId="0" fontId="31" fillId="0" borderId="10" xfId="20" applyFont="1" applyBorder="1"/>
    <xf numFmtId="0" fontId="30" fillId="0" borderId="0" xfId="20" applyFont="1" applyFill="1" applyAlignment="1"/>
    <xf numFmtId="0" fontId="15" fillId="0" borderId="10" xfId="20" applyBorder="1"/>
    <xf numFmtId="0" fontId="31" fillId="0" borderId="10" xfId="20" applyFont="1" applyFill="1" applyBorder="1" applyAlignment="1">
      <alignment horizontal="center"/>
    </xf>
    <xf numFmtId="0" fontId="15" fillId="0" borderId="0" xfId="20" applyFill="1" applyBorder="1" applyAlignment="1"/>
    <xf numFmtId="0" fontId="30" fillId="0" borderId="10" xfId="20" applyFont="1" applyBorder="1" applyAlignment="1"/>
    <xf numFmtId="0" fontId="15" fillId="0" borderId="10" xfId="20" applyFill="1" applyBorder="1" applyAlignment="1"/>
    <xf numFmtId="1" fontId="31" fillId="0" borderId="10" xfId="20" applyNumberFormat="1" applyFont="1" applyFill="1" applyBorder="1" applyAlignment="1">
      <alignment horizontal="center"/>
    </xf>
    <xf numFmtId="0" fontId="30" fillId="0" borderId="0" xfId="20" applyFont="1" applyBorder="1" applyAlignment="1"/>
    <xf numFmtId="0" fontId="30" fillId="0" borderId="0" xfId="20" applyFont="1" applyFill="1" applyAlignment="1">
      <alignment horizontal="center"/>
    </xf>
    <xf numFmtId="0" fontId="30" fillId="0" borderId="10" xfId="20" applyFont="1" applyFill="1" applyBorder="1" applyAlignment="1">
      <alignment horizontal="center"/>
    </xf>
    <xf numFmtId="0" fontId="69" fillId="0" borderId="10" xfId="20" applyFont="1" applyBorder="1" applyAlignment="1">
      <alignment horizontal="right"/>
    </xf>
    <xf numFmtId="0" fontId="30" fillId="0" borderId="0" xfId="20" applyFont="1" applyBorder="1" applyAlignment="1">
      <alignment horizontal="center"/>
    </xf>
    <xf numFmtId="0" fontId="15" fillId="0" borderId="2" xfId="20" applyBorder="1"/>
    <xf numFmtId="0" fontId="69" fillId="0" borderId="0" xfId="20" applyFont="1" applyBorder="1" applyAlignment="1"/>
    <xf numFmtId="0" fontId="15" fillId="0" borderId="0" xfId="20" applyFont="1" applyBorder="1" applyAlignment="1"/>
    <xf numFmtId="0" fontId="69" fillId="0" borderId="0" xfId="20" applyFont="1" applyBorder="1" applyAlignment="1">
      <alignment horizontal="right"/>
    </xf>
    <xf numFmtId="0" fontId="29" fillId="0" borderId="0" xfId="20" applyFont="1" applyAlignment="1"/>
    <xf numFmtId="44" fontId="69" fillId="0" borderId="35" xfId="6" applyFont="1" applyBorder="1" applyAlignment="1"/>
    <xf numFmtId="44" fontId="69" fillId="2" borderId="0" xfId="6" applyFont="1" applyFill="1" applyBorder="1" applyAlignment="1"/>
    <xf numFmtId="44" fontId="69" fillId="0" borderId="35" xfId="20" applyNumberFormat="1" applyFont="1" applyBorder="1" applyAlignment="1"/>
    <xf numFmtId="0" fontId="1" fillId="0" borderId="0" xfId="20" applyFont="1" applyAlignment="1"/>
    <xf numFmtId="44" fontId="31" fillId="2" borderId="0" xfId="6" applyFont="1" applyFill="1" applyBorder="1" applyAlignment="1"/>
    <xf numFmtId="44" fontId="31" fillId="0" borderId="35" xfId="6" applyFont="1" applyBorder="1" applyAlignment="1"/>
    <xf numFmtId="0" fontId="1" fillId="0" borderId="39" xfId="20" applyFont="1" applyBorder="1" applyAlignment="1"/>
    <xf numFmtId="0" fontId="15" fillId="0" borderId="39" xfId="20" applyBorder="1" applyAlignment="1"/>
    <xf numFmtId="44" fontId="72" fillId="0" borderId="35" xfId="6" applyFont="1" applyBorder="1" applyAlignment="1"/>
    <xf numFmtId="44" fontId="72" fillId="0" borderId="0" xfId="6" applyFont="1" applyBorder="1" applyAlignment="1"/>
    <xf numFmtId="0" fontId="15" fillId="0" borderId="35" xfId="20" applyBorder="1" applyAlignment="1"/>
    <xf numFmtId="0" fontId="31" fillId="0" borderId="0" xfId="20" applyFont="1" applyAlignment="1">
      <alignment wrapText="1"/>
    </xf>
    <xf numFmtId="0" fontId="15" fillId="0" borderId="0" xfId="20" applyAlignment="1">
      <alignment wrapText="1"/>
    </xf>
    <xf numFmtId="0" fontId="1" fillId="0" borderId="0" xfId="20" applyFont="1" applyAlignment="1">
      <alignment horizontal="center"/>
    </xf>
    <xf numFmtId="0" fontId="30" fillId="0" borderId="0" xfId="20" applyFont="1" applyAlignment="1">
      <alignment horizontal="center"/>
    </xf>
    <xf numFmtId="0" fontId="69" fillId="0" borderId="20" xfId="20" applyFont="1" applyBorder="1" applyAlignment="1">
      <alignment horizontal="center"/>
    </xf>
    <xf numFmtId="0" fontId="30" fillId="0" borderId="0" xfId="20" applyFont="1" applyAlignment="1">
      <alignment wrapText="1"/>
    </xf>
    <xf numFmtId="0" fontId="29" fillId="0" borderId="26" xfId="20" applyFont="1" applyBorder="1" applyAlignment="1">
      <alignment horizontal="right"/>
    </xf>
    <xf numFmtId="0" fontId="29" fillId="0" borderId="26" xfId="20" applyFont="1" applyBorder="1" applyAlignment="1"/>
    <xf numFmtId="0" fontId="29" fillId="0" borderId="10" xfId="20" applyFont="1" applyBorder="1" applyAlignment="1"/>
    <xf numFmtId="0" fontId="1" fillId="0" borderId="0" xfId="20" applyFont="1" applyBorder="1" applyAlignment="1"/>
    <xf numFmtId="0" fontId="15" fillId="0" borderId="0" xfId="20" applyFont="1" applyAlignment="1"/>
    <xf numFmtId="0" fontId="31" fillId="0" borderId="0" xfId="20" applyFont="1" applyBorder="1" applyAlignment="1"/>
    <xf numFmtId="0" fontId="69" fillId="0" borderId="0" xfId="20" applyFont="1" applyAlignment="1"/>
    <xf numFmtId="0" fontId="30" fillId="0" borderId="0" xfId="20" applyFont="1" applyAlignment="1">
      <alignment horizontal="left" indent="1"/>
    </xf>
    <xf numFmtId="0" fontId="15" fillId="0" borderId="0" xfId="20" applyBorder="1"/>
    <xf numFmtId="0" fontId="15" fillId="0" borderId="0" xfId="20" applyBorder="1" applyAlignment="1">
      <alignment wrapText="1"/>
    </xf>
    <xf numFmtId="0" fontId="1" fillId="0" borderId="18" xfId="20" applyFont="1" applyBorder="1" applyAlignment="1"/>
    <xf numFmtId="0" fontId="15" fillId="0" borderId="18" xfId="20" applyBorder="1" applyAlignment="1"/>
    <xf numFmtId="0" fontId="15" fillId="4" borderId="26" xfId="20" applyFill="1" applyBorder="1" applyAlignment="1"/>
    <xf numFmtId="0" fontId="30" fillId="4" borderId="26" xfId="20" applyFont="1" applyFill="1" applyBorder="1" applyAlignment="1"/>
    <xf numFmtId="0" fontId="15" fillId="0" borderId="0" xfId="20" applyFont="1" applyAlignment="1">
      <alignment horizontal="left"/>
    </xf>
    <xf numFmtId="0" fontId="15" fillId="4" borderId="26" xfId="20" applyFont="1" applyFill="1" applyBorder="1" applyAlignment="1"/>
    <xf numFmtId="0" fontId="1" fillId="0" borderId="0" xfId="20" applyFont="1" applyBorder="1" applyAlignment="1">
      <alignment horizontal="center"/>
    </xf>
    <xf numFmtId="0" fontId="15" fillId="0" borderId="0" xfId="20" applyFont="1" applyFill="1" applyBorder="1" applyAlignment="1"/>
    <xf numFmtId="0" fontId="15" fillId="4" borderId="20" xfId="20" applyFill="1" applyBorder="1" applyAlignment="1"/>
    <xf numFmtId="0" fontId="1" fillId="0" borderId="0" xfId="20" applyFont="1" applyFill="1" applyBorder="1" applyAlignment="1">
      <alignment horizontal="right"/>
    </xf>
    <xf numFmtId="0" fontId="1" fillId="0" borderId="2" xfId="20" applyFont="1" applyFill="1" applyBorder="1" applyAlignment="1"/>
    <xf numFmtId="0" fontId="1" fillId="0" borderId="0" xfId="20" applyFont="1" applyBorder="1" applyAlignment="1">
      <alignment horizontal="right"/>
    </xf>
    <xf numFmtId="0" fontId="15" fillId="0" borderId="39" xfId="20" applyFont="1" applyBorder="1" applyAlignment="1"/>
    <xf numFmtId="0" fontId="15" fillId="0" borderId="8" xfId="20" applyBorder="1" applyAlignment="1"/>
    <xf numFmtId="0" fontId="30" fillId="0" borderId="4" xfId="20" applyFont="1" applyBorder="1" applyAlignment="1"/>
    <xf numFmtId="0" fontId="30" fillId="0" borderId="9" xfId="20" applyFont="1" applyBorder="1" applyAlignment="1"/>
    <xf numFmtId="0" fontId="76" fillId="0" borderId="0" xfId="20" applyFont="1" applyAlignment="1">
      <alignment horizontal="right"/>
    </xf>
    <xf numFmtId="0" fontId="76" fillId="0" borderId="0" xfId="20" applyFont="1" applyAlignment="1"/>
    <xf numFmtId="0" fontId="15" fillId="4" borderId="10" xfId="20" applyFont="1" applyFill="1" applyBorder="1" applyAlignment="1"/>
    <xf numFmtId="0" fontId="15" fillId="4" borderId="10" xfId="20" applyFill="1" applyBorder="1" applyAlignment="1"/>
    <xf numFmtId="14" fontId="15" fillId="0" borderId="10" xfId="20" applyNumberFormat="1" applyFont="1" applyBorder="1" applyAlignment="1">
      <alignment horizontal="center"/>
    </xf>
    <xf numFmtId="0" fontId="15" fillId="0" borderId="10" xfId="20" applyFont="1" applyBorder="1" applyAlignment="1"/>
    <xf numFmtId="14" fontId="15" fillId="0" borderId="10" xfId="20" applyNumberFormat="1" applyFont="1" applyBorder="1" applyAlignment="1"/>
    <xf numFmtId="0" fontId="15" fillId="0" borderId="0" xfId="20" applyFont="1" applyFill="1" applyAlignment="1"/>
    <xf numFmtId="0" fontId="15" fillId="0" borderId="0" xfId="20" applyFont="1" applyAlignment="1">
      <alignment horizontal="center"/>
    </xf>
    <xf numFmtId="0" fontId="15" fillId="0" borderId="0" xfId="20" applyFont="1" applyAlignment="1">
      <alignment horizontal="right"/>
    </xf>
    <xf numFmtId="0" fontId="31" fillId="0" borderId="0" xfId="20" applyFont="1" applyAlignment="1">
      <alignment horizontal="right"/>
    </xf>
    <xf numFmtId="0" fontId="69" fillId="0" borderId="1" xfId="20" applyFont="1" applyBorder="1" applyAlignment="1"/>
    <xf numFmtId="0" fontId="74" fillId="0" borderId="2" xfId="20" applyFont="1" applyBorder="1" applyAlignment="1">
      <alignment horizontal="right"/>
    </xf>
    <xf numFmtId="0" fontId="74" fillId="0" borderId="3" xfId="20" applyFont="1" applyBorder="1" applyAlignment="1">
      <alignment horizontal="left"/>
    </xf>
    <xf numFmtId="0" fontId="69" fillId="0" borderId="2" xfId="20" applyFont="1" applyBorder="1" applyAlignment="1"/>
    <xf numFmtId="0" fontId="15" fillId="0" borderId="2" xfId="20" applyBorder="1" applyAlignment="1">
      <alignment wrapText="1"/>
    </xf>
    <xf numFmtId="0" fontId="31" fillId="0" borderId="2" xfId="20" applyFont="1" applyBorder="1" applyAlignment="1"/>
    <xf numFmtId="0" fontId="15" fillId="0" borderId="3" xfId="20" applyBorder="1" applyAlignment="1"/>
    <xf numFmtId="0" fontId="31" fillId="4" borderId="9" xfId="20" applyFont="1" applyFill="1" applyBorder="1" applyAlignment="1"/>
    <xf numFmtId="14" fontId="31" fillId="0" borderId="10" xfId="20" applyNumberFormat="1" applyFont="1" applyBorder="1" applyAlignment="1"/>
    <xf numFmtId="0" fontId="15" fillId="0" borderId="9" xfId="20" applyBorder="1" applyAlignment="1"/>
    <xf numFmtId="0" fontId="74" fillId="0" borderId="10" xfId="20" applyFont="1" applyBorder="1" applyAlignment="1"/>
    <xf numFmtId="14" fontId="31" fillId="0" borderId="11" xfId="20" applyNumberFormat="1" applyFont="1" applyBorder="1" applyAlignment="1"/>
    <xf numFmtId="0" fontId="31" fillId="0" borderId="0" xfId="20" applyFont="1" applyFill="1" applyAlignment="1"/>
    <xf numFmtId="0" fontId="31" fillId="0" borderId="0" xfId="20" applyFont="1" applyAlignment="1">
      <alignment horizontal="center"/>
    </xf>
    <xf numFmtId="0" fontId="33" fillId="0" borderId="0" xfId="20" applyFont="1" applyBorder="1" applyAlignment="1"/>
    <xf numFmtId="0" fontId="31" fillId="0" borderId="0" xfId="20" applyFont="1" applyBorder="1" applyAlignment="1">
      <alignment horizontal="center"/>
    </xf>
    <xf numFmtId="0" fontId="31" fillId="0" borderId="0" xfId="20" applyFont="1" applyBorder="1" applyAlignment="1">
      <alignment horizontal="right"/>
    </xf>
    <xf numFmtId="14" fontId="31" fillId="0" borderId="0" xfId="20" applyNumberFormat="1" applyFont="1" applyBorder="1" applyAlignment="1">
      <alignment horizontal="center"/>
    </xf>
    <xf numFmtId="0" fontId="31" fillId="0" borderId="0" xfId="20" applyFont="1" applyFill="1" applyBorder="1" applyAlignment="1"/>
    <xf numFmtId="0" fontId="31" fillId="0" borderId="0" xfId="20" applyFont="1" applyBorder="1"/>
    <xf numFmtId="0" fontId="15" fillId="0" borderId="0" xfId="20" applyFont="1" applyAlignment="1">
      <alignment horizontal="left" indent="1"/>
    </xf>
    <xf numFmtId="0" fontId="31" fillId="0" borderId="0" xfId="20" applyFont="1" applyFill="1" applyBorder="1" applyAlignment="1">
      <alignment horizontal="center"/>
    </xf>
    <xf numFmtId="44" fontId="69" fillId="0" borderId="0" xfId="6" applyFont="1" applyBorder="1" applyAlignment="1"/>
    <xf numFmtId="44" fontId="69" fillId="0" borderId="0" xfId="20" applyNumberFormat="1" applyFont="1" applyBorder="1" applyAlignment="1"/>
    <xf numFmtId="44" fontId="31" fillId="0" borderId="0" xfId="6" applyFont="1" applyBorder="1" applyAlignment="1"/>
    <xf numFmtId="0" fontId="31" fillId="0" borderId="0" xfId="20" applyFont="1" applyBorder="1" applyAlignment="1">
      <alignment wrapText="1"/>
    </xf>
    <xf numFmtId="44" fontId="69" fillId="0" borderId="0" xfId="6" applyNumberFormat="1" applyFont="1" applyBorder="1" applyAlignment="1"/>
    <xf numFmtId="0" fontId="15" fillId="0" borderId="0" xfId="20" applyFont="1" applyBorder="1" applyAlignment="1">
      <alignment horizontal="left"/>
    </xf>
    <xf numFmtId="0" fontId="74" fillId="0" borderId="0" xfId="20" applyFont="1" applyBorder="1" applyAlignment="1">
      <alignment horizontal="right"/>
    </xf>
    <xf numFmtId="0" fontId="74" fillId="0" borderId="0" xfId="20" applyFont="1" applyBorder="1" applyAlignment="1">
      <alignment horizontal="left"/>
    </xf>
    <xf numFmtId="0" fontId="31" fillId="4" borderId="0" xfId="20" applyFont="1" applyFill="1" applyBorder="1" applyAlignment="1"/>
    <xf numFmtId="0" fontId="15" fillId="4" borderId="0" xfId="20" applyFill="1" applyBorder="1" applyAlignment="1"/>
    <xf numFmtId="14" fontId="31" fillId="0" borderId="0" xfId="20" applyNumberFormat="1" applyFont="1" applyBorder="1" applyAlignment="1"/>
    <xf numFmtId="0" fontId="74" fillId="0" borderId="0" xfId="20" applyFont="1" applyBorder="1" applyAlignment="1"/>
    <xf numFmtId="0" fontId="30" fillId="0" borderId="36" xfId="20" applyFont="1" applyBorder="1" applyAlignment="1">
      <alignment horizontal="left"/>
    </xf>
    <xf numFmtId="205" fontId="30" fillId="0" borderId="4" xfId="20" applyNumberFormat="1" applyFont="1" applyBorder="1"/>
    <xf numFmtId="43" fontId="15" fillId="0" borderId="26" xfId="20" applyNumberFormat="1" applyFont="1" applyBorder="1" applyProtection="1"/>
    <xf numFmtId="0" fontId="15" fillId="0" borderId="26" xfId="20" applyFont="1" applyBorder="1" applyProtection="1"/>
    <xf numFmtId="1" fontId="15" fillId="2" borderId="32" xfId="20" applyNumberFormat="1" applyFont="1" applyFill="1" applyBorder="1" applyAlignment="1" applyProtection="1">
      <alignment horizontal="right" wrapText="1"/>
    </xf>
    <xf numFmtId="1" fontId="15" fillId="2" borderId="40" xfId="20" applyNumberFormat="1" applyFont="1" applyFill="1" applyBorder="1" applyAlignment="1" applyProtection="1">
      <alignment horizontal="right" wrapText="1"/>
    </xf>
    <xf numFmtId="0" fontId="2" fillId="0" borderId="0" xfId="0" applyFont="1" applyAlignment="1">
      <alignment horizontal="right"/>
    </xf>
    <xf numFmtId="164" fontId="2" fillId="11" borderId="0" xfId="2" applyNumberFormat="1" applyFont="1" applyFill="1"/>
    <xf numFmtId="0" fontId="0" fillId="11" borderId="0" xfId="0" applyFont="1" applyFill="1"/>
    <xf numFmtId="2" fontId="2" fillId="11" borderId="1" xfId="0" applyNumberFormat="1" applyFont="1" applyFill="1" applyBorder="1" applyAlignment="1">
      <alignment horizontal="right"/>
    </xf>
    <xf numFmtId="2" fontId="2" fillId="11" borderId="2" xfId="0" applyNumberFormat="1" applyFont="1" applyFill="1" applyBorder="1"/>
    <xf numFmtId="2" fontId="2" fillId="11" borderId="3" xfId="0" applyNumberFormat="1" applyFont="1" applyFill="1" applyBorder="1" applyAlignment="1">
      <alignment horizontal="right"/>
    </xf>
    <xf numFmtId="205" fontId="2" fillId="11" borderId="0" xfId="2" applyNumberFormat="1" applyFont="1" applyFill="1" applyAlignment="1"/>
    <xf numFmtId="1" fontId="2" fillId="11" borderId="4" xfId="0" applyNumberFormat="1" applyFont="1" applyFill="1" applyBorder="1"/>
    <xf numFmtId="1" fontId="2" fillId="11" borderId="9" xfId="0" applyNumberFormat="1" applyFont="1" applyFill="1" applyBorder="1"/>
    <xf numFmtId="0" fontId="78" fillId="12" borderId="28" xfId="11" applyFont="1" applyFill="1" applyBorder="1"/>
    <xf numFmtId="166" fontId="78" fillId="12" borderId="30" xfId="11" applyNumberFormat="1" applyFont="1" applyFill="1" applyBorder="1"/>
    <xf numFmtId="0" fontId="78" fillId="12" borderId="15" xfId="11" applyFont="1" applyFill="1" applyBorder="1"/>
    <xf numFmtId="166" fontId="78" fillId="12" borderId="16" xfId="11" applyNumberFormat="1" applyFont="1" applyFill="1" applyBorder="1"/>
    <xf numFmtId="0" fontId="78" fillId="12" borderId="17" xfId="11" applyFont="1" applyFill="1" applyBorder="1"/>
    <xf numFmtId="166" fontId="78" fillId="12" borderId="19" xfId="11" applyNumberFormat="1" applyFont="1" applyFill="1" applyBorder="1"/>
    <xf numFmtId="169" fontId="14" fillId="22" borderId="5" xfId="11" applyNumberFormat="1" applyFont="1" applyFill="1" applyBorder="1"/>
    <xf numFmtId="169" fontId="14" fillId="22" borderId="0" xfId="11" applyNumberFormat="1" applyFont="1" applyFill="1" applyBorder="1"/>
    <xf numFmtId="169" fontId="14" fillId="0" borderId="0" xfId="11" applyNumberFormat="1" applyFont="1" applyFill="1" applyBorder="1"/>
    <xf numFmtId="169" fontId="14" fillId="0" borderId="10" xfId="11" applyNumberFormat="1" applyFont="1" applyFill="1" applyBorder="1"/>
    <xf numFmtId="169" fontId="14" fillId="22" borderId="10" xfId="11" applyNumberFormat="1" applyFont="1" applyFill="1" applyBorder="1"/>
    <xf numFmtId="169" fontId="14" fillId="22" borderId="11" xfId="11" applyNumberFormat="1" applyFont="1" applyFill="1" applyBorder="1"/>
    <xf numFmtId="206" fontId="15" fillId="4" borderId="0" xfId="20" applyNumberFormat="1" applyFont="1" applyFill="1" applyBorder="1" applyAlignment="1" applyProtection="1">
      <alignment horizontal="left"/>
      <protection locked="0"/>
    </xf>
    <xf numFmtId="164" fontId="59" fillId="6" borderId="26" xfId="2" applyNumberFormat="1" applyFont="1" applyFill="1" applyBorder="1" applyProtection="1">
      <protection locked="0"/>
    </xf>
    <xf numFmtId="44" fontId="15" fillId="4" borderId="0" xfId="5" applyFont="1" applyFill="1" applyBorder="1" applyAlignment="1" applyProtection="1">
      <alignment horizontal="left"/>
      <protection locked="0"/>
    </xf>
    <xf numFmtId="173" fontId="15" fillId="4" borderId="0" xfId="28" applyNumberFormat="1" applyFont="1" applyFill="1" applyBorder="1" applyAlignment="1" applyProtection="1">
      <alignment horizontal="right"/>
      <protection locked="0"/>
    </xf>
    <xf numFmtId="10" fontId="0" fillId="0" borderId="0" xfId="0" applyNumberFormat="1"/>
    <xf numFmtId="44" fontId="47" fillId="17" borderId="0" xfId="5" applyFont="1" applyFill="1" applyBorder="1"/>
    <xf numFmtId="0" fontId="30" fillId="17" borderId="0" xfId="20" applyFont="1" applyFill="1" applyProtection="1"/>
    <xf numFmtId="0" fontId="29" fillId="0" borderId="0" xfId="20" applyFont="1" applyBorder="1" applyAlignment="1" applyProtection="1">
      <alignment horizontal="center"/>
    </xf>
    <xf numFmtId="44" fontId="84" fillId="4" borderId="0" xfId="5" applyFont="1" applyFill="1" applyBorder="1" applyAlignment="1" applyProtection="1">
      <alignment horizontal="left"/>
      <protection locked="0"/>
    </xf>
    <xf numFmtId="175" fontId="54" fillId="0" borderId="0" xfId="6" applyNumberFormat="1" applyFont="1" applyFill="1" applyProtection="1"/>
    <xf numFmtId="171" fontId="54" fillId="0" borderId="0" xfId="5" applyNumberFormat="1" applyFont="1" applyFill="1" applyProtection="1"/>
    <xf numFmtId="0" fontId="34" fillId="0" borderId="0" xfId="20" applyFont="1" applyFill="1" applyAlignment="1" applyProtection="1">
      <alignment wrapText="1"/>
    </xf>
    <xf numFmtId="0" fontId="30" fillId="0" borderId="20" xfId="20" applyFont="1" applyBorder="1" applyAlignment="1" applyProtection="1">
      <alignment vertical="center"/>
    </xf>
    <xf numFmtId="177" fontId="30" fillId="0" borderId="20" xfId="6" applyNumberFormat="1" applyFont="1" applyBorder="1" applyAlignment="1" applyProtection="1"/>
    <xf numFmtId="164" fontId="30" fillId="0" borderId="20" xfId="20" applyNumberFormat="1" applyFont="1" applyFill="1" applyBorder="1" applyAlignment="1" applyProtection="1">
      <alignment vertical="center"/>
    </xf>
    <xf numFmtId="164" fontId="30" fillId="0" borderId="20" xfId="3" applyNumberFormat="1" applyFont="1" applyBorder="1" applyAlignment="1" applyProtection="1"/>
    <xf numFmtId="171" fontId="30" fillId="0" borderId="20" xfId="6" applyNumberFormat="1" applyFont="1" applyFill="1" applyBorder="1" applyAlignment="1" applyProtection="1">
      <alignment vertical="center"/>
    </xf>
    <xf numFmtId="171" fontId="30" fillId="0" borderId="20" xfId="6" applyNumberFormat="1" applyFont="1" applyBorder="1" applyAlignment="1" applyProtection="1"/>
    <xf numFmtId="175" fontId="30" fillId="0" borderId="20" xfId="20" applyNumberFormat="1" applyFont="1" applyBorder="1" applyAlignment="1" applyProtection="1">
      <alignment vertical="center" wrapText="1"/>
    </xf>
    <xf numFmtId="6" fontId="30" fillId="0" borderId="20" xfId="20" applyNumberFormat="1" applyFont="1" applyBorder="1" applyAlignment="1" applyProtection="1"/>
    <xf numFmtId="0" fontId="30" fillId="0" borderId="20" xfId="20" applyFont="1" applyBorder="1" applyAlignment="1" applyProtection="1">
      <alignment horizontal="right" vertical="center"/>
    </xf>
    <xf numFmtId="177" fontId="30" fillId="0" borderId="20" xfId="6" applyNumberFormat="1" applyFont="1" applyBorder="1" applyAlignment="1" applyProtection="1">
      <alignment horizontal="right"/>
    </xf>
    <xf numFmtId="164" fontId="30" fillId="0" borderId="20" xfId="20" applyNumberFormat="1" applyFont="1" applyFill="1" applyBorder="1" applyAlignment="1" applyProtection="1">
      <alignment horizontal="right" vertical="center"/>
    </xf>
    <xf numFmtId="164" fontId="30" fillId="0" borderId="20" xfId="3" applyNumberFormat="1" applyFont="1" applyBorder="1" applyAlignment="1" applyProtection="1">
      <alignment horizontal="right"/>
    </xf>
    <xf numFmtId="171" fontId="30" fillId="0" borderId="20" xfId="6" applyNumberFormat="1" applyFont="1" applyFill="1" applyBorder="1" applyAlignment="1" applyProtection="1">
      <alignment horizontal="right" vertical="center"/>
    </xf>
    <xf numFmtId="171" fontId="30" fillId="0" borderId="20" xfId="6" applyNumberFormat="1" applyFont="1" applyBorder="1" applyAlignment="1" applyProtection="1">
      <alignment horizontal="right"/>
    </xf>
    <xf numFmtId="175" fontId="30" fillId="0" borderId="20" xfId="20" applyNumberFormat="1" applyFont="1" applyBorder="1" applyAlignment="1" applyProtection="1">
      <alignment horizontal="right" vertical="center" wrapText="1"/>
    </xf>
    <xf numFmtId="6" fontId="30" fillId="0" borderId="20" xfId="20" applyNumberFormat="1" applyFont="1" applyBorder="1" applyAlignment="1" applyProtection="1">
      <alignment horizontal="right"/>
    </xf>
    <xf numFmtId="175" fontId="34" fillId="0" borderId="0" xfId="20" applyNumberFormat="1" applyFont="1" applyFill="1" applyProtection="1"/>
    <xf numFmtId="0" fontId="28" fillId="0" borderId="0" xfId="20" applyFont="1" applyFill="1" applyBorder="1" applyAlignment="1" applyProtection="1">
      <alignment horizontal="right"/>
    </xf>
    <xf numFmtId="9" fontId="15" fillId="0" borderId="0" xfId="28" applyFont="1" applyFill="1" applyBorder="1" applyProtection="1"/>
    <xf numFmtId="0" fontId="61" fillId="0" borderId="0" xfId="20" applyFont="1" applyFill="1" applyAlignment="1" applyProtection="1">
      <alignment horizontal="center" vertical="center" wrapText="1"/>
    </xf>
    <xf numFmtId="0" fontId="62" fillId="0" borderId="0" xfId="20" applyFont="1" applyFill="1" applyAlignment="1" applyProtection="1">
      <alignment horizontal="center" vertical="center" wrapText="1"/>
    </xf>
    <xf numFmtId="0" fontId="33" fillId="0" borderId="0" xfId="20" applyFont="1" applyFill="1" applyAlignment="1" applyProtection="1">
      <alignment horizontal="center"/>
    </xf>
    <xf numFmtId="0" fontId="18" fillId="0" borderId="0" xfId="20" applyFont="1" applyProtection="1"/>
    <xf numFmtId="207" fontId="54" fillId="0" borderId="0" xfId="20" applyNumberFormat="1" applyFont="1" applyProtection="1"/>
    <xf numFmtId="9" fontId="54" fillId="0" borderId="0" xfId="20" applyNumberFormat="1" applyFont="1" applyProtection="1"/>
    <xf numFmtId="207" fontId="54" fillId="2" borderId="0" xfId="3" applyNumberFormat="1" applyFont="1" applyFill="1" applyBorder="1" applyAlignment="1" applyProtection="1">
      <alignment horizontal="right" wrapText="1"/>
    </xf>
    <xf numFmtId="0" fontId="85" fillId="0" borderId="0" xfId="20" applyFont="1" applyFill="1" applyProtection="1"/>
    <xf numFmtId="0" fontId="86" fillId="0" borderId="0" xfId="20" applyFont="1" applyFill="1" applyProtection="1"/>
    <xf numFmtId="209" fontId="30" fillId="17" borderId="0" xfId="20" applyNumberFormat="1" applyFont="1" applyFill="1" applyProtection="1"/>
    <xf numFmtId="171" fontId="15" fillId="17" borderId="0" xfId="20" applyNumberFormat="1" applyFont="1" applyFill="1" applyProtection="1"/>
    <xf numFmtId="0" fontId="15" fillId="0" borderId="0" xfId="20" applyFont="1" applyAlignment="1" applyProtection="1">
      <alignment horizontal="center"/>
    </xf>
    <xf numFmtId="209" fontId="30" fillId="0" borderId="0" xfId="20" applyNumberFormat="1" applyFont="1" applyFill="1" applyProtection="1"/>
    <xf numFmtId="171" fontId="15" fillId="0" borderId="0" xfId="20" applyNumberFormat="1" applyFont="1" applyProtection="1"/>
    <xf numFmtId="208" fontId="30" fillId="17" borderId="0" xfId="20" applyNumberFormat="1" applyFont="1" applyFill="1" applyProtection="1"/>
    <xf numFmtId="0" fontId="30" fillId="0" borderId="0" xfId="20" applyFont="1" applyFill="1" applyProtection="1"/>
    <xf numFmtId="0" fontId="15" fillId="0" borderId="0" xfId="20" applyFont="1" applyFill="1" applyAlignment="1" applyProtection="1">
      <alignment horizontal="center"/>
    </xf>
    <xf numFmtId="210" fontId="30" fillId="17" borderId="0" xfId="20" applyNumberFormat="1" applyFont="1" applyFill="1" applyProtection="1"/>
    <xf numFmtId="0" fontId="30" fillId="0" borderId="0" xfId="20" applyFont="1" applyFill="1" applyAlignment="1" applyProtection="1">
      <alignment horizontal="right"/>
    </xf>
    <xf numFmtId="1" fontId="15" fillId="0" borderId="0" xfId="20" applyNumberFormat="1" applyFont="1" applyFill="1" applyProtection="1"/>
    <xf numFmtId="0" fontId="15" fillId="17" borderId="0" xfId="20" applyFont="1" applyFill="1" applyAlignment="1" applyProtection="1">
      <alignment wrapText="1"/>
    </xf>
    <xf numFmtId="1" fontId="15" fillId="17" borderId="0" xfId="20" applyNumberFormat="1" applyFont="1" applyFill="1" applyProtection="1"/>
    <xf numFmtId="0" fontId="29" fillId="0" borderId="0" xfId="20" applyFont="1" applyFill="1" applyProtection="1"/>
    <xf numFmtId="6" fontId="30" fillId="0" borderId="26" xfId="6" applyNumberFormat="1" applyFont="1" applyFill="1" applyBorder="1" applyAlignment="1" applyProtection="1">
      <alignment horizontal="right" vertical="center"/>
    </xf>
    <xf numFmtId="44" fontId="0" fillId="0" borderId="0" xfId="0" applyNumberFormat="1"/>
    <xf numFmtId="171" fontId="15" fillId="0" borderId="0" xfId="5" applyNumberFormat="1" applyFont="1" applyFill="1" applyProtection="1"/>
    <xf numFmtId="171" fontId="15" fillId="0" borderId="0" xfId="20" applyNumberFormat="1" applyFill="1" applyProtection="1"/>
    <xf numFmtId="9" fontId="15" fillId="0" borderId="0" xfId="28" applyFont="1" applyFill="1" applyProtection="1"/>
    <xf numFmtId="0" fontId="15" fillId="0" borderId="0" xfId="0" applyFont="1"/>
    <xf numFmtId="171" fontId="15" fillId="0" borderId="0" xfId="0" applyNumberFormat="1" applyFont="1"/>
    <xf numFmtId="9" fontId="15" fillId="0" borderId="0" xfId="0" applyNumberFormat="1" applyFont="1"/>
    <xf numFmtId="175" fontId="15" fillId="0" borderId="0" xfId="20" applyNumberFormat="1" applyFill="1" applyProtection="1"/>
    <xf numFmtId="175" fontId="15" fillId="0" borderId="0" xfId="20" applyNumberFormat="1" applyProtection="1"/>
    <xf numFmtId="171" fontId="15" fillId="0" borderId="0" xfId="20" applyNumberFormat="1" applyProtection="1"/>
    <xf numFmtId="9" fontId="15" fillId="0" borderId="0" xfId="20" applyNumberFormat="1" applyProtection="1"/>
    <xf numFmtId="0" fontId="54" fillId="0" borderId="0" xfId="20" applyFont="1" applyAlignment="1" applyProtection="1">
      <alignment horizontal="center"/>
    </xf>
    <xf numFmtId="0" fontId="54" fillId="0" borderId="10" xfId="20" applyFont="1" applyBorder="1" applyProtection="1"/>
    <xf numFmtId="0" fontId="15" fillId="0" borderId="10" xfId="20" applyBorder="1" applyProtection="1"/>
    <xf numFmtId="0" fontId="54" fillId="0" borderId="36" xfId="20" applyFont="1" applyBorder="1" applyProtection="1"/>
    <xf numFmtId="0" fontId="15" fillId="0" borderId="36" xfId="20" applyBorder="1" applyProtection="1"/>
    <xf numFmtId="0" fontId="54" fillId="0" borderId="0" xfId="20" applyFont="1" applyAlignment="1" applyProtection="1">
      <alignment horizontal="right"/>
    </xf>
    <xf numFmtId="0" fontId="29" fillId="0" borderId="0" xfId="20" applyFont="1" applyBorder="1" applyAlignment="1"/>
    <xf numFmtId="0" fontId="29" fillId="0" borderId="0" xfId="20" applyFont="1" applyBorder="1" applyAlignment="1">
      <alignment horizontal="center"/>
    </xf>
    <xf numFmtId="0" fontId="69" fillId="0" borderId="0" xfId="20" applyFont="1"/>
    <xf numFmtId="0" fontId="69" fillId="0" borderId="4" xfId="20" applyFont="1" applyBorder="1" applyAlignment="1">
      <alignment horizontal="right"/>
    </xf>
    <xf numFmtId="0" fontId="15" fillId="0" borderId="5" xfId="20" applyBorder="1" applyAlignment="1"/>
    <xf numFmtId="1" fontId="1" fillId="0" borderId="0" xfId="20" applyNumberFormat="1" applyFont="1" applyAlignment="1"/>
    <xf numFmtId="0" fontId="12" fillId="12" borderId="0" xfId="0" applyFont="1" applyFill="1"/>
    <xf numFmtId="44" fontId="69" fillId="0" borderId="35" xfId="6" applyNumberFormat="1" applyFont="1" applyBorder="1" applyAlignment="1"/>
    <xf numFmtId="0" fontId="30" fillId="0" borderId="0" xfId="20" applyFont="1" applyAlignment="1">
      <alignment horizontal="left" wrapText="1"/>
    </xf>
    <xf numFmtId="0" fontId="124" fillId="0" borderId="0" xfId="11" applyFont="1" applyAlignment="1">
      <alignment horizontal="center"/>
    </xf>
    <xf numFmtId="171" fontId="124" fillId="0" borderId="0" xfId="6" applyNumberFormat="1" applyFont="1" applyBorder="1"/>
    <xf numFmtId="171" fontId="124" fillId="0" borderId="0" xfId="6" applyNumberFormat="1" applyFont="1" applyFill="1" applyBorder="1"/>
    <xf numFmtId="175" fontId="125" fillId="0" borderId="0" xfId="20" applyNumberFormat="1" applyFont="1" applyFill="1" applyProtection="1"/>
    <xf numFmtId="44" fontId="126" fillId="24" borderId="0" xfId="6" applyFont="1" applyFill="1"/>
    <xf numFmtId="169" fontId="127" fillId="25" borderId="0" xfId="11" applyNumberFormat="1" applyFont="1" applyFill="1"/>
    <xf numFmtId="169" fontId="124" fillId="25" borderId="0" xfId="11" applyNumberFormat="1" applyFont="1" applyFill="1"/>
    <xf numFmtId="171" fontId="128" fillId="17" borderId="0" xfId="6" applyNumberFormat="1" applyFont="1" applyFill="1" applyBorder="1"/>
    <xf numFmtId="171" fontId="128" fillId="17" borderId="2" xfId="6" applyNumberFormat="1" applyFont="1" applyFill="1" applyBorder="1"/>
    <xf numFmtId="175" fontId="129" fillId="17" borderId="0" xfId="20" applyNumberFormat="1" applyFont="1" applyFill="1" applyProtection="1"/>
    <xf numFmtId="175" fontId="130" fillId="9" borderId="0" xfId="20" applyNumberFormat="1" applyFont="1" applyFill="1" applyProtection="1"/>
    <xf numFmtId="0" fontId="30" fillId="24" borderId="0" xfId="20" applyFont="1" applyFill="1" applyProtection="1"/>
    <xf numFmtId="0" fontId="15" fillId="24" borderId="0" xfId="20" applyFont="1" applyFill="1" applyAlignment="1" applyProtection="1">
      <alignment horizontal="center"/>
    </xf>
    <xf numFmtId="210" fontId="30" fillId="24" borderId="0" xfId="20" applyNumberFormat="1" applyFont="1" applyFill="1" applyProtection="1"/>
    <xf numFmtId="171" fontId="15" fillId="24" borderId="0" xfId="20" applyNumberFormat="1" applyFont="1" applyFill="1" applyProtection="1"/>
    <xf numFmtId="0" fontId="30" fillId="17" borderId="0" xfId="20" applyFont="1" applyFill="1" applyAlignment="1" applyProtection="1">
      <alignment horizontal="right"/>
    </xf>
    <xf numFmtId="0" fontId="15" fillId="24" borderId="0" xfId="20" applyFont="1" applyFill="1" applyAlignment="1" applyProtection="1">
      <alignment wrapText="1"/>
    </xf>
    <xf numFmtId="0" fontId="15" fillId="24" borderId="0" xfId="20" applyFont="1" applyFill="1" applyProtection="1"/>
    <xf numFmtId="1" fontId="15" fillId="24" borderId="0" xfId="20" applyNumberFormat="1" applyFont="1" applyFill="1" applyProtection="1"/>
    <xf numFmtId="0" fontId="15" fillId="27" borderId="26" xfId="20" applyFill="1" applyBorder="1" applyProtection="1"/>
    <xf numFmtId="171" fontId="30" fillId="27" borderId="26" xfId="6" applyNumberFormat="1" applyFont="1" applyFill="1" applyBorder="1" applyAlignment="1" applyProtection="1">
      <alignment horizontal="left" vertical="center"/>
    </xf>
    <xf numFmtId="0" fontId="112" fillId="28" borderId="0" xfId="23" applyFont="1" applyFill="1" applyAlignment="1" applyProtection="1">
      <alignment horizontal="center"/>
    </xf>
    <xf numFmtId="0" fontId="91" fillId="28" borderId="0" xfId="22" applyFont="1" applyFill="1" applyAlignment="1" applyProtection="1">
      <alignment horizontal="center"/>
    </xf>
    <xf numFmtId="14" fontId="91" fillId="28" borderId="0" xfId="22" applyNumberFormat="1" applyFont="1" applyFill="1" applyAlignment="1" applyProtection="1">
      <alignment horizontal="right"/>
    </xf>
    <xf numFmtId="196" fontId="91" fillId="28" borderId="0" xfId="31" applyNumberFormat="1" applyFont="1" applyFill="1" applyAlignment="1" applyProtection="1">
      <alignment horizontal="right"/>
    </xf>
    <xf numFmtId="195" fontId="91" fillId="28" borderId="0" xfId="22" applyNumberFormat="1" applyFont="1" applyFill="1" applyAlignment="1" applyProtection="1">
      <alignment horizontal="right"/>
    </xf>
    <xf numFmtId="195" fontId="91" fillId="28" borderId="62" xfId="22" applyNumberFormat="1" applyFont="1" applyFill="1" applyBorder="1" applyAlignment="1" applyProtection="1">
      <alignment horizontal="right"/>
    </xf>
    <xf numFmtId="195" fontId="91" fillId="28" borderId="0" xfId="22" applyNumberFormat="1" applyFont="1" applyFill="1" applyProtection="1"/>
    <xf numFmtId="0" fontId="91" fillId="28" borderId="0" xfId="22" applyFont="1" applyFill="1" applyProtection="1"/>
    <xf numFmtId="0" fontId="91" fillId="28" borderId="60" xfId="22" applyFont="1" applyFill="1" applyBorder="1" applyProtection="1"/>
    <xf numFmtId="197" fontId="91" fillId="28" borderId="0" xfId="22" applyNumberFormat="1" applyFont="1" applyFill="1" applyProtection="1"/>
    <xf numFmtId="185" fontId="91" fillId="28" borderId="0" xfId="22" applyNumberFormat="1" applyFont="1" applyFill="1" applyProtection="1"/>
    <xf numFmtId="197" fontId="91" fillId="28" borderId="0" xfId="22" applyNumberFormat="1" applyFont="1" applyFill="1" applyBorder="1" applyProtection="1"/>
    <xf numFmtId="179" fontId="91" fillId="28" borderId="0" xfId="22" applyNumberFormat="1" applyFont="1" applyFill="1" applyProtection="1"/>
    <xf numFmtId="2" fontId="91" fillId="28" borderId="0" xfId="22" quotePrefix="1" applyNumberFormat="1" applyFont="1" applyFill="1" applyProtection="1"/>
    <xf numFmtId="7" fontId="91" fillId="28" borderId="0" xfId="22" applyNumberFormat="1" applyFont="1" applyFill="1" applyProtection="1"/>
    <xf numFmtId="0" fontId="20" fillId="0" borderId="2" xfId="11" applyFont="1" applyBorder="1"/>
    <xf numFmtId="164" fontId="47" fillId="17" borderId="10" xfId="2" applyNumberFormat="1" applyFont="1" applyFill="1" applyBorder="1" applyProtection="1">
      <protection locked="0"/>
    </xf>
    <xf numFmtId="44" fontId="17" fillId="9" borderId="0" xfId="6" applyFont="1" applyFill="1" applyBorder="1"/>
    <xf numFmtId="164" fontId="15" fillId="0" borderId="0" xfId="2" applyNumberFormat="1" applyFont="1" applyProtection="1"/>
    <xf numFmtId="171" fontId="30" fillId="26" borderId="26" xfId="6" applyNumberFormat="1" applyFont="1" applyFill="1" applyBorder="1" applyAlignment="1" applyProtection="1">
      <alignment horizontal="left" vertical="center"/>
    </xf>
    <xf numFmtId="0" fontId="54" fillId="0" borderId="0" xfId="20" applyFont="1" applyBorder="1" applyProtection="1"/>
    <xf numFmtId="0" fontId="54" fillId="0" borderId="0" xfId="20" applyFont="1" applyBorder="1" applyAlignment="1" applyProtection="1">
      <alignment horizontal="center"/>
    </xf>
    <xf numFmtId="42" fontId="54" fillId="0" borderId="0" xfId="20" applyNumberFormat="1" applyFont="1" applyBorder="1" applyAlignment="1" applyProtection="1">
      <alignment horizontal="right"/>
    </xf>
    <xf numFmtId="42" fontId="54" fillId="0" borderId="0" xfId="20" applyNumberFormat="1" applyFont="1" applyBorder="1" applyAlignment="1" applyProtection="1">
      <alignment horizontal="center"/>
    </xf>
    <xf numFmtId="211" fontId="54" fillId="0" borderId="0" xfId="20" applyNumberFormat="1" applyFont="1" applyBorder="1" applyAlignment="1" applyProtection="1">
      <alignment horizontal="center"/>
    </xf>
    <xf numFmtId="212" fontId="15" fillId="0" borderId="0" xfId="20" applyNumberFormat="1" applyProtection="1"/>
    <xf numFmtId="44" fontId="0" fillId="12" borderId="18" xfId="0" applyNumberFormat="1" applyFill="1" applyBorder="1"/>
    <xf numFmtId="44" fontId="0" fillId="12" borderId="0" xfId="0" applyNumberFormat="1" applyFill="1" applyBorder="1"/>
    <xf numFmtId="173" fontId="18" fillId="0" borderId="0" xfId="28" applyNumberFormat="1" applyFont="1" applyFill="1" applyProtection="1">
      <protection locked="0"/>
    </xf>
    <xf numFmtId="0" fontId="124" fillId="0" borderId="0" xfId="11" applyFont="1" applyBorder="1" applyAlignment="1">
      <alignment horizontal="right"/>
    </xf>
    <xf numFmtId="0" fontId="47" fillId="17" borderId="0" xfId="11" applyFont="1" applyFill="1" applyBorder="1" applyProtection="1">
      <protection locked="0"/>
    </xf>
    <xf numFmtId="0" fontId="1" fillId="17" borderId="0" xfId="20" applyFont="1" applyFill="1" applyAlignment="1" applyProtection="1">
      <alignment horizontal="center"/>
    </xf>
    <xf numFmtId="0" fontId="15" fillId="4" borderId="0" xfId="20" applyFont="1" applyFill="1" applyBorder="1" applyAlignment="1" applyProtection="1">
      <alignment horizontal="left"/>
      <protection locked="0"/>
    </xf>
    <xf numFmtId="0" fontId="29" fillId="17" borderId="0" xfId="20" applyFont="1" applyFill="1" applyBorder="1" applyAlignment="1" applyProtection="1">
      <alignment horizontal="center"/>
    </xf>
    <xf numFmtId="0" fontId="1" fillId="0" borderId="0" xfId="20" applyFont="1" applyFill="1" applyAlignment="1" applyProtection="1">
      <alignment horizontal="center"/>
    </xf>
    <xf numFmtId="0" fontId="28" fillId="0" borderId="0" xfId="20" applyFont="1" applyBorder="1" applyAlignment="1" applyProtection="1">
      <alignment horizontal="center"/>
    </xf>
    <xf numFmtId="0" fontId="1" fillId="17" borderId="0" xfId="20" applyFont="1" applyFill="1" applyBorder="1" applyAlignment="1" applyProtection="1">
      <alignment horizontal="center"/>
    </xf>
    <xf numFmtId="0" fontId="29" fillId="0" borderId="0" xfId="20" applyFont="1" applyBorder="1" applyAlignment="1" applyProtection="1">
      <alignment horizontal="center"/>
    </xf>
    <xf numFmtId="0" fontId="1" fillId="17" borderId="0" xfId="20" applyFont="1" applyFill="1" applyBorder="1" applyAlignment="1" applyProtection="1">
      <alignment horizontal="left"/>
    </xf>
    <xf numFmtId="0" fontId="29" fillId="0" borderId="0" xfId="20" applyFont="1" applyBorder="1" applyAlignment="1" applyProtection="1">
      <alignment horizontal="left"/>
    </xf>
    <xf numFmtId="0" fontId="29" fillId="17" borderId="0" xfId="20" applyFont="1" applyFill="1" applyBorder="1" applyAlignment="1" applyProtection="1">
      <alignment horizontal="left"/>
    </xf>
    <xf numFmtId="0" fontId="1" fillId="0" borderId="0" xfId="20" applyFont="1" applyBorder="1" applyAlignment="1" applyProtection="1">
      <alignment horizontal="left"/>
    </xf>
    <xf numFmtId="0" fontId="29" fillId="0" borderId="0" xfId="20" applyFont="1" applyFill="1" applyBorder="1" applyAlignment="1" applyProtection="1">
      <alignment horizontal="left"/>
    </xf>
    <xf numFmtId="14" fontId="15" fillId="4" borderId="0" xfId="20" applyNumberFormat="1" applyFont="1" applyFill="1" applyBorder="1" applyAlignment="1" applyProtection="1">
      <alignment horizontal="left"/>
      <protection locked="0"/>
    </xf>
    <xf numFmtId="1" fontId="15" fillId="4" borderId="0" xfId="20" applyNumberFormat="1" applyFont="1" applyFill="1" applyBorder="1" applyAlignment="1" applyProtection="1">
      <alignment horizontal="left"/>
      <protection locked="0"/>
    </xf>
    <xf numFmtId="0" fontId="15" fillId="4" borderId="0" xfId="20" applyNumberFormat="1" applyFont="1" applyFill="1" applyBorder="1" applyAlignment="1" applyProtection="1">
      <alignment horizontal="left"/>
      <protection locked="0"/>
    </xf>
    <xf numFmtId="0" fontId="77" fillId="4" borderId="0" xfId="17" applyFill="1" applyBorder="1" applyAlignment="1" applyProtection="1">
      <alignment horizontal="left"/>
      <protection locked="0"/>
    </xf>
    <xf numFmtId="0" fontId="1" fillId="17" borderId="0" xfId="20" applyFont="1" applyFill="1" applyAlignment="1" applyProtection="1">
      <alignment horizontal="left"/>
    </xf>
    <xf numFmtId="0" fontId="1" fillId="0" borderId="0" xfId="20" applyFont="1" applyFill="1" applyAlignment="1" applyProtection="1">
      <alignment horizontal="left"/>
    </xf>
    <xf numFmtId="0" fontId="2" fillId="26" borderId="4" xfId="0" applyFont="1" applyFill="1" applyBorder="1" applyAlignment="1">
      <alignment horizontal="center" wrapText="1"/>
    </xf>
    <xf numFmtId="0" fontId="2" fillId="26" borderId="0" xfId="0" applyFont="1" applyFill="1" applyBorder="1" applyAlignment="1">
      <alignment horizontal="center" wrapText="1"/>
    </xf>
    <xf numFmtId="0" fontId="2" fillId="26" borderId="5" xfId="0" applyFont="1" applyFill="1" applyBorder="1" applyAlignment="1">
      <alignment horizontal="center" wrapText="1"/>
    </xf>
    <xf numFmtId="0" fontId="2" fillId="26" borderId="9" xfId="0" applyFont="1" applyFill="1" applyBorder="1" applyAlignment="1">
      <alignment horizontal="center" wrapText="1"/>
    </xf>
    <xf numFmtId="0" fontId="2" fillId="26" borderId="10" xfId="0" applyFont="1" applyFill="1" applyBorder="1" applyAlignment="1">
      <alignment horizontal="center" wrapText="1"/>
    </xf>
    <xf numFmtId="0" fontId="2" fillId="26" borderId="11" xfId="0" applyFont="1" applyFill="1" applyBorder="1" applyAlignment="1">
      <alignment horizontal="center" wrapText="1"/>
    </xf>
    <xf numFmtId="0" fontId="57" fillId="0" borderId="0" xfId="0" applyFont="1" applyAlignment="1">
      <alignment horizontal="right"/>
    </xf>
    <xf numFmtId="0" fontId="4" fillId="0" borderId="0" xfId="0" applyFont="1" applyAlignment="1">
      <alignment horizontal="center" wrapText="1"/>
    </xf>
    <xf numFmtId="0" fontId="59" fillId="0" borderId="0" xfId="0" applyFont="1" applyAlignment="1">
      <alignment horizontal="right" wrapText="1"/>
    </xf>
    <xf numFmtId="0" fontId="59" fillId="0" borderId="16" xfId="0" applyFont="1" applyBorder="1" applyAlignment="1">
      <alignment horizontal="right" wrapText="1"/>
    </xf>
    <xf numFmtId="164" fontId="2" fillId="11" borderId="0" xfId="0" applyNumberFormat="1" applyFont="1" applyFill="1" applyBorder="1" applyAlignment="1">
      <alignment horizontal="center"/>
    </xf>
    <xf numFmtId="164" fontId="2" fillId="11" borderId="5" xfId="0" applyNumberFormat="1" applyFont="1" applyFill="1" applyBorder="1" applyAlignment="1">
      <alignment horizontal="center"/>
    </xf>
    <xf numFmtId="164" fontId="2" fillId="11" borderId="10" xfId="0" applyNumberFormat="1" applyFont="1" applyFill="1" applyBorder="1" applyAlignment="1">
      <alignment horizontal="center"/>
    </xf>
    <xf numFmtId="164" fontId="2" fillId="11" borderId="11" xfId="0" applyNumberFormat="1" applyFont="1" applyFill="1" applyBorder="1" applyAlignment="1">
      <alignment horizontal="center"/>
    </xf>
    <xf numFmtId="0" fontId="9" fillId="0" borderId="1" xfId="0" applyFont="1" applyBorder="1" applyAlignment="1">
      <alignment horizontal="center"/>
    </xf>
    <xf numFmtId="0" fontId="9" fillId="0" borderId="2" xfId="0" applyFont="1" applyBorder="1" applyAlignment="1">
      <alignment horizontal="center"/>
    </xf>
    <xf numFmtId="0" fontId="9" fillId="0" borderId="3" xfId="0" applyFont="1" applyBorder="1" applyAlignment="1">
      <alignment horizontal="center"/>
    </xf>
    <xf numFmtId="0" fontId="2" fillId="8" borderId="4" xfId="0" applyFont="1" applyFill="1" applyBorder="1" applyAlignment="1">
      <alignment horizontal="center" wrapText="1"/>
    </xf>
    <xf numFmtId="0" fontId="2" fillId="8" borderId="0" xfId="0" applyFont="1" applyFill="1" applyBorder="1" applyAlignment="1">
      <alignment horizontal="center" wrapText="1"/>
    </xf>
    <xf numFmtId="0" fontId="2" fillId="8" borderId="5" xfId="0" applyFont="1" applyFill="1" applyBorder="1" applyAlignment="1">
      <alignment horizontal="center" wrapText="1"/>
    </xf>
    <xf numFmtId="0" fontId="2" fillId="8" borderId="9" xfId="0" applyFont="1" applyFill="1" applyBorder="1" applyAlignment="1">
      <alignment horizontal="center" wrapText="1"/>
    </xf>
    <xf numFmtId="0" fontId="2" fillId="8" borderId="10" xfId="0" applyFont="1" applyFill="1" applyBorder="1" applyAlignment="1">
      <alignment horizontal="center" wrapText="1"/>
    </xf>
    <xf numFmtId="0" fontId="2" fillId="8" borderId="11" xfId="0" applyFont="1" applyFill="1" applyBorder="1" applyAlignment="1">
      <alignment horizontal="center" wrapText="1"/>
    </xf>
    <xf numFmtId="0" fontId="2" fillId="9" borderId="4" xfId="0" applyFont="1" applyFill="1" applyBorder="1" applyAlignment="1">
      <alignment horizontal="center" wrapText="1"/>
    </xf>
    <xf numFmtId="0" fontId="2" fillId="9" borderId="0" xfId="0" applyFont="1" applyFill="1" applyBorder="1" applyAlignment="1">
      <alignment horizontal="center" wrapText="1"/>
    </xf>
    <xf numFmtId="0" fontId="2" fillId="9" borderId="5" xfId="0" applyFont="1" applyFill="1" applyBorder="1" applyAlignment="1">
      <alignment horizontal="center" wrapText="1"/>
    </xf>
    <xf numFmtId="0" fontId="2" fillId="9" borderId="9" xfId="0" applyFont="1" applyFill="1" applyBorder="1" applyAlignment="1">
      <alignment horizontal="center" wrapText="1"/>
    </xf>
    <xf numFmtId="0" fontId="2" fillId="9" borderId="10" xfId="0" applyFont="1" applyFill="1" applyBorder="1" applyAlignment="1">
      <alignment horizontal="center" wrapText="1"/>
    </xf>
    <xf numFmtId="0" fontId="2" fillId="9" borderId="11" xfId="0" applyFont="1" applyFill="1" applyBorder="1" applyAlignment="1">
      <alignment horizontal="center" wrapText="1"/>
    </xf>
    <xf numFmtId="0" fontId="6" fillId="0" borderId="0" xfId="11" applyAlignment="1">
      <alignment horizontal="right"/>
    </xf>
    <xf numFmtId="0" fontId="52" fillId="0" borderId="0" xfId="11" applyFont="1" applyAlignment="1">
      <alignment horizontal="center"/>
    </xf>
    <xf numFmtId="0" fontId="0" fillId="0" borderId="0" xfId="0" applyAlignment="1">
      <alignment horizontal="center"/>
    </xf>
    <xf numFmtId="0" fontId="3" fillId="0" borderId="0" xfId="0" applyFont="1" applyAlignment="1">
      <alignment horizontal="center" wrapText="1"/>
    </xf>
    <xf numFmtId="0" fontId="3" fillId="0" borderId="10" xfId="0" applyFont="1" applyBorder="1" applyAlignment="1">
      <alignment horizontal="center" wrapText="1"/>
    </xf>
    <xf numFmtId="0" fontId="59" fillId="20" borderId="0" xfId="0" applyFont="1" applyFill="1" applyBorder="1" applyAlignment="1" applyProtection="1">
      <alignment horizontal="center"/>
      <protection locked="0"/>
    </xf>
    <xf numFmtId="165" fontId="59" fillId="20" borderId="0" xfId="0" applyNumberFormat="1" applyFont="1" applyFill="1" applyBorder="1" applyAlignment="1" applyProtection="1">
      <alignment horizontal="center"/>
      <protection locked="0"/>
    </xf>
    <xf numFmtId="0" fontId="55" fillId="0" borderId="0" xfId="0" applyFont="1" applyAlignment="1">
      <alignment horizontal="left" wrapText="1"/>
    </xf>
    <xf numFmtId="0" fontId="57" fillId="0" borderId="0" xfId="0" applyFont="1" applyAlignment="1">
      <alignment horizontal="left"/>
    </xf>
    <xf numFmtId="0" fontId="41" fillId="17" borderId="0" xfId="11" applyFont="1" applyFill="1" applyBorder="1" applyAlignment="1">
      <alignment horizontal="center" vertical="center" wrapText="1"/>
    </xf>
    <xf numFmtId="0" fontId="41" fillId="17" borderId="0" xfId="11" applyFont="1" applyFill="1" applyAlignment="1">
      <alignment horizontal="center" vertical="center" wrapText="1"/>
    </xf>
    <xf numFmtId="0" fontId="14" fillId="0" borderId="0" xfId="11" applyFont="1" applyFill="1" applyBorder="1" applyAlignment="1">
      <alignment horizontal="center"/>
    </xf>
    <xf numFmtId="0" fontId="14" fillId="3" borderId="0" xfId="11" applyFont="1" applyFill="1" applyBorder="1" applyAlignment="1">
      <alignment horizontal="center"/>
    </xf>
    <xf numFmtId="0" fontId="14" fillId="22" borderId="0" xfId="11" applyFont="1" applyFill="1" applyBorder="1" applyAlignment="1">
      <alignment horizontal="center"/>
    </xf>
    <xf numFmtId="0" fontId="14" fillId="22" borderId="5" xfId="11" applyFont="1" applyFill="1" applyBorder="1" applyAlignment="1">
      <alignment horizontal="center"/>
    </xf>
    <xf numFmtId="0" fontId="14" fillId="16" borderId="0" xfId="11" applyFont="1" applyFill="1" applyBorder="1" applyAlignment="1">
      <alignment horizontal="center"/>
    </xf>
    <xf numFmtId="0" fontId="16" fillId="12" borderId="41" xfId="11" applyFont="1" applyFill="1" applyBorder="1" applyAlignment="1">
      <alignment horizontal="center"/>
    </xf>
    <xf numFmtId="0" fontId="16" fillId="12" borderId="27" xfId="11" applyFont="1" applyFill="1" applyBorder="1" applyAlignment="1">
      <alignment horizontal="center"/>
    </xf>
    <xf numFmtId="0" fontId="16" fillId="12" borderId="42" xfId="11" applyFont="1" applyFill="1" applyBorder="1" applyAlignment="1">
      <alignment horizontal="center"/>
    </xf>
    <xf numFmtId="1" fontId="15" fillId="2" borderId="6" xfId="20" applyNumberFormat="1" applyFont="1" applyFill="1" applyBorder="1" applyAlignment="1" applyProtection="1">
      <alignment horizontal="center" wrapText="1"/>
    </xf>
    <xf numFmtId="1" fontId="15" fillId="2" borderId="0" xfId="20" applyNumberFormat="1" applyFont="1" applyFill="1" applyBorder="1" applyAlignment="1" applyProtection="1">
      <alignment horizontal="center" wrapText="1"/>
    </xf>
    <xf numFmtId="0" fontId="15" fillId="0" borderId="30" xfId="20" applyFont="1" applyBorder="1" applyAlignment="1" applyProtection="1">
      <alignment horizontal="center"/>
    </xf>
    <xf numFmtId="0" fontId="15" fillId="0" borderId="33" xfId="20" applyFont="1" applyBorder="1" applyAlignment="1" applyProtection="1">
      <alignment horizontal="center"/>
    </xf>
    <xf numFmtId="0" fontId="82" fillId="9" borderId="0" xfId="20" applyFont="1" applyFill="1" applyAlignment="1" applyProtection="1">
      <alignment horizontal="right" wrapText="1"/>
    </xf>
    <xf numFmtId="0" fontId="51" fillId="17" borderId="0" xfId="20" applyFont="1" applyFill="1" applyAlignment="1" applyProtection="1">
      <alignment horizontal="right"/>
    </xf>
    <xf numFmtId="0" fontId="51" fillId="0" borderId="0" xfId="20" applyFont="1" applyFill="1" applyAlignment="1" applyProtection="1">
      <alignment horizontal="right"/>
    </xf>
    <xf numFmtId="0" fontId="82" fillId="9" borderId="0" xfId="20" applyFont="1" applyFill="1" applyAlignment="1" applyProtection="1">
      <alignment horizontal="right"/>
    </xf>
    <xf numFmtId="0" fontId="47" fillId="17" borderId="0" xfId="11" applyFont="1" applyFill="1" applyBorder="1" applyAlignment="1">
      <alignment horizontal="left" wrapText="1"/>
    </xf>
    <xf numFmtId="0" fontId="14" fillId="21" borderId="0" xfId="11" applyFont="1" applyFill="1" applyBorder="1" applyAlignment="1">
      <alignment horizontal="center"/>
    </xf>
    <xf numFmtId="0" fontId="66" fillId="0" borderId="20" xfId="20" applyFont="1" applyBorder="1" applyAlignment="1" applyProtection="1">
      <alignment horizontal="center" wrapText="1"/>
    </xf>
    <xf numFmtId="0" fontId="66" fillId="0" borderId="24" xfId="20" applyFont="1" applyBorder="1" applyAlignment="1" applyProtection="1">
      <alignment horizontal="center" wrapText="1"/>
    </xf>
    <xf numFmtId="0" fontId="66" fillId="0" borderId="23" xfId="20" applyFont="1" applyBorder="1" applyAlignment="1" applyProtection="1">
      <alignment horizontal="center" wrapText="1"/>
    </xf>
    <xf numFmtId="0" fontId="61" fillId="0" borderId="0" xfId="20" applyFont="1" applyAlignment="1" applyProtection="1">
      <alignment horizontal="center" vertical="center" wrapText="1"/>
    </xf>
    <xf numFmtId="0" fontId="62" fillId="0" borderId="0" xfId="20" applyFont="1" applyAlignment="1" applyProtection="1">
      <alignment horizontal="center" vertical="center" wrapText="1"/>
    </xf>
    <xf numFmtId="0" fontId="46" fillId="0" borderId="0" xfId="20" applyFont="1" applyAlignment="1" applyProtection="1">
      <alignment horizontal="center"/>
    </xf>
    <xf numFmtId="0" fontId="36" fillId="0" borderId="20" xfId="20" applyFont="1" applyBorder="1" applyAlignment="1" applyProtection="1">
      <alignment horizontal="center" wrapText="1"/>
    </xf>
    <xf numFmtId="0" fontId="36" fillId="0" borderId="24" xfId="20" applyFont="1" applyBorder="1" applyAlignment="1" applyProtection="1">
      <alignment horizontal="center" wrapText="1"/>
    </xf>
    <xf numFmtId="0" fontId="36" fillId="0" borderId="23" xfId="20" applyFont="1" applyBorder="1" applyAlignment="1" applyProtection="1">
      <alignment horizontal="center" wrapText="1"/>
    </xf>
    <xf numFmtId="0" fontId="38" fillId="0" borderId="0" xfId="20" applyFont="1" applyFill="1" applyAlignment="1" applyProtection="1">
      <alignment horizontal="left"/>
    </xf>
    <xf numFmtId="175" fontId="38" fillId="0" borderId="0" xfId="20" applyNumberFormat="1" applyFont="1" applyFill="1" applyAlignment="1" applyProtection="1">
      <alignment horizontal="right"/>
    </xf>
    <xf numFmtId="0" fontId="36" fillId="27" borderId="20" xfId="20" applyFont="1" applyFill="1" applyBorder="1" applyAlignment="1" applyProtection="1">
      <alignment horizontal="center" wrapText="1"/>
    </xf>
    <xf numFmtId="0" fontId="36" fillId="27" borderId="24" xfId="20" applyFont="1" applyFill="1" applyBorder="1" applyAlignment="1" applyProtection="1">
      <alignment horizontal="center" wrapText="1"/>
    </xf>
    <xf numFmtId="0" fontId="36" fillId="27" borderId="23" xfId="20" applyFont="1" applyFill="1" applyBorder="1" applyAlignment="1" applyProtection="1">
      <alignment horizontal="center" wrapText="1"/>
    </xf>
    <xf numFmtId="175" fontId="48" fillId="0" borderId="0" xfId="20" applyNumberFormat="1" applyFont="1" applyBorder="1" applyAlignment="1" applyProtection="1">
      <alignment horizontal="center"/>
    </xf>
    <xf numFmtId="171" fontId="48" fillId="0" borderId="0" xfId="5" applyNumberFormat="1" applyFont="1" applyBorder="1" applyAlignment="1" applyProtection="1">
      <alignment horizontal="center"/>
    </xf>
    <xf numFmtId="171" fontId="48" fillId="17" borderId="0" xfId="5" applyNumberFormat="1" applyFont="1" applyFill="1" applyBorder="1" applyAlignment="1" applyProtection="1">
      <alignment horizontal="center"/>
    </xf>
    <xf numFmtId="49" fontId="32" fillId="0" borderId="0" xfId="20" applyNumberFormat="1" applyFont="1" applyFill="1" applyAlignment="1" applyProtection="1">
      <alignment horizontal="left"/>
    </xf>
    <xf numFmtId="0" fontId="30" fillId="0" borderId="2" xfId="20" applyFont="1" applyBorder="1" applyAlignment="1" applyProtection="1">
      <alignment horizontal="center" vertical="center" wrapText="1"/>
    </xf>
    <xf numFmtId="0" fontId="30" fillId="0" borderId="0" xfId="20" applyFont="1" applyBorder="1" applyAlignment="1" applyProtection="1">
      <alignment horizontal="center" vertical="center" wrapText="1"/>
    </xf>
    <xf numFmtId="0" fontId="30" fillId="0" borderId="10" xfId="20" applyFont="1" applyBorder="1" applyAlignment="1" applyProtection="1">
      <alignment horizontal="center" vertical="center" wrapText="1"/>
    </xf>
    <xf numFmtId="178" fontId="81" fillId="9" borderId="0" xfId="2" applyNumberFormat="1" applyFont="1" applyFill="1" applyBorder="1" applyAlignment="1" applyProtection="1">
      <alignment horizontal="center" vertical="center"/>
    </xf>
    <xf numFmtId="164" fontId="81" fillId="9" borderId="0" xfId="20" applyNumberFormat="1" applyFont="1" applyFill="1" applyBorder="1" applyAlignment="1" applyProtection="1">
      <alignment horizontal="center" vertical="center"/>
    </xf>
    <xf numFmtId="0" fontId="30" fillId="0" borderId="1" xfId="20" applyFont="1" applyBorder="1" applyAlignment="1" applyProtection="1">
      <alignment horizontal="center" vertical="center" wrapText="1"/>
    </xf>
    <xf numFmtId="0" fontId="30" fillId="0" borderId="3" xfId="20" applyFont="1" applyBorder="1" applyAlignment="1" applyProtection="1">
      <alignment horizontal="center" vertical="center" wrapText="1"/>
    </xf>
    <xf numFmtId="0" fontId="30" fillId="0" borderId="4" xfId="20" applyFont="1" applyBorder="1" applyAlignment="1" applyProtection="1">
      <alignment horizontal="center" vertical="center" wrapText="1"/>
    </xf>
    <xf numFmtId="0" fontId="30" fillId="0" borderId="5" xfId="20" applyFont="1" applyBorder="1" applyAlignment="1" applyProtection="1">
      <alignment horizontal="center" vertical="center" wrapText="1"/>
    </xf>
    <xf numFmtId="0" fontId="30" fillId="0" borderId="9" xfId="20" applyFont="1" applyBorder="1" applyAlignment="1" applyProtection="1">
      <alignment horizontal="center" vertical="center" wrapText="1"/>
    </xf>
    <xf numFmtId="0" fontId="30" fillId="0" borderId="11" xfId="20" applyFont="1" applyBorder="1" applyAlignment="1" applyProtection="1">
      <alignment horizontal="center" vertical="center" wrapText="1"/>
    </xf>
    <xf numFmtId="0" fontId="36" fillId="0" borderId="0" xfId="20" applyFont="1" applyBorder="1" applyAlignment="1" applyProtection="1">
      <alignment horizontal="center" wrapText="1"/>
    </xf>
    <xf numFmtId="0" fontId="36" fillId="0" borderId="10" xfId="20" applyFont="1" applyBorder="1" applyAlignment="1" applyProtection="1">
      <alignment horizontal="center" wrapText="1"/>
    </xf>
    <xf numFmtId="0" fontId="66" fillId="0" borderId="0" xfId="20" applyFont="1" applyBorder="1" applyAlignment="1" applyProtection="1">
      <alignment horizontal="center" wrapText="1"/>
    </xf>
    <xf numFmtId="0" fontId="66" fillId="0" borderId="10" xfId="20" applyFont="1" applyBorder="1" applyAlignment="1" applyProtection="1">
      <alignment horizontal="center" wrapText="1"/>
    </xf>
    <xf numFmtId="42" fontId="54" fillId="0" borderId="10" xfId="20" applyNumberFormat="1" applyFont="1" applyBorder="1" applyAlignment="1" applyProtection="1">
      <alignment horizontal="center"/>
    </xf>
    <xf numFmtId="42" fontId="54" fillId="0" borderId="10" xfId="20" applyNumberFormat="1" applyFont="1" applyBorder="1" applyAlignment="1" applyProtection="1">
      <alignment horizontal="right"/>
    </xf>
    <xf numFmtId="0" fontId="33" fillId="17" borderId="0" xfId="20" applyFont="1" applyFill="1" applyBorder="1" applyAlignment="1" applyProtection="1">
      <alignment horizontal="center"/>
    </xf>
    <xf numFmtId="10" fontId="48" fillId="17" borderId="0" xfId="20" applyNumberFormat="1" applyFont="1" applyFill="1" applyBorder="1" applyAlignment="1" applyProtection="1">
      <alignment horizontal="center"/>
    </xf>
    <xf numFmtId="0" fontId="15" fillId="17" borderId="0" xfId="20" applyFill="1" applyAlignment="1" applyProtection="1">
      <alignment horizontal="center"/>
    </xf>
    <xf numFmtId="211" fontId="54" fillId="0" borderId="36" xfId="20" applyNumberFormat="1" applyFont="1" applyBorder="1" applyAlignment="1" applyProtection="1">
      <alignment horizontal="center"/>
    </xf>
    <xf numFmtId="42" fontId="54" fillId="0" borderId="36" xfId="20" applyNumberFormat="1" applyFont="1" applyBorder="1" applyAlignment="1" applyProtection="1">
      <alignment horizontal="center"/>
    </xf>
    <xf numFmtId="0" fontId="31" fillId="0" borderId="10" xfId="20" applyFont="1" applyBorder="1" applyAlignment="1">
      <alignment horizontal="center"/>
    </xf>
    <xf numFmtId="0" fontId="15" fillId="0" borderId="10" xfId="20" applyBorder="1" applyAlignment="1">
      <alignment horizontal="center"/>
    </xf>
    <xf numFmtId="0" fontId="30" fillId="0" borderId="10" xfId="20" applyFont="1" applyBorder="1" applyAlignment="1">
      <alignment horizontal="center"/>
    </xf>
    <xf numFmtId="0" fontId="31" fillId="0" borderId="4" xfId="20" applyFont="1" applyBorder="1" applyAlignment="1">
      <alignment wrapText="1"/>
    </xf>
    <xf numFmtId="0" fontId="31" fillId="0" borderId="0" xfId="20" applyFont="1" applyAlignment="1">
      <alignment wrapText="1"/>
    </xf>
    <xf numFmtId="0" fontId="15" fillId="0" borderId="4" xfId="20" applyBorder="1" applyAlignment="1"/>
    <xf numFmtId="0" fontId="15" fillId="0" borderId="0" xfId="20" applyAlignment="1"/>
    <xf numFmtId="0" fontId="31" fillId="0" borderId="6" xfId="20" applyFont="1" applyBorder="1" applyAlignment="1">
      <alignment horizontal="left" vertical="center" wrapText="1"/>
    </xf>
    <xf numFmtId="0" fontId="15" fillId="0" borderId="6" xfId="20" applyBorder="1" applyAlignment="1">
      <alignment horizontal="left" vertical="center"/>
    </xf>
    <xf numFmtId="0" fontId="15" fillId="0" borderId="0" xfId="20" applyAlignment="1">
      <alignment horizontal="left" vertical="center"/>
    </xf>
    <xf numFmtId="0" fontId="15" fillId="0" borderId="10" xfId="20" applyBorder="1" applyAlignment="1">
      <alignment horizontal="left" vertical="center"/>
    </xf>
    <xf numFmtId="0" fontId="69" fillId="0" borderId="4" xfId="20" applyFont="1" applyBorder="1" applyAlignment="1">
      <alignment horizontal="center" wrapText="1"/>
    </xf>
    <xf numFmtId="0" fontId="15" fillId="0" borderId="0" xfId="20" applyBorder="1" applyAlignment="1">
      <alignment horizontal="center" wrapText="1"/>
    </xf>
    <xf numFmtId="0" fontId="15" fillId="0" borderId="4" xfId="20" applyBorder="1" applyAlignment="1">
      <alignment horizontal="center" wrapText="1"/>
    </xf>
    <xf numFmtId="0" fontId="69" fillId="0" borderId="37" xfId="20" applyFont="1" applyBorder="1" applyAlignment="1">
      <alignment horizontal="center"/>
    </xf>
    <xf numFmtId="0" fontId="69" fillId="0" borderId="36" xfId="20" applyFont="1" applyBorder="1" applyAlignment="1">
      <alignment horizontal="center"/>
    </xf>
    <xf numFmtId="0" fontId="69" fillId="0" borderId="38" xfId="20" applyFont="1" applyBorder="1" applyAlignment="1">
      <alignment horizontal="center"/>
    </xf>
    <xf numFmtId="0" fontId="73" fillId="0" borderId="4" xfId="20" applyFont="1" applyBorder="1" applyAlignment="1">
      <alignment horizontal="center" wrapText="1"/>
    </xf>
    <xf numFmtId="0" fontId="73" fillId="0" borderId="0" xfId="20" applyFont="1" applyBorder="1" applyAlignment="1">
      <alignment horizontal="center" wrapText="1"/>
    </xf>
    <xf numFmtId="0" fontId="64" fillId="0" borderId="0" xfId="20" applyFont="1" applyBorder="1" applyAlignment="1">
      <alignment horizontal="center"/>
    </xf>
    <xf numFmtId="0" fontId="15" fillId="0" borderId="5" xfId="20" applyBorder="1" applyAlignment="1"/>
    <xf numFmtId="0" fontId="73" fillId="0" borderId="9" xfId="20" applyFont="1" applyBorder="1" applyAlignment="1">
      <alignment horizontal="center" wrapText="1"/>
    </xf>
    <xf numFmtId="0" fontId="73" fillId="0" borderId="10" xfId="20" applyFont="1" applyBorder="1" applyAlignment="1">
      <alignment horizontal="center" wrapText="1"/>
    </xf>
    <xf numFmtId="0" fontId="64" fillId="0" borderId="10" xfId="20" applyFont="1" applyBorder="1" applyAlignment="1">
      <alignment horizontal="center"/>
    </xf>
    <xf numFmtId="0" fontId="15" fillId="0" borderId="11" xfId="20" applyBorder="1" applyAlignment="1"/>
    <xf numFmtId="0" fontId="30" fillId="0" borderId="0" xfId="20" applyFont="1" applyAlignment="1">
      <alignment horizontal="left" wrapText="1" indent="1"/>
    </xf>
    <xf numFmtId="0" fontId="15" fillId="0" borderId="0" xfId="20" applyAlignment="1">
      <alignment wrapText="1"/>
    </xf>
    <xf numFmtId="0" fontId="15" fillId="0" borderId="0" xfId="20" applyBorder="1" applyAlignment="1">
      <alignment wrapText="1"/>
    </xf>
    <xf numFmtId="0" fontId="31" fillId="0" borderId="0" xfId="20" applyFont="1" applyBorder="1" applyAlignment="1">
      <alignment horizontal="justify" wrapText="1"/>
    </xf>
    <xf numFmtId="0" fontId="15" fillId="0" borderId="0" xfId="20" applyAlignment="1">
      <alignment horizontal="justify" wrapText="1"/>
    </xf>
    <xf numFmtId="0" fontId="30" fillId="0" borderId="0" xfId="20" applyFont="1" applyBorder="1" applyAlignment="1">
      <alignment horizontal="justify" wrapText="1"/>
    </xf>
    <xf numFmtId="0" fontId="30" fillId="0" borderId="0" xfId="20" applyFont="1" applyBorder="1" applyAlignment="1">
      <alignment wrapText="1"/>
    </xf>
    <xf numFmtId="0" fontId="30" fillId="0" borderId="0" xfId="20" applyFont="1" applyAlignment="1">
      <alignment wrapText="1"/>
    </xf>
    <xf numFmtId="0" fontId="31" fillId="0" borderId="0" xfId="20" applyFont="1" applyBorder="1" applyAlignment="1">
      <alignment wrapText="1"/>
    </xf>
    <xf numFmtId="0" fontId="30" fillId="0" borderId="0" xfId="20" applyFont="1" applyAlignment="1">
      <alignment horizontal="justify" wrapText="1"/>
    </xf>
    <xf numFmtId="0" fontId="31" fillId="0" borderId="0" xfId="20" applyFont="1" applyAlignment="1">
      <alignment horizontal="justify" vertical="center" wrapText="1"/>
    </xf>
    <xf numFmtId="0" fontId="15" fillId="0" borderId="0" xfId="20" applyAlignment="1">
      <alignment horizontal="justify" vertical="center" wrapText="1"/>
    </xf>
    <xf numFmtId="0" fontId="31" fillId="0" borderId="0" xfId="20" applyFont="1" applyAlignment="1">
      <alignment horizontal="justify" wrapText="1"/>
    </xf>
    <xf numFmtId="0" fontId="30" fillId="0" borderId="0" xfId="20" applyFont="1" applyAlignment="1">
      <alignment horizontal="center" wrapText="1"/>
    </xf>
    <xf numFmtId="0" fontId="15" fillId="0" borderId="0" xfId="20" applyAlignment="1">
      <alignment horizontal="center" wrapText="1"/>
    </xf>
    <xf numFmtId="0" fontId="15" fillId="0" borderId="0" xfId="20" applyBorder="1" applyAlignment="1">
      <alignment horizontal="justify" wrapText="1"/>
    </xf>
    <xf numFmtId="0" fontId="31" fillId="0" borderId="0" xfId="20" applyFont="1" applyBorder="1" applyAlignment="1">
      <alignment horizontal="justify" vertical="center" wrapText="1"/>
    </xf>
    <xf numFmtId="0" fontId="15" fillId="0" borderId="0" xfId="20" applyBorder="1" applyAlignment="1">
      <alignment horizontal="justify" vertical="center" wrapText="1"/>
    </xf>
    <xf numFmtId="0" fontId="31" fillId="0" borderId="0" xfId="20" applyFont="1" applyBorder="1" applyAlignment="1">
      <alignment horizontal="center"/>
    </xf>
    <xf numFmtId="0" fontId="15" fillId="0" borderId="0" xfId="20" applyBorder="1" applyAlignment="1">
      <alignment horizontal="center"/>
    </xf>
    <xf numFmtId="0" fontId="71" fillId="0" borderId="0" xfId="20" applyFont="1" applyBorder="1" applyAlignment="1">
      <alignment horizontal="center" wrapText="1"/>
    </xf>
    <xf numFmtId="0" fontId="1" fillId="0" borderId="0" xfId="20" applyFont="1" applyBorder="1" applyAlignment="1">
      <alignment horizontal="center" wrapText="1"/>
    </xf>
    <xf numFmtId="0" fontId="69" fillId="0" borderId="0" xfId="20" applyFont="1" applyBorder="1" applyAlignment="1">
      <alignment horizontal="right" wrapText="1"/>
    </xf>
    <xf numFmtId="0" fontId="69" fillId="0" borderId="0" xfId="20" applyFont="1" applyBorder="1" applyAlignment="1">
      <alignment horizontal="center" wrapText="1"/>
    </xf>
    <xf numFmtId="0" fontId="30" fillId="0" borderId="4" xfId="20" applyFont="1" applyBorder="1" applyAlignment="1">
      <alignment horizontal="left"/>
    </xf>
    <xf numFmtId="0" fontId="30" fillId="0" borderId="5" xfId="20" applyFont="1" applyBorder="1" applyAlignment="1">
      <alignment horizontal="left"/>
    </xf>
    <xf numFmtId="0" fontId="74" fillId="0" borderId="0" xfId="20" applyFont="1" applyBorder="1" applyAlignment="1">
      <alignment horizontal="center" wrapText="1"/>
    </xf>
    <xf numFmtId="0" fontId="76" fillId="0" borderId="0" xfId="20" applyFont="1" applyBorder="1" applyAlignment="1">
      <alignment horizontal="center"/>
    </xf>
    <xf numFmtId="0" fontId="69" fillId="0" borderId="0" xfId="20" applyFont="1" applyAlignment="1">
      <alignment horizontal="right"/>
    </xf>
    <xf numFmtId="0" fontId="69" fillId="0" borderId="15" xfId="20" applyFont="1" applyBorder="1" applyAlignment="1">
      <alignment horizontal="right"/>
    </xf>
    <xf numFmtId="0" fontId="69" fillId="0" borderId="0" xfId="20" applyFont="1" applyAlignment="1">
      <alignment horizontal="right" wrapText="1"/>
    </xf>
    <xf numFmtId="0" fontId="73" fillId="0" borderId="0" xfId="20" applyFont="1" applyAlignment="1">
      <alignment horizontal="center" wrapText="1"/>
    </xf>
    <xf numFmtId="0" fontId="64" fillId="0" borderId="0" xfId="20" applyFont="1" applyAlignment="1">
      <alignment horizontal="center"/>
    </xf>
    <xf numFmtId="0" fontId="29" fillId="0" borderId="37" xfId="20" applyFont="1" applyBorder="1" applyAlignment="1">
      <alignment horizontal="center" wrapText="1"/>
    </xf>
    <xf numFmtId="0" fontId="15" fillId="0" borderId="38" xfId="20" applyBorder="1" applyAlignment="1">
      <alignment horizontal="center" wrapText="1"/>
    </xf>
    <xf numFmtId="0" fontId="30" fillId="0" borderId="10" xfId="20" applyFont="1" applyBorder="1" applyAlignment="1">
      <alignment horizontal="left"/>
    </xf>
    <xf numFmtId="0" fontId="15" fillId="0" borderId="10" xfId="20" applyBorder="1" applyAlignment="1">
      <alignment horizontal="left"/>
    </xf>
    <xf numFmtId="0" fontId="69" fillId="0" borderId="0" xfId="20" applyFont="1" applyBorder="1" applyAlignment="1">
      <alignment horizontal="right"/>
    </xf>
    <xf numFmtId="0" fontId="30" fillId="0" borderId="0" xfId="20" applyFont="1" applyBorder="1" applyAlignment="1">
      <alignment horizontal="left" wrapText="1"/>
    </xf>
    <xf numFmtId="0" fontId="30" fillId="0" borderId="0" xfId="20" applyFont="1" applyAlignment="1">
      <alignment horizontal="left" wrapText="1"/>
    </xf>
    <xf numFmtId="0" fontId="16" fillId="12" borderId="28" xfId="11" applyFont="1" applyFill="1" applyBorder="1" applyAlignment="1">
      <alignment horizontal="center"/>
    </xf>
    <xf numFmtId="0" fontId="16" fillId="12" borderId="6" xfId="11" applyFont="1" applyFill="1" applyBorder="1" applyAlignment="1">
      <alignment horizontal="center"/>
    </xf>
    <xf numFmtId="0" fontId="83" fillId="12" borderId="28" xfId="20" applyFont="1" applyFill="1" applyBorder="1" applyAlignment="1" applyProtection="1">
      <alignment horizontal="center"/>
    </xf>
    <xf numFmtId="0" fontId="83" fillId="12" borderId="6" xfId="20" applyFont="1" applyFill="1" applyBorder="1" applyAlignment="1" applyProtection="1">
      <alignment horizontal="center"/>
    </xf>
    <xf numFmtId="0" fontId="83" fillId="12" borderId="30" xfId="20" applyFont="1" applyFill="1" applyBorder="1" applyAlignment="1" applyProtection="1">
      <alignment horizontal="center"/>
    </xf>
  </cellXfs>
  <cellStyles count="36">
    <cellStyle name="Body: normal cell" xfId="1"/>
    <cellStyle name="Comma" xfId="2" builtinId="3"/>
    <cellStyle name="Comma 2" xfId="3"/>
    <cellStyle name="Comma 3" xfId="4"/>
    <cellStyle name="Currency" xfId="5" builtinId="4"/>
    <cellStyle name="Currency 2" xfId="6"/>
    <cellStyle name="Currency 2 2" xfId="7"/>
    <cellStyle name="Currency 2 3" xfId="8"/>
    <cellStyle name="Currency 3" xfId="9"/>
    <cellStyle name="Currency 4" xfId="10"/>
    <cellStyle name="Excel Built-in Normal" xfId="11"/>
    <cellStyle name="Followed Hyperlink" xfId="35" builtinId="9" hidden="1"/>
    <cellStyle name="Font: Calibri, 9pt regular" xfId="12"/>
    <cellStyle name="Footnotes: all except top row" xfId="13"/>
    <cellStyle name="Footnotes: top row" xfId="14"/>
    <cellStyle name="Header: bottom row" xfId="15"/>
    <cellStyle name="Header: top rows" xfId="16"/>
    <cellStyle name="Hyperlink" xfId="17" builtinId="8"/>
    <cellStyle name="Hyperlink 2" xfId="18"/>
    <cellStyle name="Hyperlink 3" xfId="19"/>
    <cellStyle name="Normal" xfId="0" builtinId="0"/>
    <cellStyle name="Normal 2" xfId="20"/>
    <cellStyle name="Normal 2 2" xfId="21"/>
    <cellStyle name="Normal 2 3" xfId="22"/>
    <cellStyle name="Normal 2 87" xfId="23"/>
    <cellStyle name="Normal 3" xfId="24"/>
    <cellStyle name="Normal 4" xfId="25"/>
    <cellStyle name="Normal 5" xfId="26"/>
    <cellStyle name="Parent row" xfId="27"/>
    <cellStyle name="Percent" xfId="28" builtinId="5"/>
    <cellStyle name="Percent 2" xfId="29"/>
    <cellStyle name="Percent 2 2" xfId="30"/>
    <cellStyle name="Percent 2 3" xfId="31"/>
    <cellStyle name="Section Break" xfId="32"/>
    <cellStyle name="Section Break: parent row" xfId="33"/>
    <cellStyle name="Table title" xfId="34"/>
  </cellStyles>
  <dxfs count="9">
    <dxf>
      <font>
        <b/>
        <i val="0"/>
        <condense val="0"/>
        <extend val="0"/>
        <color indexed="56"/>
      </font>
      <fill>
        <patternFill>
          <bgColor indexed="46"/>
        </patternFill>
      </fill>
    </dxf>
    <dxf>
      <font>
        <b/>
        <i val="0"/>
        <condense val="0"/>
        <extend val="0"/>
        <color indexed="56"/>
      </font>
      <fill>
        <patternFill>
          <bgColor indexed="46"/>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externalLink" Target="externalLinks/externalLink1.xml"/><Relationship Id="rId12" Type="http://schemas.openxmlformats.org/officeDocument/2006/relationships/externalLink" Target="externalLinks/externalLink2.xml"/><Relationship Id="rId13" Type="http://schemas.openxmlformats.org/officeDocument/2006/relationships/externalLink" Target="externalLinks/externalLink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 Id="rId1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overlay val="0"/>
      <c:txPr>
        <a:bodyPr/>
        <a:lstStyle/>
        <a:p>
          <a:pPr>
            <a:defRPr sz="1200" b="0" i="0" u="none" strike="noStrike" baseline="0">
              <a:solidFill>
                <a:srgbClr val="000000"/>
              </a:solidFill>
              <a:latin typeface="Calibri"/>
              <a:ea typeface="Calibri"/>
              <a:cs typeface="Calibri"/>
            </a:defRPr>
          </a:pPr>
          <a:endParaRPr lang="en-US"/>
        </a:p>
      </c:txPr>
    </c:title>
    <c:autoTitleDeleted val="0"/>
    <c:plotArea>
      <c:layout/>
      <c:lineChart>
        <c:grouping val="standard"/>
        <c:varyColors val="0"/>
        <c:ser>
          <c:idx val="0"/>
          <c:order val="0"/>
          <c:tx>
            <c:strRef>
              <c:f>'Lookup Tables'!$P$40</c:f>
              <c:strCache>
                <c:ptCount val="1"/>
                <c:pt idx="0">
                  <c:v>Annual</c:v>
                </c:pt>
              </c:strCache>
            </c:strRef>
          </c:tx>
          <c:cat>
            <c:multiLvlStrRef>
              <c:f>'Lookup Tables'!$B$41:$C$55</c:f>
              <c:multiLvlStrCache>
                <c:ptCount val="15"/>
                <c:lvl>
                  <c:pt idx="0">
                    <c:v>East</c:v>
                  </c:pt>
                  <c:pt idx="1">
                    <c:v>South East</c:v>
                  </c:pt>
                  <c:pt idx="2">
                    <c:v>South</c:v>
                  </c:pt>
                  <c:pt idx="3">
                    <c:v>South West</c:v>
                  </c:pt>
                  <c:pt idx="4">
                    <c:v>West</c:v>
                  </c:pt>
                  <c:pt idx="5">
                    <c:v>East</c:v>
                  </c:pt>
                  <c:pt idx="6">
                    <c:v>South East</c:v>
                  </c:pt>
                  <c:pt idx="7">
                    <c:v>South</c:v>
                  </c:pt>
                  <c:pt idx="8">
                    <c:v>South West</c:v>
                  </c:pt>
                  <c:pt idx="9">
                    <c:v>West</c:v>
                  </c:pt>
                  <c:pt idx="10">
                    <c:v>East</c:v>
                  </c:pt>
                  <c:pt idx="11">
                    <c:v>South East</c:v>
                  </c:pt>
                  <c:pt idx="12">
                    <c:v>South</c:v>
                  </c:pt>
                  <c:pt idx="13">
                    <c:v>South West</c:v>
                  </c:pt>
                  <c:pt idx="14">
                    <c:v>West</c:v>
                  </c:pt>
                </c:lvl>
                <c:lvl>
                  <c:pt idx="0">
                    <c:v>15</c:v>
                  </c:pt>
                  <c:pt idx="1">
                    <c:v>15</c:v>
                  </c:pt>
                  <c:pt idx="2">
                    <c:v>15</c:v>
                  </c:pt>
                  <c:pt idx="3">
                    <c:v>15</c:v>
                  </c:pt>
                  <c:pt idx="4">
                    <c:v>15</c:v>
                  </c:pt>
                  <c:pt idx="5">
                    <c:v>30</c:v>
                  </c:pt>
                  <c:pt idx="6">
                    <c:v>30</c:v>
                  </c:pt>
                  <c:pt idx="7">
                    <c:v>30</c:v>
                  </c:pt>
                  <c:pt idx="8">
                    <c:v>30</c:v>
                  </c:pt>
                  <c:pt idx="9">
                    <c:v>30</c:v>
                  </c:pt>
                  <c:pt idx="10">
                    <c:v>45</c:v>
                  </c:pt>
                  <c:pt idx="11">
                    <c:v>45</c:v>
                  </c:pt>
                  <c:pt idx="12">
                    <c:v>45</c:v>
                  </c:pt>
                  <c:pt idx="13">
                    <c:v>45</c:v>
                  </c:pt>
                  <c:pt idx="14">
                    <c:v>45</c:v>
                  </c:pt>
                </c:lvl>
              </c:multiLvlStrCache>
            </c:multiLvlStrRef>
          </c:cat>
          <c:val>
            <c:numRef>
              <c:f>'Lookup Tables'!$P$41:$P$55</c:f>
              <c:numCache>
                <c:formatCode>_(* #,##0_);_(* \(#,##0\);_(* "-"??_);_(@_)</c:formatCode>
                <c:ptCount val="15"/>
                <c:pt idx="0">
                  <c:v>1281.0</c:v>
                </c:pt>
                <c:pt idx="1">
                  <c:v>1376.0</c:v>
                </c:pt>
                <c:pt idx="2">
                  <c:v>1425.0</c:v>
                </c:pt>
                <c:pt idx="3">
                  <c:v>1398.0</c:v>
                </c:pt>
                <c:pt idx="4">
                  <c:v>1310.0</c:v>
                </c:pt>
                <c:pt idx="5">
                  <c:v>1197.0</c:v>
                </c:pt>
                <c:pt idx="6">
                  <c:v>1366.0</c:v>
                </c:pt>
                <c:pt idx="7">
                  <c:v>1453.0</c:v>
                </c:pt>
                <c:pt idx="8">
                  <c:v>1405.0</c:v>
                </c:pt>
                <c:pt idx="9">
                  <c:v>1247.0</c:v>
                </c:pt>
                <c:pt idx="10">
                  <c:v>1083.0</c:v>
                </c:pt>
                <c:pt idx="11">
                  <c:v>1293.0</c:v>
                </c:pt>
                <c:pt idx="12">
                  <c:v>1401.0</c:v>
                </c:pt>
                <c:pt idx="13">
                  <c:v>1343.0</c:v>
                </c:pt>
                <c:pt idx="14">
                  <c:v>1145.0</c:v>
                </c:pt>
              </c:numCache>
            </c:numRef>
          </c:val>
          <c:smooth val="0"/>
        </c:ser>
        <c:dLbls>
          <c:showLegendKey val="0"/>
          <c:showVal val="0"/>
          <c:showCatName val="0"/>
          <c:showSerName val="0"/>
          <c:showPercent val="0"/>
          <c:showBubbleSize val="0"/>
        </c:dLbls>
        <c:marker val="1"/>
        <c:smooth val="0"/>
        <c:axId val="-2112282216"/>
        <c:axId val="-2111885928"/>
      </c:lineChart>
      <c:catAx>
        <c:axId val="-2112282216"/>
        <c:scaling>
          <c:orientation val="minMax"/>
        </c:scaling>
        <c:delete val="0"/>
        <c:axPos val="b"/>
        <c:numFmt formatCode="General"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2111885928"/>
        <c:crosses val="autoZero"/>
        <c:auto val="1"/>
        <c:lblAlgn val="ctr"/>
        <c:lblOffset val="100"/>
        <c:noMultiLvlLbl val="0"/>
      </c:catAx>
      <c:valAx>
        <c:axId val="-2111885928"/>
        <c:scaling>
          <c:orientation val="minMax"/>
        </c:scaling>
        <c:delete val="0"/>
        <c:axPos val="l"/>
        <c:majorGridlines/>
        <c:numFmt formatCode="_(* #,##0_);_(* \(#,##0\);_(* &quot;-&quot;??_);_(@_)"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2112282216"/>
        <c:crosses val="autoZero"/>
        <c:crossBetween val="between"/>
      </c:valAx>
    </c:plotArea>
    <c:legend>
      <c:legendPos val="r"/>
      <c:overlay val="0"/>
      <c:txPr>
        <a:bodyPr/>
        <a:lstStyle/>
        <a:p>
          <a:pPr>
            <a:defRPr sz="920"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1.0" l="0.75" r="0.75" t="1.0"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chart>
    <c:title>
      <c:tx>
        <c:rich>
          <a:bodyPr/>
          <a:lstStyle/>
          <a:p>
            <a:pPr>
              <a:defRPr sz="1200" b="1" i="0" u="none" strike="noStrike" baseline="0">
                <a:solidFill>
                  <a:srgbClr val="000000"/>
                </a:solidFill>
                <a:latin typeface="Helvetica"/>
                <a:ea typeface="Helvetica"/>
                <a:cs typeface="Helvetica"/>
              </a:defRPr>
            </a:pPr>
            <a:r>
              <a:rPr lang="en-US"/>
              <a:t>Solar Production vs. Total Usage</a:t>
            </a:r>
          </a:p>
        </c:rich>
      </c:tx>
      <c:layout/>
      <c:overlay val="0"/>
      <c:spPr>
        <a:noFill/>
        <a:ln>
          <a:noFill/>
        </a:ln>
      </c:spPr>
    </c:title>
    <c:autoTitleDeleted val="0"/>
    <c:plotArea>
      <c:layout>
        <c:manualLayout>
          <c:layoutTarget val="inner"/>
          <c:xMode val="edge"/>
          <c:yMode val="edge"/>
          <c:x val="0.0730805445887515"/>
          <c:y val="0.183147899590125"/>
          <c:w val="0.902962974192457"/>
          <c:h val="0.615433416983182"/>
        </c:manualLayout>
      </c:layout>
      <c:areaChart>
        <c:grouping val="standard"/>
        <c:varyColors val="0"/>
        <c:ser>
          <c:idx val="1"/>
          <c:order val="0"/>
          <c:tx>
            <c:strRef>
              <c:f>'Lookup Tables'!$U$2</c:f>
              <c:strCache>
                <c:ptCount val="1"/>
                <c:pt idx="0">
                  <c:v>Solar (kWh)</c:v>
                </c:pt>
              </c:strCache>
            </c:strRef>
          </c:tx>
          <c:spPr>
            <a:solidFill>
              <a:schemeClr val="tx2">
                <a:lumMod val="60000"/>
                <a:lumOff val="40000"/>
              </a:schemeClr>
            </a:solidFill>
            <a:ln w="25400">
              <a:solidFill>
                <a:schemeClr val="tx2">
                  <a:lumMod val="75000"/>
                </a:schemeClr>
              </a:solidFill>
            </a:ln>
          </c:spPr>
          <c:cat>
            <c:strRef>
              <c:f>'Lookup Tables'!$S$4:$S$15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'Lookup Tables'!$U$4:$U$15</c:f>
              <c:numCache>
                <c:formatCode>_(* #,##0.00_);_(* \(#,##0.00\);_(* "-"??_);_(@_)</c:formatCode>
                <c:ptCount val="12"/>
                <c:pt idx="0">
                  <c:v>630.0</c:v>
                </c:pt>
                <c:pt idx="1">
                  <c:v>642.0</c:v>
                </c:pt>
                <c:pt idx="2">
                  <c:v>780.0</c:v>
                </c:pt>
                <c:pt idx="3">
                  <c:v>744.0</c:v>
                </c:pt>
                <c:pt idx="4">
                  <c:v>756.0</c:v>
                </c:pt>
                <c:pt idx="5">
                  <c:v>774.0</c:v>
                </c:pt>
                <c:pt idx="6">
                  <c:v>822.0</c:v>
                </c:pt>
                <c:pt idx="7">
                  <c:v>828.0</c:v>
                </c:pt>
                <c:pt idx="8">
                  <c:v>762.0</c:v>
                </c:pt>
                <c:pt idx="9">
                  <c:v>774.0</c:v>
                </c:pt>
                <c:pt idx="10">
                  <c:v>624.0</c:v>
                </c:pt>
                <c:pt idx="11">
                  <c:v>576.0</c:v>
                </c:pt>
              </c:numCache>
            </c:numRef>
          </c:val>
        </c:ser>
        <c:ser>
          <c:idx val="0"/>
          <c:order val="1"/>
          <c:tx>
            <c:strRef>
              <c:f>'Lookup Tables'!$V$2</c:f>
              <c:strCache>
                <c:ptCount val="1"/>
                <c:pt idx="0">
                  <c:v>House (kWh)</c:v>
                </c:pt>
              </c:strCache>
            </c:strRef>
          </c:tx>
          <c:spPr>
            <a:solidFill>
              <a:schemeClr val="accent3">
                <a:lumMod val="50000"/>
                <a:alpha val="50000"/>
              </a:schemeClr>
            </a:solidFill>
            <a:ln w="25400">
              <a:solidFill>
                <a:schemeClr val="accent3">
                  <a:lumMod val="50000"/>
                </a:schemeClr>
              </a:solidFill>
            </a:ln>
          </c:spPr>
          <c:cat>
            <c:strRef>
              <c:f>'Lookup Tables'!$S$4:$S$15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'Lookup Tables'!$V$4:$V$15</c:f>
              <c:numCache>
                <c:formatCode>_(* #,##0_);_(* \(#,##0\);_(* "-"??_);_(@_)</c:formatCode>
                <c:ptCount val="12"/>
                <c:pt idx="0">
                  <c:v>912.6034958601655</c:v>
                </c:pt>
                <c:pt idx="1">
                  <c:v>729.83747316774</c:v>
                </c:pt>
                <c:pt idx="2">
                  <c:v>678.3195338853112</c:v>
                </c:pt>
                <c:pt idx="3">
                  <c:v>693.0389451088623</c:v>
                </c:pt>
                <c:pt idx="4">
                  <c:v>808.3409996933456</c:v>
                </c:pt>
                <c:pt idx="5">
                  <c:v>1349.279362158847</c:v>
                </c:pt>
                <c:pt idx="6">
                  <c:v>1521.00582643361</c:v>
                </c:pt>
                <c:pt idx="7">
                  <c:v>1496.473474394357</c:v>
                </c:pt>
                <c:pt idx="8">
                  <c:v>1349.279362158847</c:v>
                </c:pt>
                <c:pt idx="9">
                  <c:v>939.5890831033426</c:v>
                </c:pt>
                <c:pt idx="10">
                  <c:v>766.6360012266177</c:v>
                </c:pt>
                <c:pt idx="11">
                  <c:v>755.5964428089543</c:v>
                </c:pt>
              </c:numCache>
            </c:numRef>
          </c:val>
        </c:ser>
        <c:dLbls>
          <c:showLegendKey val="0"/>
          <c:showVal val="0"/>
          <c:showCatName val="0"/>
          <c:showSerName val="0"/>
          <c:showPercent val="0"/>
          <c:showBubbleSize val="0"/>
        </c:dLbls>
        <c:axId val="-2134407096"/>
        <c:axId val="2126236744"/>
      </c:areaChart>
      <c:catAx>
        <c:axId val="-2134407096"/>
        <c:scaling>
          <c:orientation val="minMax"/>
        </c:scaling>
        <c:delete val="0"/>
        <c:axPos val="b"/>
        <c:numFmt formatCode="0"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2126236744"/>
        <c:crosses val="autoZero"/>
        <c:auto val="1"/>
        <c:lblAlgn val="ctr"/>
        <c:lblOffset val="100"/>
        <c:noMultiLvlLbl val="0"/>
      </c:catAx>
      <c:valAx>
        <c:axId val="2126236744"/>
        <c:scaling>
          <c:orientation val="minMax"/>
        </c:scaling>
        <c:delete val="0"/>
        <c:axPos val="l"/>
        <c:majorGridlines/>
        <c:numFmt formatCode="_(* #,##0.00_);_(* \(#,##0.00\);_(* &quot;-&quot;??_);_(@_)"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2134407096"/>
        <c:crosses val="autoZero"/>
        <c:crossBetween val="midCat"/>
      </c:valAx>
      <c:spPr>
        <a:noFill/>
        <a:ln w="9525" cap="flat" cmpd="sng" algn="ctr">
          <a:solidFill>
            <a:schemeClr val="accent3">
              <a:shade val="95000"/>
              <a:satMod val="105000"/>
            </a:schemeClr>
          </a:solidFill>
          <a:prstDash val="solid"/>
        </a:ln>
        <a:effectLst>
          <a:outerShdw blurRad="40000" dist="23000" dir="5400000" rotWithShape="0">
            <a:srgbClr val="000000">
              <a:alpha val="35000"/>
            </a:srgbClr>
          </a:outerShdw>
        </a:effectLst>
      </c:spPr>
    </c:plotArea>
    <c:legend>
      <c:legendPos val="b"/>
      <c:layout>
        <c:manualLayout>
          <c:xMode val="edge"/>
          <c:yMode val="edge"/>
          <c:x val="0.366002142108918"/>
          <c:y val="0.698323140432689"/>
          <c:w val="0.363195273236585"/>
          <c:h val="0.0911577861019799"/>
        </c:manualLayout>
      </c:layout>
      <c:overlay val="0"/>
      <c:txPr>
        <a:bodyPr/>
        <a:lstStyle/>
        <a:p>
          <a:pPr>
            <a:defRPr sz="1010" b="1" i="0" u="none" strike="noStrike" baseline="0">
              <a:solidFill>
                <a:srgbClr val="000000"/>
              </a:solidFill>
              <a:latin typeface="Calibri"/>
              <a:ea typeface="Calibri"/>
              <a:cs typeface="Calibri"/>
            </a:defRPr>
          </a:pPr>
          <a:endParaRPr lang="en-US"/>
        </a:p>
      </c:txPr>
    </c:legend>
    <c:plotVisOnly val="1"/>
    <c:dispBlanksAs val="gap"/>
    <c:showDLblsOverMax val="0"/>
  </c:chart>
  <c:spPr>
    <a:noFill/>
    <a:ln>
      <a:noFill/>
    </a:ln>
  </c:spPr>
  <c:txPr>
    <a:bodyPr/>
    <a:lstStyle/>
    <a:p>
      <a:pPr>
        <a:defRPr sz="1000" b="0" i="0" u="none" strike="noStrike" baseline="0">
          <a:solidFill>
            <a:srgbClr val="000000"/>
          </a:solidFill>
          <a:latin typeface="Calibri"/>
          <a:ea typeface="Calibri"/>
          <a:cs typeface="Calibri"/>
        </a:defRPr>
      </a:pPr>
      <a:endParaRPr lang="en-US"/>
    </a:p>
  </c:txPr>
  <c:printSettings>
    <c:headerFooter/>
    <c:pageMargins b="1.0" l="0.75" r="0.75" t="1.0"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sz="1200" b="1" i="0" u="none" strike="noStrike" baseline="0">
                <a:solidFill>
                  <a:srgbClr val="000000"/>
                </a:solidFill>
                <a:latin typeface="Helvetica"/>
                <a:ea typeface="Helvetica"/>
                <a:cs typeface="Helvetica"/>
              </a:defRPr>
            </a:pPr>
            <a:r>
              <a:rPr lang="en-US"/>
              <a:t>Annual Cash Flow</a:t>
            </a:r>
          </a:p>
        </c:rich>
      </c:tx>
      <c:layout>
        <c:manualLayout>
          <c:xMode val="edge"/>
          <c:yMode val="edge"/>
          <c:x val="0.408354283978598"/>
          <c:y val="0.0652847891677092"/>
        </c:manualLayout>
      </c:layout>
      <c:overlay val="0"/>
    </c:title>
    <c:autoTitleDeleted val="0"/>
    <c:plotArea>
      <c:layout>
        <c:manualLayout>
          <c:layoutTarget val="inner"/>
          <c:xMode val="edge"/>
          <c:yMode val="edge"/>
          <c:x val="0.0721888510864794"/>
          <c:y val="0.0718135095906175"/>
          <c:w val="0.90661549583257"/>
          <c:h val="0.679033120942865"/>
        </c:manualLayout>
      </c:layout>
      <c:lineChart>
        <c:grouping val="standard"/>
        <c:varyColors val="0"/>
        <c:ser>
          <c:idx val="0"/>
          <c:order val="0"/>
          <c:tx>
            <c:strRef>
              <c:f>'4 Dividend Financed Bid'!$Y$5</c:f>
              <c:strCache>
                <c:ptCount val="1"/>
                <c:pt idx="0">
                  <c:v>Pre Solar Annual Bill</c:v>
                </c:pt>
              </c:strCache>
            </c:strRef>
          </c:tx>
          <c:marker>
            <c:symbol val="none"/>
          </c:marker>
          <c:cat>
            <c:numRef>
              <c:f>'4 Dividend Financed Bid'!$U$9:$U$33</c:f>
              <c:numCache>
                <c:formatCode>General</c:formatCode>
                <c:ptCount val="25"/>
                <c:pt idx="0">
                  <c:v>1.0</c:v>
                </c:pt>
                <c:pt idx="1">
                  <c:v>2.0</c:v>
                </c:pt>
                <c:pt idx="2">
                  <c:v>3.0</c:v>
                </c:pt>
                <c:pt idx="3">
                  <c:v>4.0</c:v>
                </c:pt>
                <c:pt idx="4">
                  <c:v>5.0</c:v>
                </c:pt>
                <c:pt idx="5">
                  <c:v>6.0</c:v>
                </c:pt>
                <c:pt idx="6">
                  <c:v>7.0</c:v>
                </c:pt>
                <c:pt idx="7">
                  <c:v>8.0</c:v>
                </c:pt>
                <c:pt idx="8">
                  <c:v>9.0</c:v>
                </c:pt>
                <c:pt idx="9">
                  <c:v>10.0</c:v>
                </c:pt>
                <c:pt idx="10">
                  <c:v>11.0</c:v>
                </c:pt>
                <c:pt idx="11">
                  <c:v>12.0</c:v>
                </c:pt>
                <c:pt idx="12">
                  <c:v>13.0</c:v>
                </c:pt>
                <c:pt idx="13">
                  <c:v>14.0</c:v>
                </c:pt>
                <c:pt idx="14">
                  <c:v>15.0</c:v>
                </c:pt>
                <c:pt idx="15">
                  <c:v>16.0</c:v>
                </c:pt>
                <c:pt idx="16">
                  <c:v>17.0</c:v>
                </c:pt>
                <c:pt idx="17">
                  <c:v>18.0</c:v>
                </c:pt>
                <c:pt idx="18">
                  <c:v>19.0</c:v>
                </c:pt>
                <c:pt idx="19">
                  <c:v>20.0</c:v>
                </c:pt>
                <c:pt idx="20">
                  <c:v>21.0</c:v>
                </c:pt>
                <c:pt idx="21">
                  <c:v>22.0</c:v>
                </c:pt>
                <c:pt idx="22">
                  <c:v>23.0</c:v>
                </c:pt>
                <c:pt idx="23">
                  <c:v>24.0</c:v>
                </c:pt>
                <c:pt idx="24">
                  <c:v>25.0</c:v>
                </c:pt>
              </c:numCache>
            </c:numRef>
          </c:cat>
          <c:val>
            <c:numRef>
              <c:f>'4 Dividend Financed Bid'!$Y$9:$Y$33</c:f>
              <c:numCache>
                <c:formatCode>_("$"* #,##0_);_("$"* \(#,##0\);_("$"* "-"??_);_(@_)</c:formatCode>
                <c:ptCount val="25"/>
                <c:pt idx="0">
                  <c:v>1260.0</c:v>
                </c:pt>
                <c:pt idx="1">
                  <c:v>1304.1</c:v>
                </c:pt>
                <c:pt idx="2">
                  <c:v>1349.7435</c:v>
                </c:pt>
                <c:pt idx="3">
                  <c:v>1396.9845225</c:v>
                </c:pt>
                <c:pt idx="4">
                  <c:v>1445.8789807875</c:v>
                </c:pt>
                <c:pt idx="5">
                  <c:v>1496.484745115062</c:v>
                </c:pt>
                <c:pt idx="6">
                  <c:v>1548.86171119409</c:v>
                </c:pt>
                <c:pt idx="7">
                  <c:v>1603.071871085882</c:v>
                </c:pt>
                <c:pt idx="8">
                  <c:v>1659.179386573888</c:v>
                </c:pt>
                <c:pt idx="9">
                  <c:v>1717.250665103974</c:v>
                </c:pt>
                <c:pt idx="10">
                  <c:v>1777.354438382612</c:v>
                </c:pt>
                <c:pt idx="11">
                  <c:v>1839.561843726004</c:v>
                </c:pt>
                <c:pt idx="12">
                  <c:v>1903.946508256414</c:v>
                </c:pt>
                <c:pt idx="13">
                  <c:v>1970.584636045388</c:v>
                </c:pt>
                <c:pt idx="14">
                  <c:v>2039.555098306977</c:v>
                </c:pt>
                <c:pt idx="15">
                  <c:v>2110.939526747721</c:v>
                </c:pt>
                <c:pt idx="16">
                  <c:v>2184.822410183891</c:v>
                </c:pt>
                <c:pt idx="17">
                  <c:v>2261.291194540327</c:v>
                </c:pt>
                <c:pt idx="18">
                  <c:v>2340.436386349238</c:v>
                </c:pt>
                <c:pt idx="19">
                  <c:v>2422.351659871461</c:v>
                </c:pt>
                <c:pt idx="20">
                  <c:v>2507.133967966963</c:v>
                </c:pt>
                <c:pt idx="21">
                  <c:v>2594.883656845806</c:v>
                </c:pt>
                <c:pt idx="22">
                  <c:v>2685.70458483541</c:v>
                </c:pt>
                <c:pt idx="23">
                  <c:v>2779.704245304648</c:v>
                </c:pt>
                <c:pt idx="24">
                  <c:v>2876.99389389031</c:v>
                </c:pt>
              </c:numCache>
            </c:numRef>
          </c:val>
          <c:smooth val="0"/>
        </c:ser>
        <c:ser>
          <c:idx val="1"/>
          <c:order val="1"/>
          <c:tx>
            <c:strRef>
              <c:f>'4 Dividend Financed Bid'!$AD$5</c:f>
              <c:strCache>
                <c:ptCount val="1"/>
                <c:pt idx="0">
                  <c:v>Post Solar Annual Bill + Loan Payment</c:v>
                </c:pt>
              </c:strCache>
            </c:strRef>
          </c:tx>
          <c:marker>
            <c:symbol val="none"/>
          </c:marker>
          <c:cat>
            <c:numRef>
              <c:f>'4 Dividend Financed Bid'!$U$9:$U$33</c:f>
              <c:numCache>
                <c:formatCode>General</c:formatCode>
                <c:ptCount val="25"/>
                <c:pt idx="0">
                  <c:v>1.0</c:v>
                </c:pt>
                <c:pt idx="1">
                  <c:v>2.0</c:v>
                </c:pt>
                <c:pt idx="2">
                  <c:v>3.0</c:v>
                </c:pt>
                <c:pt idx="3">
                  <c:v>4.0</c:v>
                </c:pt>
                <c:pt idx="4">
                  <c:v>5.0</c:v>
                </c:pt>
                <c:pt idx="5">
                  <c:v>6.0</c:v>
                </c:pt>
                <c:pt idx="6">
                  <c:v>7.0</c:v>
                </c:pt>
                <c:pt idx="7">
                  <c:v>8.0</c:v>
                </c:pt>
                <c:pt idx="8">
                  <c:v>9.0</c:v>
                </c:pt>
                <c:pt idx="9">
                  <c:v>10.0</c:v>
                </c:pt>
                <c:pt idx="10">
                  <c:v>11.0</c:v>
                </c:pt>
                <c:pt idx="11">
                  <c:v>12.0</c:v>
                </c:pt>
                <c:pt idx="12">
                  <c:v>13.0</c:v>
                </c:pt>
                <c:pt idx="13">
                  <c:v>14.0</c:v>
                </c:pt>
                <c:pt idx="14">
                  <c:v>15.0</c:v>
                </c:pt>
                <c:pt idx="15">
                  <c:v>16.0</c:v>
                </c:pt>
                <c:pt idx="16">
                  <c:v>17.0</c:v>
                </c:pt>
                <c:pt idx="17">
                  <c:v>18.0</c:v>
                </c:pt>
                <c:pt idx="18">
                  <c:v>19.0</c:v>
                </c:pt>
                <c:pt idx="19">
                  <c:v>20.0</c:v>
                </c:pt>
                <c:pt idx="20">
                  <c:v>21.0</c:v>
                </c:pt>
                <c:pt idx="21">
                  <c:v>22.0</c:v>
                </c:pt>
                <c:pt idx="22">
                  <c:v>23.0</c:v>
                </c:pt>
                <c:pt idx="23">
                  <c:v>24.0</c:v>
                </c:pt>
                <c:pt idx="24">
                  <c:v>25.0</c:v>
                </c:pt>
              </c:numCache>
            </c:numRef>
          </c:cat>
          <c:val>
            <c:numRef>
              <c:f>'4 Dividend Financed Bid'!$AD$9:$AD$33</c:f>
              <c:numCache>
                <c:formatCode>_("$"* #,##0_);_("$"* \(#,##0\);_("$"* "-"??_);_(@_)</c:formatCode>
                <c:ptCount val="25"/>
                <c:pt idx="0">
                  <c:v>1181.655685845384</c:v>
                </c:pt>
                <c:pt idx="1">
                  <c:v>1193.107468845384</c:v>
                </c:pt>
                <c:pt idx="2">
                  <c:v>1205.101252310859</c:v>
                </c:pt>
                <c:pt idx="3">
                  <c:v>1217.660217192004</c:v>
                </c:pt>
                <c:pt idx="4">
                  <c:v>1230.808481363376</c:v>
                </c:pt>
                <c:pt idx="5">
                  <c:v>1244.571136161997</c:v>
                </c:pt>
                <c:pt idx="6">
                  <c:v>1258.974284316017</c:v>
                </c:pt>
                <c:pt idx="7">
                  <c:v>1274.045079315923</c:v>
                </c:pt>
                <c:pt idx="8">
                  <c:v>1289.811766282218</c:v>
                </c:pt>
                <c:pt idx="9">
                  <c:v>1306.303724385495</c:v>
                </c:pt>
                <c:pt idx="10">
                  <c:v>1323.551510876851</c:v>
                </c:pt>
                <c:pt idx="11">
                  <c:v>1341.586906788778</c:v>
                </c:pt>
                <c:pt idx="12">
                  <c:v>1360.442964368841</c:v>
                </c:pt>
                <c:pt idx="13">
                  <c:v>1380.154056310769</c:v>
                </c:pt>
                <c:pt idx="14">
                  <c:v>1400.755926849964</c:v>
                </c:pt>
                <c:pt idx="15">
                  <c:v>1422.285744792892</c:v>
                </c:pt>
                <c:pt idx="16">
                  <c:v>1444.782158552393</c:v>
                </c:pt>
                <c:pt idx="17">
                  <c:v>1468.285353263569</c:v>
                </c:pt>
                <c:pt idx="18">
                  <c:v>1492.8371100577</c:v>
                </c:pt>
                <c:pt idx="19">
                  <c:v>1518.480867574434</c:v>
                </c:pt>
                <c:pt idx="20">
                  <c:v>1545.261785795491</c:v>
                </c:pt>
                <c:pt idx="21">
                  <c:v>1573.226812286151</c:v>
                </c:pt>
                <c:pt idx="22">
                  <c:v>1602.424750933982</c:v>
                </c:pt>
                <c:pt idx="23">
                  <c:v>1632.906333277546</c:v>
                </c:pt>
                <c:pt idx="24">
                  <c:v>1664.724292521211</c:v>
                </c:pt>
              </c:numCache>
            </c:numRef>
          </c:val>
          <c:smooth val="0"/>
        </c:ser>
        <c:ser>
          <c:idx val="2"/>
          <c:order val="2"/>
          <c:tx>
            <c:strRef>
              <c:f>'4 Dividend Financed Bid'!$AA$5</c:f>
              <c:strCache>
                <c:ptCount val="1"/>
                <c:pt idx="0">
                  <c:v>Post Solar &amp; EE Upgrades Annual Bill</c:v>
                </c:pt>
              </c:strCache>
            </c:strRef>
          </c:tx>
          <c:marker>
            <c:symbol val="none"/>
          </c:marker>
          <c:cat>
            <c:numRef>
              <c:f>'4 Dividend Financed Bid'!$U$9:$U$33</c:f>
              <c:numCache>
                <c:formatCode>General</c:formatCode>
                <c:ptCount val="25"/>
                <c:pt idx="0">
                  <c:v>1.0</c:v>
                </c:pt>
                <c:pt idx="1">
                  <c:v>2.0</c:v>
                </c:pt>
                <c:pt idx="2">
                  <c:v>3.0</c:v>
                </c:pt>
                <c:pt idx="3">
                  <c:v>4.0</c:v>
                </c:pt>
                <c:pt idx="4">
                  <c:v>5.0</c:v>
                </c:pt>
                <c:pt idx="5">
                  <c:v>6.0</c:v>
                </c:pt>
                <c:pt idx="6">
                  <c:v>7.0</c:v>
                </c:pt>
                <c:pt idx="7">
                  <c:v>8.0</c:v>
                </c:pt>
                <c:pt idx="8">
                  <c:v>9.0</c:v>
                </c:pt>
                <c:pt idx="9">
                  <c:v>10.0</c:v>
                </c:pt>
                <c:pt idx="10">
                  <c:v>11.0</c:v>
                </c:pt>
                <c:pt idx="11">
                  <c:v>12.0</c:v>
                </c:pt>
                <c:pt idx="12">
                  <c:v>13.0</c:v>
                </c:pt>
                <c:pt idx="13">
                  <c:v>14.0</c:v>
                </c:pt>
                <c:pt idx="14">
                  <c:v>15.0</c:v>
                </c:pt>
                <c:pt idx="15">
                  <c:v>16.0</c:v>
                </c:pt>
                <c:pt idx="16">
                  <c:v>17.0</c:v>
                </c:pt>
                <c:pt idx="17">
                  <c:v>18.0</c:v>
                </c:pt>
                <c:pt idx="18">
                  <c:v>19.0</c:v>
                </c:pt>
                <c:pt idx="19">
                  <c:v>20.0</c:v>
                </c:pt>
                <c:pt idx="20">
                  <c:v>21.0</c:v>
                </c:pt>
                <c:pt idx="21">
                  <c:v>22.0</c:v>
                </c:pt>
                <c:pt idx="22">
                  <c:v>23.0</c:v>
                </c:pt>
                <c:pt idx="23">
                  <c:v>24.0</c:v>
                </c:pt>
                <c:pt idx="24">
                  <c:v>25.0</c:v>
                </c:pt>
              </c:numCache>
            </c:numRef>
          </c:cat>
          <c:val>
            <c:numRef>
              <c:f>'4 Dividend Financed Bid'!$AA$9:$AA$33</c:f>
              <c:numCache>
                <c:formatCode>_("$"* #,##0_);_("$"* \(#,##0\);_("$"* "-"??_);_(@_)</c:formatCode>
                <c:ptCount val="25"/>
                <c:pt idx="0">
                  <c:v>71.94000000000005</c:v>
                </c:pt>
                <c:pt idx="1">
                  <c:v>83.39178299999998</c:v>
                </c:pt>
                <c:pt idx="2">
                  <c:v>95.38556646547482</c:v>
                </c:pt>
                <c:pt idx="3">
                  <c:v>107.9445313466201</c:v>
                </c:pt>
                <c:pt idx="4">
                  <c:v>121.0927955179914</c:v>
                </c:pt>
                <c:pt idx="5">
                  <c:v>134.8554503166125</c:v>
                </c:pt>
                <c:pt idx="6">
                  <c:v>149.2585984706328</c:v>
                </c:pt>
                <c:pt idx="7">
                  <c:v>164.3293934705383</c:v>
                </c:pt>
                <c:pt idx="8">
                  <c:v>180.096080436834</c:v>
                </c:pt>
                <c:pt idx="9">
                  <c:v>196.5880385401108</c:v>
                </c:pt>
                <c:pt idx="10">
                  <c:v>213.8358250314668</c:v>
                </c:pt>
                <c:pt idx="11">
                  <c:v>231.8712209433935</c:v>
                </c:pt>
                <c:pt idx="12">
                  <c:v>250.7272785234563</c:v>
                </c:pt>
                <c:pt idx="13">
                  <c:v>270.4383704653844</c:v>
                </c:pt>
                <c:pt idx="14">
                  <c:v>291.0402410045793</c:v>
                </c:pt>
                <c:pt idx="15">
                  <c:v>312.5700589475079</c:v>
                </c:pt>
                <c:pt idx="16">
                  <c:v>335.0664727070081</c:v>
                </c:pt>
                <c:pt idx="17">
                  <c:v>358.5696674181843</c:v>
                </c:pt>
                <c:pt idx="18">
                  <c:v>383.1214242123153</c:v>
                </c:pt>
                <c:pt idx="19">
                  <c:v>408.7651817290497</c:v>
                </c:pt>
                <c:pt idx="20">
                  <c:v>435.5460999501067</c:v>
                </c:pt>
                <c:pt idx="21">
                  <c:v>463.5111264407664</c:v>
                </c:pt>
                <c:pt idx="22">
                  <c:v>492.7090650885977</c:v>
                </c:pt>
                <c:pt idx="23">
                  <c:v>523.1906474321613</c:v>
                </c:pt>
                <c:pt idx="24">
                  <c:v>555.008606675827</c:v>
                </c:pt>
              </c:numCache>
            </c:numRef>
          </c:val>
          <c:smooth val="0"/>
        </c:ser>
        <c:dLbls>
          <c:showLegendKey val="0"/>
          <c:showVal val="0"/>
          <c:showCatName val="0"/>
          <c:showSerName val="0"/>
          <c:showPercent val="0"/>
          <c:showBubbleSize val="0"/>
        </c:dLbls>
        <c:marker val="1"/>
        <c:smooth val="0"/>
        <c:axId val="-2109675480"/>
        <c:axId val="-2109672360"/>
      </c:lineChart>
      <c:catAx>
        <c:axId val="-2109675480"/>
        <c:scaling>
          <c:orientation val="minMax"/>
        </c:scaling>
        <c:delete val="0"/>
        <c:axPos val="b"/>
        <c:numFmt formatCode="General"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2109672360"/>
        <c:crosses val="autoZero"/>
        <c:auto val="1"/>
        <c:lblAlgn val="ctr"/>
        <c:lblOffset val="100"/>
        <c:noMultiLvlLbl val="0"/>
      </c:catAx>
      <c:valAx>
        <c:axId val="-2109672360"/>
        <c:scaling>
          <c:orientation val="minMax"/>
        </c:scaling>
        <c:delete val="0"/>
        <c:axPos val="l"/>
        <c:majorGridlines/>
        <c:numFmt formatCode="\$#,##0" sourceLinked="0"/>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2109675480"/>
        <c:crosses val="autoZero"/>
        <c:crossBetween val="between"/>
      </c:valAx>
      <c:spPr>
        <a:noFill/>
        <a:ln w="25400">
          <a:noFill/>
        </a:ln>
      </c:spPr>
    </c:plotArea>
    <c:legend>
      <c:legendPos val="b"/>
      <c:layout>
        <c:manualLayout>
          <c:xMode val="edge"/>
          <c:yMode val="edge"/>
          <c:x val="0.1263791210075"/>
          <c:y val="0.858324380013246"/>
          <c:w val="0.723494474169957"/>
          <c:h val="0.0936511148723231"/>
        </c:manualLayout>
      </c:layout>
      <c:overlay val="0"/>
      <c:txPr>
        <a:bodyPr/>
        <a:lstStyle/>
        <a:p>
          <a:pPr>
            <a:defRPr sz="1010" b="1" i="0" u="none" strike="noStrike" baseline="0">
              <a:solidFill>
                <a:srgbClr val="000000"/>
              </a:solidFill>
              <a:latin typeface="Calibri"/>
              <a:ea typeface="Calibri"/>
              <a:cs typeface="Calibri"/>
            </a:defRPr>
          </a:pPr>
          <a:endParaRPr lang="en-US"/>
        </a:p>
      </c:txPr>
    </c:legend>
    <c:plotVisOnly val="1"/>
    <c:dispBlanksAs val="gap"/>
    <c:showDLblsOverMax val="0"/>
  </c:chart>
  <c:spPr>
    <a:noFill/>
    <a:ln>
      <a:noFill/>
    </a:ln>
  </c:spPr>
  <c:txPr>
    <a:bodyPr/>
    <a:lstStyle/>
    <a:p>
      <a:pPr>
        <a:defRPr sz="1000" b="0" i="0" u="none" strike="noStrike" baseline="0">
          <a:solidFill>
            <a:srgbClr val="000000"/>
          </a:solidFill>
          <a:latin typeface="Calibri"/>
          <a:ea typeface="Calibri"/>
          <a:cs typeface="Calibri"/>
        </a:defRPr>
      </a:pPr>
      <a:endParaRPr lang="en-US"/>
    </a:p>
  </c:txPr>
  <c:printSettings>
    <c:headerFooter/>
    <c:pageMargins b="1.0" l="0.75" r="0.75" t="1.0"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sz="1200" b="1" i="0" u="none" strike="noStrike" baseline="0">
                <a:solidFill>
                  <a:srgbClr val="000000"/>
                </a:solidFill>
                <a:latin typeface="Helvetica"/>
                <a:ea typeface="Helvetica"/>
                <a:cs typeface="Helvetica"/>
              </a:defRPr>
            </a:pPr>
            <a:r>
              <a:rPr lang="en-US"/>
              <a:t>Average 25 Year Cost of Energy</a:t>
            </a:r>
          </a:p>
        </c:rich>
      </c:tx>
      <c:layout>
        <c:manualLayout>
          <c:xMode val="edge"/>
          <c:yMode val="edge"/>
          <c:x val="0.282673240611279"/>
          <c:y val="0.095391783892182"/>
        </c:manualLayout>
      </c:layout>
      <c:overlay val="0"/>
      <c:spPr>
        <a:noFill/>
        <a:ln>
          <a:noFill/>
        </a:ln>
      </c:spPr>
    </c:title>
    <c:autoTitleDeleted val="0"/>
    <c:plotArea>
      <c:layout>
        <c:manualLayout>
          <c:layoutTarget val="inner"/>
          <c:xMode val="edge"/>
          <c:yMode val="edge"/>
          <c:x val="0.184360193398309"/>
          <c:y val="0.215059169053494"/>
          <c:w val="0.758566475961064"/>
          <c:h val="0.624888326369739"/>
        </c:manualLayout>
      </c:layout>
      <c:barChart>
        <c:barDir val="col"/>
        <c:grouping val="clustered"/>
        <c:varyColors val="0"/>
        <c:ser>
          <c:idx val="0"/>
          <c:order val="0"/>
          <c:spPr>
            <a:solidFill>
              <a:schemeClr val="tx2">
                <a:lumMod val="60000"/>
                <a:lumOff val="40000"/>
              </a:schemeClr>
            </a:solidFill>
            <a:ln>
              <a:solidFill>
                <a:schemeClr val="tx2">
                  <a:lumMod val="60000"/>
                  <a:lumOff val="40000"/>
                </a:schemeClr>
              </a:solidFill>
            </a:ln>
          </c:spPr>
          <c:invertIfNegative val="0"/>
          <c:dPt>
            <c:idx val="1"/>
            <c:invertIfNegative val="0"/>
            <c:bubble3D val="0"/>
            <c:spPr>
              <a:solidFill>
                <a:schemeClr val="accent3">
                  <a:lumMod val="75000"/>
                </a:schemeClr>
              </a:solidFill>
              <a:ln>
                <a:solidFill>
                  <a:schemeClr val="accent3">
                    <a:lumMod val="75000"/>
                  </a:schemeClr>
                </a:solidFill>
              </a:ln>
            </c:spPr>
          </c:dPt>
          <c:dLbls>
            <c:txPr>
              <a:bodyPr/>
              <a:lstStyle/>
              <a:p>
                <a:pPr>
                  <a:defRPr sz="1000" b="1" i="0" u="none" strike="noStrike" baseline="0">
                    <a:solidFill>
                      <a:srgbClr val="000000"/>
                    </a:solidFill>
                    <a:latin typeface="Calibri"/>
                    <a:ea typeface="Calibri"/>
                    <a:cs typeface="Calibri"/>
                  </a:defRPr>
                </a:pPr>
                <a:endParaRPr lang="en-US"/>
              </a:p>
            </c:txPr>
            <c:showLegendKey val="0"/>
            <c:showVal val="1"/>
            <c:showCatName val="0"/>
            <c:showSerName val="0"/>
            <c:showPercent val="0"/>
            <c:showBubbleSize val="0"/>
            <c:showLeaderLines val="0"/>
          </c:dLbls>
          <c:cat>
            <c:strRef>
              <c:f>'Lookup Tables'!$M$9:$M$10</c:f>
              <c:strCache>
                <c:ptCount val="2"/>
                <c:pt idx="0">
                  <c:v>Without Solar</c:v>
                </c:pt>
                <c:pt idx="1">
                  <c:v>With Solar</c:v>
                </c:pt>
              </c:strCache>
            </c:strRef>
          </c:cat>
          <c:val>
            <c:numRef>
              <c:f>'Lookup Tables'!$N$9:$N$10</c:f>
              <c:numCache>
                <c:formatCode>_("$"* #,##0.000_);_("$"* \(#,##0.000\);_("$"* "-"??_);_(@_)</c:formatCode>
                <c:ptCount val="2"/>
                <c:pt idx="0">
                  <c:v>0.163589398112045</c:v>
                </c:pt>
                <c:pt idx="1">
                  <c:v>0.108149937151971</c:v>
                </c:pt>
              </c:numCache>
            </c:numRef>
          </c:val>
        </c:ser>
        <c:dLbls>
          <c:showLegendKey val="0"/>
          <c:showVal val="0"/>
          <c:showCatName val="0"/>
          <c:showSerName val="0"/>
          <c:showPercent val="0"/>
          <c:showBubbleSize val="0"/>
        </c:dLbls>
        <c:gapWidth val="150"/>
        <c:axId val="-2107509624"/>
        <c:axId val="-2107506472"/>
      </c:barChart>
      <c:catAx>
        <c:axId val="-2107509624"/>
        <c:scaling>
          <c:orientation val="minMax"/>
        </c:scaling>
        <c:delete val="0"/>
        <c:axPos val="b"/>
        <c:numFmt formatCode="General" sourceLinked="1"/>
        <c:majorTickMark val="out"/>
        <c:minorTickMark val="none"/>
        <c:tickLblPos val="nextTo"/>
        <c:txPr>
          <a:bodyPr rot="0" vert="horz"/>
          <a:lstStyle/>
          <a:p>
            <a:pPr>
              <a:defRPr sz="1200" b="1" i="0" u="none" strike="noStrike" baseline="0">
                <a:solidFill>
                  <a:srgbClr val="000000"/>
                </a:solidFill>
                <a:latin typeface="Calibri"/>
                <a:ea typeface="Calibri"/>
                <a:cs typeface="Calibri"/>
              </a:defRPr>
            </a:pPr>
            <a:endParaRPr lang="en-US"/>
          </a:p>
        </c:txPr>
        <c:crossAx val="-2107506472"/>
        <c:crosses val="autoZero"/>
        <c:auto val="1"/>
        <c:lblAlgn val="ctr"/>
        <c:lblOffset val="100"/>
        <c:noMultiLvlLbl val="0"/>
      </c:catAx>
      <c:valAx>
        <c:axId val="-2107506472"/>
        <c:scaling>
          <c:orientation val="minMax"/>
        </c:scaling>
        <c:delete val="1"/>
        <c:axPos val="l"/>
        <c:majorGridlines/>
        <c:numFmt formatCode="_(&quot;$&quot;* #,##0.000_);_(&quot;$&quot;* \(#,##0.000\);_(&quot;$&quot;* &quot;-&quot;??_);_(@_)" sourceLinked="1"/>
        <c:majorTickMark val="out"/>
        <c:minorTickMark val="none"/>
        <c:tickLblPos val="nextTo"/>
        <c:crossAx val="-2107509624"/>
        <c:crosses val="autoZero"/>
        <c:crossBetween val="between"/>
      </c:valAx>
    </c:plotArea>
    <c:plotVisOnly val="1"/>
    <c:dispBlanksAs val="gap"/>
    <c:showDLblsOverMax val="0"/>
  </c:chart>
  <c:spPr>
    <a:noFill/>
    <a:ln>
      <a:noFill/>
    </a:ln>
  </c:spPr>
  <c:txPr>
    <a:bodyPr/>
    <a:lstStyle/>
    <a:p>
      <a:pPr>
        <a:defRPr sz="1000" b="0" i="0" u="none" strike="noStrike" baseline="0">
          <a:solidFill>
            <a:srgbClr val="000000"/>
          </a:solidFill>
          <a:latin typeface="Calibri"/>
          <a:ea typeface="Calibri"/>
          <a:cs typeface="Calibri"/>
        </a:defRPr>
      </a:pPr>
      <a:endParaRPr lang="en-US"/>
    </a:p>
  </c:txPr>
  <c:printSettings>
    <c:headerFooter/>
    <c:pageMargins b="1.0" l="0.75" r="0.75" t="1.0"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pieChart>
        <c:varyColors val="1"/>
        <c:ser>
          <c:idx val="0"/>
          <c:order val="0"/>
          <c:spPr>
            <a:solidFill>
              <a:schemeClr val="accent3">
                <a:lumMod val="75000"/>
              </a:schemeClr>
            </a:solidFill>
            <a:ln>
              <a:solidFill>
                <a:schemeClr val="accent3">
                  <a:lumMod val="75000"/>
                </a:schemeClr>
              </a:solidFill>
            </a:ln>
          </c:spPr>
          <c:dPt>
            <c:idx val="0"/>
            <c:bubble3D val="0"/>
            <c:spPr>
              <a:solidFill>
                <a:schemeClr val="bg2">
                  <a:lumMod val="50000"/>
                </a:schemeClr>
              </a:solidFill>
              <a:ln>
                <a:solidFill>
                  <a:schemeClr val="accent3">
                    <a:lumMod val="75000"/>
                  </a:schemeClr>
                </a:solidFill>
              </a:ln>
            </c:spPr>
          </c:dPt>
          <c:dPt>
            <c:idx val="1"/>
            <c:bubble3D val="0"/>
          </c:dPt>
          <c:dPt>
            <c:idx val="2"/>
            <c:bubble3D val="0"/>
            <c:spPr>
              <a:solidFill>
                <a:schemeClr val="tx2">
                  <a:lumMod val="60000"/>
                  <a:lumOff val="40000"/>
                </a:schemeClr>
              </a:solidFill>
              <a:ln>
                <a:solidFill>
                  <a:schemeClr val="tx2">
                    <a:lumMod val="60000"/>
                    <a:lumOff val="40000"/>
                  </a:schemeClr>
                </a:solidFill>
              </a:ln>
            </c:spPr>
          </c:dPt>
          <c:dLbls>
            <c:txPr>
              <a:bodyPr/>
              <a:lstStyle/>
              <a:p>
                <a:pPr>
                  <a:defRPr sz="1200" b="1" i="0" u="none" strike="noStrike" baseline="0">
                    <a:solidFill>
                      <a:srgbClr val="000000"/>
                    </a:solidFill>
                    <a:latin typeface="Calibri"/>
                    <a:ea typeface="Calibri"/>
                    <a:cs typeface="Calibri"/>
                  </a:defRPr>
                </a:pPr>
                <a:endParaRPr lang="en-US"/>
              </a:p>
            </c:txPr>
            <c:showLegendKey val="0"/>
            <c:showVal val="0"/>
            <c:showCatName val="1"/>
            <c:showSerName val="0"/>
            <c:showPercent val="0"/>
            <c:showBubbleSize val="0"/>
            <c:showLeaderLines val="1"/>
          </c:dLbls>
          <c:cat>
            <c:strRef>
              <c:f>'Lookup Tables'!$T$19:$V$19</c:f>
              <c:strCache>
                <c:ptCount val="3"/>
                <c:pt idx="0">
                  <c:v>Energy Efficiency</c:v>
                </c:pt>
                <c:pt idx="1">
                  <c:v>Solar</c:v>
                </c:pt>
                <c:pt idx="2">
                  <c:v>Utility </c:v>
                </c:pt>
              </c:strCache>
            </c:strRef>
          </c:cat>
          <c:val>
            <c:numRef>
              <c:f>'Lookup Tables'!$T$20:$V$20</c:f>
              <c:numCache>
                <c:formatCode>0%</c:formatCode>
                <c:ptCount val="3"/>
                <c:pt idx="0">
                  <c:v>0.216904761904762</c:v>
                </c:pt>
                <c:pt idx="1">
                  <c:v>0.726</c:v>
                </c:pt>
                <c:pt idx="2">
                  <c:v>0.0570952380952381</c:v>
                </c:pt>
              </c:numCache>
            </c:numRef>
          </c:val>
        </c:ser>
        <c:dLbls>
          <c:showLegendKey val="0"/>
          <c:showVal val="0"/>
          <c:showCatName val="0"/>
          <c:showSerName val="0"/>
          <c:showPercent val="0"/>
          <c:showBubbleSize val="0"/>
          <c:showLeaderLines val="1"/>
        </c:dLbls>
        <c:firstSliceAng val="0"/>
      </c:pieChart>
      <c:spPr>
        <a:noFill/>
        <a:ln w="25400">
          <a:noFill/>
        </a:ln>
      </c:spPr>
    </c:plotArea>
    <c:plotVisOnly val="1"/>
    <c:dispBlanksAs val="zero"/>
    <c:showDLblsOverMax val="0"/>
  </c:chart>
  <c:spPr>
    <a:noFill/>
    <a:ln>
      <a:noFill/>
    </a:ln>
  </c:spPr>
  <c:txPr>
    <a:bodyPr/>
    <a:lstStyle/>
    <a:p>
      <a:pPr>
        <a:defRPr sz="1000" b="0" i="0" u="none" strike="noStrike" baseline="0">
          <a:solidFill>
            <a:srgbClr val="000000"/>
          </a:solidFill>
          <a:latin typeface="Calibri"/>
          <a:ea typeface="Calibri"/>
          <a:cs typeface="Calibri"/>
        </a:defRPr>
      </a:pPr>
      <a:endParaRPr lang="en-US"/>
    </a:p>
  </c:txPr>
  <c:printSettings>
    <c:headerFooter/>
    <c:pageMargins b="1.0" l="0.75" r="0.75" t="1.0" header="0.5" footer="0.5"/>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chart>
    <c:title>
      <c:tx>
        <c:rich>
          <a:bodyPr/>
          <a:lstStyle/>
          <a:p>
            <a:pPr>
              <a:defRPr sz="1200" b="1" i="0" u="none" strike="noStrike" baseline="0">
                <a:solidFill>
                  <a:srgbClr val="000000"/>
                </a:solidFill>
                <a:latin typeface="Helvetica"/>
                <a:ea typeface="Helvetica"/>
                <a:cs typeface="Helvetica"/>
              </a:defRPr>
            </a:pPr>
            <a:r>
              <a:t>Solar Production vs. Total Usage</a:t>
            </a:r>
          </a:p>
        </c:rich>
      </c:tx>
      <c:overlay val="0"/>
      <c:spPr>
        <a:noFill/>
        <a:ln>
          <a:noFill/>
        </a:ln>
      </c:spPr>
    </c:title>
    <c:autoTitleDeleted val="0"/>
    <c:plotArea>
      <c:layout>
        <c:manualLayout>
          <c:layoutTarget val="inner"/>
          <c:xMode val="edge"/>
          <c:yMode val="edge"/>
          <c:x val="0.0730805445887515"/>
          <c:y val="0.183147899590125"/>
          <c:w val="0.902962974192457"/>
          <c:h val="0.615433416983182"/>
        </c:manualLayout>
      </c:layout>
      <c:areaChart>
        <c:grouping val="standard"/>
        <c:varyColors val="0"/>
        <c:ser>
          <c:idx val="1"/>
          <c:order val="0"/>
          <c:tx>
            <c:strRef>
              <c:f>'Lookup Tables'!$U$2</c:f>
              <c:strCache>
                <c:ptCount val="1"/>
                <c:pt idx="0">
                  <c:v>Solar (kWh)</c:v>
                </c:pt>
              </c:strCache>
            </c:strRef>
          </c:tx>
          <c:spPr>
            <a:solidFill>
              <a:schemeClr val="tx2">
                <a:lumMod val="60000"/>
                <a:lumOff val="40000"/>
              </a:schemeClr>
            </a:solidFill>
            <a:ln w="25400">
              <a:solidFill>
                <a:schemeClr val="tx2">
                  <a:lumMod val="75000"/>
                </a:schemeClr>
              </a:solidFill>
            </a:ln>
          </c:spPr>
          <c:cat>
            <c:strRef>
              <c:f>'Lookup Tables'!$S$4:$S$15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'Lookup Tables'!$U$4:$U$15</c:f>
              <c:numCache>
                <c:formatCode>_(* #,##0.00_);_(* \(#,##0.00\);_(* "-"??_);_(@_)</c:formatCode>
                <c:ptCount val="12"/>
                <c:pt idx="0">
                  <c:v>630.0</c:v>
                </c:pt>
                <c:pt idx="1">
                  <c:v>642.0</c:v>
                </c:pt>
                <c:pt idx="2">
                  <c:v>780.0</c:v>
                </c:pt>
                <c:pt idx="3">
                  <c:v>744.0</c:v>
                </c:pt>
                <c:pt idx="4">
                  <c:v>756.0</c:v>
                </c:pt>
                <c:pt idx="5">
                  <c:v>774.0</c:v>
                </c:pt>
                <c:pt idx="6">
                  <c:v>822.0</c:v>
                </c:pt>
                <c:pt idx="7">
                  <c:v>828.0</c:v>
                </c:pt>
                <c:pt idx="8">
                  <c:v>762.0</c:v>
                </c:pt>
                <c:pt idx="9">
                  <c:v>774.0</c:v>
                </c:pt>
                <c:pt idx="10">
                  <c:v>624.0</c:v>
                </c:pt>
                <c:pt idx="11">
                  <c:v>576.0</c:v>
                </c:pt>
              </c:numCache>
            </c:numRef>
          </c:val>
        </c:ser>
        <c:ser>
          <c:idx val="0"/>
          <c:order val="1"/>
          <c:tx>
            <c:strRef>
              <c:f>'Lookup Tables'!$V$2</c:f>
              <c:strCache>
                <c:ptCount val="1"/>
                <c:pt idx="0">
                  <c:v>House (kWh)</c:v>
                </c:pt>
              </c:strCache>
            </c:strRef>
          </c:tx>
          <c:spPr>
            <a:solidFill>
              <a:schemeClr val="accent3">
                <a:lumMod val="50000"/>
                <a:alpha val="50000"/>
              </a:schemeClr>
            </a:solidFill>
            <a:ln w="12700" cmpd="sng">
              <a:solidFill>
                <a:schemeClr val="accent3">
                  <a:lumMod val="50000"/>
                </a:schemeClr>
              </a:solidFill>
            </a:ln>
          </c:spPr>
          <c:cat>
            <c:strRef>
              <c:f>'Lookup Tables'!$S$4:$S$15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'Lookup Tables'!$V$4:$V$15</c:f>
              <c:numCache>
                <c:formatCode>_(* #,##0_);_(* \(#,##0\);_(* "-"??_);_(@_)</c:formatCode>
                <c:ptCount val="12"/>
                <c:pt idx="0">
                  <c:v>912.6034958601655</c:v>
                </c:pt>
                <c:pt idx="1">
                  <c:v>729.83747316774</c:v>
                </c:pt>
                <c:pt idx="2">
                  <c:v>678.3195338853112</c:v>
                </c:pt>
                <c:pt idx="3">
                  <c:v>693.0389451088623</c:v>
                </c:pt>
                <c:pt idx="4">
                  <c:v>808.3409996933456</c:v>
                </c:pt>
                <c:pt idx="5">
                  <c:v>1349.279362158847</c:v>
                </c:pt>
                <c:pt idx="6">
                  <c:v>1521.00582643361</c:v>
                </c:pt>
                <c:pt idx="7">
                  <c:v>1496.473474394357</c:v>
                </c:pt>
                <c:pt idx="8">
                  <c:v>1349.279362158847</c:v>
                </c:pt>
                <c:pt idx="9">
                  <c:v>939.5890831033426</c:v>
                </c:pt>
                <c:pt idx="10">
                  <c:v>766.6360012266177</c:v>
                </c:pt>
                <c:pt idx="11">
                  <c:v>755.5964428089543</c:v>
                </c:pt>
              </c:numCache>
            </c:numRef>
          </c:val>
        </c:ser>
        <c:dLbls>
          <c:showLegendKey val="0"/>
          <c:showVal val="0"/>
          <c:showCatName val="0"/>
          <c:showSerName val="0"/>
          <c:showPercent val="0"/>
          <c:showBubbleSize val="0"/>
        </c:dLbls>
        <c:axId val="-2108923704"/>
        <c:axId val="-2108844136"/>
      </c:areaChart>
      <c:catAx>
        <c:axId val="-2108923704"/>
        <c:scaling>
          <c:orientation val="minMax"/>
        </c:scaling>
        <c:delete val="0"/>
        <c:axPos val="b"/>
        <c:numFmt formatCode="0"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2108844136"/>
        <c:crosses val="autoZero"/>
        <c:auto val="1"/>
        <c:lblAlgn val="ctr"/>
        <c:lblOffset val="100"/>
        <c:noMultiLvlLbl val="0"/>
      </c:catAx>
      <c:valAx>
        <c:axId val="-2108844136"/>
        <c:scaling>
          <c:orientation val="minMax"/>
        </c:scaling>
        <c:delete val="0"/>
        <c:axPos val="l"/>
        <c:majorGridlines/>
        <c:numFmt formatCode="_(* #,##0.00_);_(* \(#,##0.00\);_(* &quot;-&quot;??_);_(@_)"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2108923704"/>
        <c:crosses val="autoZero"/>
        <c:crossBetween val="midCat"/>
      </c:valAx>
      <c:spPr>
        <a:noFill/>
        <a:ln w="9525" cap="flat" cmpd="sng" algn="ctr">
          <a:solidFill>
            <a:schemeClr val="accent3">
              <a:shade val="95000"/>
              <a:satMod val="105000"/>
            </a:schemeClr>
          </a:solidFill>
          <a:prstDash val="solid"/>
        </a:ln>
        <a:effectLst>
          <a:outerShdw blurRad="40000" dist="23000" dir="5400000" rotWithShape="0">
            <a:srgbClr val="000000">
              <a:alpha val="35000"/>
            </a:srgbClr>
          </a:outerShdw>
        </a:effectLst>
      </c:spPr>
    </c:plotArea>
    <c:legend>
      <c:legendPos val="b"/>
      <c:layout>
        <c:manualLayout>
          <c:xMode val="edge"/>
          <c:yMode val="edge"/>
          <c:wMode val="edge"/>
          <c:hMode val="edge"/>
          <c:x val="0.366002077701307"/>
          <c:y val="0.698323253071627"/>
          <c:w val="0.729197369819027"/>
          <c:h val="0.789481151812545"/>
        </c:manualLayout>
      </c:layout>
      <c:overlay val="0"/>
      <c:txPr>
        <a:bodyPr/>
        <a:lstStyle/>
        <a:p>
          <a:pPr>
            <a:defRPr sz="1010" b="1" i="0" u="none" strike="noStrike" baseline="0">
              <a:solidFill>
                <a:srgbClr val="000000"/>
              </a:solidFill>
              <a:latin typeface="Calibri"/>
              <a:ea typeface="Calibri"/>
              <a:cs typeface="Calibri"/>
            </a:defRPr>
          </a:pPr>
          <a:endParaRPr lang="en-US"/>
        </a:p>
      </c:txPr>
    </c:legend>
    <c:plotVisOnly val="1"/>
    <c:dispBlanksAs val="gap"/>
    <c:showDLblsOverMax val="0"/>
  </c:chart>
  <c:spPr>
    <a:noFill/>
    <a:ln>
      <a:noFill/>
    </a:ln>
  </c:spPr>
  <c:txPr>
    <a:bodyPr/>
    <a:lstStyle/>
    <a:p>
      <a:pPr>
        <a:defRPr sz="1000" b="0" i="0" u="none" strike="noStrike" baseline="0">
          <a:solidFill>
            <a:srgbClr val="000000"/>
          </a:solidFill>
          <a:latin typeface="Calibri"/>
          <a:ea typeface="Calibri"/>
          <a:cs typeface="Calibri"/>
        </a:defRPr>
      </a:pPr>
      <a:endParaRPr lang="en-US"/>
    </a:p>
  </c:txPr>
  <c:printSettings>
    <c:headerFooter/>
    <c:pageMargins b="1.0" l="0.75" r="0.75" t="1.0" header="0.5" footer="0.5"/>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sz="1200" b="1" i="0" u="none" strike="noStrike" baseline="0">
                <a:solidFill>
                  <a:srgbClr val="000000"/>
                </a:solidFill>
                <a:latin typeface="Helvetica"/>
                <a:ea typeface="Helvetica"/>
                <a:cs typeface="Helvetica"/>
              </a:defRPr>
            </a:pPr>
            <a:r>
              <a:t>Annual Cash Flow</a:t>
            </a:r>
          </a:p>
        </c:rich>
      </c:tx>
      <c:layout>
        <c:manualLayout>
          <c:xMode val="edge"/>
          <c:yMode val="edge"/>
          <c:x val="0.408354190101237"/>
          <c:y val="0.0652847009826251"/>
        </c:manualLayout>
      </c:layout>
      <c:overlay val="0"/>
    </c:title>
    <c:autoTitleDeleted val="0"/>
    <c:plotArea>
      <c:layout>
        <c:manualLayout>
          <c:layoutTarget val="inner"/>
          <c:xMode val="edge"/>
          <c:yMode val="edge"/>
          <c:x val="0.0721888510864794"/>
          <c:y val="0.0718135095906175"/>
          <c:w val="0.90661549583257"/>
          <c:h val="0.679033120942865"/>
        </c:manualLayout>
      </c:layout>
      <c:lineChart>
        <c:grouping val="standard"/>
        <c:varyColors val="0"/>
        <c:ser>
          <c:idx val="0"/>
          <c:order val="0"/>
          <c:tx>
            <c:strRef>
              <c:f>'Cash Bid'!$Y$4</c:f>
              <c:strCache>
                <c:ptCount val="1"/>
                <c:pt idx="0">
                  <c:v>Pre Solar Annual Bill</c:v>
                </c:pt>
              </c:strCache>
            </c:strRef>
          </c:tx>
          <c:marker>
            <c:symbol val="none"/>
          </c:marker>
          <c:cat>
            <c:numRef>
              <c:f>'Cash Bid'!$U$7:$U$31</c:f>
              <c:numCache>
                <c:formatCode>General</c:formatCode>
                <c:ptCount val="25"/>
                <c:pt idx="0">
                  <c:v>1.0</c:v>
                </c:pt>
                <c:pt idx="1">
                  <c:v>2.0</c:v>
                </c:pt>
                <c:pt idx="2">
                  <c:v>3.0</c:v>
                </c:pt>
                <c:pt idx="3">
                  <c:v>4.0</c:v>
                </c:pt>
                <c:pt idx="4">
                  <c:v>5.0</c:v>
                </c:pt>
                <c:pt idx="5">
                  <c:v>6.0</c:v>
                </c:pt>
                <c:pt idx="6">
                  <c:v>7.0</c:v>
                </c:pt>
                <c:pt idx="7">
                  <c:v>8.0</c:v>
                </c:pt>
                <c:pt idx="8">
                  <c:v>9.0</c:v>
                </c:pt>
                <c:pt idx="9">
                  <c:v>10.0</c:v>
                </c:pt>
                <c:pt idx="10">
                  <c:v>11.0</c:v>
                </c:pt>
                <c:pt idx="11">
                  <c:v>12.0</c:v>
                </c:pt>
                <c:pt idx="12">
                  <c:v>13.0</c:v>
                </c:pt>
                <c:pt idx="13">
                  <c:v>14.0</c:v>
                </c:pt>
                <c:pt idx="14">
                  <c:v>15.0</c:v>
                </c:pt>
                <c:pt idx="15">
                  <c:v>16.0</c:v>
                </c:pt>
                <c:pt idx="16">
                  <c:v>17.0</c:v>
                </c:pt>
                <c:pt idx="17">
                  <c:v>18.0</c:v>
                </c:pt>
                <c:pt idx="18">
                  <c:v>19.0</c:v>
                </c:pt>
                <c:pt idx="19">
                  <c:v>20.0</c:v>
                </c:pt>
                <c:pt idx="20">
                  <c:v>21.0</c:v>
                </c:pt>
                <c:pt idx="21">
                  <c:v>22.0</c:v>
                </c:pt>
                <c:pt idx="22">
                  <c:v>23.0</c:v>
                </c:pt>
                <c:pt idx="23">
                  <c:v>24.0</c:v>
                </c:pt>
                <c:pt idx="24">
                  <c:v>25.0</c:v>
                </c:pt>
              </c:numCache>
            </c:numRef>
          </c:cat>
          <c:val>
            <c:numRef>
              <c:f>'Cash Bid'!$Y$7:$Y$31</c:f>
              <c:numCache>
                <c:formatCode>_("$"* #,##0_);_("$"* \(#,##0\);_("$"* "-"??_);_(@_)</c:formatCode>
                <c:ptCount val="25"/>
                <c:pt idx="0">
                  <c:v>1356.0</c:v>
                </c:pt>
                <c:pt idx="1">
                  <c:v>1403.46</c:v>
                </c:pt>
                <c:pt idx="2">
                  <c:v>1452.5811</c:v>
                </c:pt>
                <c:pt idx="3">
                  <c:v>1503.4214385</c:v>
                </c:pt>
                <c:pt idx="4">
                  <c:v>1556.0411888475</c:v>
                </c:pt>
                <c:pt idx="5">
                  <c:v>1610.502630457162</c:v>
                </c:pt>
                <c:pt idx="6">
                  <c:v>1666.870222523162</c:v>
                </c:pt>
                <c:pt idx="7">
                  <c:v>1725.210680311473</c:v>
                </c:pt>
                <c:pt idx="8">
                  <c:v>1785.593054122374</c:v>
                </c:pt>
                <c:pt idx="9">
                  <c:v>1848.088811016657</c:v>
                </c:pt>
                <c:pt idx="10">
                  <c:v>1912.77191940224</c:v>
                </c:pt>
                <c:pt idx="11">
                  <c:v>1979.718936581319</c:v>
                </c:pt>
                <c:pt idx="12">
                  <c:v>2049.009099361664</c:v>
                </c:pt>
                <c:pt idx="13">
                  <c:v>2120.724417839323</c:v>
                </c:pt>
                <c:pt idx="14">
                  <c:v>2194.949772463699</c:v>
                </c:pt>
                <c:pt idx="15">
                  <c:v>2271.773014499928</c:v>
                </c:pt>
                <c:pt idx="16">
                  <c:v>2351.285070007425</c:v>
                </c:pt>
                <c:pt idx="17">
                  <c:v>2433.580047457685</c:v>
                </c:pt>
                <c:pt idx="18">
                  <c:v>2518.755349118703</c:v>
                </c:pt>
                <c:pt idx="19">
                  <c:v>2606.911786337858</c:v>
                </c:pt>
                <c:pt idx="20">
                  <c:v>2698.153698859683</c:v>
                </c:pt>
                <c:pt idx="21">
                  <c:v>2792.589078319771</c:v>
                </c:pt>
                <c:pt idx="22">
                  <c:v>2890.329696060963</c:v>
                </c:pt>
                <c:pt idx="23">
                  <c:v>2991.491235423096</c:v>
                </c:pt>
                <c:pt idx="24">
                  <c:v>3096.193428662904</c:v>
                </c:pt>
              </c:numCache>
            </c:numRef>
          </c:val>
          <c:smooth val="0"/>
        </c:ser>
        <c:ser>
          <c:idx val="2"/>
          <c:order val="1"/>
          <c:tx>
            <c:strRef>
              <c:f>'Cash Bid'!$Z$4</c:f>
              <c:strCache>
                <c:ptCount val="1"/>
                <c:pt idx="0">
                  <c:v>Post Solar Annual Bill</c:v>
                </c:pt>
              </c:strCache>
            </c:strRef>
          </c:tx>
          <c:marker>
            <c:symbol val="none"/>
          </c:marker>
          <c:cat>
            <c:numRef>
              <c:f>'Cash Bid'!$U$7:$U$31</c:f>
              <c:numCache>
                <c:formatCode>General</c:formatCode>
                <c:ptCount val="25"/>
                <c:pt idx="0">
                  <c:v>1.0</c:v>
                </c:pt>
                <c:pt idx="1">
                  <c:v>2.0</c:v>
                </c:pt>
                <c:pt idx="2">
                  <c:v>3.0</c:v>
                </c:pt>
                <c:pt idx="3">
                  <c:v>4.0</c:v>
                </c:pt>
                <c:pt idx="4">
                  <c:v>5.0</c:v>
                </c:pt>
                <c:pt idx="5">
                  <c:v>6.0</c:v>
                </c:pt>
                <c:pt idx="6">
                  <c:v>7.0</c:v>
                </c:pt>
                <c:pt idx="7">
                  <c:v>8.0</c:v>
                </c:pt>
                <c:pt idx="8">
                  <c:v>9.0</c:v>
                </c:pt>
                <c:pt idx="9">
                  <c:v>10.0</c:v>
                </c:pt>
                <c:pt idx="10">
                  <c:v>11.0</c:v>
                </c:pt>
                <c:pt idx="11">
                  <c:v>12.0</c:v>
                </c:pt>
                <c:pt idx="12">
                  <c:v>13.0</c:v>
                </c:pt>
                <c:pt idx="13">
                  <c:v>14.0</c:v>
                </c:pt>
                <c:pt idx="14">
                  <c:v>15.0</c:v>
                </c:pt>
                <c:pt idx="15">
                  <c:v>16.0</c:v>
                </c:pt>
                <c:pt idx="16">
                  <c:v>17.0</c:v>
                </c:pt>
                <c:pt idx="17">
                  <c:v>18.0</c:v>
                </c:pt>
                <c:pt idx="18">
                  <c:v>19.0</c:v>
                </c:pt>
                <c:pt idx="19">
                  <c:v>20.0</c:v>
                </c:pt>
                <c:pt idx="20">
                  <c:v>21.0</c:v>
                </c:pt>
                <c:pt idx="21">
                  <c:v>22.0</c:v>
                </c:pt>
                <c:pt idx="22">
                  <c:v>23.0</c:v>
                </c:pt>
                <c:pt idx="23">
                  <c:v>24.0</c:v>
                </c:pt>
                <c:pt idx="24">
                  <c:v>25.0</c:v>
                </c:pt>
              </c:numCache>
            </c:numRef>
          </c:cat>
          <c:val>
            <c:numRef>
              <c:f>'Cash Bid'!$Z$7:$Z$31</c:f>
              <c:numCache>
                <c:formatCode>_("$"* #,##0_);_("$"* \(#,##0\);_("$"* "-"??_);_(@_)</c:formatCode>
                <c:ptCount val="25"/>
                <c:pt idx="0">
                  <c:v>371.544</c:v>
                </c:pt>
                <c:pt idx="1">
                  <c:v>389.6425998</c:v>
                </c:pt>
                <c:pt idx="2">
                  <c:v>408.5265958390348</c:v>
                </c:pt>
                <c:pt idx="3">
                  <c:v>428.2280087524339</c:v>
                </c:pt>
                <c:pt idx="4">
                  <c:v>448.7801150577126</c:v>
                </c:pt>
                <c:pt idx="5">
                  <c:v>470.2174951415948</c:v>
                </c:pt>
                <c:pt idx="6">
                  <c:v>492.5760830468086</c:v>
                </c:pt>
                <c:pt idx="7">
                  <c:v>515.893218125237</c:v>
                </c:pt>
                <c:pt idx="8">
                  <c:v>540.207698626434</c:v>
                </c:pt>
                <c:pt idx="9">
                  <c:v>565.5598372930507</c:v>
                </c:pt>
                <c:pt idx="10">
                  <c:v>591.9915190373272</c:v>
                </c:pt>
                <c:pt idx="11">
                  <c:v>619.5462607755221</c:v>
                </c:pt>
                <c:pt idx="12">
                  <c:v>648.2692734999603</c:v>
                </c:pt>
                <c:pt idx="13">
                  <c:v>678.2075266712931</c:v>
                </c:pt>
                <c:pt idx="14">
                  <c:v>709.409815016583</c:v>
                </c:pt>
                <c:pt idx="15">
                  <c:v>741.926827821952</c:v>
                </c:pt>
                <c:pt idx="16">
                  <c:v>775.8112208117786</c:v>
                </c:pt>
                <c:pt idx="17">
                  <c:v>811.1176907097783</c:v>
                </c:pt>
                <c:pt idx="18">
                  <c:v>847.903052580791</c:v>
                </c:pt>
                <c:pt idx="19">
                  <c:v>886.2263200557021</c:v>
                </c:pt>
                <c:pt idx="20">
                  <c:v>926.1487885456616</c:v>
                </c:pt>
                <c:pt idx="21">
                  <c:v>967.7341215556348</c:v>
                </c:pt>
                <c:pt idx="22">
                  <c:v>1011.048440211336</c:v>
                </c:pt>
                <c:pt idx="23">
                  <c:v>1056.160416117755</c:v>
                </c:pt>
                <c:pt idx="24">
                  <c:v>1103.141367671781</c:v>
                </c:pt>
              </c:numCache>
            </c:numRef>
          </c:val>
          <c:smooth val="0"/>
        </c:ser>
        <c:dLbls>
          <c:showLegendKey val="0"/>
          <c:showVal val="0"/>
          <c:showCatName val="0"/>
          <c:showSerName val="0"/>
          <c:showPercent val="0"/>
          <c:showBubbleSize val="0"/>
        </c:dLbls>
        <c:marker val="1"/>
        <c:smooth val="0"/>
        <c:axId val="2126340936"/>
        <c:axId val="2126332536"/>
      </c:lineChart>
      <c:catAx>
        <c:axId val="2126340936"/>
        <c:scaling>
          <c:orientation val="minMax"/>
        </c:scaling>
        <c:delete val="0"/>
        <c:axPos val="b"/>
        <c:numFmt formatCode="General"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2126332536"/>
        <c:crosses val="autoZero"/>
        <c:auto val="1"/>
        <c:lblAlgn val="ctr"/>
        <c:lblOffset val="100"/>
        <c:noMultiLvlLbl val="0"/>
      </c:catAx>
      <c:valAx>
        <c:axId val="2126332536"/>
        <c:scaling>
          <c:orientation val="minMax"/>
        </c:scaling>
        <c:delete val="0"/>
        <c:axPos val="l"/>
        <c:majorGridlines/>
        <c:numFmt formatCode="\$#,##0" sourceLinked="0"/>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2126340936"/>
        <c:crosses val="autoZero"/>
        <c:crossBetween val="between"/>
      </c:valAx>
      <c:spPr>
        <a:noFill/>
        <a:ln w="25400">
          <a:noFill/>
        </a:ln>
      </c:spPr>
    </c:plotArea>
    <c:legend>
      <c:legendPos val="b"/>
      <c:layout>
        <c:manualLayout>
          <c:xMode val="edge"/>
          <c:yMode val="edge"/>
          <c:wMode val="edge"/>
          <c:hMode val="edge"/>
          <c:x val="0.126379124484439"/>
          <c:y val="0.858324331359406"/>
          <c:w val="0.849873570491189"/>
          <c:h val="0.951975336760591"/>
        </c:manualLayout>
      </c:layout>
      <c:overlay val="0"/>
      <c:txPr>
        <a:bodyPr/>
        <a:lstStyle/>
        <a:p>
          <a:pPr>
            <a:defRPr sz="1010" b="1" i="0" u="none" strike="noStrike" baseline="0">
              <a:solidFill>
                <a:srgbClr val="000000"/>
              </a:solidFill>
              <a:latin typeface="Calibri"/>
              <a:ea typeface="Calibri"/>
              <a:cs typeface="Calibri"/>
            </a:defRPr>
          </a:pPr>
          <a:endParaRPr lang="en-US"/>
        </a:p>
      </c:txPr>
    </c:legend>
    <c:plotVisOnly val="1"/>
    <c:dispBlanksAs val="gap"/>
    <c:showDLblsOverMax val="0"/>
  </c:chart>
  <c:spPr>
    <a:noFill/>
    <a:ln>
      <a:noFill/>
    </a:ln>
  </c:spPr>
  <c:txPr>
    <a:bodyPr/>
    <a:lstStyle/>
    <a:p>
      <a:pPr>
        <a:defRPr sz="1000" b="0" i="0" u="none" strike="noStrike" baseline="0">
          <a:solidFill>
            <a:srgbClr val="000000"/>
          </a:solidFill>
          <a:latin typeface="Calibri"/>
          <a:ea typeface="Calibri"/>
          <a:cs typeface="Calibri"/>
        </a:defRPr>
      </a:pPr>
      <a:endParaRPr lang="en-US"/>
    </a:p>
  </c:txPr>
  <c:printSettings>
    <c:headerFooter/>
    <c:pageMargins b="1.0" l="0.75" r="0.75" t="1.0" header="0.5" footer="0.5"/>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sz="1200" b="1" i="0" u="none" strike="noStrike" baseline="0">
                <a:solidFill>
                  <a:srgbClr val="000000"/>
                </a:solidFill>
                <a:latin typeface="Helvetica"/>
                <a:ea typeface="Helvetica"/>
                <a:cs typeface="Helvetica"/>
              </a:defRPr>
            </a:pPr>
            <a:r>
              <a:t>Average 25 Year Cost of Energy</a:t>
            </a:r>
          </a:p>
        </c:rich>
      </c:tx>
      <c:layout>
        <c:manualLayout>
          <c:xMode val="edge"/>
          <c:yMode val="edge"/>
          <c:x val="0.282673240611279"/>
          <c:y val="0.0953917694250483"/>
        </c:manualLayout>
      </c:layout>
      <c:overlay val="0"/>
      <c:spPr>
        <a:noFill/>
        <a:ln>
          <a:noFill/>
        </a:ln>
      </c:spPr>
    </c:title>
    <c:autoTitleDeleted val="0"/>
    <c:plotArea>
      <c:layout>
        <c:manualLayout>
          <c:layoutTarget val="inner"/>
          <c:xMode val="edge"/>
          <c:yMode val="edge"/>
          <c:x val="0.184360193398309"/>
          <c:y val="0.215059169053494"/>
          <c:w val="0.758566475961064"/>
          <c:h val="0.624888326369739"/>
        </c:manualLayout>
      </c:layout>
      <c:barChart>
        <c:barDir val="col"/>
        <c:grouping val="clustered"/>
        <c:varyColors val="0"/>
        <c:ser>
          <c:idx val="0"/>
          <c:order val="0"/>
          <c:spPr>
            <a:solidFill>
              <a:schemeClr val="tx2">
                <a:lumMod val="60000"/>
                <a:lumOff val="40000"/>
              </a:schemeClr>
            </a:solidFill>
            <a:ln>
              <a:solidFill>
                <a:schemeClr val="tx2">
                  <a:lumMod val="60000"/>
                  <a:lumOff val="40000"/>
                </a:schemeClr>
              </a:solidFill>
            </a:ln>
          </c:spPr>
          <c:invertIfNegative val="0"/>
          <c:dPt>
            <c:idx val="1"/>
            <c:invertIfNegative val="0"/>
            <c:bubble3D val="0"/>
            <c:spPr>
              <a:solidFill>
                <a:schemeClr val="accent3">
                  <a:lumMod val="75000"/>
                </a:schemeClr>
              </a:solidFill>
              <a:ln>
                <a:solidFill>
                  <a:schemeClr val="accent3">
                    <a:lumMod val="75000"/>
                  </a:schemeClr>
                </a:solidFill>
              </a:ln>
            </c:spPr>
          </c:dPt>
          <c:dLbls>
            <c:txPr>
              <a:bodyPr/>
              <a:lstStyle/>
              <a:p>
                <a:pPr>
                  <a:defRPr sz="1000" b="1" i="0" u="none" strike="noStrike" baseline="0">
                    <a:solidFill>
                      <a:srgbClr val="000000"/>
                    </a:solidFill>
                    <a:latin typeface="Calibri"/>
                    <a:ea typeface="Calibri"/>
                    <a:cs typeface="Calibri"/>
                  </a:defRPr>
                </a:pPr>
                <a:endParaRPr lang="en-US"/>
              </a:p>
            </c:txPr>
            <c:showLegendKey val="0"/>
            <c:showVal val="1"/>
            <c:showCatName val="0"/>
            <c:showSerName val="0"/>
            <c:showPercent val="0"/>
            <c:showBubbleSize val="0"/>
            <c:showLeaderLines val="0"/>
          </c:dLbls>
          <c:cat>
            <c:strRef>
              <c:f>'Lookup Tables'!$M$9:$M$10</c:f>
              <c:strCache>
                <c:ptCount val="2"/>
                <c:pt idx="0">
                  <c:v>Without Solar</c:v>
                </c:pt>
                <c:pt idx="1">
                  <c:v>With Solar</c:v>
                </c:pt>
              </c:strCache>
            </c:strRef>
          </c:cat>
          <c:val>
            <c:numRef>
              <c:f>'Lookup Tables'!$N$9:$N$10</c:f>
              <c:numCache>
                <c:formatCode>_("$"* #,##0.000_);_("$"* \(#,##0.000\);_("$"* "-"??_);_(@_)</c:formatCode>
                <c:ptCount val="2"/>
                <c:pt idx="0">
                  <c:v>0.163589398112045</c:v>
                </c:pt>
                <c:pt idx="1">
                  <c:v>0.108149937151971</c:v>
                </c:pt>
              </c:numCache>
            </c:numRef>
          </c:val>
        </c:ser>
        <c:dLbls>
          <c:showLegendKey val="0"/>
          <c:showVal val="0"/>
          <c:showCatName val="0"/>
          <c:showSerName val="0"/>
          <c:showPercent val="0"/>
          <c:showBubbleSize val="0"/>
        </c:dLbls>
        <c:gapWidth val="150"/>
        <c:axId val="-2107486648"/>
        <c:axId val="-2107483496"/>
      </c:barChart>
      <c:catAx>
        <c:axId val="-2107486648"/>
        <c:scaling>
          <c:orientation val="minMax"/>
        </c:scaling>
        <c:delete val="0"/>
        <c:axPos val="b"/>
        <c:numFmt formatCode="General" sourceLinked="1"/>
        <c:majorTickMark val="out"/>
        <c:minorTickMark val="none"/>
        <c:tickLblPos val="nextTo"/>
        <c:txPr>
          <a:bodyPr rot="0" vert="horz"/>
          <a:lstStyle/>
          <a:p>
            <a:pPr>
              <a:defRPr sz="1200" b="1" i="0" u="none" strike="noStrike" baseline="0">
                <a:solidFill>
                  <a:srgbClr val="000000"/>
                </a:solidFill>
                <a:latin typeface="Calibri"/>
                <a:ea typeface="Calibri"/>
                <a:cs typeface="Calibri"/>
              </a:defRPr>
            </a:pPr>
            <a:endParaRPr lang="en-US"/>
          </a:p>
        </c:txPr>
        <c:crossAx val="-2107483496"/>
        <c:crosses val="autoZero"/>
        <c:auto val="1"/>
        <c:lblAlgn val="ctr"/>
        <c:lblOffset val="100"/>
        <c:noMultiLvlLbl val="0"/>
      </c:catAx>
      <c:valAx>
        <c:axId val="-2107483496"/>
        <c:scaling>
          <c:orientation val="minMax"/>
        </c:scaling>
        <c:delete val="1"/>
        <c:axPos val="l"/>
        <c:majorGridlines/>
        <c:numFmt formatCode="_(&quot;$&quot;* #,##0.000_);_(&quot;$&quot;* \(#,##0.000\);_(&quot;$&quot;* &quot;-&quot;??_);_(@_)" sourceLinked="1"/>
        <c:majorTickMark val="out"/>
        <c:minorTickMark val="none"/>
        <c:tickLblPos val="nextTo"/>
        <c:crossAx val="-2107486648"/>
        <c:crosses val="autoZero"/>
        <c:crossBetween val="between"/>
      </c:valAx>
    </c:plotArea>
    <c:plotVisOnly val="1"/>
    <c:dispBlanksAs val="gap"/>
    <c:showDLblsOverMax val="0"/>
  </c:chart>
  <c:spPr>
    <a:noFill/>
    <a:ln>
      <a:noFill/>
    </a:ln>
  </c:spPr>
  <c:txPr>
    <a:bodyPr/>
    <a:lstStyle/>
    <a:p>
      <a:pPr>
        <a:defRPr sz="1000" b="0" i="0" u="none" strike="noStrike" baseline="0">
          <a:solidFill>
            <a:srgbClr val="000000"/>
          </a:solidFill>
          <a:latin typeface="Calibri"/>
          <a:ea typeface="Calibri"/>
          <a:cs typeface="Calibri"/>
        </a:defRPr>
      </a:pPr>
      <a:endParaRPr lang="en-US"/>
    </a:p>
  </c:txPr>
  <c:printSettings>
    <c:headerFooter/>
    <c:pageMargins b="1.0" l="0.75" r="0.75" t="1.0" header="0.5" footer="0.5"/>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pieChart>
        <c:varyColors val="1"/>
        <c:ser>
          <c:idx val="0"/>
          <c:order val="0"/>
          <c:spPr>
            <a:solidFill>
              <a:schemeClr val="accent3">
                <a:lumMod val="75000"/>
              </a:schemeClr>
            </a:solidFill>
            <a:ln>
              <a:solidFill>
                <a:schemeClr val="accent3">
                  <a:lumMod val="75000"/>
                </a:schemeClr>
              </a:solidFill>
            </a:ln>
          </c:spPr>
          <c:dPt>
            <c:idx val="0"/>
            <c:bubble3D val="0"/>
          </c:dPt>
          <c:dPt>
            <c:idx val="1"/>
            <c:bubble3D val="0"/>
            <c:spPr>
              <a:solidFill>
                <a:schemeClr val="tx2">
                  <a:lumMod val="60000"/>
                  <a:lumOff val="40000"/>
                </a:schemeClr>
              </a:solidFill>
              <a:ln>
                <a:solidFill>
                  <a:schemeClr val="tx2">
                    <a:lumMod val="60000"/>
                    <a:lumOff val="40000"/>
                  </a:schemeClr>
                </a:solidFill>
              </a:ln>
            </c:spPr>
          </c:dPt>
          <c:dLbls>
            <c:txPr>
              <a:bodyPr/>
              <a:lstStyle/>
              <a:p>
                <a:pPr>
                  <a:defRPr sz="1200" b="1" i="0" u="none" strike="noStrike" baseline="0">
                    <a:solidFill>
                      <a:srgbClr val="000000"/>
                    </a:solidFill>
                    <a:latin typeface="Calibri"/>
                    <a:ea typeface="Calibri"/>
                    <a:cs typeface="Calibri"/>
                  </a:defRPr>
                </a:pPr>
                <a:endParaRPr lang="en-US"/>
              </a:p>
            </c:txPr>
            <c:showLegendKey val="0"/>
            <c:showVal val="0"/>
            <c:showCatName val="1"/>
            <c:showSerName val="0"/>
            <c:showPercent val="0"/>
            <c:showBubbleSize val="0"/>
            <c:showLeaderLines val="1"/>
          </c:dLbls>
          <c:cat>
            <c:strRef>
              <c:f>'Lookup Tables'!$U$19:$V$19</c:f>
              <c:strCache>
                <c:ptCount val="2"/>
                <c:pt idx="0">
                  <c:v>Solar</c:v>
                </c:pt>
                <c:pt idx="1">
                  <c:v>Utility </c:v>
                </c:pt>
              </c:strCache>
            </c:strRef>
          </c:cat>
          <c:val>
            <c:numRef>
              <c:f>'Lookup Tables'!$U$20:$V$20</c:f>
              <c:numCache>
                <c:formatCode>0%</c:formatCode>
                <c:ptCount val="2"/>
                <c:pt idx="0">
                  <c:v>0.726</c:v>
                </c:pt>
                <c:pt idx="1">
                  <c:v>0.0570952380952381</c:v>
                </c:pt>
              </c:numCache>
            </c:numRef>
          </c:val>
        </c:ser>
        <c:dLbls>
          <c:showLegendKey val="0"/>
          <c:showVal val="0"/>
          <c:showCatName val="0"/>
          <c:showSerName val="0"/>
          <c:showPercent val="0"/>
          <c:showBubbleSize val="0"/>
          <c:showLeaderLines val="1"/>
        </c:dLbls>
        <c:firstSliceAng val="0"/>
      </c:pieChart>
      <c:spPr>
        <a:noFill/>
        <a:ln w="25400">
          <a:noFill/>
        </a:ln>
      </c:spPr>
    </c:plotArea>
    <c:plotVisOnly val="1"/>
    <c:dispBlanksAs val="zero"/>
    <c:showDLblsOverMax val="0"/>
  </c:chart>
  <c:spPr>
    <a:noFill/>
    <a:ln>
      <a:noFill/>
    </a:ln>
  </c:spPr>
  <c:txPr>
    <a:bodyPr/>
    <a:lstStyle/>
    <a:p>
      <a:pPr>
        <a:defRPr sz="1000" b="0" i="0" u="none" strike="noStrike" baseline="0">
          <a:solidFill>
            <a:srgbClr val="000000"/>
          </a:solidFill>
          <a:latin typeface="Calibri"/>
          <a:ea typeface="Calibri"/>
          <a:cs typeface="Calibri"/>
        </a:defRPr>
      </a:pPr>
      <a:endParaRPr lang="en-US"/>
    </a:p>
  </c:txPr>
  <c:printSettings>
    <c:headerFooter/>
    <c:pageMargins b="1.0" l="0.75" r="0.75" t="1.0" header="0.5" footer="0.5"/>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areaChart>
        <c:grouping val="standard"/>
        <c:varyColors val="0"/>
        <c:ser>
          <c:idx val="0"/>
          <c:order val="0"/>
          <c:tx>
            <c:strRef>
              <c:f>'Cash Bid'!$AJ$33</c:f>
              <c:strCache>
                <c:ptCount val="1"/>
                <c:pt idx="0">
                  <c:v>Pre Solar Energy Cost</c:v>
                </c:pt>
              </c:strCache>
            </c:strRef>
          </c:tx>
          <c:spPr>
            <a:solidFill>
              <a:schemeClr val="accent3">
                <a:lumMod val="75000"/>
              </a:schemeClr>
            </a:solidFill>
            <a:ln>
              <a:noFill/>
            </a:ln>
          </c:spPr>
          <c:val>
            <c:numRef>
              <c:f>'Cash Bid'!$AJ$34:$AJ$45</c:f>
              <c:numCache>
                <c:formatCode>_("$"* #,##0_);_("$"* \(#,##0\);_("$"* "-"??_);_(@_)</c:formatCode>
                <c:ptCount val="12"/>
                <c:pt idx="0">
                  <c:v>101.7</c:v>
                </c:pt>
                <c:pt idx="1">
                  <c:v>96.05</c:v>
                </c:pt>
                <c:pt idx="2">
                  <c:v>90.4</c:v>
                </c:pt>
                <c:pt idx="3">
                  <c:v>96.05</c:v>
                </c:pt>
                <c:pt idx="4">
                  <c:v>101.7</c:v>
                </c:pt>
                <c:pt idx="5">
                  <c:v>113.0</c:v>
                </c:pt>
                <c:pt idx="6">
                  <c:v>146.9</c:v>
                </c:pt>
                <c:pt idx="7">
                  <c:v>158.2</c:v>
                </c:pt>
                <c:pt idx="8">
                  <c:v>141.25</c:v>
                </c:pt>
                <c:pt idx="9">
                  <c:v>101.7</c:v>
                </c:pt>
                <c:pt idx="10">
                  <c:v>90.4</c:v>
                </c:pt>
                <c:pt idx="11">
                  <c:v>96.05</c:v>
                </c:pt>
              </c:numCache>
            </c:numRef>
          </c:val>
        </c:ser>
        <c:ser>
          <c:idx val="1"/>
          <c:order val="1"/>
          <c:tx>
            <c:strRef>
              <c:f>'Cash Bid'!$AL$33</c:f>
              <c:strCache>
                <c:ptCount val="1"/>
                <c:pt idx="0">
                  <c:v>After Solar Energy Cost</c:v>
                </c:pt>
              </c:strCache>
            </c:strRef>
          </c:tx>
          <c:spPr>
            <a:solidFill>
              <a:schemeClr val="tx2">
                <a:lumMod val="60000"/>
                <a:lumOff val="40000"/>
              </a:schemeClr>
            </a:solidFill>
            <a:ln>
              <a:noFill/>
            </a:ln>
          </c:spPr>
          <c:val>
            <c:numRef>
              <c:f>'Cash Bid'!$AL$34:$AL$45</c:f>
              <c:numCache>
                <c:formatCode>_("$"* #,##0_);_("$"* \(#,##0\);_("$"* "-"??_);_(@_)</c:formatCode>
                <c:ptCount val="12"/>
                <c:pt idx="0">
                  <c:v>34.24996558843772</c:v>
                </c:pt>
                <c:pt idx="1">
                  <c:v>27.3152030282175</c:v>
                </c:pt>
                <c:pt idx="2">
                  <c:v>6.890433585684803</c:v>
                </c:pt>
                <c:pt idx="3">
                  <c:v>16.3947212663455</c:v>
                </c:pt>
                <c:pt idx="4">
                  <c:v>20.75995870612527</c:v>
                </c:pt>
                <c:pt idx="5">
                  <c:v>30.13281486579491</c:v>
                </c:pt>
                <c:pt idx="6">
                  <c:v>58.89376462491398</c:v>
                </c:pt>
                <c:pt idx="7">
                  <c:v>69.55138334480388</c:v>
                </c:pt>
                <c:pt idx="8">
                  <c:v>59.66757742601516</c:v>
                </c:pt>
                <c:pt idx="9">
                  <c:v>18.83281486579492</c:v>
                </c:pt>
                <c:pt idx="10">
                  <c:v>23.59234686854785</c:v>
                </c:pt>
                <c:pt idx="11">
                  <c:v>34.38139710942878</c:v>
                </c:pt>
              </c:numCache>
            </c:numRef>
          </c:val>
        </c:ser>
        <c:dLbls>
          <c:showLegendKey val="0"/>
          <c:showVal val="0"/>
          <c:showCatName val="0"/>
          <c:showSerName val="0"/>
          <c:showPercent val="0"/>
          <c:showBubbleSize val="0"/>
        </c:dLbls>
        <c:axId val="-2108911112"/>
        <c:axId val="-2108907848"/>
      </c:areaChart>
      <c:catAx>
        <c:axId val="-2108911112"/>
        <c:scaling>
          <c:orientation val="minMax"/>
        </c:scaling>
        <c:delete val="0"/>
        <c:axPos val="b"/>
        <c:numFmt formatCode="General"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2108907848"/>
        <c:crosses val="autoZero"/>
        <c:auto val="1"/>
        <c:lblAlgn val="ctr"/>
        <c:lblOffset val="100"/>
        <c:noMultiLvlLbl val="0"/>
      </c:catAx>
      <c:valAx>
        <c:axId val="-2108907848"/>
        <c:scaling>
          <c:orientation val="minMax"/>
        </c:scaling>
        <c:delete val="0"/>
        <c:axPos val="l"/>
        <c:majorGridlines/>
        <c:numFmt formatCode="_(&quot;$&quot;* #,##0_);_(&quot;$&quot;* \(#,##0\);_(&quot;$&quot;* &quot;-&quot;??_);_(@_)"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2108911112"/>
        <c:crosses val="autoZero"/>
        <c:crossBetween val="midCat"/>
      </c:valAx>
    </c:plotArea>
    <c:legend>
      <c:legendPos val="b"/>
      <c:overlay val="0"/>
      <c:txPr>
        <a:bodyPr/>
        <a:lstStyle/>
        <a:p>
          <a:pPr>
            <a:defRPr sz="920" b="0" i="0" u="none" strike="noStrike" baseline="0">
              <a:solidFill>
                <a:srgbClr val="000000"/>
              </a:solidFill>
              <a:latin typeface="Calibri"/>
              <a:ea typeface="Calibri"/>
              <a:cs typeface="Calibri"/>
            </a:defRPr>
          </a:pPr>
          <a:endParaRPr lang="en-US"/>
        </a:p>
      </c:txPr>
    </c:legend>
    <c:plotVisOnly val="1"/>
    <c:dispBlanksAs val="zero"/>
    <c:showDLblsOverMax val="0"/>
  </c:chart>
  <c:spPr>
    <a:ln>
      <a:noFill/>
    </a:ln>
  </c:spPr>
  <c:txPr>
    <a:bodyPr/>
    <a:lstStyle/>
    <a:p>
      <a:pPr>
        <a:defRPr sz="1000" b="0" i="0" u="none" strike="noStrike" baseline="0">
          <a:solidFill>
            <a:srgbClr val="000000"/>
          </a:solidFill>
          <a:latin typeface="Calibri"/>
          <a:ea typeface="Calibri"/>
          <a:cs typeface="Calibri"/>
        </a:defRPr>
      </a:pPr>
      <a:endParaRPr lang="en-US"/>
    </a:p>
  </c:txPr>
  <c:printSettings>
    <c:headerFooter/>
    <c:pageMargins b="1.0" l="0.75" r="0.75" t="1.0" header="0.5" footer="0.5"/>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00594530843722"/>
          <c:y val="0.064524661690016"/>
          <c:w val="0.87595879713581"/>
          <c:h val="0.765213552851348"/>
        </c:manualLayout>
      </c:layout>
      <c:scatterChart>
        <c:scatterStyle val="smoothMarker"/>
        <c:varyColors val="0"/>
        <c:ser>
          <c:idx val="2"/>
          <c:order val="0"/>
          <c:tx>
            <c:v>Remaining Loan Balance</c:v>
          </c:tx>
          <c:spPr>
            <a:ln w="25400">
              <a:solidFill>
                <a:srgbClr val="00B050"/>
              </a:solidFill>
              <a:prstDash val="solid"/>
            </a:ln>
          </c:spPr>
          <c:marker>
            <c:symbol val="none"/>
          </c:marker>
          <c:xVal>
            <c:numRef>
              <c:f>MonthlyLoanModel!$D$46:$D$285</c:f>
              <c:numCache>
                <c:formatCode>General</c:formatCode>
                <c:ptCount val="240"/>
                <c:pt idx="0">
                  <c:v>1.0</c:v>
                </c:pt>
                <c:pt idx="1">
                  <c:v>2.0</c:v>
                </c:pt>
                <c:pt idx="2">
                  <c:v>3.0</c:v>
                </c:pt>
                <c:pt idx="3">
                  <c:v>4.0</c:v>
                </c:pt>
                <c:pt idx="4">
                  <c:v>5.0</c:v>
                </c:pt>
                <c:pt idx="5">
                  <c:v>6.0</c:v>
                </c:pt>
                <c:pt idx="6">
                  <c:v>7.0</c:v>
                </c:pt>
                <c:pt idx="7">
                  <c:v>8.0</c:v>
                </c:pt>
                <c:pt idx="8">
                  <c:v>9.0</c:v>
                </c:pt>
                <c:pt idx="9">
                  <c:v>10.0</c:v>
                </c:pt>
                <c:pt idx="10">
                  <c:v>11.0</c:v>
                </c:pt>
                <c:pt idx="11">
                  <c:v>12.0</c:v>
                </c:pt>
                <c:pt idx="12">
                  <c:v>13.0</c:v>
                </c:pt>
                <c:pt idx="13">
                  <c:v>14.0</c:v>
                </c:pt>
                <c:pt idx="14">
                  <c:v>15.0</c:v>
                </c:pt>
                <c:pt idx="15">
                  <c:v>16.0</c:v>
                </c:pt>
                <c:pt idx="16">
                  <c:v>17.0</c:v>
                </c:pt>
                <c:pt idx="17">
                  <c:v>18.0</c:v>
                </c:pt>
                <c:pt idx="18">
                  <c:v>19.0</c:v>
                </c:pt>
                <c:pt idx="19">
                  <c:v>20.0</c:v>
                </c:pt>
                <c:pt idx="20">
                  <c:v>21.0</c:v>
                </c:pt>
                <c:pt idx="21">
                  <c:v>22.0</c:v>
                </c:pt>
                <c:pt idx="22">
                  <c:v>23.0</c:v>
                </c:pt>
                <c:pt idx="23">
                  <c:v>24.0</c:v>
                </c:pt>
                <c:pt idx="24">
                  <c:v>25.0</c:v>
                </c:pt>
                <c:pt idx="25">
                  <c:v>26.0</c:v>
                </c:pt>
                <c:pt idx="26">
                  <c:v>27.0</c:v>
                </c:pt>
                <c:pt idx="27">
                  <c:v>28.0</c:v>
                </c:pt>
                <c:pt idx="28">
                  <c:v>29.0</c:v>
                </c:pt>
                <c:pt idx="29">
                  <c:v>30.0</c:v>
                </c:pt>
                <c:pt idx="30">
                  <c:v>31.0</c:v>
                </c:pt>
                <c:pt idx="31">
                  <c:v>32.0</c:v>
                </c:pt>
                <c:pt idx="32">
                  <c:v>33.0</c:v>
                </c:pt>
                <c:pt idx="33">
                  <c:v>34.0</c:v>
                </c:pt>
                <c:pt idx="34">
                  <c:v>35.0</c:v>
                </c:pt>
                <c:pt idx="35">
                  <c:v>36.0</c:v>
                </c:pt>
                <c:pt idx="36">
                  <c:v>37.0</c:v>
                </c:pt>
                <c:pt idx="37">
                  <c:v>38.0</c:v>
                </c:pt>
                <c:pt idx="38">
                  <c:v>39.0</c:v>
                </c:pt>
                <c:pt idx="39">
                  <c:v>40.0</c:v>
                </c:pt>
                <c:pt idx="40">
                  <c:v>41.0</c:v>
                </c:pt>
                <c:pt idx="41">
                  <c:v>42.0</c:v>
                </c:pt>
                <c:pt idx="42">
                  <c:v>43.0</c:v>
                </c:pt>
                <c:pt idx="43">
                  <c:v>44.0</c:v>
                </c:pt>
                <c:pt idx="44">
                  <c:v>45.0</c:v>
                </c:pt>
                <c:pt idx="45">
                  <c:v>46.0</c:v>
                </c:pt>
                <c:pt idx="46">
                  <c:v>47.0</c:v>
                </c:pt>
                <c:pt idx="47">
                  <c:v>48.0</c:v>
                </c:pt>
                <c:pt idx="48">
                  <c:v>49.0</c:v>
                </c:pt>
                <c:pt idx="49">
                  <c:v>50.0</c:v>
                </c:pt>
                <c:pt idx="50">
                  <c:v>51.0</c:v>
                </c:pt>
                <c:pt idx="51">
                  <c:v>52.0</c:v>
                </c:pt>
                <c:pt idx="52">
                  <c:v>53.0</c:v>
                </c:pt>
                <c:pt idx="53">
                  <c:v>54.0</c:v>
                </c:pt>
                <c:pt idx="54">
                  <c:v>55.0</c:v>
                </c:pt>
                <c:pt idx="55">
                  <c:v>56.0</c:v>
                </c:pt>
                <c:pt idx="56">
                  <c:v>57.0</c:v>
                </c:pt>
                <c:pt idx="57">
                  <c:v>58.0</c:v>
                </c:pt>
                <c:pt idx="58">
                  <c:v>59.0</c:v>
                </c:pt>
                <c:pt idx="59">
                  <c:v>60.0</c:v>
                </c:pt>
                <c:pt idx="60">
                  <c:v>61.0</c:v>
                </c:pt>
                <c:pt idx="61">
                  <c:v>62.0</c:v>
                </c:pt>
                <c:pt idx="62">
                  <c:v>63.0</c:v>
                </c:pt>
                <c:pt idx="63">
                  <c:v>64.0</c:v>
                </c:pt>
                <c:pt idx="64">
                  <c:v>65.0</c:v>
                </c:pt>
                <c:pt idx="65">
                  <c:v>66.0</c:v>
                </c:pt>
                <c:pt idx="66">
                  <c:v>67.0</c:v>
                </c:pt>
                <c:pt idx="67">
                  <c:v>68.0</c:v>
                </c:pt>
                <c:pt idx="68">
                  <c:v>69.0</c:v>
                </c:pt>
                <c:pt idx="69">
                  <c:v>70.0</c:v>
                </c:pt>
                <c:pt idx="70">
                  <c:v>71.0</c:v>
                </c:pt>
                <c:pt idx="71">
                  <c:v>72.0</c:v>
                </c:pt>
                <c:pt idx="72">
                  <c:v>73.0</c:v>
                </c:pt>
                <c:pt idx="73">
                  <c:v>74.0</c:v>
                </c:pt>
                <c:pt idx="74">
                  <c:v>75.0</c:v>
                </c:pt>
                <c:pt idx="75">
                  <c:v>76.0</c:v>
                </c:pt>
                <c:pt idx="76">
                  <c:v>77.0</c:v>
                </c:pt>
                <c:pt idx="77">
                  <c:v>78.0</c:v>
                </c:pt>
                <c:pt idx="78">
                  <c:v>79.0</c:v>
                </c:pt>
                <c:pt idx="79">
                  <c:v>80.0</c:v>
                </c:pt>
                <c:pt idx="80">
                  <c:v>81.0</c:v>
                </c:pt>
                <c:pt idx="81">
                  <c:v>82.0</c:v>
                </c:pt>
                <c:pt idx="82">
                  <c:v>83.0</c:v>
                </c:pt>
                <c:pt idx="83">
                  <c:v>84.0</c:v>
                </c:pt>
                <c:pt idx="84">
                  <c:v>85.0</c:v>
                </c:pt>
                <c:pt idx="85">
                  <c:v>86.0</c:v>
                </c:pt>
                <c:pt idx="86">
                  <c:v>87.0</c:v>
                </c:pt>
                <c:pt idx="87">
                  <c:v>88.0</c:v>
                </c:pt>
                <c:pt idx="88">
                  <c:v>89.0</c:v>
                </c:pt>
                <c:pt idx="89">
                  <c:v>90.0</c:v>
                </c:pt>
                <c:pt idx="90">
                  <c:v>91.0</c:v>
                </c:pt>
                <c:pt idx="91">
                  <c:v>92.0</c:v>
                </c:pt>
                <c:pt idx="92">
                  <c:v>93.0</c:v>
                </c:pt>
                <c:pt idx="93">
                  <c:v>94.0</c:v>
                </c:pt>
                <c:pt idx="94">
                  <c:v>95.0</c:v>
                </c:pt>
                <c:pt idx="95">
                  <c:v>96.0</c:v>
                </c:pt>
                <c:pt idx="96">
                  <c:v>97.0</c:v>
                </c:pt>
                <c:pt idx="97">
                  <c:v>98.0</c:v>
                </c:pt>
                <c:pt idx="98">
                  <c:v>99.0</c:v>
                </c:pt>
                <c:pt idx="99">
                  <c:v>100.0</c:v>
                </c:pt>
                <c:pt idx="100">
                  <c:v>101.0</c:v>
                </c:pt>
                <c:pt idx="101">
                  <c:v>102.0</c:v>
                </c:pt>
                <c:pt idx="102">
                  <c:v>103.0</c:v>
                </c:pt>
                <c:pt idx="103">
                  <c:v>104.0</c:v>
                </c:pt>
                <c:pt idx="104">
                  <c:v>105.0</c:v>
                </c:pt>
                <c:pt idx="105">
                  <c:v>106.0</c:v>
                </c:pt>
                <c:pt idx="106">
                  <c:v>107.0</c:v>
                </c:pt>
                <c:pt idx="107">
                  <c:v>108.0</c:v>
                </c:pt>
                <c:pt idx="108">
                  <c:v>109.0</c:v>
                </c:pt>
                <c:pt idx="109">
                  <c:v>110.0</c:v>
                </c:pt>
                <c:pt idx="110">
                  <c:v>111.0</c:v>
                </c:pt>
                <c:pt idx="111">
                  <c:v>112.0</c:v>
                </c:pt>
                <c:pt idx="112">
                  <c:v>113.0</c:v>
                </c:pt>
                <c:pt idx="113">
                  <c:v>114.0</c:v>
                </c:pt>
                <c:pt idx="114">
                  <c:v>115.0</c:v>
                </c:pt>
                <c:pt idx="115">
                  <c:v>116.0</c:v>
                </c:pt>
                <c:pt idx="116">
                  <c:v>117.0</c:v>
                </c:pt>
                <c:pt idx="117">
                  <c:v>118.0</c:v>
                </c:pt>
                <c:pt idx="118">
                  <c:v>119.0</c:v>
                </c:pt>
                <c:pt idx="119">
                  <c:v>120.0</c:v>
                </c:pt>
                <c:pt idx="120">
                  <c:v>121.0</c:v>
                </c:pt>
                <c:pt idx="121">
                  <c:v>122.0</c:v>
                </c:pt>
                <c:pt idx="122">
                  <c:v>123.0</c:v>
                </c:pt>
                <c:pt idx="123">
                  <c:v>124.0</c:v>
                </c:pt>
                <c:pt idx="124">
                  <c:v>125.0</c:v>
                </c:pt>
                <c:pt idx="125">
                  <c:v>126.0</c:v>
                </c:pt>
                <c:pt idx="126">
                  <c:v>127.0</c:v>
                </c:pt>
                <c:pt idx="127">
                  <c:v>128.0</c:v>
                </c:pt>
                <c:pt idx="128">
                  <c:v>129.0</c:v>
                </c:pt>
                <c:pt idx="129">
                  <c:v>130.0</c:v>
                </c:pt>
                <c:pt idx="130">
                  <c:v>131.0</c:v>
                </c:pt>
                <c:pt idx="131">
                  <c:v>132.0</c:v>
                </c:pt>
                <c:pt idx="132">
                  <c:v>133.0</c:v>
                </c:pt>
                <c:pt idx="133">
                  <c:v>134.0</c:v>
                </c:pt>
                <c:pt idx="134">
                  <c:v>135.0</c:v>
                </c:pt>
                <c:pt idx="135">
                  <c:v>136.0</c:v>
                </c:pt>
                <c:pt idx="136">
                  <c:v>137.0</c:v>
                </c:pt>
                <c:pt idx="137">
                  <c:v>138.0</c:v>
                </c:pt>
                <c:pt idx="138">
                  <c:v>139.0</c:v>
                </c:pt>
                <c:pt idx="139">
                  <c:v>140.0</c:v>
                </c:pt>
                <c:pt idx="140">
                  <c:v>141.0</c:v>
                </c:pt>
                <c:pt idx="141">
                  <c:v>142.0</c:v>
                </c:pt>
                <c:pt idx="142">
                  <c:v>143.0</c:v>
                </c:pt>
                <c:pt idx="143">
                  <c:v>144.0</c:v>
                </c:pt>
                <c:pt idx="144">
                  <c:v>145.0</c:v>
                </c:pt>
                <c:pt idx="145">
                  <c:v>146.0</c:v>
                </c:pt>
                <c:pt idx="146">
                  <c:v>147.0</c:v>
                </c:pt>
                <c:pt idx="147">
                  <c:v>148.0</c:v>
                </c:pt>
                <c:pt idx="148">
                  <c:v>149.0</c:v>
                </c:pt>
                <c:pt idx="149">
                  <c:v>150.0</c:v>
                </c:pt>
                <c:pt idx="150">
                  <c:v>151.0</c:v>
                </c:pt>
                <c:pt idx="151">
                  <c:v>152.0</c:v>
                </c:pt>
                <c:pt idx="152">
                  <c:v>153.0</c:v>
                </c:pt>
                <c:pt idx="153">
                  <c:v>154.0</c:v>
                </c:pt>
                <c:pt idx="154">
                  <c:v>155.0</c:v>
                </c:pt>
                <c:pt idx="155">
                  <c:v>156.0</c:v>
                </c:pt>
                <c:pt idx="156">
                  <c:v>157.0</c:v>
                </c:pt>
                <c:pt idx="157">
                  <c:v>158.0</c:v>
                </c:pt>
                <c:pt idx="158">
                  <c:v>159.0</c:v>
                </c:pt>
                <c:pt idx="159">
                  <c:v>160.0</c:v>
                </c:pt>
                <c:pt idx="160">
                  <c:v>161.0</c:v>
                </c:pt>
                <c:pt idx="161">
                  <c:v>162.0</c:v>
                </c:pt>
                <c:pt idx="162">
                  <c:v>163.0</c:v>
                </c:pt>
                <c:pt idx="163">
                  <c:v>164.0</c:v>
                </c:pt>
                <c:pt idx="164">
                  <c:v>165.0</c:v>
                </c:pt>
                <c:pt idx="165">
                  <c:v>166.0</c:v>
                </c:pt>
                <c:pt idx="166">
                  <c:v>167.0</c:v>
                </c:pt>
                <c:pt idx="167">
                  <c:v>168.0</c:v>
                </c:pt>
                <c:pt idx="168">
                  <c:v>169.0</c:v>
                </c:pt>
                <c:pt idx="169">
                  <c:v>170.0</c:v>
                </c:pt>
                <c:pt idx="170">
                  <c:v>171.0</c:v>
                </c:pt>
                <c:pt idx="171">
                  <c:v>172.0</c:v>
                </c:pt>
                <c:pt idx="172">
                  <c:v>173.0</c:v>
                </c:pt>
                <c:pt idx="173">
                  <c:v>174.0</c:v>
                </c:pt>
                <c:pt idx="174">
                  <c:v>175.0</c:v>
                </c:pt>
                <c:pt idx="175">
                  <c:v>176.0</c:v>
                </c:pt>
                <c:pt idx="176">
                  <c:v>177.0</c:v>
                </c:pt>
                <c:pt idx="177">
                  <c:v>178.0</c:v>
                </c:pt>
                <c:pt idx="178">
                  <c:v>179.0</c:v>
                </c:pt>
                <c:pt idx="179">
                  <c:v>180.0</c:v>
                </c:pt>
                <c:pt idx="180">
                  <c:v>181.0</c:v>
                </c:pt>
                <c:pt idx="181">
                  <c:v>182.0</c:v>
                </c:pt>
                <c:pt idx="182">
                  <c:v>183.0</c:v>
                </c:pt>
                <c:pt idx="183">
                  <c:v>184.0</c:v>
                </c:pt>
                <c:pt idx="184">
                  <c:v>185.0</c:v>
                </c:pt>
                <c:pt idx="185">
                  <c:v>186.0</c:v>
                </c:pt>
                <c:pt idx="186">
                  <c:v>187.0</c:v>
                </c:pt>
                <c:pt idx="187">
                  <c:v>188.0</c:v>
                </c:pt>
                <c:pt idx="188">
                  <c:v>189.0</c:v>
                </c:pt>
                <c:pt idx="189">
                  <c:v>190.0</c:v>
                </c:pt>
                <c:pt idx="190">
                  <c:v>191.0</c:v>
                </c:pt>
                <c:pt idx="191">
                  <c:v>192.0</c:v>
                </c:pt>
                <c:pt idx="192">
                  <c:v>193.0</c:v>
                </c:pt>
                <c:pt idx="193">
                  <c:v>194.0</c:v>
                </c:pt>
                <c:pt idx="194">
                  <c:v>195.0</c:v>
                </c:pt>
                <c:pt idx="195">
                  <c:v>196.0</c:v>
                </c:pt>
                <c:pt idx="196">
                  <c:v>197.0</c:v>
                </c:pt>
                <c:pt idx="197">
                  <c:v>198.0</c:v>
                </c:pt>
                <c:pt idx="198">
                  <c:v>199.0</c:v>
                </c:pt>
                <c:pt idx="199">
                  <c:v>200.0</c:v>
                </c:pt>
                <c:pt idx="200">
                  <c:v>201.0</c:v>
                </c:pt>
                <c:pt idx="201">
                  <c:v>202.0</c:v>
                </c:pt>
                <c:pt idx="202">
                  <c:v>203.0</c:v>
                </c:pt>
                <c:pt idx="203">
                  <c:v>204.0</c:v>
                </c:pt>
                <c:pt idx="204">
                  <c:v>205.0</c:v>
                </c:pt>
                <c:pt idx="205">
                  <c:v>206.0</c:v>
                </c:pt>
                <c:pt idx="206">
                  <c:v>207.0</c:v>
                </c:pt>
                <c:pt idx="207">
                  <c:v>208.0</c:v>
                </c:pt>
                <c:pt idx="208">
                  <c:v>209.0</c:v>
                </c:pt>
                <c:pt idx="209">
                  <c:v>210.0</c:v>
                </c:pt>
                <c:pt idx="210">
                  <c:v>211.0</c:v>
                </c:pt>
                <c:pt idx="211">
                  <c:v>212.0</c:v>
                </c:pt>
                <c:pt idx="212">
                  <c:v>213.0</c:v>
                </c:pt>
                <c:pt idx="213">
                  <c:v>214.0</c:v>
                </c:pt>
                <c:pt idx="214">
                  <c:v>215.0</c:v>
                </c:pt>
                <c:pt idx="215">
                  <c:v>216.0</c:v>
                </c:pt>
                <c:pt idx="216">
                  <c:v>217.0</c:v>
                </c:pt>
                <c:pt idx="217">
                  <c:v>218.0</c:v>
                </c:pt>
                <c:pt idx="218">
                  <c:v>219.0</c:v>
                </c:pt>
                <c:pt idx="219">
                  <c:v>220.0</c:v>
                </c:pt>
                <c:pt idx="220">
                  <c:v>221.0</c:v>
                </c:pt>
                <c:pt idx="221">
                  <c:v>222.0</c:v>
                </c:pt>
                <c:pt idx="222">
                  <c:v>223.0</c:v>
                </c:pt>
                <c:pt idx="223">
                  <c:v>224.0</c:v>
                </c:pt>
                <c:pt idx="224">
                  <c:v>225.0</c:v>
                </c:pt>
                <c:pt idx="225">
                  <c:v>226.0</c:v>
                </c:pt>
                <c:pt idx="226">
                  <c:v>227.0</c:v>
                </c:pt>
                <c:pt idx="227">
                  <c:v>228.0</c:v>
                </c:pt>
                <c:pt idx="228">
                  <c:v>229.0</c:v>
                </c:pt>
                <c:pt idx="229">
                  <c:v>230.0</c:v>
                </c:pt>
                <c:pt idx="230">
                  <c:v>231.0</c:v>
                </c:pt>
                <c:pt idx="231">
                  <c:v>232.0</c:v>
                </c:pt>
                <c:pt idx="232">
                  <c:v>233.0</c:v>
                </c:pt>
                <c:pt idx="233">
                  <c:v>234.0</c:v>
                </c:pt>
                <c:pt idx="234">
                  <c:v>235.0</c:v>
                </c:pt>
                <c:pt idx="235">
                  <c:v>236.0</c:v>
                </c:pt>
                <c:pt idx="236">
                  <c:v>237.0</c:v>
                </c:pt>
                <c:pt idx="237">
                  <c:v>238.0</c:v>
                </c:pt>
                <c:pt idx="238">
                  <c:v>239.0</c:v>
                </c:pt>
                <c:pt idx="239">
                  <c:v>240.0</c:v>
                </c:pt>
              </c:numCache>
            </c:numRef>
          </c:xVal>
          <c:yVal>
            <c:numRef>
              <c:f>MonthlyLoanModel!$L$46:$L$285</c:f>
              <c:numCache>
                <c:formatCode>#,##0.00_);\(#,##0.00\);\–_);"–"_)</c:formatCode>
                <c:ptCount val="240"/>
                <c:pt idx="0">
                  <c:v>17127.84</c:v>
                </c:pt>
                <c:pt idx="1">
                  <c:v>17127.84</c:v>
                </c:pt>
                <c:pt idx="2">
                  <c:v>17127.84</c:v>
                </c:pt>
                <c:pt idx="3">
                  <c:v>17127.84</c:v>
                </c:pt>
                <c:pt idx="4">
                  <c:v>17127.84</c:v>
                </c:pt>
                <c:pt idx="5">
                  <c:v>17127.84</c:v>
                </c:pt>
                <c:pt idx="6">
                  <c:v>17127.84</c:v>
                </c:pt>
                <c:pt idx="7">
                  <c:v>17127.84</c:v>
                </c:pt>
                <c:pt idx="8">
                  <c:v>17127.84</c:v>
                </c:pt>
                <c:pt idx="9">
                  <c:v>17127.84</c:v>
                </c:pt>
                <c:pt idx="10">
                  <c:v>17127.84</c:v>
                </c:pt>
                <c:pt idx="11">
                  <c:v>17127.84</c:v>
                </c:pt>
                <c:pt idx="12">
                  <c:v>17127.84</c:v>
                </c:pt>
                <c:pt idx="13">
                  <c:v>17127.84</c:v>
                </c:pt>
                <c:pt idx="14">
                  <c:v>17127.84</c:v>
                </c:pt>
                <c:pt idx="15">
                  <c:v>11989.488</c:v>
                </c:pt>
                <c:pt idx="16">
                  <c:v>11961.86529022431</c:v>
                </c:pt>
                <c:pt idx="17">
                  <c:v>11934.09328044863</c:v>
                </c:pt>
                <c:pt idx="18">
                  <c:v>11906.17107067294</c:v>
                </c:pt>
                <c:pt idx="19">
                  <c:v>11878.09776089726</c:v>
                </c:pt>
                <c:pt idx="20">
                  <c:v>11849.87265112157</c:v>
                </c:pt>
                <c:pt idx="21">
                  <c:v>11821.49494134588</c:v>
                </c:pt>
                <c:pt idx="22">
                  <c:v>11792.96373157019</c:v>
                </c:pt>
                <c:pt idx="23">
                  <c:v>11764.27822179451</c:v>
                </c:pt>
                <c:pt idx="24">
                  <c:v>11735.43751201882</c:v>
                </c:pt>
                <c:pt idx="25">
                  <c:v>11706.44090224314</c:v>
                </c:pt>
                <c:pt idx="26">
                  <c:v>11677.28739246745</c:v>
                </c:pt>
                <c:pt idx="27">
                  <c:v>11647.97628269176</c:v>
                </c:pt>
                <c:pt idx="28">
                  <c:v>11618.50657291608</c:v>
                </c:pt>
                <c:pt idx="29">
                  <c:v>11588.87756314039</c:v>
                </c:pt>
                <c:pt idx="30">
                  <c:v>11559.0882533647</c:v>
                </c:pt>
                <c:pt idx="31">
                  <c:v>11529.13784358902</c:v>
                </c:pt>
                <c:pt idx="32">
                  <c:v>11499.02543381333</c:v>
                </c:pt>
                <c:pt idx="33">
                  <c:v>11468.75022403765</c:v>
                </c:pt>
                <c:pt idx="34">
                  <c:v>11438.31121426196</c:v>
                </c:pt>
                <c:pt idx="35">
                  <c:v>11407.70760448627</c:v>
                </c:pt>
                <c:pt idx="36">
                  <c:v>11376.93849471059</c:v>
                </c:pt>
                <c:pt idx="37">
                  <c:v>11346.0029849349</c:v>
                </c:pt>
                <c:pt idx="38">
                  <c:v>11314.90017515921</c:v>
                </c:pt>
                <c:pt idx="39">
                  <c:v>11283.62916538353</c:v>
                </c:pt>
                <c:pt idx="40">
                  <c:v>11252.18895560784</c:v>
                </c:pt>
                <c:pt idx="41">
                  <c:v>11220.57874583215</c:v>
                </c:pt>
                <c:pt idx="42">
                  <c:v>11188.79753605647</c:v>
                </c:pt>
                <c:pt idx="43">
                  <c:v>11156.84442628078</c:v>
                </c:pt>
                <c:pt idx="44">
                  <c:v>11124.71851650509</c:v>
                </c:pt>
                <c:pt idx="45">
                  <c:v>11092.41890672941</c:v>
                </c:pt>
                <c:pt idx="46">
                  <c:v>11059.94459695372</c:v>
                </c:pt>
                <c:pt idx="47">
                  <c:v>11027.29468717804</c:v>
                </c:pt>
                <c:pt idx="48">
                  <c:v>10994.46817740235</c:v>
                </c:pt>
                <c:pt idx="49">
                  <c:v>10961.46406762666</c:v>
                </c:pt>
                <c:pt idx="50">
                  <c:v>10928.28155785098</c:v>
                </c:pt>
                <c:pt idx="51">
                  <c:v>10894.91954807529</c:v>
                </c:pt>
                <c:pt idx="52">
                  <c:v>10861.3771382996</c:v>
                </c:pt>
                <c:pt idx="53">
                  <c:v>10827.65322852392</c:v>
                </c:pt>
                <c:pt idx="54">
                  <c:v>10793.74701874823</c:v>
                </c:pt>
                <c:pt idx="55">
                  <c:v>10759.65740897254</c:v>
                </c:pt>
                <c:pt idx="56">
                  <c:v>10725.38339919686</c:v>
                </c:pt>
                <c:pt idx="57">
                  <c:v>10690.92398942117</c:v>
                </c:pt>
                <c:pt idx="58">
                  <c:v>10656.27827964548</c:v>
                </c:pt>
                <c:pt idx="59">
                  <c:v>10621.4451698698</c:v>
                </c:pt>
                <c:pt idx="60">
                  <c:v>10586.42366009411</c:v>
                </c:pt>
                <c:pt idx="61">
                  <c:v>10551.21275031842</c:v>
                </c:pt>
                <c:pt idx="62">
                  <c:v>10515.81144054274</c:v>
                </c:pt>
                <c:pt idx="63">
                  <c:v>10480.21863076705</c:v>
                </c:pt>
                <c:pt idx="64">
                  <c:v>10444.43332099136</c:v>
                </c:pt>
                <c:pt idx="65">
                  <c:v>10408.45451121568</c:v>
                </c:pt>
                <c:pt idx="66">
                  <c:v>10372.28110144</c:v>
                </c:pt>
                <c:pt idx="67">
                  <c:v>10335.9120916643</c:v>
                </c:pt>
                <c:pt idx="68">
                  <c:v>10299.34638188862</c:v>
                </c:pt>
                <c:pt idx="69">
                  <c:v>10262.58287211293</c:v>
                </c:pt>
                <c:pt idx="70">
                  <c:v>10225.62056233724</c:v>
                </c:pt>
                <c:pt idx="71">
                  <c:v>10188.45835256156</c:v>
                </c:pt>
                <c:pt idx="72">
                  <c:v>10151.09514278587</c:v>
                </c:pt>
                <c:pt idx="73">
                  <c:v>10113.52983301019</c:v>
                </c:pt>
                <c:pt idx="74">
                  <c:v>10075.7613232345</c:v>
                </c:pt>
                <c:pt idx="75">
                  <c:v>10037.78861345881</c:v>
                </c:pt>
                <c:pt idx="76">
                  <c:v>9999.610503683127</c:v>
                </c:pt>
                <c:pt idx="77">
                  <c:v>9961.22589390744</c:v>
                </c:pt>
                <c:pt idx="78">
                  <c:v>9922.633684131753</c:v>
                </c:pt>
                <c:pt idx="79">
                  <c:v>9883.832774356067</c:v>
                </c:pt>
                <c:pt idx="80">
                  <c:v>9844.822064580381</c:v>
                </c:pt>
                <c:pt idx="81">
                  <c:v>9805.600354804695</c:v>
                </c:pt>
                <c:pt idx="82">
                  <c:v>9766.16654502901</c:v>
                </c:pt>
                <c:pt idx="83">
                  <c:v>9726.519435253323</c:v>
                </c:pt>
                <c:pt idx="84">
                  <c:v>9686.657925477637</c:v>
                </c:pt>
                <c:pt idx="85">
                  <c:v>9646.580815701951</c:v>
                </c:pt>
                <c:pt idx="86">
                  <c:v>9606.286905926265</c:v>
                </c:pt>
                <c:pt idx="87">
                  <c:v>9565.775096150579</c:v>
                </c:pt>
                <c:pt idx="88">
                  <c:v>9525.044186374892</c:v>
                </c:pt>
                <c:pt idx="89">
                  <c:v>9484.092976599205</c:v>
                </c:pt>
                <c:pt idx="90">
                  <c:v>9442.92026682352</c:v>
                </c:pt>
                <c:pt idx="91">
                  <c:v>9401.524957047833</c:v>
                </c:pt>
                <c:pt idx="92">
                  <c:v>9359.905747272146</c:v>
                </c:pt>
                <c:pt idx="93">
                  <c:v>9318.06143749646</c:v>
                </c:pt>
                <c:pt idx="94">
                  <c:v>9275.990827720774</c:v>
                </c:pt>
                <c:pt idx="95">
                  <c:v>9233.692717945088</c:v>
                </c:pt>
                <c:pt idx="96">
                  <c:v>9191.165808169402</c:v>
                </c:pt>
                <c:pt idx="97">
                  <c:v>9148.408898393716</c:v>
                </c:pt>
                <c:pt idx="98">
                  <c:v>9105.42068861803</c:v>
                </c:pt>
                <c:pt idx="99">
                  <c:v>9062.20007884234</c:v>
                </c:pt>
                <c:pt idx="100">
                  <c:v>9018.745669066657</c:v>
                </c:pt>
                <c:pt idx="101">
                  <c:v>8975.05625929097</c:v>
                </c:pt>
                <c:pt idx="102">
                  <c:v>8931.13054951528</c:v>
                </c:pt>
                <c:pt idx="103">
                  <c:v>8886.967239739597</c:v>
                </c:pt>
                <c:pt idx="104">
                  <c:v>8842.56512996391</c:v>
                </c:pt>
                <c:pt idx="105">
                  <c:v>8797.922820188223</c:v>
                </c:pt>
                <c:pt idx="106">
                  <c:v>8753.039110412537</c:v>
                </c:pt>
                <c:pt idx="107">
                  <c:v>8707.91270063685</c:v>
                </c:pt>
                <c:pt idx="108">
                  <c:v>8662.542190861164</c:v>
                </c:pt>
                <c:pt idx="109">
                  <c:v>8616.926281085478</c:v>
                </c:pt>
                <c:pt idx="110">
                  <c:v>8571.063671309791</c:v>
                </c:pt>
                <c:pt idx="111">
                  <c:v>8524.953061534106</c:v>
                </c:pt>
                <c:pt idx="112">
                  <c:v>8478.59305175842</c:v>
                </c:pt>
                <c:pt idx="113">
                  <c:v>8431.982341982733</c:v>
                </c:pt>
                <c:pt idx="114">
                  <c:v>8385.119532207047</c:v>
                </c:pt>
                <c:pt idx="115">
                  <c:v>8338.00322243136</c:v>
                </c:pt>
                <c:pt idx="116">
                  <c:v>8290.632112655674</c:v>
                </c:pt>
                <c:pt idx="117">
                  <c:v>8243.004802879988</c:v>
                </c:pt>
                <c:pt idx="118">
                  <c:v>8195.119893104301</c:v>
                </c:pt>
                <c:pt idx="119">
                  <c:v>8146.975983328615</c:v>
                </c:pt>
                <c:pt idx="120">
                  <c:v>8098.571773552928</c:v>
                </c:pt>
                <c:pt idx="121">
                  <c:v>8049.905763777242</c:v>
                </c:pt>
                <c:pt idx="122">
                  <c:v>8000.976554001556</c:v>
                </c:pt>
                <c:pt idx="123">
                  <c:v>7951.78264422587</c:v>
                </c:pt>
                <c:pt idx="124">
                  <c:v>7902.322734450182</c:v>
                </c:pt>
                <c:pt idx="125">
                  <c:v>7852.595324674496</c:v>
                </c:pt>
                <c:pt idx="126">
                  <c:v>7802.59901489881</c:v>
                </c:pt>
                <c:pt idx="127">
                  <c:v>7752.332305123124</c:v>
                </c:pt>
                <c:pt idx="128">
                  <c:v>7701.793695347437</c:v>
                </c:pt>
                <c:pt idx="129">
                  <c:v>7650.981785571751</c:v>
                </c:pt>
                <c:pt idx="130">
                  <c:v>7599.895075796065</c:v>
                </c:pt>
                <c:pt idx="131">
                  <c:v>7548.532066020377</c:v>
                </c:pt>
                <c:pt idx="132">
                  <c:v>7496.891256244691</c:v>
                </c:pt>
                <c:pt idx="133">
                  <c:v>7444.971146469004</c:v>
                </c:pt>
                <c:pt idx="134">
                  <c:v>7392.770236693318</c:v>
                </c:pt>
                <c:pt idx="135">
                  <c:v>7340.287026917632</c:v>
                </c:pt>
                <c:pt idx="136">
                  <c:v>7287.519917141945</c:v>
                </c:pt>
                <c:pt idx="137">
                  <c:v>7234.467407366259</c:v>
                </c:pt>
                <c:pt idx="138">
                  <c:v>7181.127997590573</c:v>
                </c:pt>
                <c:pt idx="139">
                  <c:v>7127.500087814886</c:v>
                </c:pt>
                <c:pt idx="140">
                  <c:v>7073.582178039198</c:v>
                </c:pt>
                <c:pt idx="141">
                  <c:v>7019.372668263512</c:v>
                </c:pt>
                <c:pt idx="142">
                  <c:v>6964.869958487825</c:v>
                </c:pt>
                <c:pt idx="143">
                  <c:v>6910.07244871214</c:v>
                </c:pt>
                <c:pt idx="144">
                  <c:v>6854.978638936454</c:v>
                </c:pt>
                <c:pt idx="145">
                  <c:v>6799.586829160766</c:v>
                </c:pt>
                <c:pt idx="146">
                  <c:v>6743.89541938508</c:v>
                </c:pt>
                <c:pt idx="147">
                  <c:v>6687.902809609394</c:v>
                </c:pt>
                <c:pt idx="148">
                  <c:v>6631.607399833708</c:v>
                </c:pt>
                <c:pt idx="149">
                  <c:v>6575.007490058021</c:v>
                </c:pt>
                <c:pt idx="150">
                  <c:v>6518.101480282335</c:v>
                </c:pt>
                <c:pt idx="151">
                  <c:v>6460.887770506648</c:v>
                </c:pt>
                <c:pt idx="152">
                  <c:v>6403.364560730961</c:v>
                </c:pt>
                <c:pt idx="153">
                  <c:v>6345.530250955276</c:v>
                </c:pt>
                <c:pt idx="154">
                  <c:v>6287.38314117959</c:v>
                </c:pt>
                <c:pt idx="155">
                  <c:v>6228.9216314039</c:v>
                </c:pt>
                <c:pt idx="156">
                  <c:v>6170.143921628216</c:v>
                </c:pt>
                <c:pt idx="157">
                  <c:v>6111.04831185253</c:v>
                </c:pt>
                <c:pt idx="158">
                  <c:v>6051.633102076843</c:v>
                </c:pt>
                <c:pt idx="159">
                  <c:v>5991.896492301156</c:v>
                </c:pt>
                <c:pt idx="160">
                  <c:v>5931.83688252547</c:v>
                </c:pt>
                <c:pt idx="161">
                  <c:v>5871.452472749784</c:v>
                </c:pt>
                <c:pt idx="162">
                  <c:v>5810.741462974097</c:v>
                </c:pt>
                <c:pt idx="163">
                  <c:v>5749.702053198411</c:v>
                </c:pt>
                <c:pt idx="164">
                  <c:v>5688.332543422724</c:v>
                </c:pt>
                <c:pt idx="165">
                  <c:v>5626.631133647038</c:v>
                </c:pt>
                <c:pt idx="166">
                  <c:v>5564.59602387135</c:v>
                </c:pt>
                <c:pt idx="167">
                  <c:v>5502.225414095664</c:v>
                </c:pt>
                <c:pt idx="168">
                  <c:v>5439.517504319977</c:v>
                </c:pt>
                <c:pt idx="169">
                  <c:v>5376.470394544292</c:v>
                </c:pt>
                <c:pt idx="170">
                  <c:v>5313.082284768604</c:v>
                </c:pt>
                <c:pt idx="171">
                  <c:v>5249.351374992918</c:v>
                </c:pt>
                <c:pt idx="172">
                  <c:v>5185.275765217232</c:v>
                </c:pt>
                <c:pt idx="173">
                  <c:v>5120.853655441546</c:v>
                </c:pt>
                <c:pt idx="174">
                  <c:v>5056.08314566586</c:v>
                </c:pt>
                <c:pt idx="175">
                  <c:v>4990.962335890174</c:v>
                </c:pt>
                <c:pt idx="176">
                  <c:v>4925.489326114487</c:v>
                </c:pt>
                <c:pt idx="177">
                  <c:v>4859.6622163388</c:v>
                </c:pt>
                <c:pt idx="178">
                  <c:v>4793.479106563113</c:v>
                </c:pt>
                <c:pt idx="179">
                  <c:v>4726.937996787427</c:v>
                </c:pt>
                <c:pt idx="180">
                  <c:v>4660.03708701174</c:v>
                </c:pt>
                <c:pt idx="181">
                  <c:v>4592.774277236054</c:v>
                </c:pt>
                <c:pt idx="182">
                  <c:v>4525.147767460367</c:v>
                </c:pt>
                <c:pt idx="183">
                  <c:v>4457.155457684681</c:v>
                </c:pt>
                <c:pt idx="184">
                  <c:v>4388.795447908995</c:v>
                </c:pt>
                <c:pt idx="185">
                  <c:v>4320.065738133308</c:v>
                </c:pt>
                <c:pt idx="186">
                  <c:v>4250.964328357622</c:v>
                </c:pt>
                <c:pt idx="187">
                  <c:v>4181.489118581936</c:v>
                </c:pt>
                <c:pt idx="188">
                  <c:v>4111.63820880625</c:v>
                </c:pt>
                <c:pt idx="189">
                  <c:v>4041.409499030563</c:v>
                </c:pt>
                <c:pt idx="190">
                  <c:v>3970.800989254876</c:v>
                </c:pt>
                <c:pt idx="191">
                  <c:v>3899.81057947919</c:v>
                </c:pt>
                <c:pt idx="192">
                  <c:v>3828.436269703503</c:v>
                </c:pt>
                <c:pt idx="193">
                  <c:v>3756.675959927817</c:v>
                </c:pt>
                <c:pt idx="194">
                  <c:v>3684.52755015213</c:v>
                </c:pt>
                <c:pt idx="195">
                  <c:v>3611.988940376444</c:v>
                </c:pt>
                <c:pt idx="196">
                  <c:v>3539.057930600757</c:v>
                </c:pt>
                <c:pt idx="197">
                  <c:v>3465.73252082507</c:v>
                </c:pt>
                <c:pt idx="198">
                  <c:v>3392.010511049384</c:v>
                </c:pt>
                <c:pt idx="199">
                  <c:v>3317.889801273698</c:v>
                </c:pt>
                <c:pt idx="200">
                  <c:v>3243.368291498011</c:v>
                </c:pt>
                <c:pt idx="201">
                  <c:v>3168.443681722325</c:v>
                </c:pt>
                <c:pt idx="202">
                  <c:v>3093.113871946638</c:v>
                </c:pt>
                <c:pt idx="203">
                  <c:v>3017.376662170952</c:v>
                </c:pt>
                <c:pt idx="204">
                  <c:v>2941.229852395265</c:v>
                </c:pt>
                <c:pt idx="205">
                  <c:v>2864.67124261958</c:v>
                </c:pt>
                <c:pt idx="206">
                  <c:v>2787.698532843893</c:v>
                </c:pt>
                <c:pt idx="207">
                  <c:v>2710.309523068206</c:v>
                </c:pt>
                <c:pt idx="208">
                  <c:v>2632.50201329252</c:v>
                </c:pt>
                <c:pt idx="209">
                  <c:v>2554.273603516833</c:v>
                </c:pt>
                <c:pt idx="210">
                  <c:v>2475.622193741146</c:v>
                </c:pt>
                <c:pt idx="211">
                  <c:v>2396.54538396546</c:v>
                </c:pt>
                <c:pt idx="212">
                  <c:v>2317.040874189774</c:v>
                </c:pt>
                <c:pt idx="213">
                  <c:v>2237.106364414087</c:v>
                </c:pt>
                <c:pt idx="214">
                  <c:v>2156.739554638401</c:v>
                </c:pt>
                <c:pt idx="215">
                  <c:v>2075.938144862715</c:v>
                </c:pt>
                <c:pt idx="216">
                  <c:v>1994.699735087028</c:v>
                </c:pt>
                <c:pt idx="217">
                  <c:v>1913.021925311342</c:v>
                </c:pt>
                <c:pt idx="218">
                  <c:v>1830.902415535655</c:v>
                </c:pt>
                <c:pt idx="219">
                  <c:v>1748.338705759969</c:v>
                </c:pt>
                <c:pt idx="220">
                  <c:v>1665.328495984282</c:v>
                </c:pt>
                <c:pt idx="221">
                  <c:v>1581.869386208596</c:v>
                </c:pt>
                <c:pt idx="222">
                  <c:v>1497.95887643291</c:v>
                </c:pt>
                <c:pt idx="223">
                  <c:v>1413.594566657223</c:v>
                </c:pt>
                <c:pt idx="224">
                  <c:v>1328.773956881536</c:v>
                </c:pt>
                <c:pt idx="225">
                  <c:v>1243.49464710585</c:v>
                </c:pt>
                <c:pt idx="226">
                  <c:v>1157.754037330163</c:v>
                </c:pt>
                <c:pt idx="227">
                  <c:v>1071.549727554477</c:v>
                </c:pt>
                <c:pt idx="228">
                  <c:v>984.8792177787902</c:v>
                </c:pt>
                <c:pt idx="229">
                  <c:v>897.7400080031038</c:v>
                </c:pt>
                <c:pt idx="230">
                  <c:v>810.1294982274172</c:v>
                </c:pt>
                <c:pt idx="231">
                  <c:v>722.0451884517307</c:v>
                </c:pt>
                <c:pt idx="232">
                  <c:v>633.484478676044</c:v>
                </c:pt>
                <c:pt idx="233">
                  <c:v>544.4447689003577</c:v>
                </c:pt>
                <c:pt idx="234">
                  <c:v>454.9234591246712</c:v>
                </c:pt>
                <c:pt idx="235">
                  <c:v>364.9180493489847</c:v>
                </c:pt>
                <c:pt idx="236">
                  <c:v>274.4258395732982</c:v>
                </c:pt>
                <c:pt idx="237">
                  <c:v>183.4442297976117</c:v>
                </c:pt>
                <c:pt idx="238">
                  <c:v>91.97052002192523</c:v>
                </c:pt>
                <c:pt idx="239">
                  <c:v>0.00211024623874323</c:v>
                </c:pt>
              </c:numCache>
            </c:numRef>
          </c:yVal>
          <c:smooth val="1"/>
        </c:ser>
        <c:ser>
          <c:idx val="0"/>
          <c:order val="1"/>
          <c:tx>
            <c:v>Cumulative Equity Built</c:v>
          </c:tx>
          <c:spPr>
            <a:ln w="25400">
              <a:solidFill>
                <a:srgbClr val="052B40"/>
              </a:solidFill>
              <a:prstDash val="solid"/>
            </a:ln>
          </c:spPr>
          <c:marker>
            <c:symbol val="none"/>
          </c:marker>
          <c:xVal>
            <c:numRef>
              <c:f>MonthlyLoanModel!$D$46:$D$341</c:f>
              <c:numCache>
                <c:formatCode>General</c:formatCode>
                <c:ptCount val="296"/>
                <c:pt idx="0">
                  <c:v>1.0</c:v>
                </c:pt>
                <c:pt idx="1">
                  <c:v>2.0</c:v>
                </c:pt>
                <c:pt idx="2">
                  <c:v>3.0</c:v>
                </c:pt>
                <c:pt idx="3">
                  <c:v>4.0</c:v>
                </c:pt>
                <c:pt idx="4">
                  <c:v>5.0</c:v>
                </c:pt>
                <c:pt idx="5">
                  <c:v>6.0</c:v>
                </c:pt>
                <c:pt idx="6">
                  <c:v>7.0</c:v>
                </c:pt>
                <c:pt idx="7">
                  <c:v>8.0</c:v>
                </c:pt>
                <c:pt idx="8">
                  <c:v>9.0</c:v>
                </c:pt>
                <c:pt idx="9">
                  <c:v>10.0</c:v>
                </c:pt>
                <c:pt idx="10">
                  <c:v>11.0</c:v>
                </c:pt>
                <c:pt idx="11">
                  <c:v>12.0</c:v>
                </c:pt>
                <c:pt idx="12">
                  <c:v>13.0</c:v>
                </c:pt>
                <c:pt idx="13">
                  <c:v>14.0</c:v>
                </c:pt>
                <c:pt idx="14">
                  <c:v>15.0</c:v>
                </c:pt>
                <c:pt idx="15">
                  <c:v>16.0</c:v>
                </c:pt>
                <c:pt idx="16">
                  <c:v>17.0</c:v>
                </c:pt>
                <c:pt idx="17">
                  <c:v>18.0</c:v>
                </c:pt>
                <c:pt idx="18">
                  <c:v>19.0</c:v>
                </c:pt>
                <c:pt idx="19">
                  <c:v>20.0</c:v>
                </c:pt>
                <c:pt idx="20">
                  <c:v>21.0</c:v>
                </c:pt>
                <c:pt idx="21">
                  <c:v>22.0</c:v>
                </c:pt>
                <c:pt idx="22">
                  <c:v>23.0</c:v>
                </c:pt>
                <c:pt idx="23">
                  <c:v>24.0</c:v>
                </c:pt>
                <c:pt idx="24">
                  <c:v>25.0</c:v>
                </c:pt>
                <c:pt idx="25">
                  <c:v>26.0</c:v>
                </c:pt>
                <c:pt idx="26">
                  <c:v>27.0</c:v>
                </c:pt>
                <c:pt idx="27">
                  <c:v>28.0</c:v>
                </c:pt>
                <c:pt idx="28">
                  <c:v>29.0</c:v>
                </c:pt>
                <c:pt idx="29">
                  <c:v>30.0</c:v>
                </c:pt>
                <c:pt idx="30">
                  <c:v>31.0</c:v>
                </c:pt>
                <c:pt idx="31">
                  <c:v>32.0</c:v>
                </c:pt>
                <c:pt idx="32">
                  <c:v>33.0</c:v>
                </c:pt>
                <c:pt idx="33">
                  <c:v>34.0</c:v>
                </c:pt>
                <c:pt idx="34">
                  <c:v>35.0</c:v>
                </c:pt>
                <c:pt idx="35">
                  <c:v>36.0</c:v>
                </c:pt>
                <c:pt idx="36">
                  <c:v>37.0</c:v>
                </c:pt>
                <c:pt idx="37">
                  <c:v>38.0</c:v>
                </c:pt>
                <c:pt idx="38">
                  <c:v>39.0</c:v>
                </c:pt>
                <c:pt idx="39">
                  <c:v>40.0</c:v>
                </c:pt>
                <c:pt idx="40">
                  <c:v>41.0</c:v>
                </c:pt>
                <c:pt idx="41">
                  <c:v>42.0</c:v>
                </c:pt>
                <c:pt idx="42">
                  <c:v>43.0</c:v>
                </c:pt>
                <c:pt idx="43">
                  <c:v>44.0</c:v>
                </c:pt>
                <c:pt idx="44">
                  <c:v>45.0</c:v>
                </c:pt>
                <c:pt idx="45">
                  <c:v>46.0</c:v>
                </c:pt>
                <c:pt idx="46">
                  <c:v>47.0</c:v>
                </c:pt>
                <c:pt idx="47">
                  <c:v>48.0</c:v>
                </c:pt>
                <c:pt idx="48">
                  <c:v>49.0</c:v>
                </c:pt>
                <c:pt idx="49">
                  <c:v>50.0</c:v>
                </c:pt>
                <c:pt idx="50">
                  <c:v>51.0</c:v>
                </c:pt>
                <c:pt idx="51">
                  <c:v>52.0</c:v>
                </c:pt>
                <c:pt idx="52">
                  <c:v>53.0</c:v>
                </c:pt>
                <c:pt idx="53">
                  <c:v>54.0</c:v>
                </c:pt>
                <c:pt idx="54">
                  <c:v>55.0</c:v>
                </c:pt>
                <c:pt idx="55">
                  <c:v>56.0</c:v>
                </c:pt>
                <c:pt idx="56">
                  <c:v>57.0</c:v>
                </c:pt>
                <c:pt idx="57">
                  <c:v>58.0</c:v>
                </c:pt>
                <c:pt idx="58">
                  <c:v>59.0</c:v>
                </c:pt>
                <c:pt idx="59">
                  <c:v>60.0</c:v>
                </c:pt>
                <c:pt idx="60">
                  <c:v>61.0</c:v>
                </c:pt>
                <c:pt idx="61">
                  <c:v>62.0</c:v>
                </c:pt>
                <c:pt idx="62">
                  <c:v>63.0</c:v>
                </c:pt>
                <c:pt idx="63">
                  <c:v>64.0</c:v>
                </c:pt>
                <c:pt idx="64">
                  <c:v>65.0</c:v>
                </c:pt>
                <c:pt idx="65">
                  <c:v>66.0</c:v>
                </c:pt>
                <c:pt idx="66">
                  <c:v>67.0</c:v>
                </c:pt>
                <c:pt idx="67">
                  <c:v>68.0</c:v>
                </c:pt>
                <c:pt idx="68">
                  <c:v>69.0</c:v>
                </c:pt>
                <c:pt idx="69">
                  <c:v>70.0</c:v>
                </c:pt>
                <c:pt idx="70">
                  <c:v>71.0</c:v>
                </c:pt>
                <c:pt idx="71">
                  <c:v>72.0</c:v>
                </c:pt>
                <c:pt idx="72">
                  <c:v>73.0</c:v>
                </c:pt>
                <c:pt idx="73">
                  <c:v>74.0</c:v>
                </c:pt>
                <c:pt idx="74">
                  <c:v>75.0</c:v>
                </c:pt>
                <c:pt idx="75">
                  <c:v>76.0</c:v>
                </c:pt>
                <c:pt idx="76">
                  <c:v>77.0</c:v>
                </c:pt>
                <c:pt idx="77">
                  <c:v>78.0</c:v>
                </c:pt>
                <c:pt idx="78">
                  <c:v>79.0</c:v>
                </c:pt>
                <c:pt idx="79">
                  <c:v>80.0</c:v>
                </c:pt>
                <c:pt idx="80">
                  <c:v>81.0</c:v>
                </c:pt>
                <c:pt idx="81">
                  <c:v>82.0</c:v>
                </c:pt>
                <c:pt idx="82">
                  <c:v>83.0</c:v>
                </c:pt>
                <c:pt idx="83">
                  <c:v>84.0</c:v>
                </c:pt>
                <c:pt idx="84">
                  <c:v>85.0</c:v>
                </c:pt>
                <c:pt idx="85">
                  <c:v>86.0</c:v>
                </c:pt>
                <c:pt idx="86">
                  <c:v>87.0</c:v>
                </c:pt>
                <c:pt idx="87">
                  <c:v>88.0</c:v>
                </c:pt>
                <c:pt idx="88">
                  <c:v>89.0</c:v>
                </c:pt>
                <c:pt idx="89">
                  <c:v>90.0</c:v>
                </c:pt>
                <c:pt idx="90">
                  <c:v>91.0</c:v>
                </c:pt>
                <c:pt idx="91">
                  <c:v>92.0</c:v>
                </c:pt>
                <c:pt idx="92">
                  <c:v>93.0</c:v>
                </c:pt>
                <c:pt idx="93">
                  <c:v>94.0</c:v>
                </c:pt>
                <c:pt idx="94">
                  <c:v>95.0</c:v>
                </c:pt>
                <c:pt idx="95">
                  <c:v>96.0</c:v>
                </c:pt>
                <c:pt idx="96">
                  <c:v>97.0</c:v>
                </c:pt>
                <c:pt idx="97">
                  <c:v>98.0</c:v>
                </c:pt>
                <c:pt idx="98">
                  <c:v>99.0</c:v>
                </c:pt>
                <c:pt idx="99">
                  <c:v>100.0</c:v>
                </c:pt>
                <c:pt idx="100">
                  <c:v>101.0</c:v>
                </c:pt>
                <c:pt idx="101">
                  <c:v>102.0</c:v>
                </c:pt>
                <c:pt idx="102">
                  <c:v>103.0</c:v>
                </c:pt>
                <c:pt idx="103">
                  <c:v>104.0</c:v>
                </c:pt>
                <c:pt idx="104">
                  <c:v>105.0</c:v>
                </c:pt>
                <c:pt idx="105">
                  <c:v>106.0</c:v>
                </c:pt>
                <c:pt idx="106">
                  <c:v>107.0</c:v>
                </c:pt>
                <c:pt idx="107">
                  <c:v>108.0</c:v>
                </c:pt>
                <c:pt idx="108">
                  <c:v>109.0</c:v>
                </c:pt>
                <c:pt idx="109">
                  <c:v>110.0</c:v>
                </c:pt>
                <c:pt idx="110">
                  <c:v>111.0</c:v>
                </c:pt>
                <c:pt idx="111">
                  <c:v>112.0</c:v>
                </c:pt>
                <c:pt idx="112">
                  <c:v>113.0</c:v>
                </c:pt>
                <c:pt idx="113">
                  <c:v>114.0</c:v>
                </c:pt>
                <c:pt idx="114">
                  <c:v>115.0</c:v>
                </c:pt>
                <c:pt idx="115">
                  <c:v>116.0</c:v>
                </c:pt>
                <c:pt idx="116">
                  <c:v>117.0</c:v>
                </c:pt>
                <c:pt idx="117">
                  <c:v>118.0</c:v>
                </c:pt>
                <c:pt idx="118">
                  <c:v>119.0</c:v>
                </c:pt>
                <c:pt idx="119">
                  <c:v>120.0</c:v>
                </c:pt>
                <c:pt idx="120">
                  <c:v>121.0</c:v>
                </c:pt>
                <c:pt idx="121">
                  <c:v>122.0</c:v>
                </c:pt>
                <c:pt idx="122">
                  <c:v>123.0</c:v>
                </c:pt>
                <c:pt idx="123">
                  <c:v>124.0</c:v>
                </c:pt>
                <c:pt idx="124">
                  <c:v>125.0</c:v>
                </c:pt>
                <c:pt idx="125">
                  <c:v>126.0</c:v>
                </c:pt>
                <c:pt idx="126">
                  <c:v>127.0</c:v>
                </c:pt>
                <c:pt idx="127">
                  <c:v>128.0</c:v>
                </c:pt>
                <c:pt idx="128">
                  <c:v>129.0</c:v>
                </c:pt>
                <c:pt idx="129">
                  <c:v>130.0</c:v>
                </c:pt>
                <c:pt idx="130">
                  <c:v>131.0</c:v>
                </c:pt>
                <c:pt idx="131">
                  <c:v>132.0</c:v>
                </c:pt>
                <c:pt idx="132">
                  <c:v>133.0</c:v>
                </c:pt>
                <c:pt idx="133">
                  <c:v>134.0</c:v>
                </c:pt>
                <c:pt idx="134">
                  <c:v>135.0</c:v>
                </c:pt>
                <c:pt idx="135">
                  <c:v>136.0</c:v>
                </c:pt>
                <c:pt idx="136">
                  <c:v>137.0</c:v>
                </c:pt>
                <c:pt idx="137">
                  <c:v>138.0</c:v>
                </c:pt>
                <c:pt idx="138">
                  <c:v>139.0</c:v>
                </c:pt>
                <c:pt idx="139">
                  <c:v>140.0</c:v>
                </c:pt>
                <c:pt idx="140">
                  <c:v>141.0</c:v>
                </c:pt>
                <c:pt idx="141">
                  <c:v>142.0</c:v>
                </c:pt>
                <c:pt idx="142">
                  <c:v>143.0</c:v>
                </c:pt>
                <c:pt idx="143">
                  <c:v>144.0</c:v>
                </c:pt>
                <c:pt idx="144">
                  <c:v>145.0</c:v>
                </c:pt>
                <c:pt idx="145">
                  <c:v>146.0</c:v>
                </c:pt>
                <c:pt idx="146">
                  <c:v>147.0</c:v>
                </c:pt>
                <c:pt idx="147">
                  <c:v>148.0</c:v>
                </c:pt>
                <c:pt idx="148">
                  <c:v>149.0</c:v>
                </c:pt>
                <c:pt idx="149">
                  <c:v>150.0</c:v>
                </c:pt>
                <c:pt idx="150">
                  <c:v>151.0</c:v>
                </c:pt>
                <c:pt idx="151">
                  <c:v>152.0</c:v>
                </c:pt>
                <c:pt idx="152">
                  <c:v>153.0</c:v>
                </c:pt>
                <c:pt idx="153">
                  <c:v>154.0</c:v>
                </c:pt>
                <c:pt idx="154">
                  <c:v>155.0</c:v>
                </c:pt>
                <c:pt idx="155">
                  <c:v>156.0</c:v>
                </c:pt>
                <c:pt idx="156">
                  <c:v>157.0</c:v>
                </c:pt>
                <c:pt idx="157">
                  <c:v>158.0</c:v>
                </c:pt>
                <c:pt idx="158">
                  <c:v>159.0</c:v>
                </c:pt>
                <c:pt idx="159">
                  <c:v>160.0</c:v>
                </c:pt>
                <c:pt idx="160">
                  <c:v>161.0</c:v>
                </c:pt>
                <c:pt idx="161">
                  <c:v>162.0</c:v>
                </c:pt>
                <c:pt idx="162">
                  <c:v>163.0</c:v>
                </c:pt>
                <c:pt idx="163">
                  <c:v>164.0</c:v>
                </c:pt>
                <c:pt idx="164">
                  <c:v>165.0</c:v>
                </c:pt>
                <c:pt idx="165">
                  <c:v>166.0</c:v>
                </c:pt>
                <c:pt idx="166">
                  <c:v>167.0</c:v>
                </c:pt>
                <c:pt idx="167">
                  <c:v>168.0</c:v>
                </c:pt>
                <c:pt idx="168">
                  <c:v>169.0</c:v>
                </c:pt>
                <c:pt idx="169">
                  <c:v>170.0</c:v>
                </c:pt>
                <c:pt idx="170">
                  <c:v>171.0</c:v>
                </c:pt>
                <c:pt idx="171">
                  <c:v>172.0</c:v>
                </c:pt>
                <c:pt idx="172">
                  <c:v>173.0</c:v>
                </c:pt>
                <c:pt idx="173">
                  <c:v>174.0</c:v>
                </c:pt>
                <c:pt idx="174">
                  <c:v>175.0</c:v>
                </c:pt>
                <c:pt idx="175">
                  <c:v>176.0</c:v>
                </c:pt>
                <c:pt idx="176">
                  <c:v>177.0</c:v>
                </c:pt>
                <c:pt idx="177">
                  <c:v>178.0</c:v>
                </c:pt>
                <c:pt idx="178">
                  <c:v>179.0</c:v>
                </c:pt>
                <c:pt idx="179">
                  <c:v>180.0</c:v>
                </c:pt>
                <c:pt idx="180">
                  <c:v>181.0</c:v>
                </c:pt>
                <c:pt idx="181">
                  <c:v>182.0</c:v>
                </c:pt>
                <c:pt idx="182">
                  <c:v>183.0</c:v>
                </c:pt>
                <c:pt idx="183">
                  <c:v>184.0</c:v>
                </c:pt>
                <c:pt idx="184">
                  <c:v>185.0</c:v>
                </c:pt>
                <c:pt idx="185">
                  <c:v>186.0</c:v>
                </c:pt>
                <c:pt idx="186">
                  <c:v>187.0</c:v>
                </c:pt>
                <c:pt idx="187">
                  <c:v>188.0</c:v>
                </c:pt>
                <c:pt idx="188">
                  <c:v>189.0</c:v>
                </c:pt>
                <c:pt idx="189">
                  <c:v>190.0</c:v>
                </c:pt>
                <c:pt idx="190">
                  <c:v>191.0</c:v>
                </c:pt>
                <c:pt idx="191">
                  <c:v>192.0</c:v>
                </c:pt>
                <c:pt idx="192">
                  <c:v>193.0</c:v>
                </c:pt>
                <c:pt idx="193">
                  <c:v>194.0</c:v>
                </c:pt>
                <c:pt idx="194">
                  <c:v>195.0</c:v>
                </c:pt>
                <c:pt idx="195">
                  <c:v>196.0</c:v>
                </c:pt>
                <c:pt idx="196">
                  <c:v>197.0</c:v>
                </c:pt>
                <c:pt idx="197">
                  <c:v>198.0</c:v>
                </c:pt>
                <c:pt idx="198">
                  <c:v>199.0</c:v>
                </c:pt>
                <c:pt idx="199">
                  <c:v>200.0</c:v>
                </c:pt>
                <c:pt idx="200">
                  <c:v>201.0</c:v>
                </c:pt>
                <c:pt idx="201">
                  <c:v>202.0</c:v>
                </c:pt>
                <c:pt idx="202">
                  <c:v>203.0</c:v>
                </c:pt>
                <c:pt idx="203">
                  <c:v>204.0</c:v>
                </c:pt>
                <c:pt idx="204">
                  <c:v>205.0</c:v>
                </c:pt>
                <c:pt idx="205">
                  <c:v>206.0</c:v>
                </c:pt>
                <c:pt idx="206">
                  <c:v>207.0</c:v>
                </c:pt>
                <c:pt idx="207">
                  <c:v>208.0</c:v>
                </c:pt>
                <c:pt idx="208">
                  <c:v>209.0</c:v>
                </c:pt>
                <c:pt idx="209">
                  <c:v>210.0</c:v>
                </c:pt>
                <c:pt idx="210">
                  <c:v>211.0</c:v>
                </c:pt>
                <c:pt idx="211">
                  <c:v>212.0</c:v>
                </c:pt>
                <c:pt idx="212">
                  <c:v>213.0</c:v>
                </c:pt>
                <c:pt idx="213">
                  <c:v>214.0</c:v>
                </c:pt>
                <c:pt idx="214">
                  <c:v>215.0</c:v>
                </c:pt>
                <c:pt idx="215">
                  <c:v>216.0</c:v>
                </c:pt>
                <c:pt idx="216">
                  <c:v>217.0</c:v>
                </c:pt>
                <c:pt idx="217">
                  <c:v>218.0</c:v>
                </c:pt>
                <c:pt idx="218">
                  <c:v>219.0</c:v>
                </c:pt>
                <c:pt idx="219">
                  <c:v>220.0</c:v>
                </c:pt>
                <c:pt idx="220">
                  <c:v>221.0</c:v>
                </c:pt>
                <c:pt idx="221">
                  <c:v>222.0</c:v>
                </c:pt>
                <c:pt idx="222">
                  <c:v>223.0</c:v>
                </c:pt>
                <c:pt idx="223">
                  <c:v>224.0</c:v>
                </c:pt>
                <c:pt idx="224">
                  <c:v>225.0</c:v>
                </c:pt>
                <c:pt idx="225">
                  <c:v>226.0</c:v>
                </c:pt>
                <c:pt idx="226">
                  <c:v>227.0</c:v>
                </c:pt>
                <c:pt idx="227">
                  <c:v>228.0</c:v>
                </c:pt>
                <c:pt idx="228">
                  <c:v>229.0</c:v>
                </c:pt>
                <c:pt idx="229">
                  <c:v>230.0</c:v>
                </c:pt>
                <c:pt idx="230">
                  <c:v>231.0</c:v>
                </c:pt>
                <c:pt idx="231">
                  <c:v>232.0</c:v>
                </c:pt>
                <c:pt idx="232">
                  <c:v>233.0</c:v>
                </c:pt>
                <c:pt idx="233">
                  <c:v>234.0</c:v>
                </c:pt>
                <c:pt idx="234">
                  <c:v>235.0</c:v>
                </c:pt>
                <c:pt idx="235">
                  <c:v>236.0</c:v>
                </c:pt>
                <c:pt idx="236">
                  <c:v>237.0</c:v>
                </c:pt>
                <c:pt idx="237">
                  <c:v>238.0</c:v>
                </c:pt>
                <c:pt idx="238">
                  <c:v>239.0</c:v>
                </c:pt>
                <c:pt idx="239">
                  <c:v>240.0</c:v>
                </c:pt>
                <c:pt idx="240">
                  <c:v>241.0</c:v>
                </c:pt>
                <c:pt idx="241">
                  <c:v>242.0</c:v>
                </c:pt>
                <c:pt idx="242">
                  <c:v>243.0</c:v>
                </c:pt>
                <c:pt idx="243">
                  <c:v>244.0</c:v>
                </c:pt>
                <c:pt idx="244">
                  <c:v>245.0</c:v>
                </c:pt>
                <c:pt idx="245">
                  <c:v>246.0</c:v>
                </c:pt>
                <c:pt idx="246">
                  <c:v>247.0</c:v>
                </c:pt>
                <c:pt idx="247">
                  <c:v>248.0</c:v>
                </c:pt>
                <c:pt idx="248">
                  <c:v>249.0</c:v>
                </c:pt>
                <c:pt idx="249">
                  <c:v>250.0</c:v>
                </c:pt>
                <c:pt idx="250">
                  <c:v>251.0</c:v>
                </c:pt>
                <c:pt idx="251">
                  <c:v>252.0</c:v>
                </c:pt>
                <c:pt idx="252">
                  <c:v>253.0</c:v>
                </c:pt>
                <c:pt idx="253">
                  <c:v>254.0</c:v>
                </c:pt>
                <c:pt idx="254">
                  <c:v>255.0</c:v>
                </c:pt>
                <c:pt idx="255">
                  <c:v>256.0</c:v>
                </c:pt>
                <c:pt idx="256">
                  <c:v>257.0</c:v>
                </c:pt>
                <c:pt idx="257">
                  <c:v>258.0</c:v>
                </c:pt>
                <c:pt idx="258">
                  <c:v>259.0</c:v>
                </c:pt>
                <c:pt idx="259">
                  <c:v>260.0</c:v>
                </c:pt>
                <c:pt idx="260">
                  <c:v>261.0</c:v>
                </c:pt>
                <c:pt idx="261">
                  <c:v>262.0</c:v>
                </c:pt>
                <c:pt idx="262">
                  <c:v>263.0</c:v>
                </c:pt>
                <c:pt idx="263">
                  <c:v>264.0</c:v>
                </c:pt>
                <c:pt idx="264">
                  <c:v>265.0</c:v>
                </c:pt>
                <c:pt idx="265">
                  <c:v>266.0</c:v>
                </c:pt>
                <c:pt idx="266">
                  <c:v>267.0</c:v>
                </c:pt>
                <c:pt idx="267">
                  <c:v>268.0</c:v>
                </c:pt>
                <c:pt idx="268">
                  <c:v>269.0</c:v>
                </c:pt>
                <c:pt idx="269">
                  <c:v>270.0</c:v>
                </c:pt>
                <c:pt idx="270">
                  <c:v>271.0</c:v>
                </c:pt>
                <c:pt idx="271">
                  <c:v>272.0</c:v>
                </c:pt>
                <c:pt idx="272">
                  <c:v>273.0</c:v>
                </c:pt>
                <c:pt idx="273">
                  <c:v>274.0</c:v>
                </c:pt>
                <c:pt idx="274">
                  <c:v>275.0</c:v>
                </c:pt>
                <c:pt idx="275">
                  <c:v>276.0</c:v>
                </c:pt>
                <c:pt idx="276">
                  <c:v>277.0</c:v>
                </c:pt>
                <c:pt idx="277">
                  <c:v>278.0</c:v>
                </c:pt>
                <c:pt idx="278">
                  <c:v>279.0</c:v>
                </c:pt>
                <c:pt idx="279">
                  <c:v>280.0</c:v>
                </c:pt>
                <c:pt idx="280">
                  <c:v>281.0</c:v>
                </c:pt>
                <c:pt idx="281">
                  <c:v>282.0</c:v>
                </c:pt>
                <c:pt idx="282">
                  <c:v>283.0</c:v>
                </c:pt>
                <c:pt idx="283">
                  <c:v>284.0</c:v>
                </c:pt>
                <c:pt idx="284">
                  <c:v>285.0</c:v>
                </c:pt>
                <c:pt idx="285">
                  <c:v>286.0</c:v>
                </c:pt>
                <c:pt idx="286">
                  <c:v>287.0</c:v>
                </c:pt>
                <c:pt idx="287">
                  <c:v>288.0</c:v>
                </c:pt>
                <c:pt idx="288">
                  <c:v>289.0</c:v>
                </c:pt>
                <c:pt idx="289">
                  <c:v>290.0</c:v>
                </c:pt>
                <c:pt idx="290">
                  <c:v>291.0</c:v>
                </c:pt>
                <c:pt idx="291">
                  <c:v>292.0</c:v>
                </c:pt>
                <c:pt idx="292">
                  <c:v>293.0</c:v>
                </c:pt>
                <c:pt idx="293">
                  <c:v>294.0</c:v>
                </c:pt>
                <c:pt idx="294">
                  <c:v>295.0</c:v>
                </c:pt>
                <c:pt idx="295">
                  <c:v>296.0</c:v>
                </c:pt>
              </c:numCache>
            </c:numRef>
          </c:xVal>
          <c:yVal>
            <c:numRef>
              <c:f>MonthlyLoanModel!$N$46:$N$341</c:f>
              <c:numCache>
                <c:formatCode>#,##0.00_);\(#,##0.00\);\–_);"–"_)</c:formatCode>
                <c:ptCount val="296"/>
                <c:pt idx="0" formatCode="&quot;$&quot;#,##0.00_);\(&quot;$&quot;#,##0.00\);\–_);&quot;–&quot;_)">
                  <c:v>0.0</c:v>
                </c:pt>
                <c:pt idx="1">
                  <c:v>0.0</c:v>
                </c:pt>
                <c:pt idx="2">
                  <c:v>0.0</c:v>
                </c:pt>
                <c:pt idx="3">
                  <c:v>0.0</c:v>
                </c:pt>
                <c:pt idx="4">
                  <c:v>0.0</c:v>
                </c:pt>
                <c:pt idx="5">
                  <c:v>0.0</c:v>
                </c:pt>
                <c:pt idx="6">
                  <c:v>0.0</c:v>
                </c:pt>
                <c:pt idx="7">
                  <c:v>0.0</c:v>
                </c:pt>
                <c:pt idx="8">
                  <c:v>0.0</c:v>
                </c:pt>
                <c:pt idx="9">
                  <c:v>0.0</c:v>
                </c:pt>
                <c:pt idx="10">
                  <c:v>0.0</c:v>
                </c:pt>
                <c:pt idx="11">
                  <c:v>0.0</c:v>
                </c:pt>
                <c:pt idx="12">
                  <c:v>0.0</c:v>
                </c:pt>
                <c:pt idx="13">
                  <c:v>0.0</c:v>
                </c:pt>
                <c:pt idx="14">
                  <c:v>0.0</c:v>
                </c:pt>
                <c:pt idx="15">
                  <c:v>5138.352</c:v>
                </c:pt>
                <c:pt idx="16">
                  <c:v>5165.974709775686</c:v>
                </c:pt>
                <c:pt idx="17">
                  <c:v>5193.746719551372</c:v>
                </c:pt>
                <c:pt idx="18">
                  <c:v>5221.66892932706</c:v>
                </c:pt>
                <c:pt idx="19">
                  <c:v>5249.742239102745</c:v>
                </c:pt>
                <c:pt idx="20">
                  <c:v>5277.967348878432</c:v>
                </c:pt>
                <c:pt idx="21">
                  <c:v>5306.345058654118</c:v>
                </c:pt>
                <c:pt idx="22">
                  <c:v>5334.876268429805</c:v>
                </c:pt>
                <c:pt idx="23">
                  <c:v>5363.561778205491</c:v>
                </c:pt>
                <c:pt idx="24">
                  <c:v>5392.402487981178</c:v>
                </c:pt>
                <c:pt idx="25">
                  <c:v>5421.399097756865</c:v>
                </c:pt>
                <c:pt idx="26">
                  <c:v>5450.552607532551</c:v>
                </c:pt>
                <c:pt idx="27">
                  <c:v>5479.863717308238</c:v>
                </c:pt>
                <c:pt idx="28">
                  <c:v>5509.333427083924</c:v>
                </c:pt>
                <c:pt idx="29">
                  <c:v>5538.96243685961</c:v>
                </c:pt>
                <c:pt idx="30">
                  <c:v>5568.751746635297</c:v>
                </c:pt>
                <c:pt idx="31">
                  <c:v>5598.702156410983</c:v>
                </c:pt>
                <c:pt idx="32">
                  <c:v>5628.81456618667</c:v>
                </c:pt>
                <c:pt idx="33">
                  <c:v>5659.089775962357</c:v>
                </c:pt>
                <c:pt idx="34">
                  <c:v>5689.528785738044</c:v>
                </c:pt>
                <c:pt idx="35">
                  <c:v>5720.13239551373</c:v>
                </c:pt>
                <c:pt idx="36">
                  <c:v>5750.901505289416</c:v>
                </c:pt>
                <c:pt idx="37">
                  <c:v>5781.837015065103</c:v>
                </c:pt>
                <c:pt idx="38">
                  <c:v>5812.939824840789</c:v>
                </c:pt>
                <c:pt idx="39">
                  <c:v>5844.210834616475</c:v>
                </c:pt>
                <c:pt idx="40">
                  <c:v>5875.651044392161</c:v>
                </c:pt>
                <c:pt idx="41">
                  <c:v>5907.261254167848</c:v>
                </c:pt>
                <c:pt idx="42">
                  <c:v>5939.042463943535</c:v>
                </c:pt>
                <c:pt idx="43">
                  <c:v>5970.995573719221</c:v>
                </c:pt>
                <c:pt idx="44">
                  <c:v>6003.121483494907</c:v>
                </c:pt>
                <c:pt idx="45">
                  <c:v>6035.421093270595</c:v>
                </c:pt>
                <c:pt idx="46">
                  <c:v>6067.895403046281</c:v>
                </c:pt>
                <c:pt idx="47">
                  <c:v>6100.545312821968</c:v>
                </c:pt>
                <c:pt idx="48">
                  <c:v>6133.371822597654</c:v>
                </c:pt>
                <c:pt idx="49">
                  <c:v>6166.375932373341</c:v>
                </c:pt>
                <c:pt idx="50">
                  <c:v>6199.558442149028</c:v>
                </c:pt>
                <c:pt idx="51">
                  <c:v>6232.920451924714</c:v>
                </c:pt>
                <c:pt idx="52">
                  <c:v>6266.4628617004</c:v>
                </c:pt>
                <c:pt idx="53">
                  <c:v>6300.186771476087</c:v>
                </c:pt>
                <c:pt idx="54">
                  <c:v>6334.092981251774</c:v>
                </c:pt>
                <c:pt idx="55">
                  <c:v>6368.18259102746</c:v>
                </c:pt>
                <c:pt idx="56">
                  <c:v>6402.456600803147</c:v>
                </c:pt>
                <c:pt idx="57">
                  <c:v>6436.916010578834</c:v>
                </c:pt>
                <c:pt idx="58">
                  <c:v>6471.56172035452</c:v>
                </c:pt>
                <c:pt idx="59">
                  <c:v>6506.394830130207</c:v>
                </c:pt>
                <c:pt idx="60">
                  <c:v>6541.416339905893</c:v>
                </c:pt>
                <c:pt idx="61">
                  <c:v>6576.62724968158</c:v>
                </c:pt>
                <c:pt idx="62">
                  <c:v>6612.028559457266</c:v>
                </c:pt>
                <c:pt idx="63">
                  <c:v>6647.621369232952</c:v>
                </c:pt>
                <c:pt idx="64">
                  <c:v>6683.40667900864</c:v>
                </c:pt>
                <c:pt idx="65">
                  <c:v>6719.385488784325</c:v>
                </c:pt>
                <c:pt idx="66">
                  <c:v>6755.558898560012</c:v>
                </c:pt>
                <c:pt idx="67">
                  <c:v>6791.927908335698</c:v>
                </c:pt>
                <c:pt idx="68">
                  <c:v>6828.493618111384</c:v>
                </c:pt>
                <c:pt idx="69">
                  <c:v>6865.257127887071</c:v>
                </c:pt>
                <c:pt idx="70">
                  <c:v>6902.219437662757</c:v>
                </c:pt>
                <c:pt idx="71">
                  <c:v>6939.381647438444</c:v>
                </c:pt>
                <c:pt idx="72">
                  <c:v>6976.74485721413</c:v>
                </c:pt>
                <c:pt idx="73">
                  <c:v>7014.310166989816</c:v>
                </c:pt>
                <c:pt idx="74">
                  <c:v>7052.078676765503</c:v>
                </c:pt>
                <c:pt idx="75">
                  <c:v>7090.05138654119</c:v>
                </c:pt>
                <c:pt idx="76">
                  <c:v>7128.229496316877</c:v>
                </c:pt>
                <c:pt idx="77">
                  <c:v>7166.614106092563</c:v>
                </c:pt>
                <c:pt idx="78">
                  <c:v>7205.20631586825</c:v>
                </c:pt>
                <c:pt idx="79">
                  <c:v>7244.007225643937</c:v>
                </c:pt>
                <c:pt idx="80">
                  <c:v>7283.017935419623</c:v>
                </c:pt>
                <c:pt idx="81">
                  <c:v>7322.23964519531</c:v>
                </c:pt>
                <c:pt idx="82">
                  <c:v>7361.673454970996</c:v>
                </c:pt>
                <c:pt idx="83">
                  <c:v>7401.320564746682</c:v>
                </c:pt>
                <c:pt idx="84">
                  <c:v>7441.18207452237</c:v>
                </c:pt>
                <c:pt idx="85">
                  <c:v>7481.259184298056</c:v>
                </c:pt>
                <c:pt idx="86">
                  <c:v>7521.553094073742</c:v>
                </c:pt>
                <c:pt idx="87">
                  <c:v>7562.06490384943</c:v>
                </c:pt>
                <c:pt idx="88">
                  <c:v>7602.795813625115</c:v>
                </c:pt>
                <c:pt idx="89">
                  <c:v>7643.747023400801</c:v>
                </c:pt>
                <c:pt idx="90">
                  <c:v>7684.919733176488</c:v>
                </c:pt>
                <c:pt idx="91">
                  <c:v>7726.315042952175</c:v>
                </c:pt>
                <c:pt idx="92">
                  <c:v>7767.934252727861</c:v>
                </c:pt>
                <c:pt idx="93">
                  <c:v>7809.778562503547</c:v>
                </c:pt>
                <c:pt idx="94">
                  <c:v>7851.849172279234</c:v>
                </c:pt>
                <c:pt idx="95">
                  <c:v>7894.14728205492</c:v>
                </c:pt>
                <c:pt idx="96">
                  <c:v>7936.674191830607</c:v>
                </c:pt>
                <c:pt idx="97">
                  <c:v>7979.431101606294</c:v>
                </c:pt>
                <c:pt idx="98">
                  <c:v>8022.41931138198</c:v>
                </c:pt>
                <c:pt idx="99">
                  <c:v>8065.639921157666</c:v>
                </c:pt>
                <c:pt idx="100">
                  <c:v>8109.094330933352</c:v>
                </c:pt>
                <c:pt idx="101">
                  <c:v>8152.783740709039</c:v>
                </c:pt>
                <c:pt idx="102">
                  <c:v>8196.709450484726</c:v>
                </c:pt>
                <c:pt idx="103">
                  <c:v>8240.872760260412</c:v>
                </c:pt>
                <c:pt idx="104">
                  <c:v>8285.274870036098</c:v>
                </c:pt>
                <c:pt idx="105">
                  <c:v>8329.917179811785</c:v>
                </c:pt>
                <c:pt idx="106">
                  <c:v>8374.800889587472</c:v>
                </c:pt>
                <c:pt idx="107">
                  <c:v>8419.927299363158</c:v>
                </c:pt>
                <c:pt idx="108">
                  <c:v>8465.297809138844</c:v>
                </c:pt>
                <c:pt idx="109">
                  <c:v>8510.91371891453</c:v>
                </c:pt>
                <c:pt idx="110">
                  <c:v>8556.776328690217</c:v>
                </c:pt>
                <c:pt idx="111">
                  <c:v>8602.886938465903</c:v>
                </c:pt>
                <c:pt idx="112">
                  <c:v>8649.24694824159</c:v>
                </c:pt>
                <c:pt idx="113">
                  <c:v>8695.857658017276</c:v>
                </c:pt>
                <c:pt idx="114">
                  <c:v>8742.72046779296</c:v>
                </c:pt>
                <c:pt idx="115">
                  <c:v>8789.83677756865</c:v>
                </c:pt>
                <c:pt idx="116">
                  <c:v>8837.207887344335</c:v>
                </c:pt>
                <c:pt idx="117">
                  <c:v>8884.835197120021</c:v>
                </c:pt>
                <c:pt idx="118">
                  <c:v>8932.720106895707</c:v>
                </c:pt>
                <c:pt idx="119">
                  <c:v>8980.864016671394</c:v>
                </c:pt>
                <c:pt idx="120">
                  <c:v>9029.26822644708</c:v>
                </c:pt>
                <c:pt idx="121">
                  <c:v>9077.934236222767</c:v>
                </c:pt>
                <c:pt idx="122">
                  <c:v>9126.863445998453</c:v>
                </c:pt>
                <c:pt idx="123">
                  <c:v>9176.057355774139</c:v>
                </c:pt>
                <c:pt idx="124">
                  <c:v>9225.517265549826</c:v>
                </c:pt>
                <c:pt idx="125">
                  <c:v>9275.244675325513</c:v>
                </c:pt>
                <c:pt idx="126">
                  <c:v>9325.2409851012</c:v>
                </c:pt>
                <c:pt idx="127">
                  <c:v>9375.507694876885</c:v>
                </c:pt>
                <c:pt idx="128">
                  <c:v>9426.046304652573</c:v>
                </c:pt>
                <c:pt idx="129">
                  <c:v>9476.858214428259</c:v>
                </c:pt>
                <c:pt idx="130">
                  <c:v>9527.944924203946</c:v>
                </c:pt>
                <c:pt idx="131">
                  <c:v>9579.307933979633</c:v>
                </c:pt>
                <c:pt idx="132">
                  <c:v>9630.94874375532</c:v>
                </c:pt>
                <c:pt idx="133">
                  <c:v>9682.868853531007</c:v>
                </c:pt>
                <c:pt idx="134">
                  <c:v>9735.069763306693</c:v>
                </c:pt>
                <c:pt idx="135">
                  <c:v>9787.55297308238</c:v>
                </c:pt>
                <c:pt idx="136">
                  <c:v>9840.320082858066</c:v>
                </c:pt>
                <c:pt idx="137">
                  <c:v>9893.372592633754</c:v>
                </c:pt>
                <c:pt idx="138">
                  <c:v>9946.71200240944</c:v>
                </c:pt>
                <c:pt idx="139">
                  <c:v>10000.33991218513</c:v>
                </c:pt>
                <c:pt idx="140">
                  <c:v>10054.25782196081</c:v>
                </c:pt>
                <c:pt idx="141">
                  <c:v>10108.4673317365</c:v>
                </c:pt>
                <c:pt idx="142">
                  <c:v>10162.97004151219</c:v>
                </c:pt>
                <c:pt idx="143">
                  <c:v>10217.76755128787</c:v>
                </c:pt>
                <c:pt idx="144">
                  <c:v>10272.86136106356</c:v>
                </c:pt>
                <c:pt idx="145">
                  <c:v>10328.25317083925</c:v>
                </c:pt>
                <c:pt idx="146">
                  <c:v>10383.94458061493</c:v>
                </c:pt>
                <c:pt idx="147">
                  <c:v>10439.93719039062</c:v>
                </c:pt>
                <c:pt idx="148">
                  <c:v>10496.23260016631</c:v>
                </c:pt>
                <c:pt idx="149">
                  <c:v>10552.83250994199</c:v>
                </c:pt>
                <c:pt idx="150">
                  <c:v>10609.73851971768</c:v>
                </c:pt>
                <c:pt idx="151">
                  <c:v>10666.95222949336</c:v>
                </c:pt>
                <c:pt idx="152">
                  <c:v>10724.47543926905</c:v>
                </c:pt>
                <c:pt idx="153">
                  <c:v>10782.30974904474</c:v>
                </c:pt>
                <c:pt idx="154">
                  <c:v>10840.45685882042</c:v>
                </c:pt>
                <c:pt idx="155">
                  <c:v>10898.91836859611</c:v>
                </c:pt>
                <c:pt idx="156">
                  <c:v>10957.6960783718</c:v>
                </c:pt>
                <c:pt idx="157">
                  <c:v>11016.79168814748</c:v>
                </c:pt>
                <c:pt idx="158">
                  <c:v>11076.20689792317</c:v>
                </c:pt>
                <c:pt idx="159">
                  <c:v>11135.94350769886</c:v>
                </c:pt>
                <c:pt idx="160">
                  <c:v>11196.00311747454</c:v>
                </c:pt>
                <c:pt idx="161">
                  <c:v>11256.38752725023</c:v>
                </c:pt>
                <c:pt idx="162">
                  <c:v>11317.09853702591</c:v>
                </c:pt>
                <c:pt idx="163">
                  <c:v>11378.1379468016</c:v>
                </c:pt>
                <c:pt idx="164">
                  <c:v>11439.50745657729</c:v>
                </c:pt>
                <c:pt idx="165">
                  <c:v>11501.20886635298</c:v>
                </c:pt>
                <c:pt idx="166">
                  <c:v>11563.24397612866</c:v>
                </c:pt>
                <c:pt idx="167">
                  <c:v>11625.61458590435</c:v>
                </c:pt>
                <c:pt idx="168">
                  <c:v>11688.32249568003</c:v>
                </c:pt>
                <c:pt idx="169">
                  <c:v>11751.36960545572</c:v>
                </c:pt>
                <c:pt idx="170">
                  <c:v>11814.75771523141</c:v>
                </c:pt>
                <c:pt idx="171">
                  <c:v>11878.48862500709</c:v>
                </c:pt>
                <c:pt idx="172">
                  <c:v>11942.56423478278</c:v>
                </c:pt>
                <c:pt idx="173">
                  <c:v>12006.98634455847</c:v>
                </c:pt>
                <c:pt idx="174">
                  <c:v>12071.75685433415</c:v>
                </c:pt>
                <c:pt idx="175">
                  <c:v>12136.87766410984</c:v>
                </c:pt>
                <c:pt idx="176">
                  <c:v>12202.35067388553</c:v>
                </c:pt>
                <c:pt idx="177">
                  <c:v>12268.17778366121</c:v>
                </c:pt>
                <c:pt idx="178">
                  <c:v>12334.3608934369</c:v>
                </c:pt>
                <c:pt idx="179">
                  <c:v>12400.90200321258</c:v>
                </c:pt>
                <c:pt idx="180">
                  <c:v>12467.80291298827</c:v>
                </c:pt>
                <c:pt idx="181">
                  <c:v>12535.06572276396</c:v>
                </c:pt>
                <c:pt idx="182">
                  <c:v>12602.69223253964</c:v>
                </c:pt>
                <c:pt idx="183">
                  <c:v>12670.68454231533</c:v>
                </c:pt>
                <c:pt idx="184">
                  <c:v>12739.04455209102</c:v>
                </c:pt>
                <c:pt idx="185">
                  <c:v>12807.7742618667</c:v>
                </c:pt>
                <c:pt idx="186">
                  <c:v>12876.87567164239</c:v>
                </c:pt>
                <c:pt idx="187">
                  <c:v>12946.35088141808</c:v>
                </c:pt>
                <c:pt idx="188">
                  <c:v>13016.20179119376</c:v>
                </c:pt>
                <c:pt idx="189">
                  <c:v>13086.43050096945</c:v>
                </c:pt>
                <c:pt idx="190">
                  <c:v>13157.03901074514</c:v>
                </c:pt>
                <c:pt idx="191">
                  <c:v>13228.02942052082</c:v>
                </c:pt>
                <c:pt idx="192">
                  <c:v>13299.40373029651</c:v>
                </c:pt>
                <c:pt idx="193">
                  <c:v>13371.1640400722</c:v>
                </c:pt>
                <c:pt idx="194">
                  <c:v>13443.31244984788</c:v>
                </c:pt>
                <c:pt idx="195">
                  <c:v>13515.85105962357</c:v>
                </c:pt>
                <c:pt idx="196">
                  <c:v>13588.78206939926</c:v>
                </c:pt>
                <c:pt idx="197">
                  <c:v>13662.10747917494</c:v>
                </c:pt>
                <c:pt idx="198">
                  <c:v>13735.82948895063</c:v>
                </c:pt>
                <c:pt idx="199">
                  <c:v>13809.95019872632</c:v>
                </c:pt>
                <c:pt idx="200">
                  <c:v>13884.471708502</c:v>
                </c:pt>
                <c:pt idx="201">
                  <c:v>13959.39631827769</c:v>
                </c:pt>
                <c:pt idx="202">
                  <c:v>14034.72612805338</c:v>
                </c:pt>
                <c:pt idx="203">
                  <c:v>14110.46333782906</c:v>
                </c:pt>
                <c:pt idx="204">
                  <c:v>14186.61014760475</c:v>
                </c:pt>
                <c:pt idx="205">
                  <c:v>14263.16875738044</c:v>
                </c:pt>
                <c:pt idx="206">
                  <c:v>14340.14146715612</c:v>
                </c:pt>
                <c:pt idx="207">
                  <c:v>14417.53047693181</c:v>
                </c:pt>
                <c:pt idx="208">
                  <c:v>14495.33798670749</c:v>
                </c:pt>
                <c:pt idx="209">
                  <c:v>14573.56639648318</c:v>
                </c:pt>
                <c:pt idx="210">
                  <c:v>14652.21780625887</c:v>
                </c:pt>
                <c:pt idx="211">
                  <c:v>14731.29461603455</c:v>
                </c:pt>
                <c:pt idx="212">
                  <c:v>14810.79912581024</c:v>
                </c:pt>
                <c:pt idx="213">
                  <c:v>14890.73363558593</c:v>
                </c:pt>
                <c:pt idx="214">
                  <c:v>14971.10044536162</c:v>
                </c:pt>
                <c:pt idx="215">
                  <c:v>15051.9018551373</c:v>
                </c:pt>
                <c:pt idx="216">
                  <c:v>15133.14026491299</c:v>
                </c:pt>
                <c:pt idx="217">
                  <c:v>15214.81807468867</c:v>
                </c:pt>
                <c:pt idx="218">
                  <c:v>15296.93758446436</c:v>
                </c:pt>
                <c:pt idx="219">
                  <c:v>15379.50129424005</c:v>
                </c:pt>
                <c:pt idx="220">
                  <c:v>15462.51150401573</c:v>
                </c:pt>
                <c:pt idx="221">
                  <c:v>15545.97061379142</c:v>
                </c:pt>
                <c:pt idx="222">
                  <c:v>15629.88112356711</c:v>
                </c:pt>
                <c:pt idx="223">
                  <c:v>15714.24543334279</c:v>
                </c:pt>
                <c:pt idx="224">
                  <c:v>15799.06604311848</c:v>
                </c:pt>
                <c:pt idx="225">
                  <c:v>15884.34535289416</c:v>
                </c:pt>
                <c:pt idx="226">
                  <c:v>15970.08596266985</c:v>
                </c:pt>
                <c:pt idx="227">
                  <c:v>16056.29027244554</c:v>
                </c:pt>
                <c:pt idx="228">
                  <c:v>16142.96078222122</c:v>
                </c:pt>
                <c:pt idx="229">
                  <c:v>16230.09999199691</c:v>
                </c:pt>
                <c:pt idx="230">
                  <c:v>16317.7105017726</c:v>
                </c:pt>
                <c:pt idx="231">
                  <c:v>16405.79481154828</c:v>
                </c:pt>
                <c:pt idx="232">
                  <c:v>16494.35552132397</c:v>
                </c:pt>
                <c:pt idx="233">
                  <c:v>16583.39523109966</c:v>
                </c:pt>
                <c:pt idx="234">
                  <c:v>16672.91654087534</c:v>
                </c:pt>
                <c:pt idx="235">
                  <c:v>16762.92195065103</c:v>
                </c:pt>
                <c:pt idx="236">
                  <c:v>16853.41416042672</c:v>
                </c:pt>
                <c:pt idx="237">
                  <c:v>16944.3957702024</c:v>
                </c:pt>
                <c:pt idx="238">
                  <c:v>17035.86947997809</c:v>
                </c:pt>
                <c:pt idx="239">
                  <c:v>17127.83788975378</c:v>
                </c:pt>
                <c:pt idx="240">
                  <c:v>17127.84000000001</c:v>
                </c:pt>
                <c:pt idx="241">
                  <c:v>17127.84000000001</c:v>
                </c:pt>
                <c:pt idx="242">
                  <c:v>17127.84000000001</c:v>
                </c:pt>
                <c:pt idx="243">
                  <c:v>17127.84000000001</c:v>
                </c:pt>
                <c:pt idx="244">
                  <c:v>17127.84000000001</c:v>
                </c:pt>
                <c:pt idx="245">
                  <c:v>17127.84000000001</c:v>
                </c:pt>
                <c:pt idx="246">
                  <c:v>17127.84000000001</c:v>
                </c:pt>
                <c:pt idx="247">
                  <c:v>17127.84000000001</c:v>
                </c:pt>
                <c:pt idx="248">
                  <c:v>17127.84000000001</c:v>
                </c:pt>
                <c:pt idx="249">
                  <c:v>17127.84000000001</c:v>
                </c:pt>
                <c:pt idx="250">
                  <c:v>17127.84000000001</c:v>
                </c:pt>
                <c:pt idx="251">
                  <c:v>17127.84000000001</c:v>
                </c:pt>
                <c:pt idx="252">
                  <c:v>17127.84000000001</c:v>
                </c:pt>
                <c:pt idx="253">
                  <c:v>17127.84000000001</c:v>
                </c:pt>
                <c:pt idx="254">
                  <c:v>17127.84000000001</c:v>
                </c:pt>
                <c:pt idx="255">
                  <c:v>17127.84000000001</c:v>
                </c:pt>
                <c:pt idx="256">
                  <c:v>17127.84000000001</c:v>
                </c:pt>
                <c:pt idx="257">
                  <c:v>17127.84000000001</c:v>
                </c:pt>
                <c:pt idx="258">
                  <c:v>17127.84000000001</c:v>
                </c:pt>
                <c:pt idx="259">
                  <c:v>17127.84000000001</c:v>
                </c:pt>
                <c:pt idx="260">
                  <c:v>17127.84000000001</c:v>
                </c:pt>
                <c:pt idx="261">
                  <c:v>17127.84000000001</c:v>
                </c:pt>
                <c:pt idx="262">
                  <c:v>17127.84000000001</c:v>
                </c:pt>
                <c:pt idx="263">
                  <c:v>17127.84000000001</c:v>
                </c:pt>
                <c:pt idx="264">
                  <c:v>17127.84000000001</c:v>
                </c:pt>
                <c:pt idx="265">
                  <c:v>17127.84000000001</c:v>
                </c:pt>
                <c:pt idx="266">
                  <c:v>17127.84000000001</c:v>
                </c:pt>
                <c:pt idx="267">
                  <c:v>17127.84000000001</c:v>
                </c:pt>
                <c:pt idx="268">
                  <c:v>17127.84000000001</c:v>
                </c:pt>
                <c:pt idx="269">
                  <c:v>17127.84000000001</c:v>
                </c:pt>
                <c:pt idx="270">
                  <c:v>17127.84000000001</c:v>
                </c:pt>
                <c:pt idx="271">
                  <c:v>17127.84000000001</c:v>
                </c:pt>
                <c:pt idx="272">
                  <c:v>17127.84000000001</c:v>
                </c:pt>
                <c:pt idx="273">
                  <c:v>17127.84000000001</c:v>
                </c:pt>
                <c:pt idx="274">
                  <c:v>17127.84000000001</c:v>
                </c:pt>
                <c:pt idx="275">
                  <c:v>17127.84000000001</c:v>
                </c:pt>
                <c:pt idx="276">
                  <c:v>17127.84000000001</c:v>
                </c:pt>
                <c:pt idx="277">
                  <c:v>17127.84000000001</c:v>
                </c:pt>
                <c:pt idx="278">
                  <c:v>17127.84000000001</c:v>
                </c:pt>
                <c:pt idx="279">
                  <c:v>17127.84000000001</c:v>
                </c:pt>
                <c:pt idx="280">
                  <c:v>17127.84000000001</c:v>
                </c:pt>
                <c:pt idx="281">
                  <c:v>17127.84000000001</c:v>
                </c:pt>
                <c:pt idx="282">
                  <c:v>17127.84000000001</c:v>
                </c:pt>
                <c:pt idx="283">
                  <c:v>17127.84000000001</c:v>
                </c:pt>
                <c:pt idx="284">
                  <c:v>17127.84000000001</c:v>
                </c:pt>
                <c:pt idx="285">
                  <c:v>17127.84000000001</c:v>
                </c:pt>
                <c:pt idx="286">
                  <c:v>17127.84000000001</c:v>
                </c:pt>
                <c:pt idx="287">
                  <c:v>17127.84000000001</c:v>
                </c:pt>
                <c:pt idx="288">
                  <c:v>17127.84000000001</c:v>
                </c:pt>
                <c:pt idx="289">
                  <c:v>17127.84000000001</c:v>
                </c:pt>
                <c:pt idx="290">
                  <c:v>17127.84000000001</c:v>
                </c:pt>
                <c:pt idx="291">
                  <c:v>17127.84000000001</c:v>
                </c:pt>
                <c:pt idx="292">
                  <c:v>17127.84000000001</c:v>
                </c:pt>
                <c:pt idx="293">
                  <c:v>17127.84000000001</c:v>
                </c:pt>
                <c:pt idx="294">
                  <c:v>17127.84000000001</c:v>
                </c:pt>
                <c:pt idx="295">
                  <c:v>17127.84000000001</c:v>
                </c:pt>
              </c:numCache>
            </c:numRef>
          </c:yVal>
          <c:smooth val="1"/>
        </c:ser>
        <c:ser>
          <c:idx val="1"/>
          <c:order val="2"/>
          <c:tx>
            <c:v>Cumulative Interest Paid</c:v>
          </c:tx>
          <c:spPr>
            <a:ln w="25400">
              <a:solidFill>
                <a:schemeClr val="tx2">
                  <a:lumMod val="60000"/>
                  <a:lumOff val="40000"/>
                </a:schemeClr>
              </a:solidFill>
              <a:prstDash val="solid"/>
            </a:ln>
          </c:spPr>
          <c:marker>
            <c:symbol val="none"/>
          </c:marker>
          <c:xVal>
            <c:numRef>
              <c:f>MonthlyLoanModel!$D$46:$D$285</c:f>
              <c:numCache>
                <c:formatCode>General</c:formatCode>
                <c:ptCount val="240"/>
                <c:pt idx="0">
                  <c:v>1.0</c:v>
                </c:pt>
                <c:pt idx="1">
                  <c:v>2.0</c:v>
                </c:pt>
                <c:pt idx="2">
                  <c:v>3.0</c:v>
                </c:pt>
                <c:pt idx="3">
                  <c:v>4.0</c:v>
                </c:pt>
                <c:pt idx="4">
                  <c:v>5.0</c:v>
                </c:pt>
                <c:pt idx="5">
                  <c:v>6.0</c:v>
                </c:pt>
                <c:pt idx="6">
                  <c:v>7.0</c:v>
                </c:pt>
                <c:pt idx="7">
                  <c:v>8.0</c:v>
                </c:pt>
                <c:pt idx="8">
                  <c:v>9.0</c:v>
                </c:pt>
                <c:pt idx="9">
                  <c:v>10.0</c:v>
                </c:pt>
                <c:pt idx="10">
                  <c:v>11.0</c:v>
                </c:pt>
                <c:pt idx="11">
                  <c:v>12.0</c:v>
                </c:pt>
                <c:pt idx="12">
                  <c:v>13.0</c:v>
                </c:pt>
                <c:pt idx="13">
                  <c:v>14.0</c:v>
                </c:pt>
                <c:pt idx="14">
                  <c:v>15.0</c:v>
                </c:pt>
                <c:pt idx="15">
                  <c:v>16.0</c:v>
                </c:pt>
                <c:pt idx="16">
                  <c:v>17.0</c:v>
                </c:pt>
                <c:pt idx="17">
                  <c:v>18.0</c:v>
                </c:pt>
                <c:pt idx="18">
                  <c:v>19.0</c:v>
                </c:pt>
                <c:pt idx="19">
                  <c:v>20.0</c:v>
                </c:pt>
                <c:pt idx="20">
                  <c:v>21.0</c:v>
                </c:pt>
                <c:pt idx="21">
                  <c:v>22.0</c:v>
                </c:pt>
                <c:pt idx="22">
                  <c:v>23.0</c:v>
                </c:pt>
                <c:pt idx="23">
                  <c:v>24.0</c:v>
                </c:pt>
                <c:pt idx="24">
                  <c:v>25.0</c:v>
                </c:pt>
                <c:pt idx="25">
                  <c:v>26.0</c:v>
                </c:pt>
                <c:pt idx="26">
                  <c:v>27.0</c:v>
                </c:pt>
                <c:pt idx="27">
                  <c:v>28.0</c:v>
                </c:pt>
                <c:pt idx="28">
                  <c:v>29.0</c:v>
                </c:pt>
                <c:pt idx="29">
                  <c:v>30.0</c:v>
                </c:pt>
                <c:pt idx="30">
                  <c:v>31.0</c:v>
                </c:pt>
                <c:pt idx="31">
                  <c:v>32.0</c:v>
                </c:pt>
                <c:pt idx="32">
                  <c:v>33.0</c:v>
                </c:pt>
                <c:pt idx="33">
                  <c:v>34.0</c:v>
                </c:pt>
                <c:pt idx="34">
                  <c:v>35.0</c:v>
                </c:pt>
                <c:pt idx="35">
                  <c:v>36.0</c:v>
                </c:pt>
                <c:pt idx="36">
                  <c:v>37.0</c:v>
                </c:pt>
                <c:pt idx="37">
                  <c:v>38.0</c:v>
                </c:pt>
                <c:pt idx="38">
                  <c:v>39.0</c:v>
                </c:pt>
                <c:pt idx="39">
                  <c:v>40.0</c:v>
                </c:pt>
                <c:pt idx="40">
                  <c:v>41.0</c:v>
                </c:pt>
                <c:pt idx="41">
                  <c:v>42.0</c:v>
                </c:pt>
                <c:pt idx="42">
                  <c:v>43.0</c:v>
                </c:pt>
                <c:pt idx="43">
                  <c:v>44.0</c:v>
                </c:pt>
                <c:pt idx="44">
                  <c:v>45.0</c:v>
                </c:pt>
                <c:pt idx="45">
                  <c:v>46.0</c:v>
                </c:pt>
                <c:pt idx="46">
                  <c:v>47.0</c:v>
                </c:pt>
                <c:pt idx="47">
                  <c:v>48.0</c:v>
                </c:pt>
                <c:pt idx="48">
                  <c:v>49.0</c:v>
                </c:pt>
                <c:pt idx="49">
                  <c:v>50.0</c:v>
                </c:pt>
                <c:pt idx="50">
                  <c:v>51.0</c:v>
                </c:pt>
                <c:pt idx="51">
                  <c:v>52.0</c:v>
                </c:pt>
                <c:pt idx="52">
                  <c:v>53.0</c:v>
                </c:pt>
                <c:pt idx="53">
                  <c:v>54.0</c:v>
                </c:pt>
                <c:pt idx="54">
                  <c:v>55.0</c:v>
                </c:pt>
                <c:pt idx="55">
                  <c:v>56.0</c:v>
                </c:pt>
                <c:pt idx="56">
                  <c:v>57.0</c:v>
                </c:pt>
                <c:pt idx="57">
                  <c:v>58.0</c:v>
                </c:pt>
                <c:pt idx="58">
                  <c:v>59.0</c:v>
                </c:pt>
                <c:pt idx="59">
                  <c:v>60.0</c:v>
                </c:pt>
                <c:pt idx="60">
                  <c:v>61.0</c:v>
                </c:pt>
                <c:pt idx="61">
                  <c:v>62.0</c:v>
                </c:pt>
                <c:pt idx="62">
                  <c:v>63.0</c:v>
                </c:pt>
                <c:pt idx="63">
                  <c:v>64.0</c:v>
                </c:pt>
                <c:pt idx="64">
                  <c:v>65.0</c:v>
                </c:pt>
                <c:pt idx="65">
                  <c:v>66.0</c:v>
                </c:pt>
                <c:pt idx="66">
                  <c:v>67.0</c:v>
                </c:pt>
                <c:pt idx="67">
                  <c:v>68.0</c:v>
                </c:pt>
                <c:pt idx="68">
                  <c:v>69.0</c:v>
                </c:pt>
                <c:pt idx="69">
                  <c:v>70.0</c:v>
                </c:pt>
                <c:pt idx="70">
                  <c:v>71.0</c:v>
                </c:pt>
                <c:pt idx="71">
                  <c:v>72.0</c:v>
                </c:pt>
                <c:pt idx="72">
                  <c:v>73.0</c:v>
                </c:pt>
                <c:pt idx="73">
                  <c:v>74.0</c:v>
                </c:pt>
                <c:pt idx="74">
                  <c:v>75.0</c:v>
                </c:pt>
                <c:pt idx="75">
                  <c:v>76.0</c:v>
                </c:pt>
                <c:pt idx="76">
                  <c:v>77.0</c:v>
                </c:pt>
                <c:pt idx="77">
                  <c:v>78.0</c:v>
                </c:pt>
                <c:pt idx="78">
                  <c:v>79.0</c:v>
                </c:pt>
                <c:pt idx="79">
                  <c:v>80.0</c:v>
                </c:pt>
                <c:pt idx="80">
                  <c:v>81.0</c:v>
                </c:pt>
                <c:pt idx="81">
                  <c:v>82.0</c:v>
                </c:pt>
                <c:pt idx="82">
                  <c:v>83.0</c:v>
                </c:pt>
                <c:pt idx="83">
                  <c:v>84.0</c:v>
                </c:pt>
                <c:pt idx="84">
                  <c:v>85.0</c:v>
                </c:pt>
                <c:pt idx="85">
                  <c:v>86.0</c:v>
                </c:pt>
                <c:pt idx="86">
                  <c:v>87.0</c:v>
                </c:pt>
                <c:pt idx="87">
                  <c:v>88.0</c:v>
                </c:pt>
                <c:pt idx="88">
                  <c:v>89.0</c:v>
                </c:pt>
                <c:pt idx="89">
                  <c:v>90.0</c:v>
                </c:pt>
                <c:pt idx="90">
                  <c:v>91.0</c:v>
                </c:pt>
                <c:pt idx="91">
                  <c:v>92.0</c:v>
                </c:pt>
                <c:pt idx="92">
                  <c:v>93.0</c:v>
                </c:pt>
                <c:pt idx="93">
                  <c:v>94.0</c:v>
                </c:pt>
                <c:pt idx="94">
                  <c:v>95.0</c:v>
                </c:pt>
                <c:pt idx="95">
                  <c:v>96.0</c:v>
                </c:pt>
                <c:pt idx="96">
                  <c:v>97.0</c:v>
                </c:pt>
                <c:pt idx="97">
                  <c:v>98.0</c:v>
                </c:pt>
                <c:pt idx="98">
                  <c:v>99.0</c:v>
                </c:pt>
                <c:pt idx="99">
                  <c:v>100.0</c:v>
                </c:pt>
                <c:pt idx="100">
                  <c:v>101.0</c:v>
                </c:pt>
                <c:pt idx="101">
                  <c:v>102.0</c:v>
                </c:pt>
                <c:pt idx="102">
                  <c:v>103.0</c:v>
                </c:pt>
                <c:pt idx="103">
                  <c:v>104.0</c:v>
                </c:pt>
                <c:pt idx="104">
                  <c:v>105.0</c:v>
                </c:pt>
                <c:pt idx="105">
                  <c:v>106.0</c:v>
                </c:pt>
                <c:pt idx="106">
                  <c:v>107.0</c:v>
                </c:pt>
                <c:pt idx="107">
                  <c:v>108.0</c:v>
                </c:pt>
                <c:pt idx="108">
                  <c:v>109.0</c:v>
                </c:pt>
                <c:pt idx="109">
                  <c:v>110.0</c:v>
                </c:pt>
                <c:pt idx="110">
                  <c:v>111.0</c:v>
                </c:pt>
                <c:pt idx="111">
                  <c:v>112.0</c:v>
                </c:pt>
                <c:pt idx="112">
                  <c:v>113.0</c:v>
                </c:pt>
                <c:pt idx="113">
                  <c:v>114.0</c:v>
                </c:pt>
                <c:pt idx="114">
                  <c:v>115.0</c:v>
                </c:pt>
                <c:pt idx="115">
                  <c:v>116.0</c:v>
                </c:pt>
                <c:pt idx="116">
                  <c:v>117.0</c:v>
                </c:pt>
                <c:pt idx="117">
                  <c:v>118.0</c:v>
                </c:pt>
                <c:pt idx="118">
                  <c:v>119.0</c:v>
                </c:pt>
                <c:pt idx="119">
                  <c:v>120.0</c:v>
                </c:pt>
                <c:pt idx="120">
                  <c:v>121.0</c:v>
                </c:pt>
                <c:pt idx="121">
                  <c:v>122.0</c:v>
                </c:pt>
                <c:pt idx="122">
                  <c:v>123.0</c:v>
                </c:pt>
                <c:pt idx="123">
                  <c:v>124.0</c:v>
                </c:pt>
                <c:pt idx="124">
                  <c:v>125.0</c:v>
                </c:pt>
                <c:pt idx="125">
                  <c:v>126.0</c:v>
                </c:pt>
                <c:pt idx="126">
                  <c:v>127.0</c:v>
                </c:pt>
                <c:pt idx="127">
                  <c:v>128.0</c:v>
                </c:pt>
                <c:pt idx="128">
                  <c:v>129.0</c:v>
                </c:pt>
                <c:pt idx="129">
                  <c:v>130.0</c:v>
                </c:pt>
                <c:pt idx="130">
                  <c:v>131.0</c:v>
                </c:pt>
                <c:pt idx="131">
                  <c:v>132.0</c:v>
                </c:pt>
                <c:pt idx="132">
                  <c:v>133.0</c:v>
                </c:pt>
                <c:pt idx="133">
                  <c:v>134.0</c:v>
                </c:pt>
                <c:pt idx="134">
                  <c:v>135.0</c:v>
                </c:pt>
                <c:pt idx="135">
                  <c:v>136.0</c:v>
                </c:pt>
                <c:pt idx="136">
                  <c:v>137.0</c:v>
                </c:pt>
                <c:pt idx="137">
                  <c:v>138.0</c:v>
                </c:pt>
                <c:pt idx="138">
                  <c:v>139.0</c:v>
                </c:pt>
                <c:pt idx="139">
                  <c:v>140.0</c:v>
                </c:pt>
                <c:pt idx="140">
                  <c:v>141.0</c:v>
                </c:pt>
                <c:pt idx="141">
                  <c:v>142.0</c:v>
                </c:pt>
                <c:pt idx="142">
                  <c:v>143.0</c:v>
                </c:pt>
                <c:pt idx="143">
                  <c:v>144.0</c:v>
                </c:pt>
                <c:pt idx="144">
                  <c:v>145.0</c:v>
                </c:pt>
                <c:pt idx="145">
                  <c:v>146.0</c:v>
                </c:pt>
                <c:pt idx="146">
                  <c:v>147.0</c:v>
                </c:pt>
                <c:pt idx="147">
                  <c:v>148.0</c:v>
                </c:pt>
                <c:pt idx="148">
                  <c:v>149.0</c:v>
                </c:pt>
                <c:pt idx="149">
                  <c:v>150.0</c:v>
                </c:pt>
                <c:pt idx="150">
                  <c:v>151.0</c:v>
                </c:pt>
                <c:pt idx="151">
                  <c:v>152.0</c:v>
                </c:pt>
                <c:pt idx="152">
                  <c:v>153.0</c:v>
                </c:pt>
                <c:pt idx="153">
                  <c:v>154.0</c:v>
                </c:pt>
                <c:pt idx="154">
                  <c:v>155.0</c:v>
                </c:pt>
                <c:pt idx="155">
                  <c:v>156.0</c:v>
                </c:pt>
                <c:pt idx="156">
                  <c:v>157.0</c:v>
                </c:pt>
                <c:pt idx="157">
                  <c:v>158.0</c:v>
                </c:pt>
                <c:pt idx="158">
                  <c:v>159.0</c:v>
                </c:pt>
                <c:pt idx="159">
                  <c:v>160.0</c:v>
                </c:pt>
                <c:pt idx="160">
                  <c:v>161.0</c:v>
                </c:pt>
                <c:pt idx="161">
                  <c:v>162.0</c:v>
                </c:pt>
                <c:pt idx="162">
                  <c:v>163.0</c:v>
                </c:pt>
                <c:pt idx="163">
                  <c:v>164.0</c:v>
                </c:pt>
                <c:pt idx="164">
                  <c:v>165.0</c:v>
                </c:pt>
                <c:pt idx="165">
                  <c:v>166.0</c:v>
                </c:pt>
                <c:pt idx="166">
                  <c:v>167.0</c:v>
                </c:pt>
                <c:pt idx="167">
                  <c:v>168.0</c:v>
                </c:pt>
                <c:pt idx="168">
                  <c:v>169.0</c:v>
                </c:pt>
                <c:pt idx="169">
                  <c:v>170.0</c:v>
                </c:pt>
                <c:pt idx="170">
                  <c:v>171.0</c:v>
                </c:pt>
                <c:pt idx="171">
                  <c:v>172.0</c:v>
                </c:pt>
                <c:pt idx="172">
                  <c:v>173.0</c:v>
                </c:pt>
                <c:pt idx="173">
                  <c:v>174.0</c:v>
                </c:pt>
                <c:pt idx="174">
                  <c:v>175.0</c:v>
                </c:pt>
                <c:pt idx="175">
                  <c:v>176.0</c:v>
                </c:pt>
                <c:pt idx="176">
                  <c:v>177.0</c:v>
                </c:pt>
                <c:pt idx="177">
                  <c:v>178.0</c:v>
                </c:pt>
                <c:pt idx="178">
                  <c:v>179.0</c:v>
                </c:pt>
                <c:pt idx="179">
                  <c:v>180.0</c:v>
                </c:pt>
                <c:pt idx="180">
                  <c:v>181.0</c:v>
                </c:pt>
                <c:pt idx="181">
                  <c:v>182.0</c:v>
                </c:pt>
                <c:pt idx="182">
                  <c:v>183.0</c:v>
                </c:pt>
                <c:pt idx="183">
                  <c:v>184.0</c:v>
                </c:pt>
                <c:pt idx="184">
                  <c:v>185.0</c:v>
                </c:pt>
                <c:pt idx="185">
                  <c:v>186.0</c:v>
                </c:pt>
                <c:pt idx="186">
                  <c:v>187.0</c:v>
                </c:pt>
                <c:pt idx="187">
                  <c:v>188.0</c:v>
                </c:pt>
                <c:pt idx="188">
                  <c:v>189.0</c:v>
                </c:pt>
                <c:pt idx="189">
                  <c:v>190.0</c:v>
                </c:pt>
                <c:pt idx="190">
                  <c:v>191.0</c:v>
                </c:pt>
                <c:pt idx="191">
                  <c:v>192.0</c:v>
                </c:pt>
                <c:pt idx="192">
                  <c:v>193.0</c:v>
                </c:pt>
                <c:pt idx="193">
                  <c:v>194.0</c:v>
                </c:pt>
                <c:pt idx="194">
                  <c:v>195.0</c:v>
                </c:pt>
                <c:pt idx="195">
                  <c:v>196.0</c:v>
                </c:pt>
                <c:pt idx="196">
                  <c:v>197.0</c:v>
                </c:pt>
                <c:pt idx="197">
                  <c:v>198.0</c:v>
                </c:pt>
                <c:pt idx="198">
                  <c:v>199.0</c:v>
                </c:pt>
                <c:pt idx="199">
                  <c:v>200.0</c:v>
                </c:pt>
                <c:pt idx="200">
                  <c:v>201.0</c:v>
                </c:pt>
                <c:pt idx="201">
                  <c:v>202.0</c:v>
                </c:pt>
                <c:pt idx="202">
                  <c:v>203.0</c:v>
                </c:pt>
                <c:pt idx="203">
                  <c:v>204.0</c:v>
                </c:pt>
                <c:pt idx="204">
                  <c:v>205.0</c:v>
                </c:pt>
                <c:pt idx="205">
                  <c:v>206.0</c:v>
                </c:pt>
                <c:pt idx="206">
                  <c:v>207.0</c:v>
                </c:pt>
                <c:pt idx="207">
                  <c:v>208.0</c:v>
                </c:pt>
                <c:pt idx="208">
                  <c:v>209.0</c:v>
                </c:pt>
                <c:pt idx="209">
                  <c:v>210.0</c:v>
                </c:pt>
                <c:pt idx="210">
                  <c:v>211.0</c:v>
                </c:pt>
                <c:pt idx="211">
                  <c:v>212.0</c:v>
                </c:pt>
                <c:pt idx="212">
                  <c:v>213.0</c:v>
                </c:pt>
                <c:pt idx="213">
                  <c:v>214.0</c:v>
                </c:pt>
                <c:pt idx="214">
                  <c:v>215.0</c:v>
                </c:pt>
                <c:pt idx="215">
                  <c:v>216.0</c:v>
                </c:pt>
                <c:pt idx="216">
                  <c:v>217.0</c:v>
                </c:pt>
                <c:pt idx="217">
                  <c:v>218.0</c:v>
                </c:pt>
                <c:pt idx="218">
                  <c:v>219.0</c:v>
                </c:pt>
                <c:pt idx="219">
                  <c:v>220.0</c:v>
                </c:pt>
                <c:pt idx="220">
                  <c:v>221.0</c:v>
                </c:pt>
                <c:pt idx="221">
                  <c:v>222.0</c:v>
                </c:pt>
                <c:pt idx="222">
                  <c:v>223.0</c:v>
                </c:pt>
                <c:pt idx="223">
                  <c:v>224.0</c:v>
                </c:pt>
                <c:pt idx="224">
                  <c:v>225.0</c:v>
                </c:pt>
                <c:pt idx="225">
                  <c:v>226.0</c:v>
                </c:pt>
                <c:pt idx="226">
                  <c:v>227.0</c:v>
                </c:pt>
                <c:pt idx="227">
                  <c:v>228.0</c:v>
                </c:pt>
                <c:pt idx="228">
                  <c:v>229.0</c:v>
                </c:pt>
                <c:pt idx="229">
                  <c:v>230.0</c:v>
                </c:pt>
                <c:pt idx="230">
                  <c:v>231.0</c:v>
                </c:pt>
                <c:pt idx="231">
                  <c:v>232.0</c:v>
                </c:pt>
                <c:pt idx="232">
                  <c:v>233.0</c:v>
                </c:pt>
                <c:pt idx="233">
                  <c:v>234.0</c:v>
                </c:pt>
                <c:pt idx="234">
                  <c:v>235.0</c:v>
                </c:pt>
                <c:pt idx="235">
                  <c:v>236.0</c:v>
                </c:pt>
                <c:pt idx="236">
                  <c:v>237.0</c:v>
                </c:pt>
                <c:pt idx="237">
                  <c:v>238.0</c:v>
                </c:pt>
                <c:pt idx="238">
                  <c:v>239.0</c:v>
                </c:pt>
                <c:pt idx="239">
                  <c:v>240.0</c:v>
                </c:pt>
              </c:numCache>
            </c:numRef>
          </c:xVal>
          <c:yVal>
            <c:numRef>
              <c:f>MonthlyLoanModel!$M$46:$M$285</c:f>
              <c:numCache>
                <c:formatCode>#,##0.00_);\(#,##0.00\);\–_);"–"_)</c:formatCode>
                <c:ptCount val="240"/>
                <c:pt idx="0" formatCode="&quot;$&quot;#,##0.00_);\(&quot;$&quot;#,##0.00\);\–_);&quot;–&quot;_)">
                  <c:v>92.63306800000001</c:v>
                </c:pt>
                <c:pt idx="1">
                  <c:v>185.266136</c:v>
                </c:pt>
                <c:pt idx="2">
                  <c:v>277.8992040000001</c:v>
                </c:pt>
                <c:pt idx="3">
                  <c:v>370.532272</c:v>
                </c:pt>
                <c:pt idx="4">
                  <c:v>463.16534</c:v>
                </c:pt>
                <c:pt idx="5">
                  <c:v>555.798408</c:v>
                </c:pt>
                <c:pt idx="6">
                  <c:v>648.431476</c:v>
                </c:pt>
                <c:pt idx="7">
                  <c:v>741.064544</c:v>
                </c:pt>
                <c:pt idx="8">
                  <c:v>833.6976119999999</c:v>
                </c:pt>
                <c:pt idx="9">
                  <c:v>926.3306799999999</c:v>
                </c:pt>
                <c:pt idx="10">
                  <c:v>1018.963748</c:v>
                </c:pt>
                <c:pt idx="11">
                  <c:v>1111.596816</c:v>
                </c:pt>
                <c:pt idx="12">
                  <c:v>1204.229884</c:v>
                </c:pt>
                <c:pt idx="13">
                  <c:v>1296.862952</c:v>
                </c:pt>
                <c:pt idx="14">
                  <c:v>1389.496052</c:v>
                </c:pt>
                <c:pt idx="15">
                  <c:v>1482.129152</c:v>
                </c:pt>
                <c:pt idx="16">
                  <c:v>1546.972252</c:v>
                </c:pt>
                <c:pt idx="17">
                  <c:v>1611.666052</c:v>
                </c:pt>
                <c:pt idx="18">
                  <c:v>1676.209652</c:v>
                </c:pt>
                <c:pt idx="19">
                  <c:v>1740.602152</c:v>
                </c:pt>
                <c:pt idx="20">
                  <c:v>1804.842852</c:v>
                </c:pt>
                <c:pt idx="21">
                  <c:v>1868.930952</c:v>
                </c:pt>
                <c:pt idx="22">
                  <c:v>1932.865552</c:v>
                </c:pt>
                <c:pt idx="23">
                  <c:v>1996.645852</c:v>
                </c:pt>
                <c:pt idx="24">
                  <c:v>2060.270952</c:v>
                </c:pt>
                <c:pt idx="25">
                  <c:v>2123.740152</c:v>
                </c:pt>
                <c:pt idx="26">
                  <c:v>2187.052452</c:v>
                </c:pt>
                <c:pt idx="27">
                  <c:v>2250.207152</c:v>
                </c:pt>
                <c:pt idx="28">
                  <c:v>2313.203252</c:v>
                </c:pt>
                <c:pt idx="29">
                  <c:v>2376.040052</c:v>
                </c:pt>
                <c:pt idx="30">
                  <c:v>2438.716552</c:v>
                </c:pt>
                <c:pt idx="31">
                  <c:v>2501.231952</c:v>
                </c:pt>
                <c:pt idx="32">
                  <c:v>2563.585352</c:v>
                </c:pt>
                <c:pt idx="33">
                  <c:v>2625.775952</c:v>
                </c:pt>
                <c:pt idx="34">
                  <c:v>2687.802752</c:v>
                </c:pt>
                <c:pt idx="35">
                  <c:v>2749.664952</c:v>
                </c:pt>
                <c:pt idx="36">
                  <c:v>2811.361652</c:v>
                </c:pt>
                <c:pt idx="37">
                  <c:v>2872.891952</c:v>
                </c:pt>
                <c:pt idx="38">
                  <c:v>2934.254952</c:v>
                </c:pt>
                <c:pt idx="39">
                  <c:v>2995.449752</c:v>
                </c:pt>
                <c:pt idx="40">
                  <c:v>3056.475352</c:v>
                </c:pt>
                <c:pt idx="41">
                  <c:v>3117.330952</c:v>
                </c:pt>
                <c:pt idx="42">
                  <c:v>3178.015552</c:v>
                </c:pt>
                <c:pt idx="43">
                  <c:v>3238.528252</c:v>
                </c:pt>
                <c:pt idx="44">
                  <c:v>3298.868152</c:v>
                </c:pt>
                <c:pt idx="45">
                  <c:v>3359.034352</c:v>
                </c:pt>
                <c:pt idx="46">
                  <c:v>3419.025852</c:v>
                </c:pt>
                <c:pt idx="47">
                  <c:v>3478.841752</c:v>
                </c:pt>
                <c:pt idx="48">
                  <c:v>3538.481052</c:v>
                </c:pt>
                <c:pt idx="49">
                  <c:v>3597.942752</c:v>
                </c:pt>
                <c:pt idx="50">
                  <c:v>3657.226052</c:v>
                </c:pt>
                <c:pt idx="51">
                  <c:v>3716.329852</c:v>
                </c:pt>
                <c:pt idx="52">
                  <c:v>3775.253252</c:v>
                </c:pt>
                <c:pt idx="53">
                  <c:v>3833.995152</c:v>
                </c:pt>
                <c:pt idx="54">
                  <c:v>3892.554752</c:v>
                </c:pt>
                <c:pt idx="55">
                  <c:v>3950.930952</c:v>
                </c:pt>
                <c:pt idx="56">
                  <c:v>4009.122752</c:v>
                </c:pt>
                <c:pt idx="57">
                  <c:v>4067.129152</c:v>
                </c:pt>
                <c:pt idx="58">
                  <c:v>4124.949252</c:v>
                </c:pt>
                <c:pt idx="59">
                  <c:v>4182.581952</c:v>
                </c:pt>
                <c:pt idx="60">
                  <c:v>4240.026252</c:v>
                </c:pt>
                <c:pt idx="61">
                  <c:v>4297.281152</c:v>
                </c:pt>
                <c:pt idx="62">
                  <c:v>4354.345652000001</c:v>
                </c:pt>
                <c:pt idx="63">
                  <c:v>4411.218652</c:v>
                </c:pt>
                <c:pt idx="64">
                  <c:v>4467.899152000001</c:v>
                </c:pt>
                <c:pt idx="65">
                  <c:v>4524.386152000001</c:v>
                </c:pt>
                <c:pt idx="66">
                  <c:v>4580.678552000001</c:v>
                </c:pt>
                <c:pt idx="67">
                  <c:v>4636.775352000001</c:v>
                </c:pt>
                <c:pt idx="68">
                  <c:v>4692.675452000001</c:v>
                </c:pt>
                <c:pt idx="69">
                  <c:v>4748.377752000001</c:v>
                </c:pt>
                <c:pt idx="70">
                  <c:v>4803.881252000001</c:v>
                </c:pt>
                <c:pt idx="71">
                  <c:v>4859.184852000001</c:v>
                </c:pt>
                <c:pt idx="72">
                  <c:v>4914.287452000001</c:v>
                </c:pt>
                <c:pt idx="73">
                  <c:v>4969.187952000001</c:v>
                </c:pt>
                <c:pt idx="74">
                  <c:v>5023.885252000001</c:v>
                </c:pt>
                <c:pt idx="75">
                  <c:v>5078.378352000001</c:v>
                </c:pt>
                <c:pt idx="76">
                  <c:v>5132.666052</c:v>
                </c:pt>
                <c:pt idx="77">
                  <c:v>5186.747252</c:v>
                </c:pt>
                <c:pt idx="78">
                  <c:v>5240.620852</c:v>
                </c:pt>
                <c:pt idx="79">
                  <c:v>5294.285752</c:v>
                </c:pt>
                <c:pt idx="80">
                  <c:v>5347.740852</c:v>
                </c:pt>
                <c:pt idx="81">
                  <c:v>5400.984952</c:v>
                </c:pt>
                <c:pt idx="82">
                  <c:v>5454.016952</c:v>
                </c:pt>
                <c:pt idx="83">
                  <c:v>5506.835652</c:v>
                </c:pt>
                <c:pt idx="84">
                  <c:v>5559.439952</c:v>
                </c:pt>
                <c:pt idx="85">
                  <c:v>5611.828652</c:v>
                </c:pt>
                <c:pt idx="86">
                  <c:v>5664.000552</c:v>
                </c:pt>
                <c:pt idx="87">
                  <c:v>5715.954552</c:v>
                </c:pt>
                <c:pt idx="88">
                  <c:v>5767.689452000001</c:v>
                </c:pt>
                <c:pt idx="89">
                  <c:v>5819.204052000001</c:v>
                </c:pt>
                <c:pt idx="90">
                  <c:v>5870.497152000001</c:v>
                </c:pt>
                <c:pt idx="91">
                  <c:v>5921.567652000001</c:v>
                </c:pt>
                <c:pt idx="92">
                  <c:v>5972.414252</c:v>
                </c:pt>
                <c:pt idx="93">
                  <c:v>6023.035752000001</c:v>
                </c:pt>
                <c:pt idx="94">
                  <c:v>6073.430952000001</c:v>
                </c:pt>
                <c:pt idx="95">
                  <c:v>6123.598652000001</c:v>
                </c:pt>
                <c:pt idx="96">
                  <c:v>6173.537552000001</c:v>
                </c:pt>
                <c:pt idx="97">
                  <c:v>6223.246452</c:v>
                </c:pt>
                <c:pt idx="98">
                  <c:v>6272.724052</c:v>
                </c:pt>
                <c:pt idx="99">
                  <c:v>6321.969252000001</c:v>
                </c:pt>
                <c:pt idx="100">
                  <c:v>6370.980652000001</c:v>
                </c:pt>
                <c:pt idx="101">
                  <c:v>6419.757052000001</c:v>
                </c:pt>
                <c:pt idx="102">
                  <c:v>6468.297152000001</c:v>
                </c:pt>
                <c:pt idx="103">
                  <c:v>6516.599652000001</c:v>
                </c:pt>
                <c:pt idx="104">
                  <c:v>6564.663352</c:v>
                </c:pt>
                <c:pt idx="105">
                  <c:v>6612.486852000001</c:v>
                </c:pt>
                <c:pt idx="106">
                  <c:v>6660.068952000001</c:v>
                </c:pt>
                <c:pt idx="107">
                  <c:v>6707.408352</c:v>
                </c:pt>
                <c:pt idx="108">
                  <c:v>6754.503652</c:v>
                </c:pt>
                <c:pt idx="109">
                  <c:v>6801.353552</c:v>
                </c:pt>
                <c:pt idx="110">
                  <c:v>6847.956752</c:v>
                </c:pt>
                <c:pt idx="111">
                  <c:v>6894.311952</c:v>
                </c:pt>
                <c:pt idx="112">
                  <c:v>6940.417752</c:v>
                </c:pt>
                <c:pt idx="113">
                  <c:v>6986.272852</c:v>
                </c:pt>
                <c:pt idx="114">
                  <c:v>7031.875852</c:v>
                </c:pt>
                <c:pt idx="115">
                  <c:v>7077.225352</c:v>
                </c:pt>
                <c:pt idx="116">
                  <c:v>7122.320052</c:v>
                </c:pt>
                <c:pt idx="117">
                  <c:v>7167.158552</c:v>
                </c:pt>
                <c:pt idx="118">
                  <c:v>7211.739452</c:v>
                </c:pt>
                <c:pt idx="119">
                  <c:v>7256.061352</c:v>
                </c:pt>
                <c:pt idx="120">
                  <c:v>7300.122952</c:v>
                </c:pt>
                <c:pt idx="121">
                  <c:v>7343.922752</c:v>
                </c:pt>
                <c:pt idx="122">
                  <c:v>7387.459352</c:v>
                </c:pt>
                <c:pt idx="123">
                  <c:v>7430.731252</c:v>
                </c:pt>
                <c:pt idx="124">
                  <c:v>7473.737152</c:v>
                </c:pt>
                <c:pt idx="125">
                  <c:v>7516.475552</c:v>
                </c:pt>
                <c:pt idx="126">
                  <c:v>7558.945052</c:v>
                </c:pt>
                <c:pt idx="127">
                  <c:v>7601.144152</c:v>
                </c:pt>
                <c:pt idx="128">
                  <c:v>7643.071352</c:v>
                </c:pt>
                <c:pt idx="129">
                  <c:v>7684.725252</c:v>
                </c:pt>
                <c:pt idx="130">
                  <c:v>7726.104352</c:v>
                </c:pt>
                <c:pt idx="131">
                  <c:v>7767.207152</c:v>
                </c:pt>
                <c:pt idx="132">
                  <c:v>7808.032152</c:v>
                </c:pt>
                <c:pt idx="133">
                  <c:v>7848.577851999999</c:v>
                </c:pt>
                <c:pt idx="134">
                  <c:v>7888.842752</c:v>
                </c:pt>
                <c:pt idx="135">
                  <c:v>7928.825352</c:v>
                </c:pt>
                <c:pt idx="136">
                  <c:v>7968.524052</c:v>
                </c:pt>
                <c:pt idx="137">
                  <c:v>8007.937352</c:v>
                </c:pt>
                <c:pt idx="138">
                  <c:v>8047.063752</c:v>
                </c:pt>
                <c:pt idx="139">
                  <c:v>8085.901652</c:v>
                </c:pt>
                <c:pt idx="140">
                  <c:v>8124.449552</c:v>
                </c:pt>
                <c:pt idx="141">
                  <c:v>8162.705852</c:v>
                </c:pt>
                <c:pt idx="142">
                  <c:v>8200.668952</c:v>
                </c:pt>
                <c:pt idx="143">
                  <c:v>8238.337252</c:v>
                </c:pt>
                <c:pt idx="144">
                  <c:v>8275.709251999998</c:v>
                </c:pt>
                <c:pt idx="145">
                  <c:v>8312.783252</c:v>
                </c:pt>
                <c:pt idx="146">
                  <c:v>8349.557652</c:v>
                </c:pt>
                <c:pt idx="147">
                  <c:v>8386.030852</c:v>
                </c:pt>
                <c:pt idx="148">
                  <c:v>8422.201252</c:v>
                </c:pt>
                <c:pt idx="149">
                  <c:v>8458.067152000001</c:v>
                </c:pt>
                <c:pt idx="150">
                  <c:v>8493.626952000002</c:v>
                </c:pt>
                <c:pt idx="151">
                  <c:v>8528.879052000002</c:v>
                </c:pt>
                <c:pt idx="152">
                  <c:v>8563.821652000002</c:v>
                </c:pt>
                <c:pt idx="153">
                  <c:v>8598.453152000001</c:v>
                </c:pt>
                <c:pt idx="154">
                  <c:v>8632.771852</c:v>
                </c:pt>
                <c:pt idx="155">
                  <c:v>8666.776152000002</c:v>
                </c:pt>
                <c:pt idx="156">
                  <c:v>8700.464252</c:v>
                </c:pt>
                <c:pt idx="157">
                  <c:v>8733.834452</c:v>
                </c:pt>
                <c:pt idx="158">
                  <c:v>8766.885052000001</c:v>
                </c:pt>
                <c:pt idx="159">
                  <c:v>8799.614252</c:v>
                </c:pt>
                <c:pt idx="160">
                  <c:v>8832.020452</c:v>
                </c:pt>
                <c:pt idx="161">
                  <c:v>8864.101852</c:v>
                </c:pt>
                <c:pt idx="162">
                  <c:v>8895.856652</c:v>
                </c:pt>
                <c:pt idx="163">
                  <c:v>8927.283052</c:v>
                </c:pt>
                <c:pt idx="164">
                  <c:v>8958.379352</c:v>
                </c:pt>
                <c:pt idx="165">
                  <c:v>8989.143752</c:v>
                </c:pt>
                <c:pt idx="166">
                  <c:v>9019.574452</c:v>
                </c:pt>
                <c:pt idx="167">
                  <c:v>9049.669652</c:v>
                </c:pt>
                <c:pt idx="168">
                  <c:v>9079.427552</c:v>
                </c:pt>
                <c:pt idx="169">
                  <c:v>9108.846252</c:v>
                </c:pt>
                <c:pt idx="170">
                  <c:v>9137.923952</c:v>
                </c:pt>
                <c:pt idx="171">
                  <c:v>9166.658852</c:v>
                </c:pt>
                <c:pt idx="172">
                  <c:v>9195.049052</c:v>
                </c:pt>
                <c:pt idx="173">
                  <c:v>9223.092752</c:v>
                </c:pt>
                <c:pt idx="174">
                  <c:v>9250.788052</c:v>
                </c:pt>
                <c:pt idx="175">
                  <c:v>9278.133052</c:v>
                </c:pt>
                <c:pt idx="176">
                  <c:v>9305.125852</c:v>
                </c:pt>
                <c:pt idx="177">
                  <c:v>9331.764551999998</c:v>
                </c:pt>
                <c:pt idx="178">
                  <c:v>9358.047251999998</c:v>
                </c:pt>
                <c:pt idx="179">
                  <c:v>9383.971951999998</c:v>
                </c:pt>
                <c:pt idx="180">
                  <c:v>9409.536851999997</c:v>
                </c:pt>
                <c:pt idx="181">
                  <c:v>9434.739851999996</c:v>
                </c:pt>
                <c:pt idx="182">
                  <c:v>9459.579151999997</c:v>
                </c:pt>
                <c:pt idx="183">
                  <c:v>9484.052651999997</c:v>
                </c:pt>
                <c:pt idx="184">
                  <c:v>9508.158451999996</c:v>
                </c:pt>
                <c:pt idx="185">
                  <c:v>9531.894551999996</c:v>
                </c:pt>
                <c:pt idx="186">
                  <c:v>9555.258951999996</c:v>
                </c:pt>
                <c:pt idx="187">
                  <c:v>9578.249551999995</c:v>
                </c:pt>
                <c:pt idx="188">
                  <c:v>9600.864451999996</c:v>
                </c:pt>
                <c:pt idx="189">
                  <c:v>9623.101551999996</c:v>
                </c:pt>
                <c:pt idx="190">
                  <c:v>9644.958851999996</c:v>
                </c:pt>
                <c:pt idx="191">
                  <c:v>9666.434251999995</c:v>
                </c:pt>
                <c:pt idx="192">
                  <c:v>9687.525751999995</c:v>
                </c:pt>
                <c:pt idx="193">
                  <c:v>9708.231251999995</c:v>
                </c:pt>
                <c:pt idx="194">
                  <c:v>9728.548651999995</c:v>
                </c:pt>
                <c:pt idx="195">
                  <c:v>9748.475851999996</c:v>
                </c:pt>
                <c:pt idx="196">
                  <c:v>9768.010651999995</c:v>
                </c:pt>
                <c:pt idx="197">
                  <c:v>9787.151051999995</c:v>
                </c:pt>
                <c:pt idx="198">
                  <c:v>9805.894851999995</c:v>
                </c:pt>
                <c:pt idx="199">
                  <c:v>9824.239951999996</c:v>
                </c:pt>
                <c:pt idx="200">
                  <c:v>9842.184251999995</c:v>
                </c:pt>
                <c:pt idx="201">
                  <c:v>9859.725451999995</c:v>
                </c:pt>
                <c:pt idx="202">
                  <c:v>9876.861451999995</c:v>
                </c:pt>
                <c:pt idx="203">
                  <c:v>9893.590051999995</c:v>
                </c:pt>
                <c:pt idx="204">
                  <c:v>9909.909051999995</c:v>
                </c:pt>
                <c:pt idx="205">
                  <c:v>9925.816251999995</c:v>
                </c:pt>
                <c:pt idx="206">
                  <c:v>9941.309351999995</c:v>
                </c:pt>
                <c:pt idx="207">
                  <c:v>9956.386151999995</c:v>
                </c:pt>
                <c:pt idx="208">
                  <c:v>9971.044451999994</c:v>
                </c:pt>
                <c:pt idx="209">
                  <c:v>9985.281851999994</c:v>
                </c:pt>
                <c:pt idx="210">
                  <c:v>9999.096251999993</c:v>
                </c:pt>
                <c:pt idx="211">
                  <c:v>10012.48525199999</c:v>
                </c:pt>
                <c:pt idx="212">
                  <c:v>10025.44655199999</c:v>
                </c:pt>
                <c:pt idx="213">
                  <c:v>10037.97785199999</c:v>
                </c:pt>
                <c:pt idx="214">
                  <c:v>10050.07685199999</c:v>
                </c:pt>
                <c:pt idx="215">
                  <c:v>10061.74125199999</c:v>
                </c:pt>
                <c:pt idx="216">
                  <c:v>10072.96865199999</c:v>
                </c:pt>
                <c:pt idx="217">
                  <c:v>10083.75665199999</c:v>
                </c:pt>
                <c:pt idx="218">
                  <c:v>10094.10295199999</c:v>
                </c:pt>
                <c:pt idx="219">
                  <c:v>10104.00505199999</c:v>
                </c:pt>
                <c:pt idx="220">
                  <c:v>10113.46065199999</c:v>
                </c:pt>
                <c:pt idx="221">
                  <c:v>10122.46735199999</c:v>
                </c:pt>
                <c:pt idx="222">
                  <c:v>10131.02265199999</c:v>
                </c:pt>
                <c:pt idx="223">
                  <c:v>10139.12415199999</c:v>
                </c:pt>
                <c:pt idx="224">
                  <c:v>10146.76935199999</c:v>
                </c:pt>
                <c:pt idx="225">
                  <c:v>10153.95585199999</c:v>
                </c:pt>
                <c:pt idx="226">
                  <c:v>10160.68105199999</c:v>
                </c:pt>
                <c:pt idx="227">
                  <c:v>10166.94255199999</c:v>
                </c:pt>
                <c:pt idx="228">
                  <c:v>10172.73785199999</c:v>
                </c:pt>
                <c:pt idx="229">
                  <c:v>10178.064452</c:v>
                </c:pt>
                <c:pt idx="230">
                  <c:v>10182.91975199999</c:v>
                </c:pt>
                <c:pt idx="231">
                  <c:v>10187.30125199999</c:v>
                </c:pt>
                <c:pt idx="232">
                  <c:v>10191.20635199999</c:v>
                </c:pt>
                <c:pt idx="233">
                  <c:v>10194.63245199999</c:v>
                </c:pt>
                <c:pt idx="234">
                  <c:v>10197.57695199999</c:v>
                </c:pt>
                <c:pt idx="235">
                  <c:v>10200.03735199999</c:v>
                </c:pt>
                <c:pt idx="236">
                  <c:v>10202.01095199999</c:v>
                </c:pt>
                <c:pt idx="237">
                  <c:v>10203.49515199999</c:v>
                </c:pt>
                <c:pt idx="238">
                  <c:v>10204.48725199999</c:v>
                </c:pt>
                <c:pt idx="239">
                  <c:v>10204.98465199999</c:v>
                </c:pt>
              </c:numCache>
            </c:numRef>
          </c:yVal>
          <c:smooth val="1"/>
        </c:ser>
        <c:dLbls>
          <c:showLegendKey val="0"/>
          <c:showVal val="0"/>
          <c:showCatName val="0"/>
          <c:showSerName val="0"/>
          <c:showPercent val="0"/>
          <c:showBubbleSize val="0"/>
        </c:dLbls>
        <c:axId val="-2112237000"/>
        <c:axId val="-2112425176"/>
      </c:scatterChart>
      <c:valAx>
        <c:axId val="-2112237000"/>
        <c:scaling>
          <c:orientation val="minMax"/>
          <c:max val="240.0"/>
        </c:scaling>
        <c:delete val="0"/>
        <c:axPos val="b"/>
        <c:title>
          <c:tx>
            <c:rich>
              <a:bodyPr/>
              <a:lstStyle/>
              <a:p>
                <a:pPr>
                  <a:defRPr sz="1200" b="1" i="0" u="none" strike="noStrike" baseline="0">
                    <a:solidFill>
                      <a:srgbClr val="000000"/>
                    </a:solidFill>
                    <a:latin typeface="Calibri"/>
                    <a:ea typeface="Calibri"/>
                    <a:cs typeface="Calibri"/>
                  </a:defRPr>
                </a:pPr>
                <a:r>
                  <a:rPr lang="en-US"/>
                  <a:t>Month</a:t>
                </a:r>
              </a:p>
            </c:rich>
          </c:tx>
          <c:layout>
            <c:manualLayout>
              <c:xMode val="edge"/>
              <c:yMode val="edge"/>
              <c:x val="0.511687208260644"/>
              <c:y val="0.920935513372443"/>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200" b="1" i="0" u="none" strike="noStrike" baseline="0">
                <a:solidFill>
                  <a:srgbClr val="000000"/>
                </a:solidFill>
                <a:latin typeface="Calibri"/>
                <a:ea typeface="Calibri"/>
                <a:cs typeface="Calibri"/>
              </a:defRPr>
            </a:pPr>
            <a:endParaRPr lang="en-US"/>
          </a:p>
        </c:txPr>
        <c:crossAx val="-2112425176"/>
        <c:crosses val="autoZero"/>
        <c:crossBetween val="midCat"/>
        <c:majorUnit val="40.0"/>
      </c:valAx>
      <c:valAx>
        <c:axId val="-2112425176"/>
        <c:scaling>
          <c:orientation val="minMax"/>
          <c:min val="0.0"/>
        </c:scaling>
        <c:delete val="0"/>
        <c:axPos val="l"/>
        <c:numFmt formatCode="_(\$* #,##0_);_(\$* \(#,##0\);_(\$* &quot;-&quot;??_);_(@_)" sourceLinked="0"/>
        <c:majorTickMark val="out"/>
        <c:minorTickMark val="none"/>
        <c:tickLblPos val="nextTo"/>
        <c:spPr>
          <a:ln w="3175">
            <a:solidFill>
              <a:srgbClr val="000000"/>
            </a:solidFill>
            <a:prstDash val="solid"/>
          </a:ln>
        </c:spPr>
        <c:txPr>
          <a:bodyPr rot="0" vert="horz"/>
          <a:lstStyle/>
          <a:p>
            <a:pPr>
              <a:defRPr sz="1100" b="1" i="0" u="none" strike="noStrike" baseline="0">
                <a:solidFill>
                  <a:srgbClr val="000000"/>
                </a:solidFill>
                <a:latin typeface="Calibri"/>
                <a:ea typeface="Calibri"/>
                <a:cs typeface="Calibri"/>
              </a:defRPr>
            </a:pPr>
            <a:endParaRPr lang="en-US"/>
          </a:p>
        </c:txPr>
        <c:crossAx val="-2112237000"/>
        <c:crosses val="autoZero"/>
        <c:crossBetween val="midCat"/>
      </c:valAx>
      <c:spPr>
        <a:noFill/>
        <a:ln w="25400">
          <a:noFill/>
        </a:ln>
      </c:spPr>
    </c:plotArea>
    <c:legend>
      <c:legendPos val="r"/>
      <c:layout>
        <c:manualLayout>
          <c:xMode val="edge"/>
          <c:yMode val="edge"/>
          <c:x val="0.10589334716394"/>
          <c:y val="0.00896611719569048"/>
          <c:w val="0.877369324343439"/>
          <c:h val="0.136393790011377"/>
        </c:manualLayout>
      </c:layout>
      <c:overlay val="0"/>
      <c:spPr>
        <a:noFill/>
        <a:ln w="25400">
          <a:noFill/>
        </a:ln>
      </c:spPr>
      <c:txPr>
        <a:bodyPr/>
        <a:lstStyle/>
        <a:p>
          <a:pPr>
            <a:defRPr sz="1010" b="1" i="0" u="none" strike="noStrike" baseline="0">
              <a:solidFill>
                <a:srgbClr val="000000"/>
              </a:solidFill>
              <a:latin typeface="Calibri"/>
              <a:ea typeface="Calibri"/>
              <a:cs typeface="Calibri"/>
            </a:defRPr>
          </a:pPr>
          <a:endParaRPr lang="en-US"/>
        </a:p>
      </c:txPr>
    </c:legend>
    <c:plotVisOnly val="1"/>
    <c:dispBlanksAs val="gap"/>
    <c:showDLblsOverMax val="0"/>
  </c:chart>
  <c:spPr>
    <a:solidFill>
      <a:srgbClr val="FFFFFF"/>
    </a:solidFill>
    <a:ln w="9525">
      <a:solidFill>
        <a:schemeClr val="bg1">
          <a:lumMod val="75000"/>
        </a:schemeClr>
      </a:solidFill>
    </a:ln>
  </c:spPr>
  <c:txPr>
    <a:bodyPr/>
    <a:lstStyle/>
    <a:p>
      <a:pPr>
        <a:defRPr sz="1000" b="0" i="0" u="none" strike="noStrike" baseline="0">
          <a:solidFill>
            <a:srgbClr val="000000"/>
          </a:solidFill>
          <a:latin typeface="Arial"/>
          <a:ea typeface="Arial"/>
          <a:cs typeface="Arial"/>
        </a:defRPr>
      </a:pPr>
      <a:endParaRPr lang="en-US"/>
    </a:p>
  </c:txPr>
  <c:printSettings>
    <c:headerFooter/>
    <c:pageMargins b="1.0" l="0.75" r="0.75" t="1.0" header="0.5" footer="0.5"/>
    <c:pageSetup orientation="portrait"/>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4" Type="http://schemas.openxmlformats.org/officeDocument/2006/relationships/chart" Target="../charts/chart5.xml"/><Relationship Id="rId1" Type="http://schemas.openxmlformats.org/officeDocument/2006/relationships/chart" Target="../charts/chart2.xml"/><Relationship Id="rId2" Type="http://schemas.openxmlformats.org/officeDocument/2006/relationships/chart" Target="../charts/chart3.xml"/></Relationships>
</file>

<file path=xl/drawings/_rels/drawing3.xml.rels><?xml version="1.0" encoding="UTF-8" standalone="yes"?>
<Relationships xmlns="http://schemas.openxmlformats.org/package/2006/relationships"><Relationship Id="rId3" Type="http://schemas.openxmlformats.org/officeDocument/2006/relationships/chart" Target="../charts/chart8.xml"/><Relationship Id="rId4" Type="http://schemas.openxmlformats.org/officeDocument/2006/relationships/chart" Target="../charts/chart9.xml"/><Relationship Id="rId5" Type="http://schemas.openxmlformats.org/officeDocument/2006/relationships/chart" Target="../charts/chart10.xml"/><Relationship Id="rId1" Type="http://schemas.openxmlformats.org/officeDocument/2006/relationships/chart" Target="../charts/chart6.xml"/><Relationship Id="rId2" Type="http://schemas.openxmlformats.org/officeDocument/2006/relationships/chart" Target="../charts/chart7.xml"/></Relationships>
</file>

<file path=xl/drawings/_rels/drawing4.xml.rels><?xml version="1.0" encoding="UTF-8" standalone="yes"?>
<Relationships xmlns="http://schemas.openxmlformats.org/package/2006/relationships"><Relationship Id="rId1" Type="http://schemas.openxmlformats.org/officeDocument/2006/relationships/image" Target="../media/image2.jpeg"/></Relationships>
</file>

<file path=xl/drawings/_rels/drawing5.xml.rels><?xml version="1.0" encoding="UTF-8" standalone="yes"?>
<Relationships xmlns="http://schemas.openxmlformats.org/package/2006/relationships"><Relationship Id="rId1" Type="http://schemas.openxmlformats.org/officeDocument/2006/relationships/image" Target="../media/image2.jpeg"/></Relationships>
</file>

<file path=xl/drawings/_rels/drawing6.xml.rels><?xml version="1.0" encoding="UTF-8" standalone="yes"?>
<Relationships xmlns="http://schemas.openxmlformats.org/package/2006/relationships"><Relationship Id="rId1" Type="http://schemas.openxmlformats.org/officeDocument/2006/relationships/chart" Target="../charts/chart1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35</xdr:col>
      <xdr:colOff>406400</xdr:colOff>
      <xdr:row>6</xdr:row>
      <xdr:rowOff>292100</xdr:rowOff>
    </xdr:from>
    <xdr:to>
      <xdr:col>45</xdr:col>
      <xdr:colOff>431800</xdr:colOff>
      <xdr:row>32</xdr:row>
      <xdr:rowOff>127000</xdr:rowOff>
    </xdr:to>
    <xdr:graphicFrame macro="">
      <xdr:nvGraphicFramePr>
        <xdr:cNvPr id="1056"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12700</xdr:colOff>
      <xdr:row>26</xdr:row>
      <xdr:rowOff>12700</xdr:rowOff>
    </xdr:from>
    <xdr:to>
      <xdr:col>19</xdr:col>
      <xdr:colOff>533400</xdr:colOff>
      <xdr:row>41</xdr:row>
      <xdr:rowOff>177800</xdr:rowOff>
    </xdr:to>
    <xdr:graphicFrame macro="">
      <xdr:nvGraphicFramePr>
        <xdr:cNvPr id="2330"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38100</xdr:colOff>
      <xdr:row>41</xdr:row>
      <xdr:rowOff>38100</xdr:rowOff>
    </xdr:from>
    <xdr:to>
      <xdr:col>19</xdr:col>
      <xdr:colOff>622300</xdr:colOff>
      <xdr:row>53</xdr:row>
      <xdr:rowOff>139700</xdr:rowOff>
    </xdr:to>
    <xdr:graphicFrame macro="">
      <xdr:nvGraphicFramePr>
        <xdr:cNvPr id="2331"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304800</xdr:colOff>
      <xdr:row>8</xdr:row>
      <xdr:rowOff>50800</xdr:rowOff>
    </xdr:from>
    <xdr:to>
      <xdr:col>19</xdr:col>
      <xdr:colOff>584200</xdr:colOff>
      <xdr:row>28</xdr:row>
      <xdr:rowOff>50800</xdr:rowOff>
    </xdr:to>
    <xdr:graphicFrame macro="">
      <xdr:nvGraphicFramePr>
        <xdr:cNvPr id="2332"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330200</xdr:colOff>
      <xdr:row>12</xdr:row>
      <xdr:rowOff>114300</xdr:rowOff>
    </xdr:from>
    <xdr:to>
      <xdr:col>13</xdr:col>
      <xdr:colOff>266700</xdr:colOff>
      <xdr:row>29</xdr:row>
      <xdr:rowOff>38100</xdr:rowOff>
    </xdr:to>
    <xdr:graphicFrame macro="">
      <xdr:nvGraphicFramePr>
        <xdr:cNvPr id="2333"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14111</xdr:colOff>
      <xdr:row>20</xdr:row>
      <xdr:rowOff>155222</xdr:rowOff>
    </xdr:from>
    <xdr:to>
      <xdr:col>7</xdr:col>
      <xdr:colOff>14111</xdr:colOff>
      <xdr:row>21</xdr:row>
      <xdr:rowOff>14111</xdr:rowOff>
    </xdr:to>
    <xdr:cxnSp macro="">
      <xdr:nvCxnSpPr>
        <xdr:cNvPr id="6" name="Straight Connector 5"/>
        <xdr:cNvCxnSpPr/>
      </xdr:nvCxnSpPr>
      <xdr:spPr>
        <a:xfrm>
          <a:off x="14111" y="3533422"/>
          <a:ext cx="7607300" cy="23989"/>
        </a:xfrm>
        <a:prstGeom prst="line">
          <a:avLst/>
        </a:prstGeom>
        <a:ln w="38100">
          <a:solidFill>
            <a:schemeClr val="accent3">
              <a:lumMod val="75000"/>
            </a:schemeClr>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0</xdr:col>
      <xdr:colOff>0</xdr:colOff>
      <xdr:row>35</xdr:row>
      <xdr:rowOff>0</xdr:rowOff>
    </xdr:from>
    <xdr:to>
      <xdr:col>7</xdr:col>
      <xdr:colOff>0</xdr:colOff>
      <xdr:row>35</xdr:row>
      <xdr:rowOff>28223</xdr:rowOff>
    </xdr:to>
    <xdr:cxnSp macro="">
      <xdr:nvCxnSpPr>
        <xdr:cNvPr id="7" name="Straight Connector 6"/>
        <xdr:cNvCxnSpPr/>
      </xdr:nvCxnSpPr>
      <xdr:spPr>
        <a:xfrm>
          <a:off x="0" y="5575300"/>
          <a:ext cx="7607300" cy="28223"/>
        </a:xfrm>
        <a:prstGeom prst="line">
          <a:avLst/>
        </a:prstGeom>
        <a:ln w="38100">
          <a:solidFill>
            <a:schemeClr val="accent3">
              <a:lumMod val="75000"/>
            </a:schemeClr>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0</xdr:col>
      <xdr:colOff>0</xdr:colOff>
      <xdr:row>46</xdr:row>
      <xdr:rowOff>0</xdr:rowOff>
    </xdr:from>
    <xdr:to>
      <xdr:col>7</xdr:col>
      <xdr:colOff>0</xdr:colOff>
      <xdr:row>46</xdr:row>
      <xdr:rowOff>28223</xdr:rowOff>
    </xdr:to>
    <xdr:cxnSp macro="">
      <xdr:nvCxnSpPr>
        <xdr:cNvPr id="8" name="Straight Connector 7"/>
        <xdr:cNvCxnSpPr/>
      </xdr:nvCxnSpPr>
      <xdr:spPr>
        <a:xfrm>
          <a:off x="0" y="8077200"/>
          <a:ext cx="7607300" cy="28223"/>
        </a:xfrm>
        <a:prstGeom prst="line">
          <a:avLst/>
        </a:prstGeom>
        <a:ln w="38100">
          <a:solidFill>
            <a:schemeClr val="accent3">
              <a:lumMod val="75000"/>
            </a:schemeClr>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0</xdr:col>
      <xdr:colOff>0</xdr:colOff>
      <xdr:row>9</xdr:row>
      <xdr:rowOff>0</xdr:rowOff>
    </xdr:from>
    <xdr:to>
      <xdr:col>7</xdr:col>
      <xdr:colOff>0</xdr:colOff>
      <xdr:row>9</xdr:row>
      <xdr:rowOff>28223</xdr:rowOff>
    </xdr:to>
    <xdr:cxnSp macro="">
      <xdr:nvCxnSpPr>
        <xdr:cNvPr id="9" name="Straight Connector 8"/>
        <xdr:cNvCxnSpPr/>
      </xdr:nvCxnSpPr>
      <xdr:spPr>
        <a:xfrm>
          <a:off x="0" y="1409700"/>
          <a:ext cx="7607300" cy="28223"/>
        </a:xfrm>
        <a:prstGeom prst="line">
          <a:avLst/>
        </a:prstGeom>
        <a:ln w="38100">
          <a:solidFill>
            <a:schemeClr val="accent3">
              <a:lumMod val="75000"/>
            </a:schemeClr>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0</xdr:colOff>
      <xdr:row>9</xdr:row>
      <xdr:rowOff>0</xdr:rowOff>
    </xdr:from>
    <xdr:to>
      <xdr:col>19</xdr:col>
      <xdr:colOff>635000</xdr:colOff>
      <xdr:row>9</xdr:row>
      <xdr:rowOff>14111</xdr:rowOff>
    </xdr:to>
    <xdr:cxnSp macro="">
      <xdr:nvCxnSpPr>
        <xdr:cNvPr id="10" name="Straight Connector 9"/>
        <xdr:cNvCxnSpPr/>
      </xdr:nvCxnSpPr>
      <xdr:spPr>
        <a:xfrm>
          <a:off x="7607300" y="1409700"/>
          <a:ext cx="8610600" cy="14111"/>
        </a:xfrm>
        <a:prstGeom prst="line">
          <a:avLst/>
        </a:prstGeom>
        <a:ln w="38100">
          <a:solidFill>
            <a:schemeClr val="accent3">
              <a:lumMod val="75000"/>
            </a:schemeClr>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0</xdr:col>
      <xdr:colOff>0</xdr:colOff>
      <xdr:row>3</xdr:row>
      <xdr:rowOff>0</xdr:rowOff>
    </xdr:from>
    <xdr:to>
      <xdr:col>7</xdr:col>
      <xdr:colOff>0</xdr:colOff>
      <xdr:row>3</xdr:row>
      <xdr:rowOff>28223</xdr:rowOff>
    </xdr:to>
    <xdr:cxnSp macro="">
      <xdr:nvCxnSpPr>
        <xdr:cNvPr id="11" name="Straight Connector 10"/>
        <xdr:cNvCxnSpPr/>
      </xdr:nvCxnSpPr>
      <xdr:spPr>
        <a:xfrm>
          <a:off x="0" y="330200"/>
          <a:ext cx="7607300" cy="28223"/>
        </a:xfrm>
        <a:prstGeom prst="line">
          <a:avLst/>
        </a:prstGeom>
        <a:ln w="38100">
          <a:solidFill>
            <a:schemeClr val="accent3">
              <a:lumMod val="75000"/>
            </a:schemeClr>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0</xdr:col>
      <xdr:colOff>0</xdr:colOff>
      <xdr:row>0</xdr:row>
      <xdr:rowOff>0</xdr:rowOff>
    </xdr:from>
    <xdr:to>
      <xdr:col>7</xdr:col>
      <xdr:colOff>0</xdr:colOff>
      <xdr:row>0</xdr:row>
      <xdr:rowOff>28223</xdr:rowOff>
    </xdr:to>
    <xdr:cxnSp macro="">
      <xdr:nvCxnSpPr>
        <xdr:cNvPr id="12" name="Straight Connector 11"/>
        <xdr:cNvCxnSpPr/>
      </xdr:nvCxnSpPr>
      <xdr:spPr>
        <a:xfrm>
          <a:off x="0" y="0"/>
          <a:ext cx="7607300" cy="28223"/>
        </a:xfrm>
        <a:prstGeom prst="line">
          <a:avLst/>
        </a:prstGeom>
        <a:ln w="38100">
          <a:solidFill>
            <a:schemeClr val="accent3">
              <a:lumMod val="75000"/>
            </a:schemeClr>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0</xdr:colOff>
      <xdr:row>0</xdr:row>
      <xdr:rowOff>0</xdr:rowOff>
    </xdr:from>
    <xdr:to>
      <xdr:col>19</xdr:col>
      <xdr:colOff>635000</xdr:colOff>
      <xdr:row>0</xdr:row>
      <xdr:rowOff>28222</xdr:rowOff>
    </xdr:to>
    <xdr:cxnSp macro="">
      <xdr:nvCxnSpPr>
        <xdr:cNvPr id="13" name="Straight Connector 12"/>
        <xdr:cNvCxnSpPr/>
      </xdr:nvCxnSpPr>
      <xdr:spPr>
        <a:xfrm>
          <a:off x="7607300" y="0"/>
          <a:ext cx="8610600" cy="28222"/>
        </a:xfrm>
        <a:prstGeom prst="line">
          <a:avLst/>
        </a:prstGeom>
        <a:ln w="38100">
          <a:solidFill>
            <a:schemeClr val="accent3">
              <a:lumMod val="75000"/>
            </a:schemeClr>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0</xdr:colOff>
      <xdr:row>3</xdr:row>
      <xdr:rowOff>0</xdr:rowOff>
    </xdr:from>
    <xdr:to>
      <xdr:col>20</xdr:col>
      <xdr:colOff>42334</xdr:colOff>
      <xdr:row>3</xdr:row>
      <xdr:rowOff>28222</xdr:rowOff>
    </xdr:to>
    <xdr:cxnSp macro="">
      <xdr:nvCxnSpPr>
        <xdr:cNvPr id="14" name="Straight Connector 13"/>
        <xdr:cNvCxnSpPr/>
      </xdr:nvCxnSpPr>
      <xdr:spPr>
        <a:xfrm>
          <a:off x="7607300" y="330200"/>
          <a:ext cx="8665634" cy="28222"/>
        </a:xfrm>
        <a:prstGeom prst="line">
          <a:avLst/>
        </a:prstGeom>
        <a:ln w="38100">
          <a:solidFill>
            <a:schemeClr val="accent3">
              <a:lumMod val="75000"/>
            </a:schemeClr>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20</xdr:col>
      <xdr:colOff>0</xdr:colOff>
      <xdr:row>0</xdr:row>
      <xdr:rowOff>0</xdr:rowOff>
    </xdr:from>
    <xdr:to>
      <xdr:col>34</xdr:col>
      <xdr:colOff>0</xdr:colOff>
      <xdr:row>0</xdr:row>
      <xdr:rowOff>28222</xdr:rowOff>
    </xdr:to>
    <xdr:cxnSp macro="">
      <xdr:nvCxnSpPr>
        <xdr:cNvPr id="15" name="Straight Connector 14"/>
        <xdr:cNvCxnSpPr/>
      </xdr:nvCxnSpPr>
      <xdr:spPr>
        <a:xfrm>
          <a:off x="16230600" y="0"/>
          <a:ext cx="8547100" cy="28222"/>
        </a:xfrm>
        <a:prstGeom prst="line">
          <a:avLst/>
        </a:prstGeom>
        <a:ln w="38100">
          <a:solidFill>
            <a:schemeClr val="accent3">
              <a:lumMod val="75000"/>
            </a:schemeClr>
          </a:solidFill>
        </a:ln>
      </xdr:spPr>
      <xdr:style>
        <a:lnRef idx="2">
          <a:schemeClr val="accent1"/>
        </a:lnRef>
        <a:fillRef idx="0">
          <a:schemeClr val="accent1"/>
        </a:fillRef>
        <a:effectRef idx="1">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12700</xdr:colOff>
      <xdr:row>27</xdr:row>
      <xdr:rowOff>12700</xdr:rowOff>
    </xdr:from>
    <xdr:to>
      <xdr:col>19</xdr:col>
      <xdr:colOff>533400</xdr:colOff>
      <xdr:row>41</xdr:row>
      <xdr:rowOff>177800</xdr:rowOff>
    </xdr:to>
    <xdr:graphicFrame macro="">
      <xdr:nvGraphicFramePr>
        <xdr:cNvPr id="3373"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38100</xdr:colOff>
      <xdr:row>41</xdr:row>
      <xdr:rowOff>38100</xdr:rowOff>
    </xdr:from>
    <xdr:to>
      <xdr:col>19</xdr:col>
      <xdr:colOff>622300</xdr:colOff>
      <xdr:row>53</xdr:row>
      <xdr:rowOff>0</xdr:rowOff>
    </xdr:to>
    <xdr:graphicFrame macro="">
      <xdr:nvGraphicFramePr>
        <xdr:cNvPr id="337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304800</xdr:colOff>
      <xdr:row>9</xdr:row>
      <xdr:rowOff>50800</xdr:rowOff>
    </xdr:from>
    <xdr:to>
      <xdr:col>19</xdr:col>
      <xdr:colOff>584200</xdr:colOff>
      <xdr:row>29</xdr:row>
      <xdr:rowOff>50800</xdr:rowOff>
    </xdr:to>
    <xdr:graphicFrame macro="">
      <xdr:nvGraphicFramePr>
        <xdr:cNvPr id="337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533400</xdr:colOff>
      <xdr:row>11</xdr:row>
      <xdr:rowOff>25400</xdr:rowOff>
    </xdr:from>
    <xdr:to>
      <xdr:col>14</xdr:col>
      <xdr:colOff>12700</xdr:colOff>
      <xdr:row>29</xdr:row>
      <xdr:rowOff>38100</xdr:rowOff>
    </xdr:to>
    <xdr:graphicFrame macro="">
      <xdr:nvGraphicFramePr>
        <xdr:cNvPr id="337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14111</xdr:colOff>
      <xdr:row>21</xdr:row>
      <xdr:rowOff>155222</xdr:rowOff>
    </xdr:from>
    <xdr:to>
      <xdr:col>7</xdr:col>
      <xdr:colOff>14111</xdr:colOff>
      <xdr:row>22</xdr:row>
      <xdr:rowOff>14111</xdr:rowOff>
    </xdr:to>
    <xdr:cxnSp macro="">
      <xdr:nvCxnSpPr>
        <xdr:cNvPr id="6" name="Straight Connector 5"/>
        <xdr:cNvCxnSpPr/>
      </xdr:nvCxnSpPr>
      <xdr:spPr>
        <a:xfrm>
          <a:off x="14111" y="3520722"/>
          <a:ext cx="7607300" cy="23989"/>
        </a:xfrm>
        <a:prstGeom prst="line">
          <a:avLst/>
        </a:prstGeom>
        <a:ln w="38100">
          <a:solidFill>
            <a:schemeClr val="accent3">
              <a:lumMod val="75000"/>
            </a:schemeClr>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0</xdr:col>
      <xdr:colOff>0</xdr:colOff>
      <xdr:row>35</xdr:row>
      <xdr:rowOff>0</xdr:rowOff>
    </xdr:from>
    <xdr:to>
      <xdr:col>7</xdr:col>
      <xdr:colOff>0</xdr:colOff>
      <xdr:row>35</xdr:row>
      <xdr:rowOff>28223</xdr:rowOff>
    </xdr:to>
    <xdr:cxnSp macro="">
      <xdr:nvCxnSpPr>
        <xdr:cNvPr id="7" name="Straight Connector 6"/>
        <xdr:cNvCxnSpPr/>
      </xdr:nvCxnSpPr>
      <xdr:spPr>
        <a:xfrm>
          <a:off x="0" y="5562600"/>
          <a:ext cx="7607300" cy="28223"/>
        </a:xfrm>
        <a:prstGeom prst="line">
          <a:avLst/>
        </a:prstGeom>
        <a:ln w="38100">
          <a:solidFill>
            <a:schemeClr val="accent3">
              <a:lumMod val="75000"/>
            </a:schemeClr>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0</xdr:col>
      <xdr:colOff>0</xdr:colOff>
      <xdr:row>46</xdr:row>
      <xdr:rowOff>0</xdr:rowOff>
    </xdr:from>
    <xdr:to>
      <xdr:col>7</xdr:col>
      <xdr:colOff>0</xdr:colOff>
      <xdr:row>46</xdr:row>
      <xdr:rowOff>28223</xdr:rowOff>
    </xdr:to>
    <xdr:cxnSp macro="">
      <xdr:nvCxnSpPr>
        <xdr:cNvPr id="8" name="Straight Connector 7"/>
        <xdr:cNvCxnSpPr/>
      </xdr:nvCxnSpPr>
      <xdr:spPr>
        <a:xfrm>
          <a:off x="0" y="8064500"/>
          <a:ext cx="7607300" cy="28223"/>
        </a:xfrm>
        <a:prstGeom prst="line">
          <a:avLst/>
        </a:prstGeom>
        <a:ln w="38100">
          <a:solidFill>
            <a:schemeClr val="accent3">
              <a:lumMod val="50000"/>
            </a:schemeClr>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0</xdr:col>
      <xdr:colOff>0</xdr:colOff>
      <xdr:row>9</xdr:row>
      <xdr:rowOff>-1</xdr:rowOff>
    </xdr:from>
    <xdr:to>
      <xdr:col>7</xdr:col>
      <xdr:colOff>0</xdr:colOff>
      <xdr:row>9</xdr:row>
      <xdr:rowOff>28222</xdr:rowOff>
    </xdr:to>
    <xdr:cxnSp macro="">
      <xdr:nvCxnSpPr>
        <xdr:cNvPr id="9" name="Straight Connector 8"/>
        <xdr:cNvCxnSpPr/>
      </xdr:nvCxnSpPr>
      <xdr:spPr>
        <a:xfrm>
          <a:off x="0" y="1467555"/>
          <a:ext cx="7605889" cy="28223"/>
        </a:xfrm>
        <a:prstGeom prst="line">
          <a:avLst/>
        </a:prstGeom>
        <a:ln w="38100">
          <a:solidFill>
            <a:schemeClr val="accent3">
              <a:lumMod val="75000"/>
            </a:schemeClr>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0</xdr:colOff>
      <xdr:row>10</xdr:row>
      <xdr:rowOff>0</xdr:rowOff>
    </xdr:from>
    <xdr:to>
      <xdr:col>19</xdr:col>
      <xdr:colOff>635000</xdr:colOff>
      <xdr:row>10</xdr:row>
      <xdr:rowOff>14111</xdr:rowOff>
    </xdr:to>
    <xdr:cxnSp macro="">
      <xdr:nvCxnSpPr>
        <xdr:cNvPr id="10" name="Straight Connector 9"/>
        <xdr:cNvCxnSpPr/>
      </xdr:nvCxnSpPr>
      <xdr:spPr>
        <a:xfrm>
          <a:off x="7607300" y="1409700"/>
          <a:ext cx="8153400" cy="14111"/>
        </a:xfrm>
        <a:prstGeom prst="line">
          <a:avLst/>
        </a:prstGeom>
        <a:ln w="38100">
          <a:solidFill>
            <a:schemeClr val="accent3">
              <a:lumMod val="75000"/>
            </a:schemeClr>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0</xdr:col>
      <xdr:colOff>0</xdr:colOff>
      <xdr:row>3</xdr:row>
      <xdr:rowOff>0</xdr:rowOff>
    </xdr:from>
    <xdr:to>
      <xdr:col>7</xdr:col>
      <xdr:colOff>0</xdr:colOff>
      <xdr:row>3</xdr:row>
      <xdr:rowOff>28223</xdr:rowOff>
    </xdr:to>
    <xdr:cxnSp macro="">
      <xdr:nvCxnSpPr>
        <xdr:cNvPr id="11" name="Straight Connector 10"/>
        <xdr:cNvCxnSpPr/>
      </xdr:nvCxnSpPr>
      <xdr:spPr>
        <a:xfrm>
          <a:off x="0" y="330200"/>
          <a:ext cx="7607300" cy="28223"/>
        </a:xfrm>
        <a:prstGeom prst="line">
          <a:avLst/>
        </a:prstGeom>
        <a:ln w="38100">
          <a:solidFill>
            <a:schemeClr val="accent3">
              <a:lumMod val="75000"/>
            </a:schemeClr>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0</xdr:col>
      <xdr:colOff>0</xdr:colOff>
      <xdr:row>0</xdr:row>
      <xdr:rowOff>0</xdr:rowOff>
    </xdr:from>
    <xdr:to>
      <xdr:col>7</xdr:col>
      <xdr:colOff>0</xdr:colOff>
      <xdr:row>0</xdr:row>
      <xdr:rowOff>28223</xdr:rowOff>
    </xdr:to>
    <xdr:cxnSp macro="">
      <xdr:nvCxnSpPr>
        <xdr:cNvPr id="12" name="Straight Connector 11"/>
        <xdr:cNvCxnSpPr/>
      </xdr:nvCxnSpPr>
      <xdr:spPr>
        <a:xfrm>
          <a:off x="0" y="0"/>
          <a:ext cx="7607300" cy="28223"/>
        </a:xfrm>
        <a:prstGeom prst="line">
          <a:avLst/>
        </a:prstGeom>
        <a:ln w="38100">
          <a:solidFill>
            <a:schemeClr val="accent3">
              <a:lumMod val="75000"/>
            </a:schemeClr>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0</xdr:colOff>
      <xdr:row>0</xdr:row>
      <xdr:rowOff>0</xdr:rowOff>
    </xdr:from>
    <xdr:to>
      <xdr:col>19</xdr:col>
      <xdr:colOff>635000</xdr:colOff>
      <xdr:row>0</xdr:row>
      <xdr:rowOff>28222</xdr:rowOff>
    </xdr:to>
    <xdr:cxnSp macro="">
      <xdr:nvCxnSpPr>
        <xdr:cNvPr id="13" name="Straight Connector 12"/>
        <xdr:cNvCxnSpPr/>
      </xdr:nvCxnSpPr>
      <xdr:spPr>
        <a:xfrm>
          <a:off x="7607300" y="0"/>
          <a:ext cx="8153400" cy="28222"/>
        </a:xfrm>
        <a:prstGeom prst="line">
          <a:avLst/>
        </a:prstGeom>
        <a:ln w="38100">
          <a:solidFill>
            <a:schemeClr val="accent3">
              <a:lumMod val="75000"/>
            </a:schemeClr>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0</xdr:colOff>
      <xdr:row>3</xdr:row>
      <xdr:rowOff>0</xdr:rowOff>
    </xdr:from>
    <xdr:to>
      <xdr:col>20</xdr:col>
      <xdr:colOff>42334</xdr:colOff>
      <xdr:row>3</xdr:row>
      <xdr:rowOff>28222</xdr:rowOff>
    </xdr:to>
    <xdr:cxnSp macro="">
      <xdr:nvCxnSpPr>
        <xdr:cNvPr id="14" name="Straight Connector 13"/>
        <xdr:cNvCxnSpPr/>
      </xdr:nvCxnSpPr>
      <xdr:spPr>
        <a:xfrm>
          <a:off x="7607300" y="330200"/>
          <a:ext cx="8208434" cy="28222"/>
        </a:xfrm>
        <a:prstGeom prst="line">
          <a:avLst/>
        </a:prstGeom>
        <a:ln w="38100">
          <a:solidFill>
            <a:schemeClr val="accent3">
              <a:lumMod val="75000"/>
            </a:schemeClr>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20</xdr:col>
      <xdr:colOff>0</xdr:colOff>
      <xdr:row>0</xdr:row>
      <xdr:rowOff>0</xdr:rowOff>
    </xdr:from>
    <xdr:to>
      <xdr:col>31</xdr:col>
      <xdr:colOff>0</xdr:colOff>
      <xdr:row>0</xdr:row>
      <xdr:rowOff>28222</xdr:rowOff>
    </xdr:to>
    <xdr:cxnSp macro="">
      <xdr:nvCxnSpPr>
        <xdr:cNvPr id="15" name="Straight Connector 14"/>
        <xdr:cNvCxnSpPr/>
      </xdr:nvCxnSpPr>
      <xdr:spPr>
        <a:xfrm>
          <a:off x="15773400" y="0"/>
          <a:ext cx="8547100" cy="28222"/>
        </a:xfrm>
        <a:prstGeom prst="line">
          <a:avLst/>
        </a:prstGeom>
        <a:ln w="38100">
          <a:solidFill>
            <a:schemeClr val="accent3">
              <a:lumMod val="75000"/>
            </a:schemeClr>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20</xdr:col>
      <xdr:colOff>76200</xdr:colOff>
      <xdr:row>31</xdr:row>
      <xdr:rowOff>127000</xdr:rowOff>
    </xdr:from>
    <xdr:to>
      <xdr:col>30</xdr:col>
      <xdr:colOff>660400</xdr:colOff>
      <xdr:row>47</xdr:row>
      <xdr:rowOff>139700</xdr:rowOff>
    </xdr:to>
    <xdr:graphicFrame macro="">
      <xdr:nvGraphicFramePr>
        <xdr:cNvPr id="3387"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774700</xdr:colOff>
      <xdr:row>0</xdr:row>
      <xdr:rowOff>25400</xdr:rowOff>
    </xdr:from>
    <xdr:to>
      <xdr:col>9</xdr:col>
      <xdr:colOff>254000</xdr:colOff>
      <xdr:row>2</xdr:row>
      <xdr:rowOff>152400</xdr:rowOff>
    </xdr:to>
    <xdr:pic>
      <xdr:nvPicPr>
        <xdr:cNvPr id="4137" name="Picture 2" descr="lighthousesolarlogo.jp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91100" y="25400"/>
          <a:ext cx="26797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16</xdr:col>
      <xdr:colOff>63500</xdr:colOff>
      <xdr:row>0</xdr:row>
      <xdr:rowOff>76200</xdr:rowOff>
    </xdr:from>
    <xdr:to>
      <xdr:col>20</xdr:col>
      <xdr:colOff>482600</xdr:colOff>
      <xdr:row>2</xdr:row>
      <xdr:rowOff>203200</xdr:rowOff>
    </xdr:to>
    <xdr:pic>
      <xdr:nvPicPr>
        <xdr:cNvPr id="4138" name="Picture 2" descr="lighthousesolarlogo.jp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246100" y="76200"/>
          <a:ext cx="29464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774700</xdr:colOff>
      <xdr:row>0</xdr:row>
      <xdr:rowOff>25400</xdr:rowOff>
    </xdr:from>
    <xdr:to>
      <xdr:col>9</xdr:col>
      <xdr:colOff>254000</xdr:colOff>
      <xdr:row>2</xdr:row>
      <xdr:rowOff>152400</xdr:rowOff>
    </xdr:to>
    <xdr:pic>
      <xdr:nvPicPr>
        <xdr:cNvPr id="5161" name="Picture 2" descr="lighthousesolarlogo.jp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91100" y="25400"/>
          <a:ext cx="26797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16</xdr:col>
      <xdr:colOff>63500</xdr:colOff>
      <xdr:row>0</xdr:row>
      <xdr:rowOff>76200</xdr:rowOff>
    </xdr:from>
    <xdr:to>
      <xdr:col>20</xdr:col>
      <xdr:colOff>482600</xdr:colOff>
      <xdr:row>2</xdr:row>
      <xdr:rowOff>203200</xdr:rowOff>
    </xdr:to>
    <xdr:pic>
      <xdr:nvPicPr>
        <xdr:cNvPr id="5162" name="Picture 2" descr="lighthousesolarlogo.jp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246100" y="76200"/>
          <a:ext cx="29464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520700</xdr:colOff>
      <xdr:row>13</xdr:row>
      <xdr:rowOff>190500</xdr:rowOff>
    </xdr:from>
    <xdr:to>
      <xdr:col>25</xdr:col>
      <xdr:colOff>0</xdr:colOff>
      <xdr:row>36</xdr:row>
      <xdr:rowOff>0</xdr:rowOff>
    </xdr:to>
    <xdr:graphicFrame macro="">
      <xdr:nvGraphicFramePr>
        <xdr:cNvPr id="9244" name="Chart 257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stanpipkin/Downloads/TS0010197771"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Oa-kemasvr1/oa-kcg/OA-KCG-CMN/Projects/CSI%20tech%20writing/FORMS/5%20Incentive%20calc%20worksheet/2006_SGIP_IncentiveCalcWorksheet_r2_060808.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djrosebaugh/Desktop/Proposal%20Tools/2015%20Customer%20Forms-Bid%20V4)%20%20copy.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Loan Amortization Schedule"/>
    </sheetNames>
    <sheetDataSet>
      <sheetData sheetId="0"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Blank Worksheet"/>
      <sheetName val="Solar PV Example"/>
      <sheetName val="Fuel Cell Example"/>
      <sheetName val="Data"/>
    </sheetNames>
    <sheetDataSet>
      <sheetData sheetId="0"/>
      <sheetData sheetId="1"/>
      <sheetData sheetId="2"/>
      <sheetData sheetId="3">
        <row r="30">
          <cell r="A30" t="str">
            <v>IOU Ratepayer Funded</v>
          </cell>
        </row>
        <row r="31">
          <cell r="A31" t="str">
            <v>Non-IOU Ratepayer Funded</v>
          </cell>
        </row>
        <row r="32">
          <cell r="A32" t="str">
            <v>Non-Ratepayer Funded</v>
          </cell>
        </row>
      </sheetData>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Customer Record"/>
      <sheetName val="Bid Matrix"/>
      <sheetName val="Bid"/>
      <sheetName val="Div Contrat Exh A-B"/>
      <sheetName val="Contract Exh A-B "/>
      <sheetName val="Contract Exh C (options)"/>
      <sheetName val="Job Sheet"/>
      <sheetName val="Cover Sheet"/>
      <sheetName val="Daily"/>
      <sheetName val="PV Checklist"/>
      <sheetName val="PV Commissioning"/>
      <sheetName val="LG Form"/>
      <sheetName val="Enphase Serials"/>
      <sheetName val="Change Order"/>
      <sheetName val="Utility invoice"/>
    </sheetNames>
    <sheetDataSet>
      <sheetData sheetId="0">
        <row r="6">
          <cell r="F6">
            <v>0</v>
          </cell>
        </row>
        <row r="9">
          <cell r="B9" t="str">
            <v>Dividend Solar</v>
          </cell>
        </row>
        <row r="10">
          <cell r="B10" t="str">
            <v>CTEC</v>
          </cell>
        </row>
        <row r="15">
          <cell r="B15" t="str">
            <v>-</v>
          </cell>
        </row>
        <row r="20">
          <cell r="B20" t="str">
            <v>Main Panel Rebuild</v>
          </cell>
        </row>
        <row r="21">
          <cell r="B21" t="str">
            <v>no tree trimming required</v>
          </cell>
        </row>
        <row r="22">
          <cell r="B22" t="str">
            <v>0 vents to be relocated</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supernova@austin.rr.com" TargetMode="External"/><Relationship Id="rId2"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 Id="rId2"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 Id="rId2"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 Id="rId2" Type="http://schemas.openxmlformats.org/officeDocument/2006/relationships/vmlDrawing" Target="../drawings/vmlDrawing6.v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2:N43"/>
  <sheetViews>
    <sheetView showGridLines="0" view="pageLayout" topLeftCell="A2" zoomScale="125" workbookViewId="0">
      <selection activeCell="C9" sqref="C9:D9"/>
    </sheetView>
  </sheetViews>
  <sheetFormatPr baseColWidth="10" defaultRowHeight="12" x14ac:dyDescent="0"/>
  <cols>
    <col min="1" max="1" width="17" style="95" customWidth="1"/>
    <col min="2" max="2" width="13.28515625" style="95" customWidth="1"/>
    <col min="3" max="3" width="11.42578125" style="95" customWidth="1"/>
    <col min="4" max="4" width="14.7109375" style="95" customWidth="1"/>
    <col min="5" max="5" width="1.7109375" style="546" customWidth="1"/>
    <col min="6" max="6" width="10.7109375" style="95"/>
    <col min="7" max="7" width="9.7109375" style="95" bestFit="1" customWidth="1"/>
    <col min="8" max="8" width="14.140625" style="95" customWidth="1"/>
    <col min="9" max="9" width="12.42578125" style="95" customWidth="1"/>
    <col min="10" max="10" width="14.28515625" style="95" customWidth="1"/>
    <col min="11" max="14" width="14.28515625" style="95" hidden="1" customWidth="1"/>
    <col min="15" max="15" width="14.28515625" style="95" customWidth="1"/>
    <col min="16" max="16384" width="10.7109375" style="95"/>
  </cols>
  <sheetData>
    <row r="2" spans="1:14" ht="13">
      <c r="F2" s="122"/>
      <c r="G2" s="122"/>
      <c r="H2" s="122"/>
      <c r="I2" s="122"/>
      <c r="J2" s="122"/>
    </row>
    <row r="3" spans="1:14" ht="4" customHeight="1">
      <c r="I3" s="122"/>
      <c r="J3" s="122"/>
    </row>
    <row r="4" spans="1:14" s="546" customFormat="1" ht="4" customHeight="1">
      <c r="F4" s="625"/>
      <c r="G4" s="625"/>
      <c r="I4" s="625"/>
      <c r="J4" s="625"/>
    </row>
    <row r="5" spans="1:14" ht="4" customHeight="1">
      <c r="A5" s="626"/>
      <c r="B5" s="626"/>
      <c r="C5" s="626"/>
      <c r="D5" s="626"/>
      <c r="F5" s="627"/>
      <c r="G5" s="627"/>
      <c r="H5" s="626"/>
      <c r="I5" s="122"/>
      <c r="J5" s="122"/>
    </row>
    <row r="6" spans="1:14" ht="13">
      <c r="F6" s="122"/>
      <c r="G6" s="122"/>
      <c r="H6" s="122"/>
      <c r="I6" s="122"/>
      <c r="J6" s="122"/>
      <c r="K6" s="628" t="s">
        <v>255</v>
      </c>
      <c r="L6" s="628" t="s">
        <v>448</v>
      </c>
      <c r="M6" s="628" t="s">
        <v>161</v>
      </c>
      <c r="N6" s="628" t="s">
        <v>486</v>
      </c>
    </row>
    <row r="7" spans="1:14" ht="19">
      <c r="A7" s="629" t="s">
        <v>540</v>
      </c>
      <c r="F7" s="629" t="s">
        <v>539</v>
      </c>
      <c r="I7" s="122"/>
      <c r="J7" s="122"/>
      <c r="K7" s="628" t="s">
        <v>482</v>
      </c>
      <c r="L7" s="628" t="s">
        <v>355</v>
      </c>
      <c r="M7" s="628" t="s">
        <v>162</v>
      </c>
      <c r="N7" s="628" t="s">
        <v>253</v>
      </c>
    </row>
    <row r="8" spans="1:14" ht="18" customHeight="1">
      <c r="A8" s="989" t="s">
        <v>265</v>
      </c>
      <c r="B8" s="989"/>
      <c r="C8" s="994">
        <v>42126</v>
      </c>
      <c r="D8" s="994"/>
      <c r="E8" s="630"/>
      <c r="F8" s="987" t="s">
        <v>266</v>
      </c>
      <c r="G8" s="987"/>
      <c r="H8" s="623"/>
      <c r="I8" s="122"/>
      <c r="J8" s="122"/>
      <c r="K8" s="628" t="s">
        <v>488</v>
      </c>
      <c r="L8" s="628" t="s">
        <v>449</v>
      </c>
      <c r="M8" s="628" t="s">
        <v>163</v>
      </c>
      <c r="N8" s="628"/>
    </row>
    <row r="9" spans="1:14" ht="18" customHeight="1">
      <c r="A9" s="990" t="s">
        <v>533</v>
      </c>
      <c r="B9" s="990"/>
      <c r="C9" s="983" t="s">
        <v>676</v>
      </c>
      <c r="D9" s="983"/>
      <c r="E9" s="631"/>
      <c r="F9" s="988" t="s">
        <v>348</v>
      </c>
      <c r="G9" s="988"/>
      <c r="H9" s="346"/>
      <c r="I9" s="122"/>
      <c r="J9" s="122"/>
      <c r="K9" s="628"/>
      <c r="L9" s="628" t="s">
        <v>311</v>
      </c>
      <c r="M9" s="628" t="s">
        <v>164</v>
      </c>
      <c r="N9" s="628"/>
    </row>
    <row r="10" spans="1:14" ht="18" customHeight="1">
      <c r="A10" s="991" t="s">
        <v>538</v>
      </c>
      <c r="B10" s="991"/>
      <c r="C10" s="983" t="s">
        <v>691</v>
      </c>
      <c r="D10" s="983"/>
      <c r="E10" s="631"/>
      <c r="F10" s="984" t="s">
        <v>349</v>
      </c>
      <c r="G10" s="984"/>
      <c r="H10" s="346"/>
      <c r="I10" s="122"/>
      <c r="J10" s="122"/>
      <c r="K10" s="628"/>
      <c r="L10" s="628" t="s">
        <v>450</v>
      </c>
      <c r="M10" s="628" t="s">
        <v>165</v>
      </c>
      <c r="N10" s="628"/>
    </row>
    <row r="11" spans="1:14" ht="18" customHeight="1">
      <c r="A11" s="992" t="s">
        <v>342</v>
      </c>
      <c r="B11" s="992"/>
      <c r="C11" s="983" t="s">
        <v>355</v>
      </c>
      <c r="D11" s="983"/>
      <c r="E11" s="631"/>
      <c r="F11" s="986" t="s">
        <v>352</v>
      </c>
      <c r="G11" s="986"/>
      <c r="H11" s="346"/>
      <c r="I11" s="122"/>
      <c r="J11" s="122"/>
      <c r="K11" s="628"/>
      <c r="L11" s="628" t="s">
        <v>451</v>
      </c>
      <c r="M11" s="628" t="s">
        <v>488</v>
      </c>
      <c r="N11" s="628"/>
    </row>
    <row r="12" spans="1:14" ht="18" customHeight="1">
      <c r="A12" s="991" t="s">
        <v>343</v>
      </c>
      <c r="B12" s="991"/>
      <c r="C12" s="346" t="s">
        <v>694</v>
      </c>
      <c r="D12" s="346" t="s">
        <v>237</v>
      </c>
      <c r="E12" s="631"/>
      <c r="F12" s="984" t="s">
        <v>353</v>
      </c>
      <c r="G12" s="984"/>
      <c r="H12" s="346"/>
      <c r="I12" s="122"/>
      <c r="J12" s="122"/>
      <c r="K12" s="628"/>
      <c r="L12" s="628" t="s">
        <v>452</v>
      </c>
      <c r="M12" s="628"/>
      <c r="N12" s="628"/>
    </row>
    <row r="13" spans="1:14" ht="18" customHeight="1">
      <c r="A13" s="990" t="s">
        <v>344</v>
      </c>
      <c r="B13" s="990"/>
      <c r="C13" s="983" t="s">
        <v>695</v>
      </c>
      <c r="D13" s="983"/>
      <c r="E13" s="631"/>
      <c r="F13" s="988" t="s">
        <v>354</v>
      </c>
      <c r="G13" s="988"/>
      <c r="H13" s="346"/>
      <c r="I13" s="122"/>
      <c r="J13" s="122"/>
      <c r="K13" s="628"/>
      <c r="L13" s="628" t="s">
        <v>674</v>
      </c>
      <c r="M13" s="628"/>
      <c r="N13" s="628"/>
    </row>
    <row r="14" spans="1:14" ht="18" customHeight="1">
      <c r="A14" s="991" t="s">
        <v>345</v>
      </c>
      <c r="B14" s="991"/>
      <c r="C14" s="997" t="s">
        <v>696</v>
      </c>
      <c r="D14" s="983"/>
      <c r="E14" s="631"/>
      <c r="F14" s="984"/>
      <c r="G14" s="984"/>
      <c r="H14" s="623"/>
      <c r="I14" s="122"/>
      <c r="J14" s="122"/>
      <c r="K14" s="628"/>
      <c r="L14" s="628" t="s">
        <v>675</v>
      </c>
      <c r="M14" s="628"/>
      <c r="N14" s="628"/>
    </row>
    <row r="15" spans="1:14" ht="18" customHeight="1">
      <c r="A15" s="993" t="s">
        <v>346</v>
      </c>
      <c r="B15" s="993"/>
      <c r="C15" s="983" t="s">
        <v>697</v>
      </c>
      <c r="D15" s="983"/>
      <c r="E15" s="631"/>
      <c r="F15" s="985" t="s">
        <v>245</v>
      </c>
      <c r="G15" s="985"/>
      <c r="H15" s="849"/>
      <c r="I15" s="122"/>
      <c r="J15" s="122"/>
    </row>
    <row r="16" spans="1:14" ht="18" customHeight="1">
      <c r="A16" s="991" t="s">
        <v>347</v>
      </c>
      <c r="B16" s="991"/>
      <c r="C16" s="983" t="s">
        <v>677</v>
      </c>
      <c r="D16" s="983"/>
      <c r="E16" s="631"/>
      <c r="F16" s="982" t="s">
        <v>159</v>
      </c>
      <c r="G16" s="982"/>
      <c r="H16" s="849"/>
      <c r="I16" s="122"/>
      <c r="J16" s="122"/>
    </row>
    <row r="17" spans="1:10" ht="18" customHeight="1">
      <c r="A17" s="993" t="s">
        <v>155</v>
      </c>
      <c r="B17" s="993"/>
      <c r="C17" s="996"/>
      <c r="D17" s="996"/>
      <c r="E17" s="630"/>
      <c r="F17" s="985"/>
      <c r="G17" s="985"/>
      <c r="H17" s="849"/>
      <c r="I17" s="122"/>
      <c r="J17" s="122"/>
    </row>
    <row r="18" spans="1:10" ht="18" customHeight="1">
      <c r="A18" s="991" t="s">
        <v>156</v>
      </c>
      <c r="B18" s="991"/>
      <c r="C18" s="994"/>
      <c r="D18" s="994"/>
      <c r="E18" s="630"/>
      <c r="F18" s="982" t="s">
        <v>317</v>
      </c>
      <c r="G18" s="982"/>
      <c r="H18" s="849"/>
      <c r="I18" s="122"/>
      <c r="J18" s="122"/>
    </row>
    <row r="19" spans="1:10" ht="18" customHeight="1">
      <c r="A19" s="993" t="s">
        <v>152</v>
      </c>
      <c r="B19" s="993"/>
      <c r="C19" s="983" t="s">
        <v>680</v>
      </c>
      <c r="D19" s="983"/>
      <c r="E19" s="631"/>
      <c r="F19" s="985" t="s">
        <v>9</v>
      </c>
      <c r="G19" s="985"/>
      <c r="H19" s="852" t="e">
        <f>VLOOKUP(H18,'Lookup Tables'!C70:D108,2,FALSE)</f>
        <v>#N/A</v>
      </c>
      <c r="I19" s="122"/>
      <c r="J19" s="122"/>
    </row>
    <row r="20" spans="1:10" ht="18" customHeight="1">
      <c r="A20" s="991" t="s">
        <v>350</v>
      </c>
      <c r="B20" s="991"/>
      <c r="C20" s="995"/>
      <c r="D20" s="995"/>
      <c r="E20" s="631"/>
      <c r="F20" s="982" t="s">
        <v>10</v>
      </c>
      <c r="G20" s="982"/>
      <c r="H20" s="851">
        <f>IF(C19="Austin Energy",IF('Cash Bid'!$G$12&gt;2,1.1*$H$19*'Cash Bid'!$G$12*1000,0),0)</f>
        <v>0</v>
      </c>
      <c r="I20" s="122"/>
      <c r="J20" s="122"/>
    </row>
    <row r="21" spans="1:10" ht="18" customHeight="1">
      <c r="A21" s="632" t="s">
        <v>351</v>
      </c>
      <c r="C21" s="995"/>
      <c r="D21" s="995"/>
      <c r="E21" s="631"/>
      <c r="F21" s="982" t="s">
        <v>11</v>
      </c>
      <c r="G21" s="982"/>
      <c r="H21" s="857">
        <f>IF(C19="Oncor","Calculate Rebate &amp; Insert Here",0)</f>
        <v>0</v>
      </c>
      <c r="I21" s="122"/>
      <c r="J21" s="122"/>
    </row>
    <row r="22" spans="1:10" ht="18" customHeight="1">
      <c r="A22" s="991" t="s">
        <v>153</v>
      </c>
      <c r="B22" s="991"/>
      <c r="C22" s="995"/>
      <c r="D22" s="995"/>
      <c r="E22" s="630"/>
      <c r="F22" s="122"/>
      <c r="G22" s="122"/>
      <c r="H22" s="122"/>
      <c r="I22" s="122"/>
      <c r="J22" s="122"/>
    </row>
    <row r="23" spans="1:10" ht="18" customHeight="1">
      <c r="A23" s="993" t="s">
        <v>154</v>
      </c>
      <c r="B23" s="993"/>
      <c r="C23" s="995"/>
      <c r="D23" s="995"/>
      <c r="E23" s="630"/>
      <c r="F23" s="122"/>
      <c r="G23" s="122"/>
      <c r="H23" s="122"/>
      <c r="I23" s="122"/>
      <c r="J23" s="122"/>
    </row>
    <row r="24" spans="1:10" ht="18" customHeight="1">
      <c r="A24" s="998" t="s">
        <v>157</v>
      </c>
      <c r="B24" s="998"/>
      <c r="C24" s="994"/>
      <c r="D24" s="994"/>
      <c r="E24" s="630"/>
      <c r="F24" s="122"/>
      <c r="G24" s="122"/>
      <c r="H24" s="122"/>
      <c r="I24" s="122"/>
      <c r="J24" s="122"/>
    </row>
    <row r="25" spans="1:10" ht="18" customHeight="1">
      <c r="A25" s="999" t="s">
        <v>160</v>
      </c>
      <c r="B25" s="999"/>
      <c r="C25" s="994" t="s">
        <v>486</v>
      </c>
      <c r="D25" s="994"/>
      <c r="E25" s="630"/>
      <c r="F25" s="122"/>
      <c r="G25" s="122"/>
      <c r="H25" s="122"/>
      <c r="I25" s="122"/>
      <c r="J25" s="122"/>
    </row>
    <row r="26" spans="1:10" ht="18" customHeight="1">
      <c r="A26" s="998" t="s">
        <v>158</v>
      </c>
      <c r="B26" s="998"/>
      <c r="C26" s="994" t="s">
        <v>161</v>
      </c>
      <c r="D26" s="994"/>
      <c r="E26" s="630"/>
      <c r="F26" s="122"/>
      <c r="G26" s="122"/>
      <c r="H26" s="122"/>
      <c r="I26" s="122"/>
      <c r="J26" s="122"/>
    </row>
    <row r="27" spans="1:10" ht="13">
      <c r="F27" s="122"/>
      <c r="G27" s="122"/>
      <c r="H27" s="122"/>
      <c r="I27" s="122"/>
      <c r="J27" s="122"/>
    </row>
    <row r="28" spans="1:10" ht="13">
      <c r="F28" s="122"/>
      <c r="G28" s="122"/>
      <c r="H28" s="122"/>
      <c r="I28" s="122"/>
      <c r="J28" s="122"/>
    </row>
    <row r="29" spans="1:10" ht="13">
      <c r="F29" s="122"/>
      <c r="G29" s="122"/>
      <c r="H29" s="122"/>
      <c r="I29" s="122"/>
      <c r="J29" s="122"/>
    </row>
    <row r="30" spans="1:10" ht="19" customHeight="1">
      <c r="F30" s="122"/>
      <c r="G30" s="122"/>
      <c r="H30" s="122"/>
      <c r="I30" s="122"/>
      <c r="J30" s="122"/>
    </row>
    <row r="31" spans="1:10" ht="19" customHeight="1">
      <c r="F31" s="122"/>
      <c r="G31" s="122"/>
      <c r="H31" s="122"/>
      <c r="I31" s="122"/>
      <c r="J31" s="122"/>
    </row>
    <row r="32" spans="1:10" ht="19" customHeight="1">
      <c r="F32" s="122"/>
      <c r="G32" s="122"/>
      <c r="H32" s="122"/>
      <c r="I32" s="122"/>
      <c r="J32" s="122"/>
    </row>
    <row r="33" spans="1:10" ht="19" customHeight="1">
      <c r="F33" s="122"/>
      <c r="G33" s="122"/>
      <c r="H33" s="122"/>
      <c r="I33" s="122"/>
      <c r="J33" s="122"/>
    </row>
    <row r="34" spans="1:10" ht="19" customHeight="1">
      <c r="F34" s="122"/>
      <c r="G34" s="122"/>
      <c r="H34" s="122"/>
      <c r="I34" s="122"/>
      <c r="J34" s="122"/>
    </row>
    <row r="35" spans="1:10" ht="19" customHeight="1">
      <c r="F35" s="122"/>
      <c r="G35" s="122"/>
      <c r="H35" s="122"/>
      <c r="I35" s="122"/>
      <c r="J35" s="122"/>
    </row>
    <row r="36" spans="1:10" ht="19" customHeight="1">
      <c r="F36" s="122"/>
      <c r="G36" s="122"/>
      <c r="H36" s="122"/>
      <c r="I36" s="122"/>
      <c r="J36" s="122"/>
    </row>
    <row r="37" spans="1:10" ht="19" customHeight="1">
      <c r="F37" s="122"/>
      <c r="G37" s="122"/>
      <c r="H37" s="122"/>
      <c r="I37" s="122"/>
      <c r="J37" s="122"/>
    </row>
    <row r="38" spans="1:10" ht="19" customHeight="1">
      <c r="F38" s="122"/>
      <c r="G38" s="122"/>
      <c r="H38" s="122"/>
      <c r="I38" s="122"/>
      <c r="J38" s="122"/>
    </row>
    <row r="39" spans="1:10" ht="19" customHeight="1">
      <c r="F39" s="122"/>
      <c r="G39" s="122"/>
      <c r="H39" s="122"/>
      <c r="I39" s="122"/>
      <c r="J39" s="122"/>
    </row>
    <row r="40" spans="1:10" ht="13">
      <c r="A40" s="122"/>
      <c r="B40" s="122"/>
      <c r="C40" s="122"/>
      <c r="D40" s="122"/>
      <c r="E40" s="625"/>
      <c r="F40" s="122"/>
      <c r="G40" s="122"/>
      <c r="H40" s="122"/>
      <c r="I40" s="122"/>
      <c r="J40" s="122"/>
    </row>
    <row r="41" spans="1:10" ht="13">
      <c r="A41" s="122"/>
      <c r="B41" s="122"/>
      <c r="C41" s="122"/>
      <c r="D41" s="122"/>
      <c r="E41" s="625"/>
      <c r="F41" s="122"/>
      <c r="G41" s="122"/>
      <c r="H41" s="122"/>
      <c r="I41" s="122"/>
      <c r="J41" s="122"/>
    </row>
    <row r="42" spans="1:10" ht="13">
      <c r="A42" s="122"/>
      <c r="B42" s="122"/>
      <c r="C42" s="122"/>
      <c r="D42" s="122"/>
      <c r="E42" s="625"/>
      <c r="F42" s="122"/>
      <c r="G42" s="122"/>
      <c r="H42" s="122"/>
      <c r="I42" s="122"/>
      <c r="J42" s="122"/>
    </row>
    <row r="43" spans="1:10" ht="13">
      <c r="A43" s="122"/>
      <c r="B43" s="122"/>
      <c r="C43" s="122"/>
      <c r="D43" s="122"/>
      <c r="E43" s="625"/>
      <c r="F43" s="122"/>
      <c r="G43" s="122"/>
      <c r="H43" s="122"/>
      <c r="I43" s="122"/>
      <c r="J43" s="122"/>
    </row>
  </sheetData>
  <sheetProtection selectLockedCells="1"/>
  <mergeCells count="50">
    <mergeCell ref="C26:D26"/>
    <mergeCell ref="C20:D20"/>
    <mergeCell ref="C21:D21"/>
    <mergeCell ref="A24:B24"/>
    <mergeCell ref="A25:B25"/>
    <mergeCell ref="A26:B26"/>
    <mergeCell ref="A23:B23"/>
    <mergeCell ref="C23:D23"/>
    <mergeCell ref="A20:B20"/>
    <mergeCell ref="C25:D25"/>
    <mergeCell ref="A22:B22"/>
    <mergeCell ref="C9:D9"/>
    <mergeCell ref="C8:D8"/>
    <mergeCell ref="C10:D10"/>
    <mergeCell ref="C24:D24"/>
    <mergeCell ref="C22:D22"/>
    <mergeCell ref="C17:D17"/>
    <mergeCell ref="C18:D18"/>
    <mergeCell ref="C11:D11"/>
    <mergeCell ref="C14:D14"/>
    <mergeCell ref="C13:D13"/>
    <mergeCell ref="A18:B18"/>
    <mergeCell ref="A19:B19"/>
    <mergeCell ref="A13:B13"/>
    <mergeCell ref="A17:B17"/>
    <mergeCell ref="A16:B16"/>
    <mergeCell ref="A14:B14"/>
    <mergeCell ref="A15:B15"/>
    <mergeCell ref="A8:B8"/>
    <mergeCell ref="A9:B9"/>
    <mergeCell ref="A10:B10"/>
    <mergeCell ref="A11:B11"/>
    <mergeCell ref="A12:B12"/>
    <mergeCell ref="F11:G11"/>
    <mergeCell ref="F18:G18"/>
    <mergeCell ref="F19:G19"/>
    <mergeCell ref="F12:G12"/>
    <mergeCell ref="F8:G8"/>
    <mergeCell ref="F9:G9"/>
    <mergeCell ref="F10:G10"/>
    <mergeCell ref="F17:G17"/>
    <mergeCell ref="F13:G13"/>
    <mergeCell ref="F20:G20"/>
    <mergeCell ref="F21:G21"/>
    <mergeCell ref="C19:D19"/>
    <mergeCell ref="F16:G16"/>
    <mergeCell ref="F14:G14"/>
    <mergeCell ref="F15:G15"/>
    <mergeCell ref="C15:D15"/>
    <mergeCell ref="C16:D16"/>
  </mergeCells>
  <phoneticPr fontId="31" type="noConversion"/>
  <dataValidations count="3">
    <dataValidation type="list" allowBlank="1" showInputMessage="1" showErrorMessage="1" sqref="C25:E25">
      <formula1>$N$6:$N$7</formula1>
    </dataValidation>
    <dataValidation type="list" allowBlank="1" showInputMessage="1" showErrorMessage="1" sqref="C26:E26">
      <formula1>$M$6:$M$11</formula1>
    </dataValidation>
    <dataValidation type="list" allowBlank="1" showInputMessage="1" showErrorMessage="1" sqref="C11:D11">
      <formula1>$L$6:$L$14</formula1>
    </dataValidation>
  </dataValidations>
  <hyperlinks>
    <hyperlink ref="C14" r:id="rId1" display="supernova@austin.rr.com"/>
  </hyperlinks>
  <pageMargins left="0.75" right="0.75" top="1" bottom="1" header="0.5" footer="0.5"/>
  <pageSetup orientation="landscape" horizontalDpi="4294967292" verticalDpi="4294967292"/>
  <headerFooter>
    <oddHeader>&amp;L&amp;G</oddHeader>
  </headerFooter>
  <legacyDrawingHF r:id="rId2"/>
  <extLst>
    <ext xmlns:x14="http://schemas.microsoft.com/office/spreadsheetml/2009/9/main" uri="{CCE6A557-97BC-4b89-ADB6-D9C93CAAB3DF}">
      <x14:dataValidations xmlns:xm="http://schemas.microsoft.com/office/excel/2006/main" count="4">
        <x14:dataValidation type="list" allowBlank="1" showInputMessage="1" showErrorMessage="1">
          <x14:formula1>
            <xm:f>'Lookup Tables'!$M$2:$M$4</xm:f>
          </x14:formula1>
          <xm:sqref>C10</xm:sqref>
        </x14:dataValidation>
        <x14:dataValidation type="list" allowBlank="1" showInputMessage="1" showErrorMessage="1">
          <x14:formula1>
            <xm:f>'Lookup Tables'!$B$12:$B$15</xm:f>
          </x14:formula1>
          <xm:sqref>C19:D19</xm:sqref>
        </x14:dataValidation>
        <x14:dataValidation type="list" allowBlank="1" showInputMessage="1" showErrorMessage="1">
          <x14:formula1>
            <xm:f>'Lookup Tables'!$C$70:$C$108</xm:f>
          </x14:formula1>
          <xm:sqref>H18</xm:sqref>
        </x14:dataValidation>
        <x14:dataValidation type="list" allowBlank="1" showInputMessage="1" showErrorMessage="1">
          <x14:formula1>
            <xm:f>'Lookup Tables'!$L$2:$L$6</xm:f>
          </x14:formula1>
          <xm:sqref>C9:D9</xm:sqref>
        </x14:dataValidation>
      </x14:dataValidations>
    </ext>
    <ext xmlns:mx="http://schemas.microsoft.com/office/mac/excel/2008/main" uri="{64002731-A6B0-56B0-2670-7721B7C09600}">
      <mx:PLV Mode="1"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pageSetUpPr fitToPage="1"/>
  </sheetPr>
  <dimension ref="A1:AG78"/>
  <sheetViews>
    <sheetView showGridLines="0" view="pageLayout" topLeftCell="A21" zoomScale="85" zoomScaleNormal="85" zoomScalePageLayoutView="85" workbookViewId="0">
      <selection activeCell="D10" sqref="D10:E10"/>
    </sheetView>
  </sheetViews>
  <sheetFormatPr baseColWidth="10" defaultRowHeight="13" x14ac:dyDescent="0"/>
  <cols>
    <col min="1" max="1" width="25.42578125" customWidth="1"/>
    <col min="2" max="2" width="12.140625" customWidth="1"/>
    <col min="3" max="3" width="11.5703125" customWidth="1"/>
    <col min="4" max="4" width="10" customWidth="1"/>
    <col min="5" max="5" width="11.42578125" bestFit="1" customWidth="1"/>
    <col min="6" max="6" width="10.5703125" bestFit="1" customWidth="1"/>
    <col min="7" max="7" width="8.42578125" customWidth="1"/>
    <col min="8" max="8" width="11.7109375" bestFit="1" customWidth="1"/>
    <col min="9" max="9" width="7.42578125" customWidth="1"/>
    <col min="10" max="10" width="8.7109375" customWidth="1"/>
    <col min="11" max="11" width="11.7109375" bestFit="1" customWidth="1"/>
    <col min="12" max="12" width="8.42578125" customWidth="1"/>
    <col min="13" max="13" width="8.5703125" customWidth="1"/>
    <col min="14" max="14" width="11.7109375" bestFit="1" customWidth="1"/>
    <col min="15" max="16" width="8.7109375" customWidth="1"/>
    <col min="19" max="19" width="9" style="31" bestFit="1" customWidth="1"/>
    <col min="20" max="20" width="11.28515625" style="31" bestFit="1" customWidth="1"/>
    <col min="21" max="22" width="5.140625" style="31" bestFit="1" customWidth="1"/>
    <col min="23" max="23" width="18.140625" style="31" bestFit="1" customWidth="1"/>
    <col min="24" max="27" width="6.7109375" style="31" bestFit="1" customWidth="1"/>
    <col min="28" max="32" width="5.140625" style="31" bestFit="1" customWidth="1"/>
    <col min="33" max="33" width="7" style="31" bestFit="1" customWidth="1"/>
  </cols>
  <sheetData>
    <row r="1" spans="1:16" ht="7" customHeight="1">
      <c r="A1" s="481"/>
      <c r="B1" s="481"/>
      <c r="C1" s="481"/>
      <c r="D1" s="481"/>
      <c r="E1" s="481"/>
      <c r="F1" s="481"/>
      <c r="G1" s="481"/>
      <c r="H1" s="481"/>
      <c r="I1" s="481"/>
      <c r="J1" s="481"/>
      <c r="K1" s="481"/>
      <c r="L1" s="481"/>
      <c r="M1" s="481"/>
      <c r="N1" s="481"/>
      <c r="O1" s="481"/>
      <c r="P1" s="481"/>
    </row>
    <row r="3" spans="1:16" ht="25" customHeight="1">
      <c r="A3" s="1036" t="s">
        <v>289</v>
      </c>
      <c r="B3" s="1036"/>
      <c r="C3" s="1036"/>
      <c r="D3" s="1036"/>
      <c r="E3" s="1036"/>
      <c r="F3" s="1036"/>
      <c r="G3" s="429"/>
      <c r="H3" s="429"/>
      <c r="I3" s="429"/>
      <c r="J3" s="429"/>
      <c r="K3" s="429"/>
      <c r="L3" s="429"/>
      <c r="N3" s="394" t="str">
        <f>'1 Customer Record'!D12</f>
        <v>Solar</v>
      </c>
      <c r="O3" s="1030" t="s">
        <v>287</v>
      </c>
      <c r="P3" s="1030"/>
    </row>
    <row r="4" spans="1:16" ht="16" customHeight="1">
      <c r="A4" s="1037" t="s">
        <v>290</v>
      </c>
      <c r="N4" s="1029" t="str">
        <f>'1 Customer Record'!C15</f>
        <v>123 Sunshine Court</v>
      </c>
      <c r="O4" s="1029"/>
      <c r="P4" s="1029"/>
    </row>
    <row r="5" spans="1:16" ht="16" customHeight="1">
      <c r="A5" s="1037"/>
      <c r="O5" s="393"/>
      <c r="P5" s="53" t="str">
        <f>'1 Customer Record'!C16</f>
        <v>Dripping Springs, TX 78620</v>
      </c>
    </row>
    <row r="6" spans="1:16" ht="3" customHeight="1">
      <c r="A6" s="482"/>
      <c r="B6" s="481"/>
      <c r="C6" s="481"/>
      <c r="D6" s="481"/>
      <c r="E6" s="481"/>
      <c r="F6" s="481"/>
      <c r="G6" s="481"/>
      <c r="H6" s="481"/>
      <c r="I6" s="481"/>
      <c r="J6" s="481"/>
      <c r="K6" s="481"/>
      <c r="L6" s="481"/>
      <c r="M6" s="481"/>
      <c r="N6" s="481"/>
      <c r="O6" s="483"/>
      <c r="P6" s="484"/>
    </row>
    <row r="7" spans="1:16" ht="28">
      <c r="A7" s="430"/>
      <c r="O7" s="393"/>
      <c r="P7" s="53"/>
    </row>
    <row r="8" spans="1:16" ht="26" customHeight="1">
      <c r="A8" s="478" t="s">
        <v>390</v>
      </c>
      <c r="B8" s="431"/>
      <c r="C8" s="431"/>
      <c r="D8" s="1035">
        <v>30</v>
      </c>
      <c r="E8" s="1035"/>
      <c r="F8" s="477"/>
      <c r="G8" s="477"/>
      <c r="H8" s="477"/>
      <c r="I8" s="477"/>
      <c r="J8" s="477"/>
      <c r="K8" s="477"/>
      <c r="L8" s="477"/>
      <c r="M8" s="477"/>
      <c r="N8" s="477"/>
      <c r="O8" s="477"/>
      <c r="P8" s="477"/>
    </row>
    <row r="9" spans="1:16" ht="26" customHeight="1">
      <c r="A9" s="433"/>
      <c r="B9" s="433"/>
      <c r="C9" s="433"/>
      <c r="D9" s="614"/>
      <c r="E9" s="432"/>
    </row>
    <row r="10" spans="1:16" ht="26" customHeight="1">
      <c r="A10" s="478" t="s">
        <v>389</v>
      </c>
      <c r="B10" s="431"/>
      <c r="C10" s="431"/>
      <c r="D10" s="1034" t="s">
        <v>249</v>
      </c>
      <c r="E10" s="1034"/>
      <c r="F10" s="477"/>
      <c r="G10" s="477"/>
      <c r="H10" s="477"/>
      <c r="I10" s="477"/>
      <c r="J10" s="477"/>
      <c r="K10" s="477"/>
      <c r="L10" s="477"/>
      <c r="M10" s="477"/>
      <c r="N10" s="477"/>
      <c r="O10" s="477"/>
      <c r="P10" s="477"/>
    </row>
    <row r="11" spans="1:16" ht="26" customHeight="1">
      <c r="A11" s="433"/>
      <c r="B11" s="433"/>
      <c r="C11" s="433"/>
      <c r="D11" s="615"/>
      <c r="E11" s="432"/>
    </row>
    <row r="12" spans="1:16" ht="26" customHeight="1">
      <c r="A12" s="478" t="s">
        <v>379</v>
      </c>
      <c r="B12" s="431"/>
      <c r="C12" s="431"/>
      <c r="D12" s="434">
        <f t="array" ref="D12">INDEX('Lookup Tables'!B40:P55,MATCH(1,('Lookup Tables'!B40:B55=D8)*('Lookup Tables'!C40:C55=D10),0),15)</f>
        <v>1453</v>
      </c>
      <c r="E12" s="431" t="s">
        <v>380</v>
      </c>
      <c r="F12" s="477"/>
      <c r="G12" s="477"/>
      <c r="H12" s="477"/>
      <c r="I12" s="477"/>
      <c r="J12" s="477"/>
      <c r="K12" s="477"/>
      <c r="L12" s="477"/>
      <c r="M12" s="477"/>
      <c r="N12" s="477"/>
      <c r="O12" s="477"/>
      <c r="P12" s="477"/>
    </row>
    <row r="14" spans="1:16" ht="4" customHeight="1">
      <c r="A14" s="481"/>
      <c r="B14" s="481"/>
      <c r="C14" s="481"/>
      <c r="D14" s="481"/>
      <c r="E14" s="481"/>
      <c r="F14" s="481"/>
      <c r="G14" s="481"/>
      <c r="H14" s="481"/>
      <c r="I14" s="481"/>
      <c r="J14" s="481"/>
      <c r="K14" s="481"/>
      <c r="L14" s="481"/>
      <c r="M14" s="481"/>
      <c r="N14" s="481"/>
      <c r="O14" s="481"/>
      <c r="P14" s="481"/>
    </row>
    <row r="15" spans="1:16" ht="18" customHeight="1">
      <c r="F15" s="479"/>
      <c r="G15" s="479"/>
      <c r="H15" s="479"/>
      <c r="I15" s="479"/>
      <c r="J15" s="479"/>
      <c r="K15" s="479"/>
      <c r="L15" s="377"/>
      <c r="M15" s="377"/>
      <c r="N15" s="377"/>
      <c r="O15" s="377"/>
      <c r="P15" s="377"/>
    </row>
    <row r="16" spans="1:16" ht="18" customHeight="1">
      <c r="E16" s="1032" t="s">
        <v>381</v>
      </c>
      <c r="F16" s="1032"/>
      <c r="G16" s="1032"/>
      <c r="H16" s="1032"/>
      <c r="I16" s="1032"/>
      <c r="J16" s="1032"/>
      <c r="K16" s="1032"/>
      <c r="L16" s="1032"/>
      <c r="M16" s="1032"/>
      <c r="N16" s="1032"/>
      <c r="O16" s="1032"/>
      <c r="P16" s="1032"/>
    </row>
    <row r="17" spans="1:20" ht="6" customHeight="1">
      <c r="B17" s="1031" t="s">
        <v>364</v>
      </c>
      <c r="C17" s="1031"/>
      <c r="E17" s="1033"/>
      <c r="F17" s="1033"/>
      <c r="G17" s="1033"/>
      <c r="H17" s="1033"/>
      <c r="I17" s="1033"/>
      <c r="J17" s="1033"/>
      <c r="K17" s="1033"/>
      <c r="L17" s="1033"/>
      <c r="M17" s="1033"/>
      <c r="N17" s="1033"/>
      <c r="O17" s="1033"/>
      <c r="P17" s="1033"/>
    </row>
    <row r="18" spans="1:20" ht="33" customHeight="1">
      <c r="A18" s="347" t="s">
        <v>230</v>
      </c>
      <c r="B18" s="1031"/>
      <c r="C18" s="1031"/>
      <c r="E18" s="1014" t="s">
        <v>382</v>
      </c>
      <c r="F18" s="1015"/>
      <c r="G18" s="1016"/>
      <c r="H18" s="1014" t="s">
        <v>383</v>
      </c>
      <c r="I18" s="1015"/>
      <c r="J18" s="1016"/>
      <c r="K18" s="1014" t="s">
        <v>384</v>
      </c>
      <c r="L18" s="1015"/>
      <c r="M18" s="1016"/>
      <c r="N18" s="1014" t="s">
        <v>388</v>
      </c>
      <c r="O18" s="1015"/>
      <c r="P18" s="1016"/>
    </row>
    <row r="19" spans="1:20" ht="23">
      <c r="A19" s="348" t="s">
        <v>231</v>
      </c>
      <c r="C19" s="440" t="s">
        <v>368</v>
      </c>
      <c r="D19" s="13" t="s">
        <v>237</v>
      </c>
      <c r="E19" s="1000" t="s">
        <v>386</v>
      </c>
      <c r="F19" s="1001"/>
      <c r="G19" s="1002"/>
      <c r="H19" s="1000" t="s">
        <v>386</v>
      </c>
      <c r="I19" s="1001"/>
      <c r="J19" s="1002"/>
      <c r="K19" s="1017" t="s">
        <v>387</v>
      </c>
      <c r="L19" s="1018"/>
      <c r="M19" s="1019"/>
      <c r="N19" s="1023" t="s">
        <v>385</v>
      </c>
      <c r="O19" s="1024"/>
      <c r="P19" s="1025"/>
    </row>
    <row r="20" spans="1:20" ht="20" customHeight="1">
      <c r="C20" s="454" t="s">
        <v>395</v>
      </c>
      <c r="D20" s="1007" t="s">
        <v>236</v>
      </c>
      <c r="E20" s="1003"/>
      <c r="F20" s="1004"/>
      <c r="G20" s="1005"/>
      <c r="H20" s="1003"/>
      <c r="I20" s="1004"/>
      <c r="J20" s="1005"/>
      <c r="K20" s="1020"/>
      <c r="L20" s="1021"/>
      <c r="M20" s="1022"/>
      <c r="N20" s="1026"/>
      <c r="O20" s="1027"/>
      <c r="P20" s="1028"/>
    </row>
    <row r="21" spans="1:20" ht="27" customHeight="1">
      <c r="B21" s="443" t="s">
        <v>365</v>
      </c>
      <c r="C21" s="453" t="s">
        <v>394</v>
      </c>
      <c r="D21" s="1007"/>
      <c r="E21" s="439">
        <v>0.3</v>
      </c>
      <c r="F21" s="450" t="s">
        <v>292</v>
      </c>
      <c r="G21" s="451" t="s">
        <v>293</v>
      </c>
      <c r="H21" s="439">
        <v>0.5</v>
      </c>
      <c r="I21" s="15" t="s">
        <v>392</v>
      </c>
      <c r="J21" s="16" t="s">
        <v>393</v>
      </c>
      <c r="K21" s="439">
        <v>0.7</v>
      </c>
      <c r="L21" s="90" t="s">
        <v>392</v>
      </c>
      <c r="M21" s="91" t="s">
        <v>393</v>
      </c>
      <c r="N21" s="92">
        <v>1</v>
      </c>
      <c r="O21" s="93" t="s">
        <v>392</v>
      </c>
      <c r="P21" s="94" t="s">
        <v>393</v>
      </c>
    </row>
    <row r="22" spans="1:20" ht="13" customHeight="1">
      <c r="B22" s="443"/>
      <c r="C22" s="453"/>
      <c r="D22" s="28"/>
      <c r="E22" s="88"/>
      <c r="F22" s="20"/>
      <c r="G22" s="21"/>
      <c r="H22" s="88"/>
      <c r="I22" s="20"/>
      <c r="J22" s="21"/>
      <c r="K22" s="25"/>
      <c r="L22" s="17"/>
      <c r="M22" s="18"/>
      <c r="N22" s="26"/>
      <c r="O22" s="19"/>
      <c r="P22" s="27"/>
    </row>
    <row r="23" spans="1:20" ht="17">
      <c r="B23" s="443"/>
      <c r="C23" s="443"/>
      <c r="E23" s="1"/>
      <c r="F23" s="2"/>
      <c r="G23" s="3"/>
      <c r="H23" s="1"/>
      <c r="I23" s="2"/>
      <c r="J23" s="3"/>
      <c r="K23" s="1"/>
      <c r="L23" s="2"/>
      <c r="M23" s="3"/>
      <c r="N23" s="1"/>
      <c r="O23" s="2"/>
      <c r="P23" s="9"/>
    </row>
    <row r="24" spans="1:20" ht="17">
      <c r="B24" s="443" t="s">
        <v>366</v>
      </c>
      <c r="C24" s="850">
        <v>900</v>
      </c>
      <c r="D24" s="455">
        <f t="array" ref="D24">INDEX('Lookup Tables'!B40:P55,MATCH(1,('Lookup Tables'!B40:B55=D8)*('Lookup Tables'!C40:C55=D10),0),3)</f>
        <v>105</v>
      </c>
      <c r="E24" s="456"/>
      <c r="F24" s="457">
        <f>$E$40*D24</f>
        <v>255.8155540261528</v>
      </c>
      <c r="G24" s="458">
        <f>C24-F24</f>
        <v>644.18444597384723</v>
      </c>
      <c r="H24" s="456"/>
      <c r="I24" s="457">
        <f>$H$40*D24</f>
        <v>426.35925671025461</v>
      </c>
      <c r="J24" s="458">
        <f>C24-I24</f>
        <v>473.64074328974539</v>
      </c>
      <c r="K24" s="456"/>
      <c r="L24" s="457">
        <f>$K$40*D24</f>
        <v>596.90295939435646</v>
      </c>
      <c r="M24" s="458">
        <f>C24-L24</f>
        <v>303.09704060564354</v>
      </c>
      <c r="N24" s="456"/>
      <c r="O24" s="457">
        <f>$N$40*D24</f>
        <v>852.71851342050923</v>
      </c>
      <c r="P24" s="458">
        <f>C24-O24</f>
        <v>47.281486579490775</v>
      </c>
      <c r="S24"/>
      <c r="T24"/>
    </row>
    <row r="25" spans="1:20" ht="17">
      <c r="B25" s="443" t="s">
        <v>367</v>
      </c>
      <c r="C25" s="850">
        <v>850</v>
      </c>
      <c r="D25" s="455">
        <f t="array" ref="D25">INDEX('Lookup Tables'!B40:P55,MATCH(1,('Lookup Tables'!B40:B55=D8)*('Lookup Tables'!C40:C55=D10),0),4)</f>
        <v>107</v>
      </c>
      <c r="E25" s="459"/>
      <c r="F25" s="460">
        <f t="shared" ref="F25:F35" si="0">$E$40*D25</f>
        <v>260.68823124569855</v>
      </c>
      <c r="G25" s="461">
        <f t="shared" ref="G25:G35" si="1">C25-F25</f>
        <v>589.31176875430151</v>
      </c>
      <c r="H25" s="459"/>
      <c r="I25" s="460">
        <f t="shared" ref="I25:I35" si="2">$H$40*D25</f>
        <v>434.48038540949756</v>
      </c>
      <c r="J25" s="461">
        <f t="shared" ref="J25:J35" si="3">C25-I25</f>
        <v>415.51961459050244</v>
      </c>
      <c r="K25" s="459"/>
      <c r="L25" s="460">
        <f t="shared" ref="L25:L35" si="4">$K$40*D25</f>
        <v>608.27253957329651</v>
      </c>
      <c r="M25" s="461">
        <f t="shared" ref="M25:M35" si="5">C25-L25</f>
        <v>241.72746042670349</v>
      </c>
      <c r="N25" s="459"/>
      <c r="O25" s="460">
        <f t="shared" ref="O25:O35" si="6">$N$40*D25</f>
        <v>868.96077081899512</v>
      </c>
      <c r="P25" s="461">
        <f t="shared" ref="P25:P35" si="7">C25-O25</f>
        <v>-18.960770818995115</v>
      </c>
      <c r="S25"/>
      <c r="T25"/>
    </row>
    <row r="26" spans="1:20" ht="17">
      <c r="B26" s="443" t="s">
        <v>369</v>
      </c>
      <c r="C26" s="850">
        <v>800</v>
      </c>
      <c r="D26" s="455">
        <f t="array" ref="D26">INDEX('Lookup Tables'!B40:P55,MATCH(1,('Lookup Tables'!B40:B55=D8)*('Lookup Tables'!C40:C55=D10),0),5)</f>
        <v>130</v>
      </c>
      <c r="E26" s="459"/>
      <c r="F26" s="460">
        <f t="shared" si="0"/>
        <v>316.72401927047491</v>
      </c>
      <c r="G26" s="461">
        <f t="shared" si="1"/>
        <v>483.27598072952509</v>
      </c>
      <c r="H26" s="459"/>
      <c r="I26" s="460">
        <f t="shared" si="2"/>
        <v>527.87336545079143</v>
      </c>
      <c r="J26" s="461">
        <f t="shared" si="3"/>
        <v>272.12663454920857</v>
      </c>
      <c r="K26" s="459"/>
      <c r="L26" s="460">
        <f t="shared" si="4"/>
        <v>739.022711631108</v>
      </c>
      <c r="M26" s="461">
        <f t="shared" si="5"/>
        <v>60.977288368892005</v>
      </c>
      <c r="N26" s="459"/>
      <c r="O26" s="460">
        <f t="shared" si="6"/>
        <v>1055.7467309015829</v>
      </c>
      <c r="P26" s="461">
        <f t="shared" si="7"/>
        <v>-255.74673090158285</v>
      </c>
      <c r="S26"/>
      <c r="T26"/>
    </row>
    <row r="27" spans="1:20" ht="17">
      <c r="B27" s="443" t="s">
        <v>370</v>
      </c>
      <c r="C27" s="850">
        <v>850</v>
      </c>
      <c r="D27" s="455">
        <f t="array" ref="D27">INDEX('Lookup Tables'!B40:P55,MATCH(1,('Lookup Tables'!B40:B55=D8)*('Lookup Tables'!C40:C55=D10),0),6)</f>
        <v>124</v>
      </c>
      <c r="E27" s="459"/>
      <c r="F27" s="460">
        <f t="shared" si="0"/>
        <v>302.10598761183758</v>
      </c>
      <c r="G27" s="461">
        <f t="shared" si="1"/>
        <v>547.89401238816242</v>
      </c>
      <c r="H27" s="459"/>
      <c r="I27" s="460">
        <f t="shared" si="2"/>
        <v>503.50997935306259</v>
      </c>
      <c r="J27" s="461">
        <f t="shared" si="3"/>
        <v>346.49002064693741</v>
      </c>
      <c r="K27" s="459"/>
      <c r="L27" s="460">
        <f t="shared" si="4"/>
        <v>704.9139710942876</v>
      </c>
      <c r="M27" s="461">
        <f t="shared" si="5"/>
        <v>145.0860289057124</v>
      </c>
      <c r="N27" s="459"/>
      <c r="O27" s="460">
        <f t="shared" si="6"/>
        <v>1007.0199587061252</v>
      </c>
      <c r="P27" s="461">
        <f t="shared" si="7"/>
        <v>-157.01995870612518</v>
      </c>
      <c r="S27"/>
      <c r="T27"/>
    </row>
    <row r="28" spans="1:20" ht="17">
      <c r="B28" s="443" t="s">
        <v>371</v>
      </c>
      <c r="C28" s="850">
        <v>900</v>
      </c>
      <c r="D28" s="455">
        <f t="array" ref="D28">INDEX('Lookup Tables'!B40:P55,MATCH(1,('Lookup Tables'!B40:B55=D8)*('Lookup Tables'!C40:C55=D10),0),7)</f>
        <v>126</v>
      </c>
      <c r="E28" s="459"/>
      <c r="F28" s="460">
        <f t="shared" si="0"/>
        <v>306.97866483138336</v>
      </c>
      <c r="G28" s="461">
        <f t="shared" si="1"/>
        <v>593.02133516861659</v>
      </c>
      <c r="H28" s="459"/>
      <c r="I28" s="460">
        <f t="shared" si="2"/>
        <v>511.63110805230554</v>
      </c>
      <c r="J28" s="461">
        <f t="shared" si="3"/>
        <v>388.36889194769446</v>
      </c>
      <c r="K28" s="459"/>
      <c r="L28" s="460">
        <f t="shared" si="4"/>
        <v>716.28355127322766</v>
      </c>
      <c r="M28" s="461">
        <f t="shared" si="5"/>
        <v>183.71644872677234</v>
      </c>
      <c r="N28" s="459"/>
      <c r="O28" s="460">
        <f t="shared" si="6"/>
        <v>1023.2622161046111</v>
      </c>
      <c r="P28" s="461">
        <f t="shared" si="7"/>
        <v>-123.26221610461107</v>
      </c>
      <c r="S28"/>
      <c r="T28"/>
    </row>
    <row r="29" spans="1:20" ht="17">
      <c r="B29" s="443" t="s">
        <v>372</v>
      </c>
      <c r="C29" s="850">
        <v>1000</v>
      </c>
      <c r="D29" s="455">
        <f t="array" ref="D29">INDEX('Lookup Tables'!B40:P55,MATCH(1,('Lookup Tables'!B40:B55=D8)*('Lookup Tables'!C40:C55=D10),0),8)</f>
        <v>129</v>
      </c>
      <c r="E29" s="459"/>
      <c r="F29" s="460">
        <f t="shared" si="0"/>
        <v>314.28768066070199</v>
      </c>
      <c r="G29" s="461">
        <f t="shared" si="1"/>
        <v>685.71231933929801</v>
      </c>
      <c r="H29" s="459"/>
      <c r="I29" s="460">
        <f t="shared" si="2"/>
        <v>523.81280110116995</v>
      </c>
      <c r="J29" s="461">
        <f t="shared" si="3"/>
        <v>476.18719889883005</v>
      </c>
      <c r="K29" s="459"/>
      <c r="L29" s="460">
        <f t="shared" si="4"/>
        <v>733.33792154163791</v>
      </c>
      <c r="M29" s="461">
        <f t="shared" si="5"/>
        <v>266.66207845836209</v>
      </c>
      <c r="N29" s="459"/>
      <c r="O29" s="460">
        <f t="shared" si="6"/>
        <v>1047.6256022023399</v>
      </c>
      <c r="P29" s="461">
        <f t="shared" si="7"/>
        <v>-47.625602202339905</v>
      </c>
      <c r="S29"/>
      <c r="T29"/>
    </row>
    <row r="30" spans="1:20" ht="17">
      <c r="B30" s="443" t="s">
        <v>373</v>
      </c>
      <c r="C30" s="850">
        <v>1300</v>
      </c>
      <c r="D30" s="455">
        <f t="array" ref="D30">INDEX('Lookup Tables'!B40:P55,MATCH(1,('Lookup Tables'!B40:B55=D8)*('Lookup Tables'!C40:C55=D10),0),9)</f>
        <v>137</v>
      </c>
      <c r="E30" s="459"/>
      <c r="F30" s="460">
        <f t="shared" si="0"/>
        <v>333.77838953888511</v>
      </c>
      <c r="G30" s="461">
        <f t="shared" si="1"/>
        <v>966.22161046111489</v>
      </c>
      <c r="H30" s="459"/>
      <c r="I30" s="460">
        <f t="shared" si="2"/>
        <v>556.29731589814173</v>
      </c>
      <c r="J30" s="461">
        <f t="shared" si="3"/>
        <v>743.70268410185827</v>
      </c>
      <c r="K30" s="459"/>
      <c r="L30" s="460">
        <f t="shared" si="4"/>
        <v>778.81624225739836</v>
      </c>
      <c r="M30" s="461">
        <f t="shared" si="5"/>
        <v>521.18375774260164</v>
      </c>
      <c r="N30" s="459"/>
      <c r="O30" s="460">
        <f t="shared" si="6"/>
        <v>1112.5946317962835</v>
      </c>
      <c r="P30" s="461">
        <f t="shared" si="7"/>
        <v>187.40536820371653</v>
      </c>
      <c r="S30"/>
      <c r="T30"/>
    </row>
    <row r="31" spans="1:20" ht="17">
      <c r="B31" s="443" t="s">
        <v>374</v>
      </c>
      <c r="C31" s="850">
        <v>1400</v>
      </c>
      <c r="D31" s="455">
        <f t="array" ref="D31">INDEX('Lookup Tables'!B40:P55,MATCH(1,('Lookup Tables'!B40:B55=D8)*('Lookup Tables'!C40:C55=D10),0),10)</f>
        <v>138</v>
      </c>
      <c r="E31" s="459"/>
      <c r="F31" s="460">
        <f t="shared" si="0"/>
        <v>336.21472814865797</v>
      </c>
      <c r="G31" s="461">
        <f t="shared" si="1"/>
        <v>1063.785271851342</v>
      </c>
      <c r="H31" s="459"/>
      <c r="I31" s="460">
        <f t="shared" si="2"/>
        <v>560.35788024776321</v>
      </c>
      <c r="J31" s="461">
        <f t="shared" si="3"/>
        <v>839.64211975223679</v>
      </c>
      <c r="K31" s="459"/>
      <c r="L31" s="460">
        <f t="shared" si="4"/>
        <v>784.50103234686844</v>
      </c>
      <c r="M31" s="461">
        <f t="shared" si="5"/>
        <v>615.49896765313156</v>
      </c>
      <c r="N31" s="459"/>
      <c r="O31" s="460">
        <f t="shared" si="6"/>
        <v>1120.7157604955264</v>
      </c>
      <c r="P31" s="461">
        <f t="shared" si="7"/>
        <v>279.28423950447359</v>
      </c>
      <c r="S31"/>
      <c r="T31"/>
    </row>
    <row r="32" spans="1:20" ht="17">
      <c r="B32" s="443" t="s">
        <v>375</v>
      </c>
      <c r="C32" s="850">
        <v>1250</v>
      </c>
      <c r="D32" s="455">
        <f t="array" ref="D32">INDEX('Lookup Tables'!B40:P55,MATCH(1,('Lookup Tables'!B40:B55=D8)*('Lookup Tables'!C40:C55=D10),0),11)</f>
        <v>127</v>
      </c>
      <c r="E32" s="459"/>
      <c r="F32" s="460">
        <f t="shared" si="0"/>
        <v>309.41500344115627</v>
      </c>
      <c r="G32" s="461">
        <f t="shared" si="1"/>
        <v>940.58499655884373</v>
      </c>
      <c r="H32" s="459"/>
      <c r="I32" s="460">
        <f t="shared" si="2"/>
        <v>515.69167240192701</v>
      </c>
      <c r="J32" s="461">
        <f t="shared" si="3"/>
        <v>734.30832759807299</v>
      </c>
      <c r="K32" s="459"/>
      <c r="L32" s="460">
        <f t="shared" si="4"/>
        <v>721.96834136269774</v>
      </c>
      <c r="M32" s="461">
        <f t="shared" si="5"/>
        <v>528.03165863730226</v>
      </c>
      <c r="N32" s="459"/>
      <c r="O32" s="460">
        <f t="shared" si="6"/>
        <v>1031.383344803854</v>
      </c>
      <c r="P32" s="461">
        <f t="shared" si="7"/>
        <v>218.61665519614598</v>
      </c>
      <c r="S32"/>
      <c r="T32"/>
    </row>
    <row r="33" spans="1:20" ht="17">
      <c r="B33" s="443" t="s">
        <v>376</v>
      </c>
      <c r="C33" s="850">
        <v>900</v>
      </c>
      <c r="D33" s="455">
        <f t="array" ref="D33">INDEX('Lookup Tables'!B40:P55,MATCH(1,('Lookup Tables'!B40:B55=D8)*('Lookup Tables'!C40:C55=D10),0),12)</f>
        <v>129</v>
      </c>
      <c r="E33" s="459"/>
      <c r="F33" s="460">
        <f t="shared" si="0"/>
        <v>314.28768066070199</v>
      </c>
      <c r="G33" s="461">
        <f t="shared" si="1"/>
        <v>585.71231933929801</v>
      </c>
      <c r="H33" s="459"/>
      <c r="I33" s="460">
        <f t="shared" si="2"/>
        <v>523.81280110116995</v>
      </c>
      <c r="J33" s="461">
        <f t="shared" si="3"/>
        <v>376.18719889883005</v>
      </c>
      <c r="K33" s="459"/>
      <c r="L33" s="460">
        <f t="shared" si="4"/>
        <v>733.33792154163791</v>
      </c>
      <c r="M33" s="461">
        <f t="shared" si="5"/>
        <v>166.66207845836209</v>
      </c>
      <c r="N33" s="459"/>
      <c r="O33" s="460">
        <f t="shared" si="6"/>
        <v>1047.6256022023399</v>
      </c>
      <c r="P33" s="461">
        <f t="shared" si="7"/>
        <v>-147.62560220233991</v>
      </c>
      <c r="S33"/>
      <c r="T33"/>
    </row>
    <row r="34" spans="1:20" ht="17">
      <c r="B34" s="443" t="s">
        <v>377</v>
      </c>
      <c r="C34" s="850">
        <v>800</v>
      </c>
      <c r="D34" s="455">
        <f t="array" ref="D34">INDEX('Lookup Tables'!B40:P55,MATCH(1,('Lookup Tables'!B40:B55=D8)*('Lookup Tables'!C40:C55=D10),0),13)</f>
        <v>104</v>
      </c>
      <c r="E34" s="459"/>
      <c r="F34" s="460">
        <f t="shared" si="0"/>
        <v>253.37921541637991</v>
      </c>
      <c r="G34" s="461">
        <f t="shared" si="1"/>
        <v>546.62078458362009</v>
      </c>
      <c r="H34" s="459"/>
      <c r="I34" s="460">
        <f t="shared" si="2"/>
        <v>422.29869236063314</v>
      </c>
      <c r="J34" s="461">
        <f t="shared" si="3"/>
        <v>377.70130763936686</v>
      </c>
      <c r="K34" s="459"/>
      <c r="L34" s="460">
        <f t="shared" si="4"/>
        <v>591.21816930488637</v>
      </c>
      <c r="M34" s="461">
        <f t="shared" si="5"/>
        <v>208.78183069511363</v>
      </c>
      <c r="N34" s="459"/>
      <c r="O34" s="460">
        <f t="shared" si="6"/>
        <v>844.59738472126628</v>
      </c>
      <c r="P34" s="461">
        <f t="shared" si="7"/>
        <v>-44.59738472126628</v>
      </c>
      <c r="S34"/>
      <c r="T34"/>
    </row>
    <row r="35" spans="1:20" ht="17">
      <c r="B35" s="443" t="s">
        <v>378</v>
      </c>
      <c r="C35" s="850">
        <v>850</v>
      </c>
      <c r="D35" s="455">
        <f t="array" ref="D35">INDEX('Lookup Tables'!B40:P55,MATCH(1,('Lookup Tables'!B40:B55=D8)*('Lookup Tables'!C40:C55=D10),0),14)</f>
        <v>96</v>
      </c>
      <c r="E35" s="459"/>
      <c r="F35" s="460">
        <f t="shared" si="0"/>
        <v>233.88850653819685</v>
      </c>
      <c r="G35" s="461">
        <f t="shared" si="1"/>
        <v>616.11149346180309</v>
      </c>
      <c r="H35" s="459"/>
      <c r="I35" s="460">
        <f t="shared" si="2"/>
        <v>389.81417756366136</v>
      </c>
      <c r="J35" s="461">
        <f t="shared" si="3"/>
        <v>460.18582243633864</v>
      </c>
      <c r="K35" s="459"/>
      <c r="L35" s="460">
        <f t="shared" si="4"/>
        <v>545.73984858912581</v>
      </c>
      <c r="M35" s="461">
        <f t="shared" si="5"/>
        <v>304.26015141087419</v>
      </c>
      <c r="N35" s="459"/>
      <c r="O35" s="460">
        <f t="shared" si="6"/>
        <v>779.62835512732272</v>
      </c>
      <c r="P35" s="461">
        <f t="shared" si="7"/>
        <v>70.37164487267728</v>
      </c>
      <c r="S35"/>
      <c r="T35"/>
    </row>
    <row r="36" spans="1:20" ht="8" customHeight="1">
      <c r="C36" s="30"/>
      <c r="D36" s="442"/>
      <c r="E36" s="462"/>
      <c r="F36" s="463"/>
      <c r="G36" s="464"/>
      <c r="H36" s="462"/>
      <c r="I36" s="463"/>
      <c r="J36" s="464"/>
      <c r="K36" s="462"/>
      <c r="L36" s="463"/>
      <c r="M36" s="464"/>
      <c r="N36" s="462"/>
      <c r="O36" s="463"/>
      <c r="P36" s="464"/>
    </row>
    <row r="37" spans="1:20" ht="15">
      <c r="C37" s="30"/>
      <c r="D37" s="442"/>
      <c r="E37" s="465" t="s">
        <v>391</v>
      </c>
      <c r="F37" s="466"/>
      <c r="G37" s="467">
        <f>SUM(G24:G35)</f>
        <v>8262.4363386097739</v>
      </c>
      <c r="H37" s="465"/>
      <c r="I37" s="466"/>
      <c r="J37" s="467">
        <f>SUM(J24:J35)</f>
        <v>5904.0605643496219</v>
      </c>
      <c r="K37" s="465"/>
      <c r="L37" s="466"/>
      <c r="M37" s="467">
        <f>SUM(M24:M35)</f>
        <v>3545.6847900894713</v>
      </c>
      <c r="N37" s="465"/>
      <c r="O37" s="466"/>
      <c r="P37" s="467">
        <f>SUM(P24:P35)</f>
        <v>8.1211286992438545</v>
      </c>
    </row>
    <row r="38" spans="1:20" ht="14" thickBot="1">
      <c r="C38" s="29"/>
      <c r="E38" s="4"/>
      <c r="F38" s="5"/>
      <c r="G38" s="6"/>
      <c r="H38" s="4"/>
      <c r="I38" s="5"/>
      <c r="J38" s="6"/>
      <c r="K38" s="4"/>
      <c r="L38" s="5"/>
      <c r="M38" s="6"/>
      <c r="N38" s="4"/>
      <c r="O38" s="7"/>
      <c r="P38" s="8"/>
    </row>
    <row r="39" spans="1:20" ht="19" customHeight="1">
      <c r="C39" s="29"/>
      <c r="E39" s="12"/>
      <c r="F39" s="10"/>
      <c r="G39" s="11"/>
      <c r="H39" s="12"/>
      <c r="I39" s="10"/>
      <c r="J39" s="11"/>
      <c r="K39" s="12"/>
      <c r="L39" s="10"/>
      <c r="M39" s="11"/>
      <c r="N39" s="12"/>
      <c r="O39" s="10"/>
      <c r="P39" s="11"/>
      <c r="Q39" s="661"/>
    </row>
    <row r="40" spans="1:20" ht="19" customHeight="1">
      <c r="A40" s="1006" t="s">
        <v>363</v>
      </c>
      <c r="B40" s="1006"/>
      <c r="C40" s="444">
        <f>SUM(C24:C35)</f>
        <v>11800</v>
      </c>
      <c r="E40" s="445">
        <f>C40*E21/D12</f>
        <v>2.4363386097728839</v>
      </c>
      <c r="F40" s="446" t="s">
        <v>396</v>
      </c>
      <c r="G40" s="447"/>
      <c r="H40" s="445">
        <f>(C40/PV_Production_Factor)*H21</f>
        <v>4.0605643496214725</v>
      </c>
      <c r="I40" s="446" t="s">
        <v>396</v>
      </c>
      <c r="J40" s="447"/>
      <c r="K40" s="445">
        <f>(C40/PV_Production_Factor)*K21</f>
        <v>5.6847900894700611</v>
      </c>
      <c r="L40" s="446" t="s">
        <v>396</v>
      </c>
      <c r="M40" s="447"/>
      <c r="N40" s="445">
        <f>C40/D12</f>
        <v>8.121128699242945</v>
      </c>
      <c r="O40" s="446" t="s">
        <v>396</v>
      </c>
      <c r="P40" s="448"/>
    </row>
    <row r="41" spans="1:20" ht="19" customHeight="1">
      <c r="A41" s="828"/>
      <c r="B41" s="828"/>
      <c r="C41" s="829"/>
      <c r="D41" s="830"/>
      <c r="E41" s="831" t="s">
        <v>195</v>
      </c>
      <c r="F41" s="832"/>
      <c r="G41" s="833" t="s">
        <v>489</v>
      </c>
      <c r="H41" s="831" t="s">
        <v>195</v>
      </c>
      <c r="I41" s="832"/>
      <c r="J41" s="833" t="s">
        <v>489</v>
      </c>
      <c r="K41" s="831" t="s">
        <v>195</v>
      </c>
      <c r="L41" s="832"/>
      <c r="M41" s="833" t="s">
        <v>489</v>
      </c>
      <c r="N41" s="831" t="s">
        <v>195</v>
      </c>
      <c r="O41" s="832"/>
      <c r="P41" s="833" t="s">
        <v>489</v>
      </c>
    </row>
    <row r="42" spans="1:20" ht="19" customHeight="1">
      <c r="C42" s="834" t="s">
        <v>315</v>
      </c>
      <c r="D42" s="834">
        <v>250</v>
      </c>
      <c r="E42" s="835">
        <f>ROUNDUP((E$40*1000)/$D42,0)</f>
        <v>10</v>
      </c>
      <c r="F42" s="1010">
        <f>E42*$D42</f>
        <v>2500</v>
      </c>
      <c r="G42" s="1011"/>
      <c r="H42" s="835">
        <f>ROUNDUP((H$40*1000)/$D42,0)</f>
        <v>17</v>
      </c>
      <c r="I42" s="1010">
        <f>H42*$D42</f>
        <v>4250</v>
      </c>
      <c r="J42" s="1011"/>
      <c r="K42" s="835">
        <f>ROUNDUP((K$40*1000)/$D42,0)</f>
        <v>23</v>
      </c>
      <c r="L42" s="1010">
        <f>K42*$D42</f>
        <v>5750</v>
      </c>
      <c r="M42" s="1011"/>
      <c r="N42" s="835">
        <f>ROUNDUP((N$40*1000)/$D42,0)</f>
        <v>33</v>
      </c>
      <c r="O42" s="1010">
        <f>N42*D42</f>
        <v>8250</v>
      </c>
      <c r="P42" s="1011"/>
    </row>
    <row r="43" spans="1:20" ht="19" customHeight="1">
      <c r="A43" s="828"/>
      <c r="C43" s="834"/>
      <c r="D43" s="834">
        <v>265</v>
      </c>
      <c r="E43" s="836">
        <f>ROUNDUP((E$40*1000)/$D43,0)</f>
        <v>10</v>
      </c>
      <c r="F43" s="1012">
        <f>E43*$D43</f>
        <v>2650</v>
      </c>
      <c r="G43" s="1013"/>
      <c r="H43" s="836">
        <f>ROUNDUP((H$40*1000)/$D43,0)</f>
        <v>16</v>
      </c>
      <c r="I43" s="1012">
        <f>H43*$D43</f>
        <v>4240</v>
      </c>
      <c r="J43" s="1013"/>
      <c r="K43" s="836">
        <f>ROUNDUP((K$40*1000)/$D43,0)</f>
        <v>22</v>
      </c>
      <c r="L43" s="1012">
        <f>K43*$D43</f>
        <v>5830</v>
      </c>
      <c r="M43" s="1013"/>
      <c r="N43" s="836">
        <f>ROUNDUP((N$40*1000)/$D43,0)</f>
        <v>31</v>
      </c>
      <c r="O43" s="1012">
        <f>N43*D43</f>
        <v>8215</v>
      </c>
      <c r="P43" s="1013"/>
    </row>
    <row r="44" spans="1:20">
      <c r="N44" s="7"/>
      <c r="O44" s="7"/>
      <c r="P44" s="7"/>
    </row>
    <row r="45" spans="1:20" ht="4" customHeight="1">
      <c r="A45" s="481"/>
      <c r="B45" s="481"/>
      <c r="C45" s="481"/>
      <c r="D45" s="481"/>
      <c r="E45" s="481"/>
      <c r="F45" s="481"/>
      <c r="G45" s="481"/>
      <c r="H45" s="481"/>
      <c r="I45" s="481"/>
      <c r="J45" s="481"/>
      <c r="K45" s="481"/>
      <c r="L45" s="481"/>
      <c r="M45" s="481"/>
      <c r="N45" s="481"/>
      <c r="O45" s="481"/>
      <c r="P45" s="481"/>
    </row>
    <row r="47" spans="1:20" ht="27">
      <c r="A47" s="349" t="s">
        <v>232</v>
      </c>
    </row>
    <row r="48" spans="1:20" ht="27" customHeight="1">
      <c r="A48" s="350" t="s">
        <v>233</v>
      </c>
      <c r="C48" s="440" t="s">
        <v>368</v>
      </c>
      <c r="E48" s="1014" t="s">
        <v>382</v>
      </c>
      <c r="F48" s="1015"/>
      <c r="G48" s="1016"/>
      <c r="H48" s="1014" t="s">
        <v>383</v>
      </c>
      <c r="I48" s="1015"/>
      <c r="J48" s="1016"/>
      <c r="K48" s="1014" t="s">
        <v>384</v>
      </c>
      <c r="L48" s="1015"/>
      <c r="M48" s="1016"/>
      <c r="N48" s="1014" t="s">
        <v>388</v>
      </c>
      <c r="O48" s="1015"/>
      <c r="P48" s="1016"/>
    </row>
    <row r="49" spans="1:16" ht="20" customHeight="1" thickBot="1">
      <c r="E49" s="1000" t="s">
        <v>386</v>
      </c>
      <c r="F49" s="1001"/>
      <c r="G49" s="1002"/>
      <c r="H49" s="1000" t="s">
        <v>386</v>
      </c>
      <c r="I49" s="1001"/>
      <c r="J49" s="1002"/>
      <c r="K49" s="1017" t="s">
        <v>387</v>
      </c>
      <c r="L49" s="1018"/>
      <c r="M49" s="1019"/>
      <c r="N49" s="1023" t="s">
        <v>385</v>
      </c>
      <c r="O49" s="1024"/>
      <c r="P49" s="1025"/>
    </row>
    <row r="50" spans="1:16" ht="20" customHeight="1" thickBot="1">
      <c r="A50" s="1006" t="s">
        <v>363</v>
      </c>
      <c r="B50" s="1006"/>
      <c r="C50" s="452">
        <v>12000</v>
      </c>
      <c r="E50" s="1003"/>
      <c r="F50" s="1004"/>
      <c r="G50" s="1005"/>
      <c r="H50" s="1003"/>
      <c r="I50" s="1004"/>
      <c r="J50" s="1005"/>
      <c r="K50" s="1020"/>
      <c r="L50" s="1021"/>
      <c r="M50" s="1022"/>
      <c r="N50" s="1026"/>
      <c r="O50" s="1027"/>
      <c r="P50" s="1028"/>
    </row>
    <row r="51" spans="1:16" ht="24" customHeight="1">
      <c r="E51" s="14">
        <f>E21</f>
        <v>0.3</v>
      </c>
      <c r="F51" s="15" t="s">
        <v>392</v>
      </c>
      <c r="G51" s="16" t="s">
        <v>393</v>
      </c>
      <c r="H51" s="14">
        <f>H21</f>
        <v>0.5</v>
      </c>
      <c r="I51" s="15" t="s">
        <v>392</v>
      </c>
      <c r="J51" s="16" t="s">
        <v>393</v>
      </c>
      <c r="K51" s="89">
        <f>K21</f>
        <v>0.7</v>
      </c>
      <c r="L51" s="90" t="s">
        <v>392</v>
      </c>
      <c r="M51" s="91" t="s">
        <v>393</v>
      </c>
      <c r="N51" s="92">
        <f>N21</f>
        <v>1</v>
      </c>
      <c r="O51" s="93" t="s">
        <v>392</v>
      </c>
      <c r="P51" s="94" t="s">
        <v>393</v>
      </c>
    </row>
    <row r="52" spans="1:16" ht="38" customHeight="1" thickBot="1">
      <c r="E52" s="468"/>
      <c r="F52" s="469">
        <f>E54*PV_Production_Factor</f>
        <v>3600</v>
      </c>
      <c r="G52" s="470">
        <f>C50-F52</f>
        <v>8400</v>
      </c>
      <c r="H52" s="468"/>
      <c r="I52" s="469">
        <f>H54*PV_Production_Factor</f>
        <v>6000</v>
      </c>
      <c r="J52" s="470">
        <f>C50-I52</f>
        <v>6000</v>
      </c>
      <c r="K52" s="471"/>
      <c r="L52" s="472">
        <f>K54*PV_Production_Factor</f>
        <v>8400</v>
      </c>
      <c r="M52" s="473">
        <f>C50-L52</f>
        <v>3600</v>
      </c>
      <c r="N52" s="474"/>
      <c r="O52" s="475">
        <f>N54*PV_Production_Factor</f>
        <v>12000</v>
      </c>
      <c r="P52" s="476">
        <f>C50-O52</f>
        <v>0</v>
      </c>
    </row>
    <row r="53" spans="1:16" ht="19" customHeight="1">
      <c r="E53" s="12"/>
      <c r="F53" s="10"/>
      <c r="G53" s="11"/>
      <c r="H53" s="12"/>
      <c r="I53" s="10"/>
      <c r="J53" s="11"/>
      <c r="K53" s="12"/>
      <c r="L53" s="10"/>
      <c r="M53" s="11"/>
      <c r="N53" s="12"/>
      <c r="O53" s="10"/>
      <c r="P53" s="11"/>
    </row>
    <row r="54" spans="1:16" ht="19" customHeight="1">
      <c r="E54" s="445">
        <f>C50*E51/$D$12</f>
        <v>2.477632484514797</v>
      </c>
      <c r="F54" s="446" t="s">
        <v>396</v>
      </c>
      <c r="G54" s="447"/>
      <c r="H54" s="445">
        <f>C50*H51/$D$12</f>
        <v>4.1293874741913283</v>
      </c>
      <c r="I54" s="446" t="s">
        <v>396</v>
      </c>
      <c r="J54" s="447"/>
      <c r="K54" s="445">
        <f>C50*K51/$D$12</f>
        <v>5.7811424638678597</v>
      </c>
      <c r="L54" s="446" t="s">
        <v>396</v>
      </c>
      <c r="M54" s="447"/>
      <c r="N54" s="445">
        <f>C50/$D$12</f>
        <v>8.2587749483826567</v>
      </c>
      <c r="O54" s="446" t="s">
        <v>396</v>
      </c>
      <c r="P54" s="448"/>
    </row>
    <row r="55" spans="1:16" ht="19">
      <c r="A55" s="668"/>
      <c r="B55" s="668"/>
      <c r="C55" s="829"/>
      <c r="D55" s="830"/>
      <c r="E55" s="831" t="s">
        <v>195</v>
      </c>
      <c r="F55" s="832"/>
      <c r="G55" s="833" t="s">
        <v>489</v>
      </c>
      <c r="H55" s="831" t="s">
        <v>195</v>
      </c>
      <c r="I55" s="832"/>
      <c r="J55" s="833" t="s">
        <v>489</v>
      </c>
      <c r="K55" s="831" t="s">
        <v>195</v>
      </c>
      <c r="L55" s="832"/>
      <c r="M55" s="833" t="s">
        <v>489</v>
      </c>
      <c r="N55" s="831" t="s">
        <v>195</v>
      </c>
      <c r="O55" s="832"/>
      <c r="P55" s="833" t="s">
        <v>489</v>
      </c>
    </row>
    <row r="56" spans="1:16" ht="19" customHeight="1">
      <c r="C56" s="834" t="s">
        <v>315</v>
      </c>
      <c r="D56" s="834">
        <v>250</v>
      </c>
      <c r="E56" s="835">
        <f>ROUNDUP((E$54*1000)/$D56,0)</f>
        <v>10</v>
      </c>
      <c r="F56" s="1010">
        <f>E56*$D56</f>
        <v>2500</v>
      </c>
      <c r="G56" s="1011"/>
      <c r="H56" s="835">
        <f>ROUNDUP((H$54*1000)/$D56,0)</f>
        <v>17</v>
      </c>
      <c r="I56" s="1010">
        <f>H56*$D56</f>
        <v>4250</v>
      </c>
      <c r="J56" s="1011"/>
      <c r="K56" s="835">
        <f>ROUNDUP((K$54*1000)/$D56,0)</f>
        <v>24</v>
      </c>
      <c r="L56" s="1010">
        <f>K56*$D56</f>
        <v>6000</v>
      </c>
      <c r="M56" s="1011"/>
      <c r="N56" s="835">
        <f>ROUNDUP((N$54*1000)/$D56,0)</f>
        <v>34</v>
      </c>
      <c r="O56" s="1010">
        <f>N56*D56</f>
        <v>8500</v>
      </c>
      <c r="P56" s="1011"/>
    </row>
    <row r="57" spans="1:16" ht="19" customHeight="1">
      <c r="A57" s="668"/>
      <c r="C57" s="834"/>
      <c r="D57" s="834">
        <v>265</v>
      </c>
      <c r="E57" s="836">
        <f>ROUNDUP((E$54*1000)/$D57,0)</f>
        <v>10</v>
      </c>
      <c r="F57" s="1012">
        <f>E57*$D57</f>
        <v>2650</v>
      </c>
      <c r="G57" s="1013"/>
      <c r="H57" s="836">
        <f>ROUNDUP((H$54*1000)/$D57,0)</f>
        <v>16</v>
      </c>
      <c r="I57" s="1012">
        <f>H57*$D57</f>
        <v>4240</v>
      </c>
      <c r="J57" s="1013"/>
      <c r="K57" s="836">
        <f>ROUNDUP((K$54*1000)/$D57,0)</f>
        <v>22</v>
      </c>
      <c r="L57" s="1012">
        <f>K57*$D57</f>
        <v>5830</v>
      </c>
      <c r="M57" s="1013"/>
      <c r="N57" s="836">
        <f>ROUNDUP((N$54*1000)/$D57,0)</f>
        <v>32</v>
      </c>
      <c r="O57" s="1012">
        <f>N57*D57</f>
        <v>8480</v>
      </c>
      <c r="P57" s="1013"/>
    </row>
    <row r="59" spans="1:16" ht="4" customHeight="1">
      <c r="A59" s="481"/>
      <c r="B59" s="481"/>
      <c r="C59" s="481"/>
      <c r="D59" s="481"/>
      <c r="E59" s="481"/>
      <c r="F59" s="481"/>
      <c r="G59" s="481"/>
      <c r="H59" s="481"/>
      <c r="I59" s="481"/>
      <c r="J59" s="481"/>
      <c r="K59" s="481"/>
      <c r="L59" s="481"/>
      <c r="M59" s="481"/>
      <c r="N59" s="481"/>
      <c r="O59" s="481"/>
      <c r="P59" s="481"/>
    </row>
    <row r="61" spans="1:16" ht="27">
      <c r="A61" s="543" t="s">
        <v>234</v>
      </c>
    </row>
    <row r="62" spans="1:16" ht="23">
      <c r="A62" s="544" t="s">
        <v>235</v>
      </c>
      <c r="C62" s="440" t="s">
        <v>368</v>
      </c>
      <c r="E62" s="1014" t="s">
        <v>382</v>
      </c>
      <c r="F62" s="1015"/>
      <c r="G62" s="1016"/>
      <c r="H62" s="1014" t="s">
        <v>383</v>
      </c>
      <c r="I62" s="1015"/>
      <c r="J62" s="1016"/>
      <c r="K62" s="1014" t="s">
        <v>384</v>
      </c>
      <c r="L62" s="1015"/>
      <c r="M62" s="1016"/>
      <c r="N62" s="1014" t="s">
        <v>388</v>
      </c>
      <c r="O62" s="1015"/>
      <c r="P62" s="1016"/>
    </row>
    <row r="63" spans="1:16" ht="20" customHeight="1" thickBot="1">
      <c r="E63" s="1000" t="s">
        <v>386</v>
      </c>
      <c r="F63" s="1001"/>
      <c r="G63" s="1002"/>
      <c r="H63" s="1000" t="s">
        <v>386</v>
      </c>
      <c r="I63" s="1001"/>
      <c r="J63" s="1002"/>
      <c r="K63" s="1017" t="s">
        <v>387</v>
      </c>
      <c r="L63" s="1018"/>
      <c r="M63" s="1019"/>
      <c r="N63" s="1023" t="s">
        <v>385</v>
      </c>
      <c r="O63" s="1024"/>
      <c r="P63" s="1025"/>
    </row>
    <row r="64" spans="1:16" ht="20" customHeight="1" thickBot="1">
      <c r="A64" s="1008" t="s">
        <v>238</v>
      </c>
      <c r="B64" s="1009"/>
      <c r="C64" s="485">
        <v>1500</v>
      </c>
      <c r="E64" s="1003"/>
      <c r="F64" s="1004"/>
      <c r="G64" s="1005"/>
      <c r="H64" s="1003"/>
      <c r="I64" s="1004"/>
      <c r="J64" s="1005"/>
      <c r="K64" s="1020"/>
      <c r="L64" s="1021"/>
      <c r="M64" s="1022"/>
      <c r="N64" s="1026"/>
      <c r="O64" s="1027"/>
      <c r="P64" s="1028"/>
    </row>
    <row r="65" spans="1:16" ht="23" customHeight="1" thickBot="1">
      <c r="A65" s="443"/>
      <c r="B65" s="443"/>
      <c r="C65" s="443"/>
      <c r="E65" s="14">
        <f>E51</f>
        <v>0.3</v>
      </c>
      <c r="F65" s="15" t="s">
        <v>392</v>
      </c>
      <c r="G65" s="16" t="s">
        <v>393</v>
      </c>
      <c r="H65" s="14">
        <f>H51</f>
        <v>0.5</v>
      </c>
      <c r="I65" s="15" t="s">
        <v>392</v>
      </c>
      <c r="J65" s="16" t="s">
        <v>393</v>
      </c>
      <c r="K65" s="89">
        <f>K51</f>
        <v>0.7</v>
      </c>
      <c r="L65" s="90" t="s">
        <v>392</v>
      </c>
      <c r="M65" s="91" t="s">
        <v>393</v>
      </c>
      <c r="N65" s="92">
        <f>N51</f>
        <v>1</v>
      </c>
      <c r="O65" s="93" t="s">
        <v>392</v>
      </c>
      <c r="P65" s="94" t="s">
        <v>393</v>
      </c>
    </row>
    <row r="66" spans="1:16" ht="22" customHeight="1" thickBot="1">
      <c r="A66" s="1008" t="s">
        <v>239</v>
      </c>
      <c r="B66" s="1009"/>
      <c r="C66" s="486" t="s">
        <v>240</v>
      </c>
      <c r="E66" s="22"/>
      <c r="F66" s="23"/>
      <c r="G66" s="24"/>
      <c r="H66" s="22"/>
      <c r="I66" s="23"/>
      <c r="J66" s="24"/>
      <c r="K66" s="82"/>
      <c r="L66" s="83"/>
      <c r="M66" s="84"/>
      <c r="N66" s="85"/>
      <c r="O66" s="86"/>
      <c r="P66" s="87"/>
    </row>
    <row r="67" spans="1:16" ht="20" customHeight="1">
      <c r="A67" s="441"/>
      <c r="B67" s="449"/>
      <c r="C67" s="449"/>
      <c r="E67" s="12"/>
      <c r="F67" s="10"/>
      <c r="G67" s="11"/>
      <c r="H67" s="12"/>
      <c r="I67" s="10"/>
      <c r="J67" s="11"/>
      <c r="K67" s="12"/>
      <c r="L67" s="10"/>
      <c r="M67" s="11"/>
      <c r="N67" s="12"/>
      <c r="O67" s="10"/>
      <c r="P67" s="11"/>
    </row>
    <row r="68" spans="1:16" ht="20" customHeight="1">
      <c r="A68" s="1006" t="s">
        <v>363</v>
      </c>
      <c r="B68" s="1006"/>
      <c r="C68" s="444">
        <f>IF($C$66="high",($C$64*$E$74),IF($C$66="Medium",($C$64*$E$75),(($C$64*$E$76))))</f>
        <v>7500</v>
      </c>
      <c r="E68" s="445">
        <f>C68*E65/$D$12</f>
        <v>1.548520302821748</v>
      </c>
      <c r="F68" s="446" t="s">
        <v>396</v>
      </c>
      <c r="G68" s="447"/>
      <c r="H68" s="445">
        <f>$C$68*H65/$D$12</f>
        <v>2.5808671713695803</v>
      </c>
      <c r="I68" s="446" t="s">
        <v>396</v>
      </c>
      <c r="J68" s="447"/>
      <c r="K68" s="445">
        <f>$C$68*K65/$D$12</f>
        <v>3.6132140399174122</v>
      </c>
      <c r="L68" s="446" t="s">
        <v>396</v>
      </c>
      <c r="M68" s="447"/>
      <c r="N68" s="445">
        <f>$C$68*N65/$D$12</f>
        <v>5.1617343427391607</v>
      </c>
      <c r="O68" s="446" t="s">
        <v>396</v>
      </c>
      <c r="P68" s="448"/>
    </row>
    <row r="69" spans="1:16" ht="19" customHeight="1">
      <c r="A69" s="668"/>
      <c r="B69" s="668"/>
      <c r="C69" s="829"/>
      <c r="D69" s="830"/>
      <c r="E69" s="831" t="s">
        <v>195</v>
      </c>
      <c r="F69" s="832"/>
      <c r="G69" s="833" t="s">
        <v>489</v>
      </c>
      <c r="H69" s="831" t="s">
        <v>195</v>
      </c>
      <c r="I69" s="832"/>
      <c r="J69" s="833" t="s">
        <v>489</v>
      </c>
      <c r="K69" s="831" t="s">
        <v>195</v>
      </c>
      <c r="L69" s="832"/>
      <c r="M69" s="833" t="s">
        <v>489</v>
      </c>
      <c r="N69" s="831" t="s">
        <v>195</v>
      </c>
      <c r="O69" s="832"/>
      <c r="P69" s="833" t="s">
        <v>489</v>
      </c>
    </row>
    <row r="70" spans="1:16" ht="19" customHeight="1">
      <c r="A70" s="668"/>
      <c r="B70" s="668"/>
      <c r="C70" s="834" t="s">
        <v>315</v>
      </c>
      <c r="D70" s="834">
        <v>250</v>
      </c>
      <c r="E70" s="835">
        <f>ROUNDUP((E$68*1000)/$D70,0)</f>
        <v>7</v>
      </c>
      <c r="F70" s="1010">
        <f>E70*$D70</f>
        <v>1750</v>
      </c>
      <c r="G70" s="1011"/>
      <c r="H70" s="835">
        <f>ROUNDUP((H$68*1000)/$D70,0)</f>
        <v>11</v>
      </c>
      <c r="I70" s="1010">
        <f>H70*$D70</f>
        <v>2750</v>
      </c>
      <c r="J70" s="1011"/>
      <c r="K70" s="835">
        <f>ROUNDUP((K$68*1000)/$D70,0)</f>
        <v>15</v>
      </c>
      <c r="L70" s="1010">
        <f>K70*$D70</f>
        <v>3750</v>
      </c>
      <c r="M70" s="1011"/>
      <c r="N70" s="835">
        <f>ROUNDUP((N$68*1000)/$D70,0)</f>
        <v>21</v>
      </c>
      <c r="O70" s="1010">
        <f>N70*D70</f>
        <v>5250</v>
      </c>
      <c r="P70" s="1011"/>
    </row>
    <row r="71" spans="1:16" ht="19" customHeight="1">
      <c r="A71" s="668"/>
      <c r="B71" s="668"/>
      <c r="C71" s="834"/>
      <c r="D71" s="834">
        <v>265</v>
      </c>
      <c r="E71" s="836">
        <f>ROUNDUP((E$68*1000)/$D71,0)</f>
        <v>6</v>
      </c>
      <c r="F71" s="1012">
        <f>E71*$D71</f>
        <v>1590</v>
      </c>
      <c r="G71" s="1013"/>
      <c r="H71" s="836">
        <f>ROUNDUP((H$68*1000)/$D71,0)</f>
        <v>10</v>
      </c>
      <c r="I71" s="1012">
        <f>H71*$D71</f>
        <v>2650</v>
      </c>
      <c r="J71" s="1013"/>
      <c r="K71" s="836">
        <f>ROUNDUP((K$68*1000)/$D71,0)</f>
        <v>14</v>
      </c>
      <c r="L71" s="1012">
        <f>K71*$D71</f>
        <v>3710</v>
      </c>
      <c r="M71" s="1013"/>
      <c r="N71" s="836">
        <f>ROUNDUP((N$68*1000)/$D71,0)</f>
        <v>20</v>
      </c>
      <c r="O71" s="1012">
        <f>N71*D71</f>
        <v>5300</v>
      </c>
      <c r="P71" s="1013"/>
    </row>
    <row r="73" spans="1:16" ht="13" customHeight="1">
      <c r="E73" s="435" t="s">
        <v>362</v>
      </c>
      <c r="F73" s="436"/>
      <c r="G73" s="436"/>
      <c r="H73" s="436"/>
      <c r="I73" s="436"/>
      <c r="J73" s="436"/>
    </row>
    <row r="74" spans="1:16" ht="17" customHeight="1">
      <c r="E74" s="437">
        <v>5</v>
      </c>
      <c r="F74" s="438" t="s">
        <v>240</v>
      </c>
      <c r="G74" s="436" t="s">
        <v>291</v>
      </c>
      <c r="H74" s="436"/>
      <c r="I74" s="436"/>
      <c r="J74" s="436"/>
    </row>
    <row r="75" spans="1:16" ht="17" customHeight="1">
      <c r="E75" s="437">
        <v>7</v>
      </c>
      <c r="F75" s="438" t="s">
        <v>241</v>
      </c>
      <c r="G75" s="436" t="s">
        <v>361</v>
      </c>
      <c r="H75" s="436"/>
      <c r="I75" s="436"/>
      <c r="J75" s="436"/>
    </row>
    <row r="76" spans="1:16" ht="17" customHeight="1">
      <c r="E76" s="437">
        <v>9</v>
      </c>
      <c r="F76" s="438" t="s">
        <v>242</v>
      </c>
      <c r="G76" s="436" t="s">
        <v>360</v>
      </c>
      <c r="H76" s="436"/>
      <c r="I76" s="436"/>
      <c r="J76" s="436"/>
    </row>
    <row r="78" spans="1:16" ht="4" customHeight="1">
      <c r="A78" s="481"/>
      <c r="B78" s="481"/>
      <c r="C78" s="481"/>
      <c r="D78" s="481"/>
      <c r="E78" s="481"/>
      <c r="F78" s="481"/>
      <c r="G78" s="481"/>
      <c r="H78" s="481"/>
      <c r="I78" s="481"/>
      <c r="J78" s="481"/>
      <c r="K78" s="481"/>
      <c r="L78" s="481"/>
      <c r="M78" s="481"/>
      <c r="N78" s="481"/>
      <c r="O78" s="481"/>
      <c r="P78" s="481"/>
    </row>
  </sheetData>
  <sheetProtection selectLockedCells="1"/>
  <mergeCells count="62">
    <mergeCell ref="F71:G71"/>
    <mergeCell ref="I71:J71"/>
    <mergeCell ref="L71:M71"/>
    <mergeCell ref="O71:P71"/>
    <mergeCell ref="N62:P62"/>
    <mergeCell ref="K62:M62"/>
    <mergeCell ref="O57:P57"/>
    <mergeCell ref="F70:G70"/>
    <mergeCell ref="I70:J70"/>
    <mergeCell ref="L70:M70"/>
    <mergeCell ref="O70:P70"/>
    <mergeCell ref="K63:M64"/>
    <mergeCell ref="N63:P64"/>
    <mergeCell ref="I57:J57"/>
    <mergeCell ref="F57:G57"/>
    <mergeCell ref="L57:M57"/>
    <mergeCell ref="H63:J64"/>
    <mergeCell ref="H62:J62"/>
    <mergeCell ref="E62:G62"/>
    <mergeCell ref="E63:G64"/>
    <mergeCell ref="O56:P56"/>
    <mergeCell ref="F42:G42"/>
    <mergeCell ref="F43:G43"/>
    <mergeCell ref="F56:G56"/>
    <mergeCell ref="I56:J56"/>
    <mergeCell ref="L56:M56"/>
    <mergeCell ref="I42:J42"/>
    <mergeCell ref="H49:J50"/>
    <mergeCell ref="E49:G50"/>
    <mergeCell ref="I43:J43"/>
    <mergeCell ref="E48:G48"/>
    <mergeCell ref="H48:J48"/>
    <mergeCell ref="K49:M50"/>
    <mergeCell ref="N49:P50"/>
    <mergeCell ref="N48:P48"/>
    <mergeCell ref="O43:P43"/>
    <mergeCell ref="K18:M18"/>
    <mergeCell ref="N18:P18"/>
    <mergeCell ref="N4:P4"/>
    <mergeCell ref="O3:P3"/>
    <mergeCell ref="B17:C18"/>
    <mergeCell ref="E16:P17"/>
    <mergeCell ref="D10:E10"/>
    <mergeCell ref="D8:E8"/>
    <mergeCell ref="A3:F3"/>
    <mergeCell ref="E18:G18"/>
    <mergeCell ref="H18:J18"/>
    <mergeCell ref="A4:A5"/>
    <mergeCell ref="L42:M42"/>
    <mergeCell ref="L43:M43"/>
    <mergeCell ref="O42:P42"/>
    <mergeCell ref="K48:M48"/>
    <mergeCell ref="H19:J20"/>
    <mergeCell ref="K19:M20"/>
    <mergeCell ref="N19:P20"/>
    <mergeCell ref="E19:G20"/>
    <mergeCell ref="A50:B50"/>
    <mergeCell ref="D20:D21"/>
    <mergeCell ref="A40:B40"/>
    <mergeCell ref="A68:B68"/>
    <mergeCell ref="A66:B66"/>
    <mergeCell ref="A64:B64"/>
  </mergeCells>
  <phoneticPr fontId="10" type="noConversion"/>
  <conditionalFormatting sqref="G24:G38">
    <cfRule type="cellIs" dxfId="8" priority="7" operator="lessThan">
      <formula>0</formula>
    </cfRule>
  </conditionalFormatting>
  <conditionalFormatting sqref="J24:J36 J38">
    <cfRule type="cellIs" dxfId="7" priority="6" operator="lessThan">
      <formula>0</formula>
    </cfRule>
  </conditionalFormatting>
  <conditionalFormatting sqref="M24:M36 M38">
    <cfRule type="cellIs" dxfId="6" priority="5" operator="lessThan">
      <formula>0</formula>
    </cfRule>
  </conditionalFormatting>
  <conditionalFormatting sqref="P24:P36">
    <cfRule type="cellIs" dxfId="5" priority="4" operator="lessThan">
      <formula>0</formula>
    </cfRule>
  </conditionalFormatting>
  <conditionalFormatting sqref="J37">
    <cfRule type="cellIs" dxfId="4" priority="3" operator="lessThan">
      <formula>0</formula>
    </cfRule>
  </conditionalFormatting>
  <conditionalFormatting sqref="M37">
    <cfRule type="cellIs" dxfId="3" priority="2" operator="lessThan">
      <formula>0</formula>
    </cfRule>
  </conditionalFormatting>
  <conditionalFormatting sqref="P37">
    <cfRule type="cellIs" dxfId="2" priority="1" operator="lessThan">
      <formula>0</formula>
    </cfRule>
  </conditionalFormatting>
  <dataValidations count="1">
    <dataValidation type="list" allowBlank="1" showInputMessage="1" showErrorMessage="1" sqref="C66">
      <formula1>$F$74:$F$76</formula1>
    </dataValidation>
  </dataValidations>
  <pageMargins left="0.5" right="0.67450980392156867" top="0.8411764705882353" bottom="0.75" header="0.33137254901960783" footer="0.5"/>
  <pageSetup scale="42" orientation="portrait" horizontalDpi="4294967292" verticalDpi="4294967292"/>
  <headerFooter>
    <oddHeader>&amp;L&amp;G&amp;R_x000D_2000 South 7th Street_x000D_Austin, TX  78704_x000D_512-476-5555_x000D_austin@lighthousesolar.com</oddHeader>
    <oddFooter>&amp;LLighthouseSolar Confidential</oddFooter>
  </headerFooter>
  <drawing r:id="rId1"/>
  <legacyDrawingHF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'Lookup Tables'!$C$34:$C$38</xm:f>
          </x14:formula1>
          <xm:sqref>D10:D11</xm:sqref>
        </x14:dataValidation>
        <x14:dataValidation type="list" allowBlank="1" showInputMessage="1" showErrorMessage="1">
          <x14:formula1>
            <xm:f>'Lookup Tables'!$B$34:$B$36</xm:f>
          </x14:formula1>
          <xm:sqref>D8:D9</xm:sqref>
        </x14:dataValidation>
      </x14:dataValidations>
    </ex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3" tint="0.39997558519241921"/>
    <pageSetUpPr fitToPage="1"/>
  </sheetPr>
  <dimension ref="A1:AD137"/>
  <sheetViews>
    <sheetView showGridLines="0" topLeftCell="A7" zoomScale="75" zoomScaleNormal="75" zoomScalePageLayoutView="75" workbookViewId="0">
      <selection activeCell="H7" sqref="H7"/>
    </sheetView>
  </sheetViews>
  <sheetFormatPr baseColWidth="10" defaultColWidth="10.85546875" defaultRowHeight="15" x14ac:dyDescent="0"/>
  <cols>
    <col min="1" max="1" width="10.85546875" style="51"/>
    <col min="2" max="2" width="15" style="51" customWidth="1"/>
    <col min="3" max="3" width="18.140625" style="51" customWidth="1"/>
    <col min="4" max="4" width="18.28515625" style="51" customWidth="1"/>
    <col min="5" max="5" width="13.7109375" style="51" customWidth="1"/>
    <col min="6" max="6" width="16.140625" style="51" customWidth="1"/>
    <col min="7" max="7" width="13.7109375" style="51" customWidth="1"/>
    <col min="8" max="8" width="18.7109375" style="51" customWidth="1"/>
    <col min="9" max="9" width="2.5703125" customWidth="1"/>
    <col min="10" max="10" width="7.85546875" style="51" customWidth="1"/>
    <col min="11" max="11" width="10" style="51" customWidth="1"/>
    <col min="12" max="12" width="10.42578125" style="51" customWidth="1"/>
    <col min="13" max="13" width="9.5703125" style="51" hidden="1" customWidth="1"/>
    <col min="14" max="14" width="9.5703125" style="51" customWidth="1"/>
    <col min="15" max="15" width="0.28515625" style="51" customWidth="1"/>
    <col min="16" max="16" width="9.5703125" style="51" customWidth="1"/>
    <col min="17" max="20" width="9.5703125" style="51" hidden="1" customWidth="1"/>
    <col min="21" max="21" width="0.28515625" style="51" customWidth="1"/>
    <col min="22" max="22" width="9.5703125" style="51" customWidth="1"/>
    <col min="23" max="23" width="9.5703125" style="51" hidden="1" customWidth="1"/>
    <col min="24" max="24" width="10.5703125" style="51" customWidth="1"/>
    <col min="25" max="25" width="12.7109375" style="51" bestFit="1" customWidth="1"/>
    <col min="26" max="16384" width="10.85546875" style="51"/>
  </cols>
  <sheetData>
    <row r="1" spans="1:16" ht="5" customHeight="1">
      <c r="A1" s="480"/>
      <c r="B1" s="480"/>
      <c r="C1" s="480"/>
      <c r="D1" s="480"/>
      <c r="E1" s="480"/>
      <c r="F1" s="480"/>
      <c r="G1" s="480"/>
      <c r="H1" s="480"/>
      <c r="J1" s="387"/>
      <c r="K1" s="387"/>
      <c r="L1" s="387"/>
      <c r="M1" s="387"/>
      <c r="N1" s="387"/>
      <c r="O1" s="387"/>
    </row>
    <row r="2" spans="1:16" s="387" customFormat="1" ht="7" customHeight="1">
      <c r="I2"/>
    </row>
    <row r="3" spans="1:16" ht="28">
      <c r="A3" s="393" t="s">
        <v>193</v>
      </c>
      <c r="B3" s="393"/>
      <c r="C3" s="393"/>
      <c r="D3" s="393"/>
      <c r="E3" s="393"/>
      <c r="G3" s="394" t="str">
        <f>'1 Customer Record'!D12</f>
        <v>Solar</v>
      </c>
      <c r="H3" s="394" t="s">
        <v>287</v>
      </c>
      <c r="J3" s="393"/>
      <c r="K3" s="393"/>
      <c r="L3" s="393"/>
      <c r="M3" s="393"/>
      <c r="N3" s="393"/>
      <c r="O3" s="393"/>
      <c r="P3" s="393"/>
    </row>
    <row r="4" spans="1:16" ht="20" customHeight="1">
      <c r="A4" s="393"/>
      <c r="B4" s="393"/>
      <c r="C4" s="393"/>
      <c r="D4" s="393"/>
      <c r="E4" s="393"/>
      <c r="F4" s="394"/>
      <c r="G4" s="393"/>
      <c r="H4" s="53" t="str">
        <f>'1 Customer Record'!C15</f>
        <v>123 Sunshine Court</v>
      </c>
      <c r="J4" s="393"/>
      <c r="K4" s="393"/>
      <c r="L4" s="393"/>
      <c r="M4" s="393"/>
      <c r="N4" s="393"/>
      <c r="O4" s="393"/>
      <c r="P4" s="393"/>
    </row>
    <row r="5" spans="1:16" ht="15" customHeight="1">
      <c r="A5" s="393"/>
      <c r="B5" s="393"/>
      <c r="C5" s="393"/>
      <c r="D5" s="393"/>
      <c r="E5" s="393"/>
      <c r="F5" s="394"/>
      <c r="G5" s="393"/>
      <c r="H5" s="53" t="str">
        <f>'1 Customer Record'!C16</f>
        <v>Dripping Springs, TX 78620</v>
      </c>
      <c r="J5" s="393"/>
      <c r="K5" s="393"/>
      <c r="L5" s="393"/>
      <c r="M5" s="393"/>
      <c r="N5" s="393"/>
      <c r="O5" s="393"/>
      <c r="P5" s="393"/>
    </row>
    <row r="6" spans="1:16" ht="8" customHeight="1"/>
    <row r="7" spans="1:16" ht="35" customHeight="1">
      <c r="A7" s="1038" t="s">
        <v>267</v>
      </c>
      <c r="B7" s="1038"/>
      <c r="C7" s="1038" t="s">
        <v>341</v>
      </c>
      <c r="D7" s="1038"/>
      <c r="E7" s="1038"/>
      <c r="F7" s="1038"/>
      <c r="G7" s="1038"/>
      <c r="H7" s="397" t="s">
        <v>233</v>
      </c>
    </row>
    <row r="8" spans="1:16" ht="18">
      <c r="A8" s="388"/>
      <c r="B8" s="388"/>
      <c r="C8" s="388"/>
      <c r="D8" s="388"/>
      <c r="E8" s="388"/>
      <c r="F8" s="388"/>
      <c r="G8" s="388"/>
      <c r="H8" s="401"/>
    </row>
    <row r="9" spans="1:16" ht="35" customHeight="1">
      <c r="A9" s="1039" t="s">
        <v>269</v>
      </c>
      <c r="B9" s="1039"/>
      <c r="C9" s="1039" t="s">
        <v>268</v>
      </c>
      <c r="D9" s="1039"/>
      <c r="E9" s="1039"/>
      <c r="F9" s="1039"/>
      <c r="G9" s="1039"/>
      <c r="H9" s="398">
        <v>0.7</v>
      </c>
    </row>
    <row r="10" spans="1:16" ht="18">
      <c r="A10" s="388"/>
      <c r="B10" s="388"/>
      <c r="C10" s="388"/>
      <c r="D10" s="388"/>
      <c r="E10" s="388"/>
      <c r="F10" s="388"/>
      <c r="G10" s="388"/>
      <c r="H10" s="401"/>
    </row>
    <row r="11" spans="1:16" ht="35" customHeight="1">
      <c r="A11" s="1039" t="s">
        <v>270</v>
      </c>
      <c r="B11" s="1039"/>
      <c r="C11" s="1039" t="s">
        <v>271</v>
      </c>
      <c r="D11" s="1039"/>
      <c r="E11" s="1039"/>
      <c r="F11" s="1039"/>
      <c r="G11" s="1039"/>
      <c r="H11" s="399">
        <v>250</v>
      </c>
    </row>
    <row r="12" spans="1:16" ht="18">
      <c r="A12" s="388"/>
      <c r="B12" s="388"/>
      <c r="C12" s="388"/>
      <c r="D12" s="388"/>
      <c r="E12" s="388"/>
      <c r="F12" s="388"/>
      <c r="G12" s="388"/>
      <c r="H12" s="401"/>
    </row>
    <row r="13" spans="1:16" ht="35" customHeight="1">
      <c r="A13" s="1039" t="s">
        <v>272</v>
      </c>
      <c r="B13" s="1039"/>
      <c r="C13" s="1039" t="s">
        <v>273</v>
      </c>
      <c r="D13" s="1039"/>
      <c r="E13" s="1039"/>
      <c r="F13" s="1039"/>
      <c r="G13" s="1039"/>
      <c r="H13" s="400" t="s">
        <v>407</v>
      </c>
    </row>
    <row r="14" spans="1:16" ht="18" hidden="1">
      <c r="A14" s="388"/>
      <c r="B14" s="388"/>
      <c r="C14" s="388"/>
      <c r="D14" s="388"/>
      <c r="E14" s="388"/>
      <c r="F14" s="388"/>
      <c r="G14" s="388"/>
      <c r="H14" s="401"/>
    </row>
    <row r="15" spans="1:16" ht="21" hidden="1">
      <c r="A15" s="1039" t="s">
        <v>274</v>
      </c>
      <c r="B15" s="1039"/>
      <c r="C15" s="1039" t="s">
        <v>275</v>
      </c>
      <c r="D15" s="1039"/>
      <c r="E15" s="1039"/>
      <c r="F15" s="1039"/>
      <c r="G15" s="1039"/>
      <c r="H15" s="400" t="s">
        <v>281</v>
      </c>
    </row>
    <row r="16" spans="1:16">
      <c r="A16" s="388"/>
      <c r="B16" s="388"/>
      <c r="C16" s="388"/>
      <c r="D16" s="388"/>
      <c r="E16" s="388"/>
      <c r="F16" s="388"/>
      <c r="G16" s="388"/>
      <c r="H16" s="388"/>
    </row>
    <row r="17" spans="1:26" ht="21">
      <c r="A17" s="1039" t="s">
        <v>274</v>
      </c>
      <c r="B17" s="1039"/>
      <c r="C17" s="1039" t="s">
        <v>277</v>
      </c>
      <c r="D17" s="1039"/>
      <c r="E17" s="1039"/>
      <c r="F17" s="1039"/>
      <c r="G17" s="1039"/>
      <c r="H17" s="389"/>
    </row>
    <row r="19" spans="1:26" ht="17">
      <c r="A19" s="520"/>
      <c r="B19" s="521" t="s">
        <v>282</v>
      </c>
      <c r="C19" s="522"/>
      <c r="D19" s="522"/>
      <c r="E19" s="522"/>
      <c r="F19" s="522"/>
      <c r="G19" s="966" t="s">
        <v>228</v>
      </c>
      <c r="H19" s="523" t="s">
        <v>391</v>
      </c>
      <c r="M19" s="65"/>
    </row>
    <row r="20" spans="1:26" ht="17">
      <c r="A20" s="524"/>
      <c r="B20" s="525" t="s">
        <v>66</v>
      </c>
      <c r="C20" s="981" t="str">
        <f>IF(D42&gt;3.99,"No","Yes")</f>
        <v>No</v>
      </c>
      <c r="D20" s="527" t="s">
        <v>63</v>
      </c>
      <c r="E20" s="528"/>
      <c r="F20" s="854"/>
      <c r="G20" s="854">
        <f>IF(C20="No",0,(IF(D42&gt;=3,'Lookup Tables'!M18,(IF(D42&lt;2,'Lookup Tables'!M20,'Lookup Tables'!M19)))))</f>
        <v>0</v>
      </c>
      <c r="H20" s="530">
        <f>IF(C20="yes",($D$42*1000*G20),0)</f>
        <v>0</v>
      </c>
      <c r="M20" s="65"/>
    </row>
    <row r="21" spans="1:26" ht="17">
      <c r="A21" s="531"/>
      <c r="B21" s="532"/>
      <c r="C21" s="533"/>
      <c r="D21" s="533"/>
      <c r="E21" s="533"/>
      <c r="F21" s="533"/>
      <c r="G21" s="533"/>
      <c r="H21" s="535"/>
    </row>
    <row r="22" spans="1:26" ht="15" customHeight="1">
      <c r="A22" s="524"/>
      <c r="B22" s="525" t="s">
        <v>398</v>
      </c>
      <c r="C22" s="526" t="s">
        <v>485</v>
      </c>
      <c r="D22" s="527" t="s">
        <v>403</v>
      </c>
      <c r="E22" s="528"/>
      <c r="F22" s="529"/>
      <c r="G22" s="529"/>
      <c r="H22" s="530">
        <f>IF(C22="yes",($D$42*1000*0.26),0)</f>
        <v>0</v>
      </c>
      <c r="Z22" s="69"/>
    </row>
    <row r="23" spans="1:26" ht="17">
      <c r="A23" s="531"/>
      <c r="B23" s="532"/>
      <c r="C23" s="533"/>
      <c r="D23" s="534"/>
      <c r="E23" s="534"/>
      <c r="F23" s="533"/>
      <c r="G23" s="533"/>
      <c r="H23" s="535"/>
      <c r="Z23" s="69"/>
    </row>
    <row r="24" spans="1:26" ht="15" customHeight="1">
      <c r="A24" s="524"/>
      <c r="B24" s="525" t="s">
        <v>490</v>
      </c>
      <c r="C24" s="526" t="s">
        <v>485</v>
      </c>
      <c r="D24" s="528" t="s">
        <v>491</v>
      </c>
      <c r="E24" s="528"/>
      <c r="F24" s="529"/>
      <c r="G24" s="529"/>
      <c r="H24" s="530">
        <f>IF(C24="yes",($D$42*1000*0.05),0)</f>
        <v>0</v>
      </c>
      <c r="Z24" s="69"/>
    </row>
    <row r="25" spans="1:26" ht="17">
      <c r="A25" s="531"/>
      <c r="B25" s="532"/>
      <c r="C25" s="533"/>
      <c r="D25" s="534"/>
      <c r="E25" s="534"/>
      <c r="F25" s="533"/>
      <c r="G25" s="533"/>
      <c r="H25" s="535"/>
      <c r="Z25" s="69"/>
    </row>
    <row r="26" spans="1:26" ht="17">
      <c r="A26" s="524"/>
      <c r="B26" s="525" t="s">
        <v>312</v>
      </c>
      <c r="C26" s="526" t="s">
        <v>485</v>
      </c>
      <c r="D26" s="1056" t="s">
        <v>313</v>
      </c>
      <c r="E26" s="1056"/>
      <c r="F26" s="529"/>
      <c r="G26" s="529"/>
      <c r="H26" s="530">
        <f>IF(C26="yes",($D$42*1000*0.15),0)</f>
        <v>0</v>
      </c>
      <c r="R26" s="80"/>
      <c r="Z26" s="69"/>
    </row>
    <row r="27" spans="1:26" ht="17">
      <c r="A27" s="531"/>
      <c r="B27" s="532"/>
      <c r="C27" s="533"/>
      <c r="D27" s="533"/>
      <c r="E27" s="533"/>
      <c r="F27" s="533"/>
      <c r="G27" s="533"/>
      <c r="H27" s="535"/>
      <c r="R27" s="80"/>
      <c r="Z27" s="69"/>
    </row>
    <row r="28" spans="1:26" ht="17">
      <c r="A28" s="524"/>
      <c r="B28" s="525" t="s">
        <v>399</v>
      </c>
      <c r="C28" s="526" t="s">
        <v>485</v>
      </c>
      <c r="D28" s="528" t="s">
        <v>404</v>
      </c>
      <c r="E28" s="528"/>
      <c r="F28" s="529"/>
      <c r="G28" s="536">
        <v>0</v>
      </c>
      <c r="H28" s="530">
        <f>IF(C28="yes",(G28),0)</f>
        <v>0</v>
      </c>
      <c r="Z28" s="69"/>
    </row>
    <row r="29" spans="1:26" ht="17">
      <c r="A29" s="531"/>
      <c r="B29" s="532"/>
      <c r="C29" s="533"/>
      <c r="D29" s="533"/>
      <c r="E29" s="533"/>
      <c r="F29" s="533"/>
      <c r="G29" s="533"/>
      <c r="H29" s="535"/>
      <c r="Z29" s="69"/>
    </row>
    <row r="30" spans="1:26" ht="15" customHeight="1">
      <c r="A30" s="524"/>
      <c r="B30" s="525" t="s">
        <v>400</v>
      </c>
      <c r="C30" s="526" t="s">
        <v>485</v>
      </c>
      <c r="D30" s="528" t="s">
        <v>405</v>
      </c>
      <c r="E30" s="528"/>
      <c r="F30" s="529"/>
      <c r="G30" s="536">
        <v>0</v>
      </c>
      <c r="H30" s="530">
        <f>IF(C30="yes",(G30*200),0)</f>
        <v>0</v>
      </c>
      <c r="R30" s="81"/>
      <c r="Z30" s="69"/>
    </row>
    <row r="31" spans="1:26" ht="17">
      <c r="A31" s="531"/>
      <c r="B31" s="532"/>
      <c r="C31" s="533"/>
      <c r="D31" s="533"/>
      <c r="E31" s="533"/>
      <c r="F31" s="533"/>
      <c r="G31" s="533"/>
      <c r="H31" s="535"/>
      <c r="R31" s="80"/>
      <c r="Z31" s="69"/>
    </row>
    <row r="32" spans="1:26" ht="17">
      <c r="A32" s="524"/>
      <c r="B32" s="525" t="s">
        <v>171</v>
      </c>
      <c r="C32" s="526" t="s">
        <v>485</v>
      </c>
      <c r="D32" s="528" t="s">
        <v>172</v>
      </c>
      <c r="E32" s="667" t="s">
        <v>187</v>
      </c>
      <c r="F32" s="666"/>
      <c r="G32" s="666">
        <f>IF(C32="Yes",((D42*1000)/H11)*6.5,0)</f>
        <v>0</v>
      </c>
      <c r="H32" s="530">
        <f>IF(C32="yes",(G32*5),0)</f>
        <v>0</v>
      </c>
      <c r="R32" s="80"/>
      <c r="Z32" s="69"/>
    </row>
    <row r="33" spans="1:26" ht="17">
      <c r="A33" s="531"/>
      <c r="B33" s="532"/>
      <c r="C33" s="533"/>
      <c r="D33" s="533"/>
      <c r="E33" s="533"/>
      <c r="F33" s="533"/>
      <c r="G33" s="533"/>
      <c r="H33" s="535"/>
      <c r="R33" s="80"/>
      <c r="Z33" s="69"/>
    </row>
    <row r="34" spans="1:26" ht="17">
      <c r="A34" s="524"/>
      <c r="B34" s="525" t="s">
        <v>682</v>
      </c>
      <c r="C34" s="526" t="s">
        <v>483</v>
      </c>
      <c r="D34" s="527" t="s">
        <v>693</v>
      </c>
      <c r="E34" s="528"/>
      <c r="F34" s="666"/>
      <c r="G34" s="666">
        <f>IF(C34="Yes",20,0)</f>
        <v>20</v>
      </c>
      <c r="H34" s="530">
        <f>IF(C34="yes",((G34*12.5)+350),0)</f>
        <v>600</v>
      </c>
      <c r="Z34" s="69"/>
    </row>
    <row r="35" spans="1:26" ht="17">
      <c r="A35" s="531"/>
      <c r="B35" s="532"/>
      <c r="C35" s="533"/>
      <c r="D35" s="533"/>
      <c r="E35" s="533"/>
      <c r="F35" s="533"/>
      <c r="G35" s="533"/>
      <c r="H35" s="535"/>
      <c r="R35" s="80"/>
      <c r="Z35" s="69"/>
    </row>
    <row r="36" spans="1:26" ht="17">
      <c r="A36" s="524"/>
      <c r="B36" s="525" t="s">
        <v>401</v>
      </c>
      <c r="C36" s="526" t="s">
        <v>485</v>
      </c>
      <c r="D36" s="527" t="s">
        <v>406</v>
      </c>
      <c r="E36" s="528"/>
      <c r="F36" s="666"/>
      <c r="G36" s="666">
        <v>0</v>
      </c>
      <c r="H36" s="530">
        <f>IF(C36="yes",(D42*1000*0.55),0)</f>
        <v>0</v>
      </c>
      <c r="Z36" s="69"/>
    </row>
    <row r="37" spans="1:26" ht="17">
      <c r="A37" s="531"/>
      <c r="B37" s="532"/>
      <c r="C37" s="533"/>
      <c r="D37" s="533"/>
      <c r="E37" s="533"/>
      <c r="F37" s="533"/>
      <c r="G37" s="533"/>
      <c r="H37" s="535"/>
      <c r="Z37" s="69"/>
    </row>
    <row r="38" spans="1:26" ht="15" customHeight="1">
      <c r="A38" s="537"/>
      <c r="B38" s="538" t="s">
        <v>402</v>
      </c>
      <c r="C38" s="539" t="s">
        <v>485</v>
      </c>
      <c r="D38" s="540" t="s">
        <v>324</v>
      </c>
      <c r="E38" s="540"/>
      <c r="F38" s="967"/>
      <c r="G38" s="541">
        <v>0</v>
      </c>
      <c r="H38" s="542">
        <f>IF(C38="yes",(G38*10),0)</f>
        <v>0</v>
      </c>
      <c r="Z38" s="69"/>
    </row>
    <row r="39" spans="1:26">
      <c r="K39" s="695" t="s">
        <v>687</v>
      </c>
    </row>
    <row r="40" spans="1:26" ht="30" customHeight="1">
      <c r="A40" s="1039" t="s">
        <v>276</v>
      </c>
      <c r="B40" s="1039"/>
      <c r="C40" s="1039" t="s">
        <v>278</v>
      </c>
      <c r="D40" s="1039"/>
      <c r="E40" s="1039"/>
      <c r="F40" s="1039"/>
      <c r="G40" s="1039"/>
      <c r="H40" s="1039"/>
      <c r="K40" s="487"/>
      <c r="L40" s="488"/>
      <c r="M40" s="489" t="s">
        <v>256</v>
      </c>
      <c r="N40" s="489" t="s">
        <v>257</v>
      </c>
      <c r="O40" s="490" t="s">
        <v>258</v>
      </c>
      <c r="P40" s="490" t="s">
        <v>259</v>
      </c>
      <c r="Q40" s="491" t="s">
        <v>260</v>
      </c>
      <c r="R40" s="491" t="s">
        <v>261</v>
      </c>
      <c r="S40" s="492" t="s">
        <v>262</v>
      </c>
      <c r="T40" s="492" t="s">
        <v>263</v>
      </c>
      <c r="U40" s="491" t="s">
        <v>264</v>
      </c>
      <c r="V40" s="491" t="s">
        <v>474</v>
      </c>
      <c r="W40" s="493" t="s">
        <v>475</v>
      </c>
      <c r="X40" s="494" t="s">
        <v>476</v>
      </c>
    </row>
    <row r="41" spans="1:26">
      <c r="D41" s="52"/>
      <c r="E41" s="52"/>
      <c r="F41" s="52"/>
      <c r="G41" s="52"/>
      <c r="H41" s="52"/>
      <c r="K41" s="495"/>
      <c r="L41" s="496"/>
      <c r="M41" s="1040" t="s">
        <v>689</v>
      </c>
      <c r="N41" s="1040"/>
      <c r="O41" s="1042" t="s">
        <v>690</v>
      </c>
      <c r="P41" s="1043"/>
      <c r="Q41" s="1040" t="s">
        <v>588</v>
      </c>
      <c r="R41" s="1040"/>
      <c r="S41" s="1042" t="s">
        <v>589</v>
      </c>
      <c r="T41" s="1042"/>
      <c r="U41" s="1040" t="s">
        <v>689</v>
      </c>
      <c r="V41" s="1040"/>
      <c r="W41" s="1042" t="s">
        <v>690</v>
      </c>
      <c r="X41" s="1043"/>
    </row>
    <row r="42" spans="1:26" ht="18">
      <c r="A42" s="382"/>
      <c r="C42" s="383" t="s">
        <v>227</v>
      </c>
      <c r="D42" s="612">
        <f>VLOOKUP(H9,K46:L49,2)</f>
        <v>5.7811424638678597</v>
      </c>
      <c r="E42" s="382"/>
      <c r="F42" s="382"/>
      <c r="K42" s="495"/>
      <c r="L42" s="496"/>
      <c r="M42" s="1041" t="s">
        <v>407</v>
      </c>
      <c r="N42" s="1041"/>
      <c r="O42" s="1044" t="s">
        <v>407</v>
      </c>
      <c r="P42" s="1044"/>
      <c r="Q42" s="1040" t="s">
        <v>409</v>
      </c>
      <c r="R42" s="1040"/>
      <c r="S42" s="1057" t="s">
        <v>408</v>
      </c>
      <c r="T42" s="1057"/>
      <c r="U42" s="1040" t="s">
        <v>217</v>
      </c>
      <c r="V42" s="1040"/>
      <c r="W42" s="1042" t="s">
        <v>218</v>
      </c>
      <c r="X42" s="1043"/>
    </row>
    <row r="43" spans="1:26" ht="21" customHeight="1">
      <c r="A43" s="382"/>
      <c r="C43" s="383" t="s">
        <v>480</v>
      </c>
      <c r="D43" s="613" t="str">
        <f t="array" ref="D43">INDEX('Lookup Tables'!G3:J14,MATCH(1,('Lookup Tables'!G3:G14=H11)*('Lookup Tables'!H3:H14=H13)*('Lookup Tables'!I3:I14=H15),0),4)</f>
        <v>A2</v>
      </c>
      <c r="E43" s="382"/>
      <c r="F43" s="382"/>
      <c r="K43" s="519" t="s">
        <v>477</v>
      </c>
      <c r="L43" s="518" t="s">
        <v>478</v>
      </c>
      <c r="M43" s="351" t="s">
        <v>219</v>
      </c>
      <c r="N43" s="351" t="s">
        <v>222</v>
      </c>
      <c r="O43" s="352" t="s">
        <v>219</v>
      </c>
      <c r="P43" s="352" t="s">
        <v>222</v>
      </c>
      <c r="Q43" s="351" t="s">
        <v>219</v>
      </c>
      <c r="R43" s="351" t="s">
        <v>219</v>
      </c>
      <c r="S43" s="352" t="s">
        <v>219</v>
      </c>
      <c r="T43" s="352" t="s">
        <v>219</v>
      </c>
      <c r="U43" s="351" t="s">
        <v>219</v>
      </c>
      <c r="V43" s="351" t="s">
        <v>222</v>
      </c>
      <c r="W43" s="352" t="s">
        <v>219</v>
      </c>
      <c r="X43" s="353" t="s">
        <v>222</v>
      </c>
    </row>
    <row r="44" spans="1:26" ht="18">
      <c r="A44" s="382"/>
      <c r="C44" s="382"/>
      <c r="D44" s="382"/>
      <c r="E44" s="382"/>
      <c r="F44" s="382"/>
      <c r="K44" s="519"/>
      <c r="L44" s="518"/>
      <c r="M44" s="497" t="s">
        <v>221</v>
      </c>
      <c r="N44" s="497" t="s">
        <v>220</v>
      </c>
      <c r="O44" s="498" t="s">
        <v>221</v>
      </c>
      <c r="P44" s="498" t="s">
        <v>220</v>
      </c>
      <c r="Q44" s="499" t="s">
        <v>223</v>
      </c>
      <c r="R44" s="499"/>
      <c r="S44" s="500" t="s">
        <v>223</v>
      </c>
      <c r="T44" s="500"/>
      <c r="U44" s="499" t="s">
        <v>224</v>
      </c>
      <c r="V44" s="499" t="s">
        <v>225</v>
      </c>
      <c r="W44" s="501" t="s">
        <v>224</v>
      </c>
      <c r="X44" s="502" t="s">
        <v>225</v>
      </c>
    </row>
    <row r="45" spans="1:26" ht="18">
      <c r="A45" s="382"/>
      <c r="C45" s="382"/>
      <c r="D45" s="669" t="s">
        <v>679</v>
      </c>
      <c r="E45" s="382"/>
      <c r="F45" s="930" t="s">
        <v>189</v>
      </c>
      <c r="K45" s="495"/>
      <c r="L45" s="496"/>
      <c r="M45" s="503">
        <f>IF($Z$76="Financed",Z90,Y90)</f>
        <v>2.59</v>
      </c>
      <c r="N45" s="503">
        <f>'Lookup Tables'!H18</f>
        <v>2.62</v>
      </c>
      <c r="O45" s="504">
        <f>IF($Z$76="Financed",Z92,Y92)</f>
        <v>2.66</v>
      </c>
      <c r="P45" s="504">
        <f>'Lookup Tables'!H20</f>
        <v>2.78</v>
      </c>
      <c r="Q45" s="505">
        <f>IF($Z$76="Financed",Z94,Y94)</f>
        <v>2.87</v>
      </c>
      <c r="R45" s="505">
        <f>IF($Z$76="Financed",Z95,Y95)</f>
        <v>2.87</v>
      </c>
      <c r="S45" s="506">
        <f>IF($Z$76="Financed",Z96,Y96)</f>
        <v>2.95</v>
      </c>
      <c r="T45" s="506">
        <f>IF($Z$76="Financed",Z97,Y97)</f>
        <v>2.95</v>
      </c>
      <c r="U45" s="505">
        <f>IF($Z$76="Financed",Z98,Y98)</f>
        <v>2.71</v>
      </c>
      <c r="V45" s="505">
        <f>'Lookup Tables'!H22</f>
        <v>2.76</v>
      </c>
      <c r="W45" s="507">
        <f>IF($Z$76="Financed",Z100,Y100)</f>
        <v>2.79</v>
      </c>
      <c r="X45" s="508">
        <f>'Lookup Tables'!H24</f>
        <v>2.92</v>
      </c>
    </row>
    <row r="46" spans="1:26" ht="19">
      <c r="A46" s="382"/>
      <c r="C46" s="383" t="s">
        <v>484</v>
      </c>
      <c r="D46" s="395">
        <f>IF($Z$76="Cash",VLOOKUP($D$43,'Lookup Tables'!$B$16:$H$28,6,FALSE),VLOOKUP($D$43,'Lookup Tables'!$B$16:$H$28,7,FALSE))</f>
        <v>2.62</v>
      </c>
      <c r="E46" s="382"/>
      <c r="F46" s="934">
        <f>IF($Z$77="Cash",VLOOKUP($D$43,'Lookup Tables'!$B$16:$H$28,6,FALSE),VLOOKUP($D$43,'Lookup Tables'!$B$16:$H$28,7,FALSE))</f>
        <v>0</v>
      </c>
      <c r="G46" s="382"/>
      <c r="K46" s="509">
        <f>'2 Sizing Sheet'!$E$21</f>
        <v>0.3</v>
      </c>
      <c r="L46" s="510">
        <f>IF($H$7="Monthly Usage",('2 Sizing Sheet'!$E$40),IF($H$7="Annual Usage",('2 Sizing Sheet'!$E$54),('2 Sizing Sheet'!$E$68)))</f>
        <v>2.477632484514797</v>
      </c>
      <c r="M46" s="845">
        <f t="shared" ref="M46:X46" si="0">$L$46*M45*1000</f>
        <v>6417.068134893324</v>
      </c>
      <c r="N46" s="845">
        <f t="shared" si="0"/>
        <v>6491.3971094287681</v>
      </c>
      <c r="O46" s="844">
        <f t="shared" si="0"/>
        <v>6590.5024088093605</v>
      </c>
      <c r="P46" s="844">
        <f t="shared" si="0"/>
        <v>6887.8183069511351</v>
      </c>
      <c r="Q46" s="845">
        <f t="shared" si="0"/>
        <v>7110.8052305574674</v>
      </c>
      <c r="R46" s="845">
        <f t="shared" si="0"/>
        <v>7110.8052305574674</v>
      </c>
      <c r="S46" s="844">
        <f t="shared" si="0"/>
        <v>7309.0158293186514</v>
      </c>
      <c r="T46" s="844">
        <f t="shared" si="0"/>
        <v>7309.0158293186514</v>
      </c>
      <c r="U46" s="845">
        <f t="shared" si="0"/>
        <v>6714.3840330350995</v>
      </c>
      <c r="V46" s="845">
        <f t="shared" si="0"/>
        <v>6838.2656572608394</v>
      </c>
      <c r="W46" s="844">
        <f t="shared" si="0"/>
        <v>6912.5946317962844</v>
      </c>
      <c r="X46" s="843">
        <f t="shared" si="0"/>
        <v>7234.6868547832064</v>
      </c>
    </row>
    <row r="47" spans="1:26" ht="18">
      <c r="A47" s="382"/>
      <c r="C47" s="383" t="s">
        <v>175</v>
      </c>
      <c r="D47" s="396">
        <f>D46*1000*D42</f>
        <v>15146.593255333792</v>
      </c>
      <c r="E47" s="382"/>
      <c r="F47" s="935">
        <f>F46*1000*D42</f>
        <v>0</v>
      </c>
      <c r="G47" s="382"/>
      <c r="K47" s="509">
        <f>'2 Sizing Sheet'!$H$21</f>
        <v>0.5</v>
      </c>
      <c r="L47" s="510">
        <f>IF($H$7="Monthly Usage",('2 Sizing Sheet'!$H$40),IF($H$7="Annual Usage",('2 Sizing Sheet'!$H$54),('2 Sizing Sheet'!$H$68)))</f>
        <v>4.1293874741913283</v>
      </c>
      <c r="M47" s="845">
        <f t="shared" ref="M47:X47" si="1">$L$47*M45*1000</f>
        <v>10695.113558155541</v>
      </c>
      <c r="N47" s="845">
        <f t="shared" si="1"/>
        <v>10818.995182381281</v>
      </c>
      <c r="O47" s="844">
        <f t="shared" si="1"/>
        <v>10984.170681348933</v>
      </c>
      <c r="P47" s="844">
        <f t="shared" si="1"/>
        <v>11479.697178251892</v>
      </c>
      <c r="Q47" s="845">
        <f t="shared" si="1"/>
        <v>11851.342050929112</v>
      </c>
      <c r="R47" s="845">
        <f t="shared" si="1"/>
        <v>11851.342050929112</v>
      </c>
      <c r="S47" s="844">
        <f t="shared" si="1"/>
        <v>12181.693048864419</v>
      </c>
      <c r="T47" s="844">
        <f t="shared" si="1"/>
        <v>12181.693048864419</v>
      </c>
      <c r="U47" s="845">
        <f t="shared" si="1"/>
        <v>11190.6400550585</v>
      </c>
      <c r="V47" s="845">
        <f t="shared" si="1"/>
        <v>11397.109428768064</v>
      </c>
      <c r="W47" s="844">
        <f t="shared" si="1"/>
        <v>11520.991052993808</v>
      </c>
      <c r="X47" s="843">
        <f t="shared" si="1"/>
        <v>12057.811424638679</v>
      </c>
    </row>
    <row r="48" spans="1:26" ht="18">
      <c r="A48" s="382"/>
      <c r="C48" s="383" t="s">
        <v>173</v>
      </c>
      <c r="D48" s="396">
        <f>SUM(H20:H38)</f>
        <v>600</v>
      </c>
      <c r="E48" s="382"/>
      <c r="F48" s="935">
        <f>SUM(H20:H38)</f>
        <v>600</v>
      </c>
      <c r="G48" s="382"/>
      <c r="K48" s="509">
        <f>'2 Sizing Sheet'!$K$21</f>
        <v>0.7</v>
      </c>
      <c r="L48" s="510">
        <f>IF($H$7="Monthly Usage",('2 Sizing Sheet'!$K$40),IF($H$7="Annual Usage",('2 Sizing Sheet'!$K$54),('2 Sizing Sheet'!$K$68)))</f>
        <v>5.7811424638678597</v>
      </c>
      <c r="M48" s="845">
        <f t="shared" ref="M48:X48" si="2">$L$48*M45*1000</f>
        <v>14973.158981417755</v>
      </c>
      <c r="N48" s="845">
        <f t="shared" si="2"/>
        <v>15146.593255333793</v>
      </c>
      <c r="O48" s="844">
        <f t="shared" si="2"/>
        <v>15377.838953888508</v>
      </c>
      <c r="P48" s="844">
        <f t="shared" si="2"/>
        <v>16071.57604955265</v>
      </c>
      <c r="Q48" s="845">
        <f t="shared" si="2"/>
        <v>16591.878871300756</v>
      </c>
      <c r="R48" s="845">
        <f t="shared" si="2"/>
        <v>16591.878871300756</v>
      </c>
      <c r="S48" s="844">
        <f t="shared" si="2"/>
        <v>17054.370268410188</v>
      </c>
      <c r="T48" s="844">
        <f t="shared" si="2"/>
        <v>17054.370268410188</v>
      </c>
      <c r="U48" s="845">
        <f t="shared" si="2"/>
        <v>15666.896077081899</v>
      </c>
      <c r="V48" s="845">
        <f t="shared" si="2"/>
        <v>15955.953200275291</v>
      </c>
      <c r="W48" s="844">
        <f t="shared" si="2"/>
        <v>16129.38747419133</v>
      </c>
      <c r="X48" s="843">
        <f t="shared" si="2"/>
        <v>16880.93599449415</v>
      </c>
    </row>
    <row r="49" spans="1:26" ht="18">
      <c r="A49" s="382"/>
      <c r="C49" s="640" t="s">
        <v>174</v>
      </c>
      <c r="D49" s="639">
        <f>D47+D48</f>
        <v>15746.593255333792</v>
      </c>
      <c r="E49" s="382"/>
      <c r="F49" s="936">
        <f>F47+F48</f>
        <v>600</v>
      </c>
      <c r="G49" s="382"/>
      <c r="K49" s="512">
        <f>'2 Sizing Sheet'!$N$21</f>
        <v>1</v>
      </c>
      <c r="L49" s="513">
        <f>IF($H$7="Monthly Usage",('2 Sizing Sheet'!$N$40),IF($H$7="Annual Usage",('2 Sizing Sheet'!$N$54),('2 Sizing Sheet'!$N$68)))</f>
        <v>8.2587749483826567</v>
      </c>
      <c r="M49" s="846">
        <f t="shared" ref="M49:X49" si="3">$L$49*M45*1000</f>
        <v>21390.227116311082</v>
      </c>
      <c r="N49" s="846">
        <f t="shared" si="3"/>
        <v>21637.990364762562</v>
      </c>
      <c r="O49" s="847">
        <f t="shared" si="3"/>
        <v>21968.341362697865</v>
      </c>
      <c r="P49" s="847">
        <f t="shared" si="3"/>
        <v>22959.394356503784</v>
      </c>
      <c r="Q49" s="846">
        <f t="shared" si="3"/>
        <v>23702.684101858224</v>
      </c>
      <c r="R49" s="846">
        <f t="shared" si="3"/>
        <v>23702.684101858224</v>
      </c>
      <c r="S49" s="847">
        <f t="shared" si="3"/>
        <v>24363.386097728839</v>
      </c>
      <c r="T49" s="847">
        <f t="shared" si="3"/>
        <v>24363.386097728839</v>
      </c>
      <c r="U49" s="846">
        <f t="shared" si="3"/>
        <v>22381.280110117001</v>
      </c>
      <c r="V49" s="846">
        <f t="shared" si="3"/>
        <v>22794.218857536129</v>
      </c>
      <c r="W49" s="847">
        <f t="shared" si="3"/>
        <v>23041.982105987616</v>
      </c>
      <c r="X49" s="848">
        <f t="shared" si="3"/>
        <v>24115.622849277359</v>
      </c>
    </row>
    <row r="50" spans="1:26">
      <c r="K50" s="516" t="s">
        <v>226</v>
      </c>
      <c r="L50" s="514"/>
      <c r="M50" s="514"/>
      <c r="N50" s="514"/>
      <c r="Q50" s="514"/>
      <c r="S50" s="517" t="s">
        <v>286</v>
      </c>
      <c r="T50" s="516" t="s">
        <v>285</v>
      </c>
      <c r="U50" s="517" t="s">
        <v>397</v>
      </c>
      <c r="V50" s="516" t="s">
        <v>284</v>
      </c>
      <c r="W50" s="515"/>
      <c r="X50" s="515"/>
    </row>
    <row r="51" spans="1:26" ht="23" customHeight="1">
      <c r="A51" s="675"/>
      <c r="B51" s="676"/>
      <c r="C51" s="677" t="s">
        <v>229</v>
      </c>
      <c r="D51" s="678">
        <f>D49</f>
        <v>15746.593255333792</v>
      </c>
      <c r="E51" s="679"/>
      <c r="F51" s="937">
        <f>F49</f>
        <v>600</v>
      </c>
      <c r="G51" s="679"/>
      <c r="H51" s="679"/>
      <c r="Z51" s="69"/>
    </row>
    <row r="52" spans="1:26" ht="23" customHeight="1">
      <c r="A52" s="674"/>
      <c r="B52" s="70"/>
      <c r="C52" s="386" t="s">
        <v>328</v>
      </c>
      <c r="D52" s="680">
        <f>D51*0.6*0.0825</f>
        <v>779.45636613902275</v>
      </c>
      <c r="E52" s="681"/>
      <c r="F52" s="931">
        <f>F51*0.6*0.0825</f>
        <v>29.700000000000003</v>
      </c>
      <c r="G52" s="681"/>
      <c r="H52" s="681"/>
      <c r="K52" s="695"/>
      <c r="Z52" s="69"/>
    </row>
    <row r="53" spans="1:26" ht="23" customHeight="1">
      <c r="A53" s="687"/>
      <c r="B53" s="384"/>
      <c r="C53" s="385" t="s">
        <v>330</v>
      </c>
      <c r="D53" s="688">
        <f>SUM(D51:D52)</f>
        <v>16526.049621472815</v>
      </c>
      <c r="E53" s="689"/>
      <c r="F53" s="938">
        <f>SUM(F51:F52)</f>
        <v>629.70000000000005</v>
      </c>
      <c r="G53" s="689"/>
      <c r="H53" s="689"/>
      <c r="K53"/>
      <c r="L53"/>
      <c r="M53"/>
      <c r="N53"/>
      <c r="O53"/>
      <c r="P53"/>
      <c r="Q53"/>
      <c r="R53"/>
      <c r="S53"/>
      <c r="T53"/>
      <c r="U53"/>
      <c r="V53"/>
      <c r="W53"/>
      <c r="X53"/>
      <c r="Z53" s="69"/>
    </row>
    <row r="54" spans="1:26" ht="23" customHeight="1">
      <c r="A54" s="674"/>
      <c r="B54" s="70"/>
      <c r="C54" s="980" t="s">
        <v>333</v>
      </c>
      <c r="D54" s="931">
        <f>-IF('1 Customer Record'!C19="Oncor",(D42*1000*0.8),(IF('1 Customer Record'!C19="Austin Energy",(D42*1000*1.06),0)))</f>
        <v>0</v>
      </c>
      <c r="E54" s="681"/>
      <c r="F54" s="931">
        <f>-IF('1 Customer Record'!C19="Oncor",(D42*1000*0.8),(IF('1 Customer Record'!C19="Austin Energy",(D42*1000*1.06),0)))</f>
        <v>0</v>
      </c>
      <c r="G54" s="681"/>
      <c r="H54" s="681"/>
      <c r="K54"/>
      <c r="L54"/>
      <c r="M54"/>
      <c r="N54"/>
      <c r="O54"/>
      <c r="P54"/>
      <c r="Q54"/>
      <c r="R54"/>
      <c r="S54"/>
      <c r="T54"/>
      <c r="U54"/>
      <c r="V54"/>
      <c r="W54"/>
      <c r="X54"/>
      <c r="Z54" s="69"/>
    </row>
    <row r="55" spans="1:26" ht="23" customHeight="1">
      <c r="A55" s="675"/>
      <c r="B55" s="676"/>
      <c r="C55" s="677" t="s">
        <v>184</v>
      </c>
      <c r="D55" s="678">
        <f>D53+D54</f>
        <v>16526.049621472815</v>
      </c>
      <c r="E55" s="679"/>
      <c r="F55" s="937">
        <f>F53+F54</f>
        <v>629.70000000000005</v>
      </c>
      <c r="G55" s="679"/>
      <c r="H55" s="679"/>
      <c r="K55"/>
      <c r="L55"/>
      <c r="M55"/>
      <c r="N55"/>
      <c r="O55"/>
      <c r="P55"/>
      <c r="Q55"/>
      <c r="R55"/>
      <c r="S55"/>
      <c r="T55"/>
      <c r="U55"/>
      <c r="V55"/>
      <c r="W55"/>
      <c r="X55"/>
      <c r="Z55" s="69"/>
    </row>
    <row r="56" spans="1:26" ht="23" customHeight="1">
      <c r="A56" s="682"/>
      <c r="B56" s="683"/>
      <c r="C56" s="684" t="s">
        <v>335</v>
      </c>
      <c r="D56" s="685">
        <f>-(D53+D54-H34)*0.3</f>
        <v>-4777.8148864418445</v>
      </c>
      <c r="E56" s="686"/>
      <c r="F56" s="932">
        <f>-(F53+F54)*0.3</f>
        <v>-188.91</v>
      </c>
      <c r="G56" s="686"/>
      <c r="H56" s="686"/>
      <c r="K56"/>
      <c r="L56"/>
      <c r="M56"/>
      <c r="N56"/>
      <c r="O56"/>
      <c r="P56"/>
      <c r="Q56"/>
      <c r="R56"/>
      <c r="S56"/>
      <c r="T56"/>
      <c r="U56"/>
      <c r="V56"/>
      <c r="W56"/>
      <c r="X56"/>
      <c r="Z56" s="69"/>
    </row>
    <row r="57" spans="1:26" ht="25" customHeight="1">
      <c r="A57" s="1052" t="s">
        <v>177</v>
      </c>
      <c r="B57" s="1052"/>
      <c r="C57" s="1052"/>
      <c r="D57" s="673">
        <f>SUM(D55:D56)</f>
        <v>11748.234735030972</v>
      </c>
      <c r="E57" s="673"/>
      <c r="F57" s="940">
        <f>SUM(F55:F56)</f>
        <v>440.79000000000008</v>
      </c>
      <c r="G57" s="673"/>
      <c r="H57" s="673"/>
      <c r="K57"/>
      <c r="L57"/>
      <c r="M57"/>
      <c r="N57"/>
      <c r="O57"/>
      <c r="P57"/>
      <c r="Q57"/>
      <c r="R57"/>
      <c r="S57"/>
      <c r="T57"/>
      <c r="U57"/>
      <c r="V57"/>
      <c r="W57"/>
      <c r="X57"/>
      <c r="Z57" s="69"/>
    </row>
    <row r="58" spans="1:26" ht="18">
      <c r="A58" s="382"/>
      <c r="C58" s="382"/>
      <c r="D58" s="382"/>
      <c r="E58" s="382"/>
      <c r="F58" s="382"/>
      <c r="G58" s="382"/>
      <c r="K58"/>
      <c r="L58"/>
      <c r="M58"/>
      <c r="N58"/>
      <c r="O58"/>
      <c r="P58"/>
      <c r="Q58"/>
      <c r="R58"/>
      <c r="S58"/>
      <c r="T58"/>
      <c r="U58"/>
      <c r="V58"/>
      <c r="W58"/>
      <c r="X58"/>
    </row>
    <row r="59" spans="1:26" ht="24" customHeight="1">
      <c r="A59" s="1053" t="s">
        <v>170</v>
      </c>
      <c r="B59" s="1053"/>
      <c r="C59" s="1053"/>
      <c r="D59" s="671">
        <f>'4 Dividend Financed Bid'!G48</f>
        <v>105</v>
      </c>
      <c r="E59" s="671"/>
      <c r="F59" s="939">
        <f>'Cash Bid'!$G$47</f>
        <v>111.11666666666667</v>
      </c>
      <c r="G59" s="671"/>
      <c r="H59" s="671"/>
      <c r="K59"/>
      <c r="L59"/>
      <c r="M59"/>
      <c r="N59"/>
      <c r="O59"/>
      <c r="P59"/>
      <c r="Q59"/>
      <c r="R59"/>
      <c r="S59"/>
      <c r="T59"/>
      <c r="U59"/>
      <c r="V59"/>
      <c r="W59"/>
      <c r="X59"/>
    </row>
    <row r="60" spans="1:26" ht="24" customHeight="1">
      <c r="A60" s="1054" t="s">
        <v>530</v>
      </c>
      <c r="B60" s="1054"/>
      <c r="C60" s="1054"/>
      <c r="D60" s="672">
        <f>'4 Dividend Financed Bid'!G49</f>
        <v>92.476307153782031</v>
      </c>
      <c r="E60" s="672"/>
      <c r="F60" s="672"/>
      <c r="G60" s="672"/>
      <c r="H60" s="672"/>
      <c r="K60"/>
      <c r="L60"/>
      <c r="M60"/>
      <c r="N60"/>
      <c r="O60"/>
      <c r="P60"/>
      <c r="Q60"/>
      <c r="R60"/>
      <c r="S60"/>
      <c r="T60"/>
      <c r="U60"/>
      <c r="V60"/>
      <c r="W60"/>
      <c r="X60"/>
    </row>
    <row r="61" spans="1:26" ht="24" customHeight="1">
      <c r="A61" s="1053" t="s">
        <v>90</v>
      </c>
      <c r="B61" s="1053"/>
      <c r="C61" s="1053"/>
      <c r="D61" s="672">
        <f>'4 Dividend Financed Bid'!G50</f>
        <v>5.9950000000000045</v>
      </c>
      <c r="E61" s="672"/>
      <c r="F61" s="933">
        <f>'Cash Bid'!$G$48</f>
        <v>33.388531773342521</v>
      </c>
      <c r="G61" s="672"/>
      <c r="H61" s="672"/>
      <c r="K61"/>
      <c r="L61"/>
      <c r="M61"/>
      <c r="N61"/>
      <c r="O61"/>
      <c r="P61"/>
      <c r="Q61"/>
      <c r="R61"/>
      <c r="S61"/>
      <c r="T61"/>
      <c r="U61"/>
      <c r="V61"/>
      <c r="W61"/>
      <c r="X61"/>
    </row>
    <row r="62" spans="1:26" ht="24" customHeight="1">
      <c r="A62" s="1055" t="s">
        <v>192</v>
      </c>
      <c r="B62" s="1055"/>
      <c r="C62" s="1055"/>
      <c r="D62" s="673">
        <f>'4 Dividend Financed Bid'!G51</f>
        <v>6.528692846217969</v>
      </c>
      <c r="E62" s="673"/>
      <c r="F62" s="940">
        <f>F59-F61</f>
        <v>77.728134893324153</v>
      </c>
      <c r="G62" s="673"/>
      <c r="H62" s="673"/>
      <c r="K62"/>
      <c r="L62"/>
      <c r="M62"/>
      <c r="N62"/>
      <c r="O62"/>
      <c r="P62"/>
      <c r="Q62"/>
      <c r="R62"/>
      <c r="S62"/>
      <c r="T62"/>
      <c r="U62"/>
      <c r="V62"/>
      <c r="W62"/>
      <c r="X62"/>
    </row>
    <row r="63" spans="1:26" ht="24" customHeight="1">
      <c r="A63" s="382"/>
      <c r="C63" s="382"/>
      <c r="D63" s="382"/>
      <c r="E63" s="382"/>
      <c r="F63" s="382"/>
      <c r="G63" s="382"/>
      <c r="K63"/>
      <c r="L63"/>
      <c r="M63"/>
      <c r="N63"/>
      <c r="O63"/>
      <c r="P63"/>
      <c r="Q63"/>
      <c r="R63"/>
      <c r="S63"/>
      <c r="T63"/>
      <c r="U63"/>
      <c r="V63"/>
      <c r="W63"/>
      <c r="X63"/>
    </row>
    <row r="64" spans="1:26" ht="30" customHeight="1"/>
    <row r="65" spans="3:26" ht="30" customHeight="1"/>
    <row r="66" spans="3:26" ht="30" customHeight="1"/>
    <row r="67" spans="3:26" ht="30" customHeight="1">
      <c r="F67" s="511"/>
    </row>
    <row r="68" spans="3:26">
      <c r="P68" s="52"/>
    </row>
    <row r="69" spans="3:26">
      <c r="P69" s="52"/>
    </row>
    <row r="70" spans="3:26">
      <c r="P70" s="52"/>
    </row>
    <row r="71" spans="3:26" ht="25" customHeight="1"/>
    <row r="74" spans="3:26" ht="16" thickBot="1"/>
    <row r="75" spans="3:26" ht="18">
      <c r="T75" s="1045" t="s">
        <v>479</v>
      </c>
      <c r="U75" s="1046"/>
      <c r="V75" s="1046"/>
      <c r="W75" s="1046"/>
      <c r="X75" s="1046"/>
      <c r="Y75" s="1046"/>
      <c r="Z75" s="1047"/>
    </row>
    <row r="76" spans="3:26">
      <c r="C76" s="378"/>
      <c r="D76" s="378"/>
      <c r="E76" s="378"/>
      <c r="F76" s="379"/>
      <c r="G76" s="379"/>
      <c r="H76" s="379"/>
      <c r="J76" s="379"/>
      <c r="K76" s="379"/>
      <c r="L76" s="379"/>
      <c r="T76" s="64"/>
      <c r="U76" s="62"/>
      <c r="V76" s="62"/>
      <c r="W76" s="62"/>
      <c r="X76" s="62"/>
      <c r="Y76" s="390" t="s">
        <v>252</v>
      </c>
      <c r="Z76" s="391" t="s">
        <v>486</v>
      </c>
    </row>
    <row r="77" spans="3:26">
      <c r="C77" s="378"/>
      <c r="D77" s="378"/>
      <c r="E77" s="378"/>
      <c r="F77" s="379"/>
      <c r="G77" s="379"/>
      <c r="H77" s="379"/>
      <c r="J77" s="379"/>
      <c r="K77" s="379"/>
      <c r="L77" s="379"/>
      <c r="T77" s="64"/>
      <c r="U77" s="62"/>
      <c r="V77" s="62"/>
      <c r="W77" s="62"/>
      <c r="X77" s="62"/>
      <c r="Y77" s="390" t="s">
        <v>254</v>
      </c>
      <c r="Z77" s="391" t="s">
        <v>253</v>
      </c>
    </row>
    <row r="78" spans="3:26">
      <c r="C78" s="378"/>
      <c r="D78" s="378"/>
      <c r="E78" s="378"/>
      <c r="F78" s="379"/>
      <c r="G78" s="379"/>
      <c r="H78" s="379"/>
      <c r="J78" s="379"/>
      <c r="K78" s="379"/>
      <c r="L78" s="379"/>
      <c r="T78" s="58" t="s">
        <v>255</v>
      </c>
      <c r="U78" s="54" t="s">
        <v>489</v>
      </c>
      <c r="V78" s="62"/>
      <c r="W78" s="392" t="s">
        <v>231</v>
      </c>
      <c r="X78" s="62"/>
      <c r="Y78" s="62"/>
      <c r="Z78" s="63"/>
    </row>
    <row r="79" spans="3:26">
      <c r="C79" s="378"/>
      <c r="D79" s="378"/>
      <c r="E79" s="378"/>
      <c r="F79" s="379"/>
      <c r="G79" s="379"/>
      <c r="H79" s="379"/>
      <c r="J79" s="379"/>
      <c r="K79" s="379"/>
      <c r="L79" s="379"/>
      <c r="T79" s="58" t="s">
        <v>482</v>
      </c>
      <c r="U79" s="66">
        <f>L46</f>
        <v>2.477632484514797</v>
      </c>
      <c r="V79" s="62"/>
      <c r="W79" s="392" t="s">
        <v>233</v>
      </c>
      <c r="X79" s="67"/>
      <c r="Y79" s="67"/>
      <c r="Z79" s="68"/>
    </row>
    <row r="80" spans="3:26">
      <c r="C80" s="378"/>
      <c r="D80" s="378"/>
      <c r="E80" s="378"/>
      <c r="F80" s="379"/>
      <c r="G80" s="379"/>
      <c r="H80" s="379"/>
      <c r="J80" s="379"/>
      <c r="K80" s="379"/>
      <c r="L80" s="379"/>
      <c r="T80" s="64" t="s">
        <v>488</v>
      </c>
      <c r="U80" s="66">
        <f>L47</f>
        <v>4.1293874741913283</v>
      </c>
      <c r="V80" s="62"/>
      <c r="W80" s="392" t="s">
        <v>235</v>
      </c>
      <c r="X80" s="67"/>
      <c r="Y80" s="67"/>
      <c r="Z80" s="68"/>
    </row>
    <row r="81" spans="19:26">
      <c r="T81" s="64"/>
      <c r="U81" s="66">
        <f>L48</f>
        <v>5.7811424638678597</v>
      </c>
      <c r="V81" s="62"/>
      <c r="W81" s="62"/>
      <c r="X81" s="67"/>
      <c r="Y81" s="67"/>
      <c r="Z81" s="68"/>
    </row>
    <row r="82" spans="19:26">
      <c r="T82" s="64"/>
      <c r="U82" s="71">
        <f>L49</f>
        <v>8.2587749483826567</v>
      </c>
      <c r="V82" s="62"/>
      <c r="W82" s="62"/>
      <c r="X82" s="67"/>
      <c r="Y82" s="67"/>
      <c r="Z82" s="68"/>
    </row>
    <row r="83" spans="19:26">
      <c r="T83" s="64"/>
      <c r="U83" s="62"/>
      <c r="V83" s="62"/>
      <c r="W83" s="62"/>
      <c r="X83" s="67"/>
      <c r="Y83" s="67"/>
      <c r="Z83" s="68"/>
    </row>
    <row r="84" spans="19:26">
      <c r="T84" s="64"/>
      <c r="U84" s="54" t="s">
        <v>483</v>
      </c>
      <c r="V84" s="54" t="s">
        <v>253</v>
      </c>
      <c r="W84" s="55">
        <v>250</v>
      </c>
      <c r="X84" s="54" t="s">
        <v>407</v>
      </c>
      <c r="Y84" s="56" t="s">
        <v>280</v>
      </c>
      <c r="Z84" s="57"/>
    </row>
    <row r="85" spans="19:26">
      <c r="S85" s="65"/>
      <c r="T85" s="64"/>
      <c r="U85" s="59" t="s">
        <v>485</v>
      </c>
      <c r="V85" s="59" t="s">
        <v>486</v>
      </c>
      <c r="W85" s="60">
        <v>270</v>
      </c>
      <c r="X85" s="61" t="s">
        <v>487</v>
      </c>
      <c r="Y85" s="62" t="s">
        <v>281</v>
      </c>
      <c r="Z85" s="63"/>
    </row>
    <row r="86" spans="19:26">
      <c r="T86" s="64"/>
      <c r="U86" s="62"/>
      <c r="V86" s="62"/>
      <c r="W86" s="354"/>
      <c r="X86" s="59" t="s">
        <v>279</v>
      </c>
      <c r="Y86" s="62"/>
      <c r="Z86" s="63"/>
    </row>
    <row r="87" spans="19:26">
      <c r="T87" s="64"/>
      <c r="U87" s="62"/>
      <c r="V87" s="62"/>
      <c r="W87" s="354"/>
      <c r="X87" s="62"/>
      <c r="Y87" s="62"/>
      <c r="Z87" s="63"/>
    </row>
    <row r="88" spans="19:26">
      <c r="T88" s="64"/>
      <c r="U88" s="62"/>
      <c r="V88" s="62"/>
      <c r="W88" s="354"/>
      <c r="X88" s="62"/>
      <c r="Y88" s="62"/>
      <c r="Z88" s="63"/>
    </row>
    <row r="89" spans="19:26">
      <c r="T89" s="72" t="s">
        <v>314</v>
      </c>
      <c r="U89" s="56" t="s">
        <v>315</v>
      </c>
      <c r="V89" s="56" t="s">
        <v>316</v>
      </c>
      <c r="W89" s="56" t="s">
        <v>222</v>
      </c>
      <c r="X89" s="56" t="s">
        <v>317</v>
      </c>
      <c r="Y89" s="56" t="s">
        <v>318</v>
      </c>
      <c r="Z89" s="57" t="s">
        <v>319</v>
      </c>
    </row>
    <row r="90" spans="19:26">
      <c r="T90" s="64" t="s">
        <v>320</v>
      </c>
      <c r="U90" s="62">
        <v>250</v>
      </c>
      <c r="V90" s="62" t="s">
        <v>253</v>
      </c>
      <c r="W90" s="62" t="s">
        <v>485</v>
      </c>
      <c r="X90" s="62" t="s">
        <v>321</v>
      </c>
      <c r="Y90" s="73">
        <v>2.48</v>
      </c>
      <c r="Z90" s="74">
        <v>2.59</v>
      </c>
    </row>
    <row r="91" spans="19:26">
      <c r="T91" s="64" t="s">
        <v>322</v>
      </c>
      <c r="U91" s="62">
        <v>250</v>
      </c>
      <c r="V91" s="62" t="s">
        <v>253</v>
      </c>
      <c r="W91" s="62" t="s">
        <v>323</v>
      </c>
      <c r="X91" s="62" t="s">
        <v>321</v>
      </c>
      <c r="Y91" s="73">
        <v>2.61</v>
      </c>
      <c r="Z91" s="75">
        <v>2.72</v>
      </c>
    </row>
    <row r="92" spans="19:26">
      <c r="T92" s="64" t="s">
        <v>481</v>
      </c>
      <c r="U92" s="62">
        <v>270</v>
      </c>
      <c r="V92" s="62" t="s">
        <v>253</v>
      </c>
      <c r="W92" s="62" t="s">
        <v>485</v>
      </c>
      <c r="X92" s="62" t="s">
        <v>321</v>
      </c>
      <c r="Y92" s="73">
        <v>2.5499999999999998</v>
      </c>
      <c r="Z92" s="74">
        <v>2.66</v>
      </c>
    </row>
    <row r="93" spans="19:26">
      <c r="T93" s="64" t="s">
        <v>325</v>
      </c>
      <c r="U93" s="62">
        <v>270</v>
      </c>
      <c r="V93" s="62" t="s">
        <v>253</v>
      </c>
      <c r="W93" s="62" t="s">
        <v>323</v>
      </c>
      <c r="X93" s="62" t="s">
        <v>321</v>
      </c>
      <c r="Y93" s="73">
        <v>2.67</v>
      </c>
      <c r="Z93" s="75">
        <v>2.78</v>
      </c>
    </row>
    <row r="94" spans="19:26">
      <c r="T94" s="64" t="s">
        <v>326</v>
      </c>
      <c r="U94" s="62">
        <v>250</v>
      </c>
      <c r="V94" s="62" t="s">
        <v>253</v>
      </c>
      <c r="W94" s="62" t="s">
        <v>485</v>
      </c>
      <c r="X94" s="62" t="s">
        <v>327</v>
      </c>
      <c r="Y94" s="73">
        <v>2.76</v>
      </c>
      <c r="Z94" s="74">
        <v>2.87</v>
      </c>
    </row>
    <row r="95" spans="19:26">
      <c r="T95" s="64" t="s">
        <v>329</v>
      </c>
      <c r="U95" s="62">
        <v>250</v>
      </c>
      <c r="V95" s="62" t="s">
        <v>253</v>
      </c>
      <c r="W95" s="62" t="s">
        <v>323</v>
      </c>
      <c r="X95" s="62" t="s">
        <v>327</v>
      </c>
      <c r="Y95" s="73">
        <v>2.76</v>
      </c>
      <c r="Z95" s="75">
        <v>2.87</v>
      </c>
    </row>
    <row r="96" spans="19:26">
      <c r="T96" s="64" t="s">
        <v>331</v>
      </c>
      <c r="U96" s="62">
        <v>270</v>
      </c>
      <c r="V96" s="62" t="s">
        <v>253</v>
      </c>
      <c r="W96" s="62" t="s">
        <v>485</v>
      </c>
      <c r="X96" s="62" t="s">
        <v>332</v>
      </c>
      <c r="Y96" s="73">
        <v>2.84</v>
      </c>
      <c r="Z96" s="74">
        <v>2.95</v>
      </c>
    </row>
    <row r="97" spans="20:26">
      <c r="T97" s="64" t="s">
        <v>334</v>
      </c>
      <c r="U97" s="62">
        <v>270</v>
      </c>
      <c r="V97" s="62" t="s">
        <v>253</v>
      </c>
      <c r="W97" s="62" t="s">
        <v>323</v>
      </c>
      <c r="X97" s="62" t="s">
        <v>332</v>
      </c>
      <c r="Y97" s="73">
        <v>2.84</v>
      </c>
      <c r="Z97" s="74">
        <v>2.95</v>
      </c>
    </row>
    <row r="98" spans="20:26">
      <c r="T98" s="64" t="s">
        <v>336</v>
      </c>
      <c r="U98" s="62">
        <v>250</v>
      </c>
      <c r="V98" s="62" t="s">
        <v>253</v>
      </c>
      <c r="W98" s="62" t="s">
        <v>485</v>
      </c>
      <c r="X98" s="62" t="s">
        <v>337</v>
      </c>
      <c r="Y98" s="73">
        <v>2.6</v>
      </c>
      <c r="Z98" s="74">
        <v>2.71</v>
      </c>
    </row>
    <row r="99" spans="20:26">
      <c r="T99" s="64" t="s">
        <v>338</v>
      </c>
      <c r="U99" s="62">
        <v>250</v>
      </c>
      <c r="V99" s="62" t="s">
        <v>253</v>
      </c>
      <c r="W99" s="62" t="s">
        <v>323</v>
      </c>
      <c r="X99" s="62" t="s">
        <v>337</v>
      </c>
      <c r="Y99" s="73">
        <v>2.69</v>
      </c>
      <c r="Z99" s="74">
        <v>2.8</v>
      </c>
    </row>
    <row r="100" spans="20:26">
      <c r="T100" s="64" t="s">
        <v>339</v>
      </c>
      <c r="U100" s="62">
        <v>270</v>
      </c>
      <c r="V100" s="62" t="s">
        <v>253</v>
      </c>
      <c r="W100" s="62" t="s">
        <v>485</v>
      </c>
      <c r="X100" s="62" t="s">
        <v>337</v>
      </c>
      <c r="Y100" s="73">
        <v>2.68</v>
      </c>
      <c r="Z100" s="74">
        <v>2.79</v>
      </c>
    </row>
    <row r="101" spans="20:26" ht="16" thickBot="1">
      <c r="T101" s="76" t="s">
        <v>340</v>
      </c>
      <c r="U101" s="77">
        <v>270</v>
      </c>
      <c r="V101" s="77" t="s">
        <v>253</v>
      </c>
      <c r="W101" s="77" t="s">
        <v>323</v>
      </c>
      <c r="X101" s="77" t="s">
        <v>337</v>
      </c>
      <c r="Y101" s="78">
        <v>2.77</v>
      </c>
      <c r="Z101" s="79">
        <v>2.88</v>
      </c>
    </row>
    <row r="104" spans="20:26">
      <c r="W104" s="381">
        <v>250</v>
      </c>
      <c r="X104" s="56" t="s">
        <v>407</v>
      </c>
      <c r="Y104" s="56" t="s">
        <v>280</v>
      </c>
      <c r="Z104" s="57" t="s">
        <v>320</v>
      </c>
    </row>
    <row r="105" spans="20:26">
      <c r="W105" s="354">
        <v>250</v>
      </c>
      <c r="X105" s="62" t="s">
        <v>407</v>
      </c>
      <c r="Y105" s="62" t="s">
        <v>281</v>
      </c>
      <c r="Z105" s="63" t="s">
        <v>322</v>
      </c>
    </row>
    <row r="106" spans="20:26">
      <c r="W106" s="354">
        <v>270</v>
      </c>
      <c r="X106" s="62" t="s">
        <v>407</v>
      </c>
      <c r="Y106" s="62" t="s">
        <v>280</v>
      </c>
      <c r="Z106" s="63" t="s">
        <v>481</v>
      </c>
    </row>
    <row r="107" spans="20:26">
      <c r="W107" s="374">
        <v>270</v>
      </c>
      <c r="X107" s="62" t="s">
        <v>407</v>
      </c>
      <c r="Y107" s="62" t="s">
        <v>281</v>
      </c>
      <c r="Z107" s="63" t="s">
        <v>325</v>
      </c>
    </row>
    <row r="108" spans="20:26">
      <c r="W108" s="374">
        <v>250</v>
      </c>
      <c r="X108" s="62" t="s">
        <v>283</v>
      </c>
      <c r="Y108" s="62" t="s">
        <v>280</v>
      </c>
      <c r="Z108" s="63" t="s">
        <v>326</v>
      </c>
    </row>
    <row r="109" spans="20:26">
      <c r="W109" s="374">
        <v>250</v>
      </c>
      <c r="X109" s="62" t="s">
        <v>283</v>
      </c>
      <c r="Y109" s="62" t="s">
        <v>281</v>
      </c>
      <c r="Z109" s="68" t="s">
        <v>329</v>
      </c>
    </row>
    <row r="110" spans="20:26">
      <c r="W110" s="374">
        <v>270</v>
      </c>
      <c r="X110" s="62" t="s">
        <v>283</v>
      </c>
      <c r="Y110" s="62" t="s">
        <v>280</v>
      </c>
      <c r="Z110" s="68" t="s">
        <v>331</v>
      </c>
    </row>
    <row r="111" spans="20:26">
      <c r="W111" s="374">
        <v>270</v>
      </c>
      <c r="X111" s="62" t="s">
        <v>283</v>
      </c>
      <c r="Y111" s="62" t="s">
        <v>281</v>
      </c>
      <c r="Z111" s="68" t="s">
        <v>334</v>
      </c>
    </row>
    <row r="112" spans="20:26">
      <c r="W112" s="374">
        <v>250</v>
      </c>
      <c r="X112" s="67" t="s">
        <v>217</v>
      </c>
      <c r="Y112" s="62" t="s">
        <v>280</v>
      </c>
      <c r="Z112" s="68" t="s">
        <v>336</v>
      </c>
    </row>
    <row r="113" spans="22:30">
      <c r="W113" s="374">
        <v>250</v>
      </c>
      <c r="X113" s="67" t="s">
        <v>217</v>
      </c>
      <c r="Y113" s="62" t="s">
        <v>281</v>
      </c>
      <c r="Z113" s="68" t="s">
        <v>336</v>
      </c>
    </row>
    <row r="114" spans="22:30">
      <c r="W114" s="374">
        <v>270</v>
      </c>
      <c r="X114" s="67" t="s">
        <v>217</v>
      </c>
      <c r="Y114" s="62" t="s">
        <v>280</v>
      </c>
      <c r="Z114" s="68" t="s">
        <v>339</v>
      </c>
    </row>
    <row r="115" spans="22:30">
      <c r="W115" s="375">
        <v>270</v>
      </c>
      <c r="X115" s="368" t="s">
        <v>217</v>
      </c>
      <c r="Y115" s="369" t="s">
        <v>281</v>
      </c>
      <c r="Z115" s="372" t="s">
        <v>340</v>
      </c>
    </row>
    <row r="116" spans="22:30" ht="16" thickBot="1"/>
    <row r="117" spans="22:30">
      <c r="V117" s="641"/>
      <c r="W117" s="555"/>
      <c r="X117" s="555"/>
      <c r="Y117" s="555"/>
      <c r="Z117" s="670">
        <f>D42</f>
        <v>5.7811424638678597</v>
      </c>
      <c r="AA117" s="643"/>
      <c r="AB117" s="1048" t="s">
        <v>455</v>
      </c>
      <c r="AC117" s="1050" t="s">
        <v>456</v>
      </c>
      <c r="AD117" s="555"/>
    </row>
    <row r="118" spans="22:30" ht="16" thickBot="1">
      <c r="V118" s="134"/>
      <c r="W118" s="555"/>
      <c r="X118" s="555"/>
      <c r="Y118" s="555"/>
      <c r="Z118" s="644"/>
      <c r="AA118" s="579"/>
      <c r="AB118" s="1049"/>
      <c r="AC118" s="1051"/>
      <c r="AD118" s="555"/>
    </row>
    <row r="119" spans="22:30">
      <c r="V119" s="339"/>
      <c r="W119" s="643"/>
      <c r="X119" s="645" t="s">
        <v>379</v>
      </c>
      <c r="Y119" s="646">
        <f>PV_Production_Factor</f>
        <v>1453</v>
      </c>
      <c r="Z119" s="341" t="s">
        <v>457</v>
      </c>
      <c r="AA119" s="579">
        <f t="array" aca="1" ref="AA119" ca="1">INDEX($AC$137:$AQ$152,MATCH(1,($AC$137:$AC$152=$Y$114)*($AD$137:$AD$152=$Y$115),0),3)</f>
        <v>105</v>
      </c>
      <c r="AB119" s="647">
        <f ca="1">AA119*$D$42</f>
        <v>725.89470061940801</v>
      </c>
      <c r="AC119" s="342" t="e">
        <f>IF(#REF!="Monthly Usage",'2 Sizing Sheet'!C30,IF(#REF!="Annual Usage",'2 Sizing Sheet'!$C$50*AD119,'2 Sizing Sheet'!$C$68*AD119))</f>
        <v>#REF!</v>
      </c>
      <c r="AD119" s="436">
        <v>7.6050291321680466E-2</v>
      </c>
    </row>
    <row r="120" spans="22:30">
      <c r="V120" s="340"/>
      <c r="W120" s="579"/>
      <c r="X120" s="648" t="s">
        <v>390</v>
      </c>
      <c r="Y120" s="649">
        <f>'2 Sizing Sheet'!D14</f>
        <v>0</v>
      </c>
      <c r="Z120" s="341" t="s">
        <v>458</v>
      </c>
      <c r="AA120" s="579">
        <f t="array" aca="1" ref="AA120" ca="1">INDEX($AC$137:$AQ$152,MATCH(1,($AC$137:$AC$152=$Y$114)*($AD$137:$AD$152=$Y$115),0),4)</f>
        <v>107</v>
      </c>
      <c r="AB120" s="647">
        <f t="shared" ref="AB120:AB130" ca="1" si="4">AA120*$G$12</f>
        <v>749</v>
      </c>
      <c r="AC120" s="342" t="e">
        <f>IF(#REF!="Monthly Usage",'2 Sizing Sheet'!C31,IF(#REF!="Annual Usage",'2 Sizing Sheet'!$C$50*AD120,'2 Sizing Sheet'!$C$68*AD120))</f>
        <v>#REF!</v>
      </c>
      <c r="AD120" s="436">
        <v>6.0819789430644998E-2</v>
      </c>
    </row>
    <row r="121" spans="22:30" ht="16" thickBot="1">
      <c r="V121" s="650"/>
      <c r="W121" s="651"/>
      <c r="X121" s="652" t="s">
        <v>389</v>
      </c>
      <c r="Y121" s="653">
        <f>'2 Sizing Sheet'!D16</f>
        <v>0</v>
      </c>
      <c r="Z121" s="341" t="s">
        <v>459</v>
      </c>
      <c r="AA121" s="579">
        <f t="array" aca="1" ref="AA121" ca="1">INDEX($AC$137:$AQ$152,MATCH(1,($AC$137:$AC$152=$Y$114)*($AD$137:$AD$152=$Y$115),0),5)</f>
        <v>130</v>
      </c>
      <c r="AB121" s="647">
        <f t="shared" ca="1" si="4"/>
        <v>910</v>
      </c>
      <c r="AC121" s="342" t="e">
        <f>IF(#REF!="Monthly Usage",'2 Sizing Sheet'!C32,IF(#REF!="Annual Usage",'2 Sizing Sheet'!$C$50*AD121,'2 Sizing Sheet'!$C$68*AD121))</f>
        <v>#REF!</v>
      </c>
      <c r="AD121" s="436">
        <v>5.6526627823775939E-2</v>
      </c>
    </row>
    <row r="122" spans="22:30">
      <c r="V122" s="579"/>
      <c r="W122" s="436"/>
      <c r="X122" s="555"/>
      <c r="Y122" s="555"/>
      <c r="Z122" s="341" t="s">
        <v>370</v>
      </c>
      <c r="AA122" s="555">
        <f t="array" aca="1" ref="AA122" ca="1">INDEX($AC$137:$AQ$152,MATCH(1,($AC$137:$AC$152=$Y$114)*($AD$137:$AD$152=$Y$115),0),6)</f>
        <v>124</v>
      </c>
      <c r="AB122" s="647">
        <f t="shared" ca="1" si="4"/>
        <v>868</v>
      </c>
      <c r="AC122" s="342" t="e">
        <f>IF(#REF!="Monthly Usage",'2 Sizing Sheet'!C33,IF(#REF!="Annual Usage",'2 Sizing Sheet'!$C$50*AD122,'2 Sizing Sheet'!$C$68*AD122))</f>
        <v>#REF!</v>
      </c>
      <c r="AD122" s="436">
        <v>5.7753245425738529E-2</v>
      </c>
    </row>
    <row r="123" spans="22:30">
      <c r="V123" s="579"/>
      <c r="W123" s="436"/>
      <c r="X123" s="555"/>
      <c r="Y123" s="555"/>
      <c r="Z123" s="341" t="s">
        <v>371</v>
      </c>
      <c r="AA123" s="555">
        <f t="array" aca="1" ref="AA123" ca="1">INDEX($AC$137:$AQ$152,MATCH(1,($AC$137:$AC$152=$Y$114)*($AD$137:$AD$152=$Y$115),0),7)</f>
        <v>126</v>
      </c>
      <c r="AB123" s="647">
        <f t="shared" ca="1" si="4"/>
        <v>882</v>
      </c>
      <c r="AC123" s="342" t="e">
        <f>IF(#REF!="Monthly Usage",'2 Sizing Sheet'!C34,IF(#REF!="Annual Usage",'2 Sizing Sheet'!$C$50*AD123,'2 Sizing Sheet'!$C$68*AD123))</f>
        <v>#REF!</v>
      </c>
      <c r="AD123" s="436">
        <v>6.7361749974445467E-2</v>
      </c>
    </row>
    <row r="124" spans="22:30">
      <c r="V124" s="579"/>
      <c r="W124" s="436"/>
      <c r="X124" s="555"/>
      <c r="Y124" s="555"/>
      <c r="Z124" s="341" t="s">
        <v>372</v>
      </c>
      <c r="AA124" s="579">
        <f t="array" aca="1" ref="AA124" ca="1">INDEX($AC$137:$AQ$152,MATCH(1,($AC$137:$AC$152=$Y$114)*($AD$137:$AD$152=$Y$115),0),8)</f>
        <v>129</v>
      </c>
      <c r="AB124" s="647">
        <f t="shared" ca="1" si="4"/>
        <v>903</v>
      </c>
      <c r="AC124" s="342" t="e">
        <f>IF(#REF!="Monthly Usage",'2 Sizing Sheet'!C35,IF(#REF!="Annual Usage",'2 Sizing Sheet'!$C$50*AD124,'2 Sizing Sheet'!$C$68*AD124))</f>
        <v>#REF!</v>
      </c>
      <c r="AD124" s="436">
        <v>0.11243994684657058</v>
      </c>
    </row>
    <row r="125" spans="22:30">
      <c r="V125" s="579"/>
      <c r="W125" s="436"/>
      <c r="X125" s="555"/>
      <c r="Y125" s="555"/>
      <c r="Z125" s="341" t="s">
        <v>373</v>
      </c>
      <c r="AA125" s="579">
        <f t="array" aca="1" ref="AA125" ca="1">INDEX($AC$137:$AQ$152,MATCH(1,($AC$137:$AC$152=$Y$114)*($AD$137:$AD$152=$Y$115),0),9)</f>
        <v>137</v>
      </c>
      <c r="AB125" s="647">
        <f t="shared" ca="1" si="4"/>
        <v>959</v>
      </c>
      <c r="AC125" s="342" t="e">
        <f>IF(#REF!="Monthly Usage",'2 Sizing Sheet'!C36,IF(#REF!="Annual Usage",'2 Sizing Sheet'!$C$50*AD125,'2 Sizing Sheet'!$C$68*AD125))</f>
        <v>#REF!</v>
      </c>
      <c r="AD125" s="436">
        <v>0.12675048553613411</v>
      </c>
    </row>
    <row r="126" spans="22:30">
      <c r="V126" s="579"/>
      <c r="W126" s="436"/>
      <c r="X126" s="555"/>
      <c r="Y126" s="555"/>
      <c r="Z126" s="341" t="s">
        <v>374</v>
      </c>
      <c r="AA126" s="579">
        <f t="array" aca="1" ref="AA126" ca="1">INDEX($AC$137:$AQ$152,MATCH(1,($AC$137:$AC$152=$Y$114)*($AD$137:$AD$152=$Y$115),0),10)</f>
        <v>138</v>
      </c>
      <c r="AB126" s="647">
        <f t="shared" ca="1" si="4"/>
        <v>966</v>
      </c>
      <c r="AC126" s="342" t="e">
        <f>IF(#REF!="Monthly Usage",'2 Sizing Sheet'!C37,IF(#REF!="Annual Usage",'2 Sizing Sheet'!$C$50*AD126,'2 Sizing Sheet'!$C$68*AD126))</f>
        <v>#REF!</v>
      </c>
      <c r="AD126" s="436">
        <v>0.12470612286619646</v>
      </c>
    </row>
    <row r="127" spans="22:30">
      <c r="V127" s="579"/>
      <c r="W127" s="436"/>
      <c r="X127" s="555"/>
      <c r="Y127" s="555"/>
      <c r="Z127" s="341" t="s">
        <v>375</v>
      </c>
      <c r="AA127" s="579">
        <f t="array" aca="1" ref="AA127" ca="1">INDEX($AC$137:$AQ$152,MATCH(1,($AC$137:$AC$152=$Y$114)*($AD$137:$AD$152=$Y$115),0),11)</f>
        <v>127</v>
      </c>
      <c r="AB127" s="647">
        <f t="shared" ca="1" si="4"/>
        <v>889</v>
      </c>
      <c r="AC127" s="342" t="e">
        <f>IF(#REF!="Monthly Usage",'2 Sizing Sheet'!C38,IF(#REF!="Annual Usage",'2 Sizing Sheet'!$C$50*AD127,'2 Sizing Sheet'!$C$68*AD127))</f>
        <v>#REF!</v>
      </c>
      <c r="AD127" s="436">
        <v>0.11243994684657058</v>
      </c>
    </row>
    <row r="128" spans="22:30">
      <c r="V128" s="579"/>
      <c r="W128" s="436"/>
      <c r="X128" s="555"/>
      <c r="Y128" s="555"/>
      <c r="Z128" s="341" t="s">
        <v>376</v>
      </c>
      <c r="AA128" s="579">
        <f t="array" aca="1" ref="AA128" ca="1">INDEX($AC$137:$AQ$152,MATCH(1,($AC$137:$AC$152=$Y$114)*($AD$137:$AD$152=$Y$115),0),12)</f>
        <v>129</v>
      </c>
      <c r="AB128" s="647">
        <f t="shared" ca="1" si="4"/>
        <v>903</v>
      </c>
      <c r="AC128" s="342" t="e">
        <f>IF(#REF!="Monthly Usage",'2 Sizing Sheet'!C39,IF(#REF!&amp;"Annual Usage",'2 Sizing Sheet'!$C$50*AD128,'2 Sizing Sheet'!$C$68*AD128))</f>
        <v>#REF!</v>
      </c>
      <c r="AD128" s="436">
        <v>7.8299090258611884E-2</v>
      </c>
    </row>
    <row r="129" spans="22:30">
      <c r="V129" s="579"/>
      <c r="W129" s="436"/>
      <c r="X129" s="555"/>
      <c r="Y129" s="555"/>
      <c r="Z129" s="341" t="s">
        <v>377</v>
      </c>
      <c r="AA129" s="579">
        <f t="array" aca="1" ref="AA129" ca="1">INDEX($AC$137:$AQ$152,MATCH(1,($AC$137:$AC$152=$Y$114)*($AD$137:$AD$152=$Y$115),0),13)</f>
        <v>104</v>
      </c>
      <c r="AB129" s="647">
        <f t="shared" ca="1" si="4"/>
        <v>728</v>
      </c>
      <c r="AC129" s="342" t="e">
        <f>IF(#REF!="Monthly Usage",'2 Sizing Sheet'!C40,IF(#REF!="Annual Usage",'2 Sizing Sheet'!$C$50*AD129,'2 Sizing Sheet'!$C$68*AD129))</f>
        <v>#REF!</v>
      </c>
      <c r="AD129" s="436">
        <v>6.3886333435551473E-2</v>
      </c>
    </row>
    <row r="130" spans="22:30">
      <c r="V130" s="579"/>
      <c r="W130" s="555"/>
      <c r="X130" s="654"/>
      <c r="Y130" s="555"/>
      <c r="Z130" s="341" t="s">
        <v>378</v>
      </c>
      <c r="AA130" s="579">
        <f t="array" aca="1" ref="AA130" ca="1">INDEX($AC$137:$AQ$152,MATCH(1,($AC$137:$AC$152=$Y$114)*($AD$137:$AD$152=$Y$115),0),14)</f>
        <v>96</v>
      </c>
      <c r="AB130" s="647">
        <f t="shared" ca="1" si="4"/>
        <v>672</v>
      </c>
      <c r="AC130" s="342" t="e">
        <f>IF(#REF!="Monthly Usage",'2 Sizing Sheet'!C44,IF(#REF!="Annual Usage",'2 Sizing Sheet'!$C$50*AD130,'2 Sizing Sheet'!$C$68*AD130))</f>
        <v>#REF!</v>
      </c>
      <c r="AD130" s="436">
        <v>6.2966370234079527E-2</v>
      </c>
    </row>
    <row r="131" spans="22:30">
      <c r="V131" s="555"/>
      <c r="W131" s="555"/>
      <c r="X131" s="555"/>
      <c r="Y131" s="555"/>
      <c r="Z131" s="644"/>
      <c r="AA131" s="579"/>
      <c r="AB131" s="343">
        <f ca="1">AVERAGE(AB119:AB130)</f>
        <v>847</v>
      </c>
      <c r="AC131" s="344" t="e">
        <f>AVERAGE(AC119:AC130)</f>
        <v>#REF!</v>
      </c>
      <c r="AD131" s="555"/>
    </row>
    <row r="132" spans="22:30" ht="16" thickBot="1">
      <c r="V132" s="555"/>
      <c r="W132" s="555"/>
      <c r="X132" s="555"/>
      <c r="Y132" s="555"/>
      <c r="Z132" s="650"/>
      <c r="AA132" s="651"/>
      <c r="AB132" s="655">
        <f ca="1">SUM(AB119:AB130)</f>
        <v>10164</v>
      </c>
      <c r="AC132" s="345" t="e">
        <f>SUM(AC119:AC130)</f>
        <v>#REF!</v>
      </c>
      <c r="AD132" s="555"/>
    </row>
    <row r="133" spans="22:30">
      <c r="V133" s="95"/>
      <c r="W133" s="95"/>
      <c r="X133" s="95"/>
      <c r="Y133" s="95"/>
      <c r="Z133" s="95"/>
      <c r="AA133" s="95"/>
      <c r="AB133" s="95"/>
      <c r="AC133" s="95"/>
      <c r="AD133" s="95"/>
    </row>
    <row r="134" spans="22:30">
      <c r="V134" s="95"/>
      <c r="W134" s="95"/>
      <c r="X134" s="95"/>
      <c r="Y134" s="95"/>
      <c r="Z134" s="95"/>
      <c r="AA134" s="95"/>
      <c r="AB134" s="95" t="s">
        <v>237</v>
      </c>
      <c r="AC134" s="95" t="s">
        <v>183</v>
      </c>
      <c r="AD134" s="95"/>
    </row>
    <row r="135" spans="22:30">
      <c r="V135" s="95"/>
      <c r="W135" s="95"/>
      <c r="X135" s="95"/>
      <c r="Y135" s="95"/>
      <c r="Z135" s="95"/>
      <c r="AA135" s="95"/>
      <c r="AB135" s="660">
        <f ca="1">AB136/AC132</f>
        <v>0.70829268292682923</v>
      </c>
      <c r="AC135" s="660">
        <f ca="1">AC136/AC132</f>
        <v>0.29170731707317071</v>
      </c>
      <c r="AD135" s="95"/>
    </row>
    <row r="136" spans="22:30">
      <c r="V136" s="95"/>
      <c r="W136" s="95"/>
      <c r="X136" s="95"/>
      <c r="Y136" s="95"/>
      <c r="Z136" s="95"/>
      <c r="AA136" s="95"/>
      <c r="AB136" s="659">
        <f ca="1">AB132</f>
        <v>10164</v>
      </c>
      <c r="AC136" s="659">
        <f ca="1">AC132-AB136</f>
        <v>4186</v>
      </c>
      <c r="AD136" s="95"/>
    </row>
    <row r="137" spans="22:30">
      <c r="V137" s="95"/>
      <c r="W137" s="95"/>
      <c r="X137" s="95"/>
      <c r="Y137" s="95"/>
      <c r="Z137" s="95"/>
      <c r="AA137" s="95"/>
      <c r="AB137" s="660">
        <f ca="1">(AC136-AC132)/AC132</f>
        <v>-0.70829268292682923</v>
      </c>
      <c r="AC137" s="660">
        <f ca="1">(AB136-AC132)/AC132</f>
        <v>-0.29170731707317071</v>
      </c>
      <c r="AD137" s="95"/>
    </row>
  </sheetData>
  <sheetProtection selectLockedCells="1"/>
  <mergeCells count="35">
    <mergeCell ref="D26:E26"/>
    <mergeCell ref="W41:X41"/>
    <mergeCell ref="S41:T41"/>
    <mergeCell ref="U41:V41"/>
    <mergeCell ref="S42:T42"/>
    <mergeCell ref="U42:V42"/>
    <mergeCell ref="W42:X42"/>
    <mergeCell ref="T75:Z75"/>
    <mergeCell ref="AB117:AB118"/>
    <mergeCell ref="AC117:AC118"/>
    <mergeCell ref="A57:C57"/>
    <mergeCell ref="A59:C59"/>
    <mergeCell ref="A60:C60"/>
    <mergeCell ref="A61:C61"/>
    <mergeCell ref="A62:C62"/>
    <mergeCell ref="A40:B40"/>
    <mergeCell ref="C40:H40"/>
    <mergeCell ref="Q41:R41"/>
    <mergeCell ref="Q42:R42"/>
    <mergeCell ref="M41:N41"/>
    <mergeCell ref="M42:N42"/>
    <mergeCell ref="O41:P41"/>
    <mergeCell ref="O42:P42"/>
    <mergeCell ref="A13:B13"/>
    <mergeCell ref="C13:G13"/>
    <mergeCell ref="A15:B15"/>
    <mergeCell ref="C15:G15"/>
    <mergeCell ref="A17:B17"/>
    <mergeCell ref="C17:G17"/>
    <mergeCell ref="A7:B7"/>
    <mergeCell ref="C7:G7"/>
    <mergeCell ref="A9:B9"/>
    <mergeCell ref="C9:G9"/>
    <mergeCell ref="A11:B11"/>
    <mergeCell ref="C11:G11"/>
  </mergeCells>
  <phoneticPr fontId="31" type="noConversion"/>
  <dataValidations count="4">
    <dataValidation type="list" allowBlank="1" showInputMessage="1" showErrorMessage="1" sqref="Z76:Z77">
      <formula1>$V$84:$V$85</formula1>
    </dataValidation>
    <dataValidation type="list" allowBlank="1" showInputMessage="1" showErrorMessage="1" sqref="H7:I7">
      <formula1>$W$78:$W$80</formula1>
    </dataValidation>
    <dataValidation type="list" allowBlank="1" showInputMessage="1" showErrorMessage="1" sqref="G26 G24 G22">
      <formula1>$U$79:$U$82</formula1>
    </dataValidation>
    <dataValidation type="list" allowBlank="1" showInputMessage="1" showErrorMessage="1" sqref="C20:C38">
      <formula1>$U$84:$U$85</formula1>
      <formula2>0</formula2>
    </dataValidation>
  </dataValidations>
  <pageMargins left="0.75" right="0.82450980392156858" top="0.80555555555555558" bottom="1" header="0.24" footer="0.51"/>
  <pageSetup orientation="portrait" horizontalDpi="4294967292" verticalDpi="4294967292"/>
  <headerFooter>
    <oddHeader>&amp;L&amp;G&amp;R_x000D_2000 South 7th Street_x000D_Austin, TX  78704_x000D_512-476-5555_x000D_austin@lighthousesolar.com</oddHeader>
    <oddFooter>&amp;LLighthouseSolar Confidential</oddFooter>
  </headerFooter>
  <ignoredErrors>
    <ignoredError sqref="F48 F54" emptyCellReference="1"/>
  </ignoredErrors>
  <legacyDrawingHF r:id="rId1"/>
  <extLst>
    <ext xmlns:x14="http://schemas.microsoft.com/office/spreadsheetml/2009/9/main" uri="{CCE6A557-97BC-4b89-ADB6-D9C93CAAB3DF}">
      <x14:dataValidations xmlns:xm="http://schemas.microsoft.com/office/excel/2006/main" count="5">
        <x14:dataValidation type="list" allowBlank="1" showInputMessage="1" showErrorMessage="1">
          <x14:formula1>
            <xm:f>'Lookup Tables'!$C$8:$C$11</xm:f>
          </x14:formula1>
          <xm:sqref>H9:I9</xm:sqref>
        </x14:dataValidation>
        <x14:dataValidation type="list" allowBlank="1" showInputMessage="1" showErrorMessage="1">
          <x14:formula1>
            <xm:f>'Lookup Tables'!$I$3:$I$4</xm:f>
          </x14:formula1>
          <xm:sqref>H15:I15</xm:sqref>
        </x14:dataValidation>
        <x14:dataValidation type="list" allowBlank="1" showInputMessage="1" showErrorMessage="1">
          <x14:formula1>
            <xm:f>'Lookup Tables'!$E$3:$E$4</xm:f>
          </x14:formula1>
          <xm:sqref>H11:I11</xm:sqref>
        </x14:dataValidation>
        <x14:dataValidation type="list" allowBlank="1" showInputMessage="1" showErrorMessage="1">
          <x14:formula1>
            <xm:f>'Lookup Tables'!$F$3:$F$5</xm:f>
          </x14:formula1>
          <xm:sqref>I13</xm:sqref>
        </x14:dataValidation>
        <x14:dataValidation type="list" allowBlank="1" showInputMessage="1" showErrorMessage="1">
          <x14:formula1>
            <xm:f>'Lookup Tables'!$F$3:$F$4</xm:f>
          </x14:formula1>
          <xm:sqref>H13</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3" tint="0.39997558519241921"/>
  </sheetPr>
  <dimension ref="A1:AR164"/>
  <sheetViews>
    <sheetView showGridLines="0" view="pageLayout" topLeftCell="A28" zoomScaleNormal="90" zoomScalePageLayoutView="90" workbookViewId="0">
      <selection activeCell="G6" sqref="G6"/>
    </sheetView>
  </sheetViews>
  <sheetFormatPr baseColWidth="10" defaultRowHeight="12" x14ac:dyDescent="0"/>
  <cols>
    <col min="1" max="1" width="7.85546875" style="95" customWidth="1"/>
    <col min="2" max="2" width="6.5703125" style="95" customWidth="1"/>
    <col min="3" max="3" width="21.7109375" style="95" customWidth="1"/>
    <col min="4" max="4" width="8.140625" style="95" customWidth="1"/>
    <col min="5" max="5" width="12.42578125" style="95" customWidth="1"/>
    <col min="6" max="6" width="12.7109375" style="95" customWidth="1"/>
    <col min="7" max="7" width="16.140625" style="95" customWidth="1"/>
    <col min="8" max="8" width="6.7109375" style="95" customWidth="1"/>
    <col min="9" max="9" width="7.28515625" style="95" customWidth="1"/>
    <col min="10" max="10" width="5.85546875" style="95" customWidth="1"/>
    <col min="11" max="11" width="5.5703125" style="95" customWidth="1"/>
    <col min="12" max="12" width="14.28515625" style="95" customWidth="1"/>
    <col min="13" max="18" width="7.28515625" style="95" customWidth="1"/>
    <col min="19" max="19" width="6.28515625" style="95" customWidth="1"/>
    <col min="20" max="20" width="7.28515625" style="95" customWidth="1"/>
    <col min="21" max="21" width="3.28515625" style="95" bestFit="1" customWidth="1"/>
    <col min="22" max="22" width="7.42578125" style="95" bestFit="1" customWidth="1"/>
    <col min="23" max="23" width="7.28515625" style="95" customWidth="1"/>
    <col min="24" max="24" width="6.5703125" style="95" customWidth="1"/>
    <col min="25" max="26" width="7.85546875" style="95" customWidth="1"/>
    <col min="27" max="27" width="6.7109375" style="95" customWidth="1"/>
    <col min="28" max="28" width="7.7109375" style="95" customWidth="1"/>
    <col min="29" max="29" width="9.140625" style="95" customWidth="1"/>
    <col min="30" max="30" width="7.42578125" style="95" customWidth="1"/>
    <col min="31" max="31" width="8.140625" style="95" customWidth="1"/>
    <col min="32" max="33" width="8.5703125" style="95" customWidth="1"/>
    <col min="34" max="34" width="8.5703125" style="95" hidden="1" customWidth="1"/>
    <col min="35" max="39" width="8.28515625" style="95" hidden="1" customWidth="1"/>
    <col min="40" max="40" width="10.7109375" style="95" hidden="1" customWidth="1"/>
    <col min="41" max="41" width="0" style="95" hidden="1" customWidth="1"/>
    <col min="42" max="16384" width="10.7109375" style="95"/>
  </cols>
  <sheetData>
    <row r="1" spans="1:36" ht="3" customHeight="1">
      <c r="A1" s="545"/>
      <c r="B1" s="545"/>
      <c r="C1" s="545"/>
      <c r="D1" s="545"/>
      <c r="E1" s="545"/>
      <c r="F1" s="545"/>
      <c r="G1" s="545"/>
      <c r="H1" s="546"/>
      <c r="I1" s="546"/>
      <c r="J1" s="546"/>
      <c r="K1" s="546"/>
      <c r="L1" s="546"/>
      <c r="M1" s="546"/>
      <c r="N1" s="546"/>
      <c r="O1" s="546"/>
      <c r="P1" s="546"/>
      <c r="Q1" s="546"/>
      <c r="R1" s="546"/>
      <c r="S1" s="546"/>
      <c r="T1" s="546"/>
      <c r="U1" s="546"/>
      <c r="V1" s="546"/>
      <c r="W1" s="546"/>
      <c r="X1" s="546"/>
      <c r="Y1" s="546"/>
      <c r="Z1" s="546"/>
      <c r="AA1" s="546"/>
      <c r="AB1" s="546"/>
      <c r="AC1" s="546"/>
      <c r="AD1" s="546"/>
      <c r="AE1" s="546"/>
      <c r="AF1" s="546"/>
      <c r="AG1" s="546"/>
      <c r="AH1" s="546"/>
    </row>
    <row r="2" spans="1:36" s="546" customFormat="1" ht="4" customHeight="1"/>
    <row r="3" spans="1:36" ht="19">
      <c r="A3" s="1061" t="s">
        <v>531</v>
      </c>
      <c r="B3" s="1062"/>
      <c r="C3" s="1062"/>
      <c r="D3" s="1062"/>
      <c r="E3" s="1062"/>
      <c r="F3" s="1062"/>
      <c r="G3" s="1062"/>
      <c r="H3" s="1063" t="s">
        <v>307</v>
      </c>
      <c r="I3" s="1063"/>
      <c r="J3" s="1063"/>
      <c r="K3" s="1063"/>
      <c r="L3" s="1063"/>
      <c r="M3" s="1063"/>
      <c r="N3" s="1063"/>
      <c r="O3" s="1063"/>
      <c r="P3" s="1063"/>
      <c r="Q3" s="1063"/>
      <c r="R3" s="1063"/>
      <c r="S3" s="1063"/>
      <c r="T3" s="1063"/>
      <c r="U3" s="1063" t="s">
        <v>0</v>
      </c>
      <c r="V3" s="1063"/>
      <c r="W3" s="1063"/>
      <c r="X3" s="1063"/>
      <c r="Y3" s="1063"/>
      <c r="Z3" s="1063"/>
      <c r="AA3" s="1063"/>
      <c r="AB3" s="1063"/>
      <c r="AC3" s="1063"/>
      <c r="AD3" s="1063"/>
      <c r="AE3" s="1063"/>
      <c r="AF3" s="1063"/>
      <c r="AG3" s="1063"/>
      <c r="AH3" s="1063"/>
    </row>
    <row r="4" spans="1:36" ht="13" customHeight="1">
      <c r="A4" s="880"/>
      <c r="B4" s="881"/>
      <c r="C4" s="881"/>
      <c r="D4" s="881"/>
      <c r="E4" s="881"/>
      <c r="F4" s="881"/>
      <c r="G4" s="881"/>
      <c r="H4" s="882"/>
      <c r="I4" s="882"/>
      <c r="J4" s="882"/>
      <c r="K4" s="882"/>
      <c r="L4" s="882"/>
      <c r="M4" s="882"/>
      <c r="N4" s="882"/>
      <c r="O4" s="882"/>
      <c r="P4" s="882"/>
      <c r="Q4" s="882"/>
      <c r="R4" s="882"/>
      <c r="S4" s="882"/>
      <c r="T4" s="882"/>
      <c r="U4" s="133"/>
      <c r="V4" s="133"/>
      <c r="W4" s="133"/>
      <c r="X4" s="133"/>
      <c r="Y4" s="133"/>
      <c r="Z4" s="133"/>
      <c r="AA4" s="133"/>
      <c r="AB4" s="133"/>
      <c r="AC4" s="133"/>
      <c r="AD4" s="133"/>
    </row>
    <row r="5" spans="1:36" ht="13" customHeight="1">
      <c r="A5" s="554" t="s">
        <v>527</v>
      </c>
      <c r="B5" s="555"/>
      <c r="C5" s="555"/>
      <c r="D5" s="555"/>
      <c r="E5" s="555"/>
      <c r="F5" s="606" t="s">
        <v>294</v>
      </c>
      <c r="G5" s="97" t="str">
        <f>'1 Customer Record'!C11</f>
        <v>D.J. Rosebaugh</v>
      </c>
      <c r="H5" s="581"/>
      <c r="I5" s="581"/>
      <c r="J5" s="581"/>
      <c r="K5" s="582"/>
      <c r="L5" s="581"/>
      <c r="P5" s="581"/>
      <c r="Q5" s="581"/>
      <c r="R5" s="581"/>
      <c r="U5" s="1064" t="s">
        <v>453</v>
      </c>
      <c r="V5" s="1064" t="s">
        <v>454</v>
      </c>
      <c r="W5" s="1064" t="s">
        <v>233</v>
      </c>
      <c r="X5" s="1064" t="s">
        <v>460</v>
      </c>
      <c r="Y5" s="1064" t="s">
        <v>467</v>
      </c>
      <c r="Z5" s="1069" t="s">
        <v>684</v>
      </c>
      <c r="AA5" s="1064" t="s">
        <v>685</v>
      </c>
      <c r="AB5" s="1064" t="s">
        <v>461</v>
      </c>
      <c r="AC5" s="1064" t="s">
        <v>180</v>
      </c>
      <c r="AD5" s="1064" t="s">
        <v>166</v>
      </c>
      <c r="AE5" s="1064" t="s">
        <v>306</v>
      </c>
      <c r="AF5" s="1064" t="s">
        <v>181</v>
      </c>
      <c r="AG5" s="1064" t="s">
        <v>686</v>
      </c>
      <c r="AH5" s="1058" t="s">
        <v>179</v>
      </c>
    </row>
    <row r="6" spans="1:36" ht="16" customHeight="1">
      <c r="A6" s="607" t="str">
        <f>'1 Customer Record'!C12</f>
        <v>Suzy</v>
      </c>
      <c r="B6" s="607" t="str">
        <f>'1 Customer Record'!D12</f>
        <v>Solar</v>
      </c>
      <c r="D6" s="97"/>
      <c r="E6" s="555"/>
      <c r="F6" s="606" t="s">
        <v>356</v>
      </c>
      <c r="G6" s="608">
        <f ca="1">TODAY()</f>
        <v>42205</v>
      </c>
      <c r="H6" s="588" t="s">
        <v>304</v>
      </c>
      <c r="I6" s="588"/>
      <c r="J6" s="588"/>
      <c r="K6" s="1072">
        <f>AG33</f>
        <v>14503.073763344335</v>
      </c>
      <c r="L6" s="1072"/>
      <c r="N6" s="585"/>
      <c r="O6" s="585"/>
      <c r="P6" s="584"/>
      <c r="Q6" s="584"/>
      <c r="R6" s="583" t="s">
        <v>178</v>
      </c>
      <c r="S6" s="1073">
        <f>AH33</f>
        <v>28450.053466629619</v>
      </c>
      <c r="T6" s="1073"/>
      <c r="U6" s="1065"/>
      <c r="V6" s="1065"/>
      <c r="W6" s="1065"/>
      <c r="X6" s="1065"/>
      <c r="Y6" s="1065"/>
      <c r="Z6" s="1070"/>
      <c r="AA6" s="1065"/>
      <c r="AB6" s="1065"/>
      <c r="AC6" s="1065"/>
      <c r="AD6" s="1065"/>
      <c r="AE6" s="1065"/>
      <c r="AF6" s="1065"/>
      <c r="AG6" s="1065"/>
      <c r="AH6" s="1059"/>
    </row>
    <row r="7" spans="1:36" ht="15">
      <c r="A7" s="607" t="str">
        <f>'1 Customer Record'!C15</f>
        <v>123 Sunshine Court</v>
      </c>
      <c r="B7" s="607"/>
      <c r="C7" s="99"/>
      <c r="D7" s="555"/>
      <c r="E7" s="555"/>
      <c r="F7" s="555"/>
      <c r="G7" s="555"/>
      <c r="H7" s="617" t="s">
        <v>471</v>
      </c>
      <c r="I7" s="617"/>
      <c r="J7" s="617"/>
      <c r="K7" s="547"/>
      <c r="L7" s="547"/>
      <c r="M7" s="616" t="e">
        <f>IRR(AG8:AG33)</f>
        <v>#NUM!</v>
      </c>
      <c r="N7" s="589"/>
      <c r="O7" s="589"/>
      <c r="P7" s="590"/>
      <c r="Q7" s="590"/>
      <c r="R7" s="591" t="s">
        <v>472</v>
      </c>
      <c r="S7" s="1074">
        <f>2.5*G11*1000</f>
        <v>15000</v>
      </c>
      <c r="T7" s="1074"/>
      <c r="U7" s="1066"/>
      <c r="V7" s="1066"/>
      <c r="W7" s="1066"/>
      <c r="X7" s="1066"/>
      <c r="Y7" s="1066"/>
      <c r="Z7" s="1071"/>
      <c r="AA7" s="1066"/>
      <c r="AB7" s="1066"/>
      <c r="AC7" s="1066"/>
      <c r="AD7" s="1066"/>
      <c r="AE7" s="1066"/>
      <c r="AF7" s="1066"/>
      <c r="AG7" s="1066"/>
      <c r="AH7" s="1060"/>
    </row>
    <row r="8" spans="1:36" ht="15">
      <c r="A8" s="607" t="str">
        <f>'1 Customer Record'!C16</f>
        <v>Dripping Springs, TX 78620</v>
      </c>
      <c r="B8" s="607"/>
      <c r="C8" s="99"/>
      <c r="D8" s="97"/>
      <c r="E8" s="579"/>
      <c r="F8" s="555"/>
      <c r="G8" s="555"/>
      <c r="H8" s="585"/>
      <c r="I8" s="585"/>
      <c r="J8" s="585"/>
      <c r="K8" s="585"/>
      <c r="L8" s="585"/>
      <c r="M8" s="585"/>
      <c r="N8" s="585"/>
      <c r="O8" s="585"/>
      <c r="P8" s="585"/>
      <c r="Q8" s="585"/>
      <c r="R8" s="585"/>
      <c r="S8" s="585"/>
      <c r="T8" s="586"/>
      <c r="U8" s="109">
        <v>0</v>
      </c>
      <c r="V8" s="109"/>
      <c r="W8" s="109"/>
      <c r="X8" s="109"/>
      <c r="Y8" s="109"/>
      <c r="Z8" s="949"/>
      <c r="AA8" s="109"/>
      <c r="AB8" s="109"/>
      <c r="AC8" s="109">
        <v>0</v>
      </c>
      <c r="AD8" s="109"/>
      <c r="AE8" s="109"/>
      <c r="AF8" s="657">
        <f>-G44</f>
        <v>0</v>
      </c>
      <c r="AG8" s="110">
        <f>-G44</f>
        <v>0</v>
      </c>
      <c r="AH8" s="665"/>
    </row>
    <row r="9" spans="1:36" ht="13" customHeight="1">
      <c r="A9" s="607" t="str">
        <f>'1 Customer Record'!C13</f>
        <v>512-476-5555</v>
      </c>
      <c r="B9" s="607"/>
      <c r="C9" s="1075" t="str">
        <f>'1 Customer Record'!C14</f>
        <v>austin@lighthousesolar.com</v>
      </c>
      <c r="D9" s="1075"/>
      <c r="E9" s="554"/>
      <c r="F9" s="609"/>
      <c r="G9" s="580"/>
      <c r="M9" s="104"/>
      <c r="N9" s="104"/>
      <c r="O9" s="104"/>
      <c r="Q9" s="100"/>
      <c r="R9" s="100"/>
      <c r="S9" s="100"/>
      <c r="T9" s="100"/>
      <c r="U9" s="112">
        <v>1</v>
      </c>
      <c r="V9" s="113">
        <v>0.105</v>
      </c>
      <c r="W9" s="114">
        <f>AD138</f>
        <v>12000</v>
      </c>
      <c r="X9" s="114">
        <f>AC138</f>
        <v>8712</v>
      </c>
      <c r="Y9" s="115">
        <f t="shared" ref="Y9:Y33" si="0">V9*W9</f>
        <v>1260</v>
      </c>
      <c r="Z9" s="950">
        <f>(($F$31*50*4*365)/1000*V9)+120</f>
        <v>273.29999999999995</v>
      </c>
      <c r="AA9" s="115">
        <f>((W9-X9)*V9)-Z9</f>
        <v>71.940000000000055</v>
      </c>
      <c r="AB9" s="116">
        <f>Y9-AA9</f>
        <v>1188.06</v>
      </c>
      <c r="AC9" s="116">
        <f>AB9</f>
        <v>1188.06</v>
      </c>
      <c r="AD9" s="115">
        <f>AA9+(12*$G$49)</f>
        <v>1181.6556858453844</v>
      </c>
      <c r="AE9" s="115">
        <f t="shared" ref="AE9:AE33" si="1">Y9-AD9</f>
        <v>78.344314154615631</v>
      </c>
      <c r="AF9" s="115">
        <f t="shared" ref="AF9:AF33" si="2">AF8+AD9</f>
        <v>1181.6556858453844</v>
      </c>
      <c r="AG9" s="117">
        <f t="shared" ref="AG9:AG33" si="3">AG8+Y9-AD9</f>
        <v>78.344314154615631</v>
      </c>
      <c r="AH9" s="664">
        <f>-FV($M$58/12,12,AE9/12)</f>
        <v>80.907382926621565</v>
      </c>
      <c r="AJ9" s="913"/>
    </row>
    <row r="10" spans="1:36" ht="13" customHeight="1">
      <c r="A10" s="98"/>
      <c r="B10" s="98"/>
      <c r="C10" s="98"/>
      <c r="D10" s="99"/>
      <c r="E10" s="549"/>
      <c r="F10" s="878"/>
      <c r="G10" s="879"/>
      <c r="H10" s="546"/>
      <c r="I10" s="546"/>
      <c r="J10" s="546"/>
      <c r="K10" s="546"/>
      <c r="L10" s="546"/>
      <c r="M10" s="556"/>
      <c r="N10" s="556"/>
      <c r="O10" s="556"/>
      <c r="P10" s="546"/>
      <c r="Q10" s="557"/>
      <c r="R10" s="557"/>
      <c r="S10" s="557"/>
      <c r="T10" s="557"/>
      <c r="U10" s="112">
        <v>2</v>
      </c>
      <c r="V10" s="113">
        <f t="shared" ref="V10:V33" si="4">V9*(1+$M$57)</f>
        <v>0.10867499999999999</v>
      </c>
      <c r="W10" s="114">
        <f t="shared" ref="W10:W33" si="5">W9</f>
        <v>12000</v>
      </c>
      <c r="X10" s="118">
        <f t="shared" ref="X10:X33" si="6">X9*(1-$Q$57)</f>
        <v>8668.44</v>
      </c>
      <c r="Y10" s="115">
        <f t="shared" si="0"/>
        <v>1304.0999999999999</v>
      </c>
      <c r="Z10" s="950">
        <f t="shared" ref="Z10:Z33" si="7">(($F$31*50*4*365)/1000*V10)+120</f>
        <v>278.66549999999995</v>
      </c>
      <c r="AA10" s="115">
        <f t="shared" ref="AA10:AA33" si="8">((W10-X10)*V10)-Z10</f>
        <v>83.391782999999975</v>
      </c>
      <c r="AB10" s="116">
        <f t="shared" ref="AB10:AB33" si="9">Y10-AA10</f>
        <v>1220.7082169999999</v>
      </c>
      <c r="AC10" s="116">
        <f t="shared" ref="AC10:AC33" si="10">AC9+AB10</f>
        <v>2408.7682169999998</v>
      </c>
      <c r="AD10" s="115">
        <f t="shared" ref="AD10:AD33" si="11">AA10+(12*$G$49)</f>
        <v>1193.1074688453843</v>
      </c>
      <c r="AE10" s="115">
        <f t="shared" si="1"/>
        <v>110.99253115461556</v>
      </c>
      <c r="AF10" s="115">
        <f t="shared" si="2"/>
        <v>2374.7631546907687</v>
      </c>
      <c r="AG10" s="117">
        <f t="shared" si="3"/>
        <v>189.33684530923119</v>
      </c>
      <c r="AH10" s="664">
        <f t="shared" ref="AH10:AH33" si="12">-FV($M$58/12,12,AE10/12,AH9)</f>
        <v>201.37988491747404</v>
      </c>
      <c r="AJ10" s="913"/>
    </row>
    <row r="11" spans="1:36" ht="13">
      <c r="A11" s="553" t="s">
        <v>295</v>
      </c>
      <c r="F11" s="587" t="s">
        <v>302</v>
      </c>
      <c r="G11" s="572">
        <f>(A14*B14)/1000</f>
        <v>6</v>
      </c>
      <c r="H11" s="553" t="s">
        <v>64</v>
      </c>
      <c r="I11" s="553"/>
      <c r="J11" s="553"/>
      <c r="K11" s="883"/>
      <c r="L11" s="884">
        <f>X9</f>
        <v>8712</v>
      </c>
      <c r="M11" s="885">
        <f>'Lookup Tables'!U20</f>
        <v>0.72599999999999998</v>
      </c>
      <c r="N11" s="104"/>
      <c r="O11" s="104"/>
      <c r="Q11" s="100"/>
      <c r="R11" s="100"/>
      <c r="S11" s="100"/>
      <c r="T11" s="100"/>
      <c r="U11" s="112">
        <v>3</v>
      </c>
      <c r="V11" s="113">
        <f t="shared" si="4"/>
        <v>0.11247862499999998</v>
      </c>
      <c r="W11" s="114">
        <f t="shared" si="5"/>
        <v>12000</v>
      </c>
      <c r="X11" s="118">
        <f t="shared" si="6"/>
        <v>8625.0978000000014</v>
      </c>
      <c r="Y11" s="115">
        <f t="shared" si="0"/>
        <v>1349.7434999999998</v>
      </c>
      <c r="Z11" s="950">
        <f t="shared" si="7"/>
        <v>284.21879249999995</v>
      </c>
      <c r="AA11" s="115">
        <f t="shared" si="8"/>
        <v>95.385566465474824</v>
      </c>
      <c r="AB11" s="116">
        <f t="shared" si="9"/>
        <v>1254.357933534525</v>
      </c>
      <c r="AC11" s="116">
        <f t="shared" si="10"/>
        <v>3663.1261505345246</v>
      </c>
      <c r="AD11" s="115">
        <f t="shared" si="11"/>
        <v>1205.1012523108591</v>
      </c>
      <c r="AE11" s="970">
        <f t="shared" si="1"/>
        <v>144.64224768914073</v>
      </c>
      <c r="AF11" s="115">
        <f t="shared" si="2"/>
        <v>3579.864407001628</v>
      </c>
      <c r="AG11" s="117">
        <f t="shared" si="3"/>
        <v>333.97909299837193</v>
      </c>
      <c r="AH11" s="664">
        <f t="shared" si="12"/>
        <v>365.31193566205889</v>
      </c>
      <c r="AJ11" s="913"/>
    </row>
    <row r="12" spans="1:36" ht="13">
      <c r="A12" s="105"/>
      <c r="B12" s="105"/>
      <c r="C12" s="106"/>
      <c r="D12" s="105"/>
      <c r="E12" s="105"/>
      <c r="F12" s="106"/>
      <c r="G12" s="106"/>
      <c r="H12" s="553" t="s">
        <v>688</v>
      </c>
      <c r="I12" s="553"/>
      <c r="J12" s="553"/>
      <c r="K12" s="883"/>
      <c r="L12" s="886">
        <f>'Lookup Tables'!T21</f>
        <v>2602.8571428571427</v>
      </c>
      <c r="M12" s="885">
        <f>'Lookup Tables'!T20</f>
        <v>0.21690476190476188</v>
      </c>
      <c r="N12" s="104"/>
      <c r="O12" s="104"/>
      <c r="Q12" s="100"/>
      <c r="R12" s="100"/>
      <c r="S12" s="100"/>
      <c r="T12" s="100"/>
      <c r="U12" s="112">
        <v>4</v>
      </c>
      <c r="V12" s="113">
        <f t="shared" si="4"/>
        <v>0.11641537687499998</v>
      </c>
      <c r="W12" s="114">
        <f t="shared" si="5"/>
        <v>12000</v>
      </c>
      <c r="X12" s="118">
        <f t="shared" si="6"/>
        <v>8581.9723110000014</v>
      </c>
      <c r="Y12" s="115">
        <f t="shared" si="0"/>
        <v>1396.9845224999997</v>
      </c>
      <c r="Z12" s="950">
        <f t="shared" si="7"/>
        <v>289.9664502375</v>
      </c>
      <c r="AA12" s="115">
        <f t="shared" si="8"/>
        <v>107.94453134662007</v>
      </c>
      <c r="AB12" s="116">
        <f t="shared" si="9"/>
        <v>1289.0399911533796</v>
      </c>
      <c r="AC12" s="116">
        <f t="shared" si="10"/>
        <v>4952.1661416879042</v>
      </c>
      <c r="AD12" s="115">
        <f t="shared" si="11"/>
        <v>1217.6602171920044</v>
      </c>
      <c r="AE12" s="115">
        <f t="shared" si="1"/>
        <v>179.32430530799525</v>
      </c>
      <c r="AF12" s="115">
        <f t="shared" si="2"/>
        <v>4797.5246241936329</v>
      </c>
      <c r="AG12" s="117">
        <f t="shared" si="3"/>
        <v>513.30339830636717</v>
      </c>
      <c r="AH12" s="664">
        <f t="shared" si="12"/>
        <v>576.91134403172157</v>
      </c>
      <c r="AJ12" s="913"/>
    </row>
    <row r="13" spans="1:36" ht="15" customHeight="1">
      <c r="A13" s="595" t="s">
        <v>357</v>
      </c>
      <c r="B13" s="552"/>
      <c r="C13" s="552"/>
      <c r="D13" s="552"/>
      <c r="E13" s="552"/>
      <c r="F13" s="599"/>
      <c r="G13" s="552"/>
      <c r="H13" s="553" t="s">
        <v>65</v>
      </c>
      <c r="L13" s="886">
        <f>'Lookup Tables'!V21</f>
        <v>685.14285714285734</v>
      </c>
      <c r="M13" s="885">
        <f>'Lookup Tables'!V20</f>
        <v>5.7095238095238109E-2</v>
      </c>
      <c r="N13" s="104"/>
      <c r="O13" s="104"/>
      <c r="Q13" s="100"/>
      <c r="R13" s="100"/>
      <c r="S13" s="100"/>
      <c r="T13" s="100"/>
      <c r="U13" s="112">
        <v>5</v>
      </c>
      <c r="V13" s="113">
        <f t="shared" si="4"/>
        <v>0.12048991506562497</v>
      </c>
      <c r="W13" s="114">
        <f t="shared" si="5"/>
        <v>12000</v>
      </c>
      <c r="X13" s="118">
        <f t="shared" si="6"/>
        <v>8539.0624494450021</v>
      </c>
      <c r="Y13" s="115">
        <f t="shared" si="0"/>
        <v>1445.8789807874996</v>
      </c>
      <c r="Z13" s="950">
        <f t="shared" si="7"/>
        <v>295.91527599581246</v>
      </c>
      <c r="AA13" s="115">
        <f t="shared" si="8"/>
        <v>121.09279551799136</v>
      </c>
      <c r="AB13" s="116">
        <f t="shared" si="9"/>
        <v>1324.7861852695082</v>
      </c>
      <c r="AC13" s="116">
        <f t="shared" si="10"/>
        <v>6276.9523269574129</v>
      </c>
      <c r="AD13" s="115">
        <f t="shared" si="11"/>
        <v>1230.8084813633757</v>
      </c>
      <c r="AE13" s="115">
        <f t="shared" si="1"/>
        <v>215.07049942412391</v>
      </c>
      <c r="AF13" s="115">
        <f t="shared" si="2"/>
        <v>6028.3331055570088</v>
      </c>
      <c r="AG13" s="117">
        <f t="shared" si="3"/>
        <v>728.37389773049108</v>
      </c>
      <c r="AH13" s="664">
        <f t="shared" si="12"/>
        <v>840.72293735523942</v>
      </c>
      <c r="AJ13" s="913"/>
    </row>
    <row r="14" spans="1:36" ht="15" customHeight="1">
      <c r="A14" s="600">
        <f>ROUNDUP((('3 Pricing Sheet'!D42*1000)/VLOOKUP('3 Pricing Sheet'!D43,'Lookup Tables'!B16:H28,2,FALSE)),0)</f>
        <v>24</v>
      </c>
      <c r="B14" s="601">
        <f>VLOOKUP('3 Pricing Sheet'!D43,'Lookup Tables'!B16:H28,2,FALSE)</f>
        <v>250</v>
      </c>
      <c r="C14" s="99" t="s">
        <v>590</v>
      </c>
      <c r="D14" s="99"/>
      <c r="E14" s="99"/>
      <c r="F14" s="562"/>
      <c r="G14" s="562"/>
      <c r="M14" s="104"/>
      <c r="N14" s="104"/>
      <c r="O14" s="104"/>
      <c r="Q14" s="100"/>
      <c r="R14" s="100"/>
      <c r="S14" s="100"/>
      <c r="T14" s="100"/>
      <c r="U14" s="112">
        <v>6</v>
      </c>
      <c r="V14" s="113">
        <f t="shared" si="4"/>
        <v>0.12470706209292183</v>
      </c>
      <c r="W14" s="114">
        <f t="shared" si="5"/>
        <v>12000</v>
      </c>
      <c r="X14" s="118">
        <f t="shared" si="6"/>
        <v>8496.3671371977762</v>
      </c>
      <c r="Y14" s="115">
        <f t="shared" si="0"/>
        <v>1496.484745115062</v>
      </c>
      <c r="Z14" s="950">
        <f t="shared" si="7"/>
        <v>302.07231065566589</v>
      </c>
      <c r="AA14" s="115">
        <f t="shared" si="8"/>
        <v>134.85545031661252</v>
      </c>
      <c r="AB14" s="116">
        <f t="shared" si="9"/>
        <v>1361.6292947984493</v>
      </c>
      <c r="AC14" s="116">
        <f t="shared" si="10"/>
        <v>7638.5816217558622</v>
      </c>
      <c r="AD14" s="115">
        <f t="shared" si="11"/>
        <v>1244.5711361619969</v>
      </c>
      <c r="AE14" s="115">
        <f t="shared" si="1"/>
        <v>251.91360895306502</v>
      </c>
      <c r="AF14" s="115">
        <f t="shared" si="2"/>
        <v>7272.9042417190058</v>
      </c>
      <c r="AG14" s="117">
        <f t="shared" si="3"/>
        <v>980.28750668355588</v>
      </c>
      <c r="AH14" s="664">
        <f t="shared" si="12"/>
        <v>1161.6539401886741</v>
      </c>
      <c r="AJ14" s="913"/>
    </row>
    <row r="15" spans="1:36" ht="15" customHeight="1">
      <c r="A15" s="595" t="s">
        <v>358</v>
      </c>
      <c r="B15" s="602" t="str">
        <f>VLOOKUP('3 Pricing Sheet'!D43,'Lookup Tables'!B16:H28,5,FALSE)</f>
        <v>SMA Transformerless String Inverter</v>
      </c>
      <c r="C15" s="565"/>
      <c r="D15" s="552"/>
      <c r="E15" s="595"/>
      <c r="F15" s="603" t="s">
        <v>359</v>
      </c>
      <c r="G15" s="604" t="str">
        <f>VLOOKUP('3 Pricing Sheet'!D43,'Lookup Tables'!B16:H28,4,FALSE)</f>
        <v>Included</v>
      </c>
      <c r="M15" s="104"/>
      <c r="N15" s="104"/>
      <c r="O15" s="104"/>
      <c r="Q15" s="100"/>
      <c r="R15" s="100"/>
      <c r="S15" s="100"/>
      <c r="T15" s="100"/>
      <c r="U15" s="112">
        <v>7</v>
      </c>
      <c r="V15" s="113">
        <f t="shared" si="4"/>
        <v>0.12907180926617409</v>
      </c>
      <c r="W15" s="114">
        <f t="shared" si="5"/>
        <v>12000</v>
      </c>
      <c r="X15" s="118">
        <f t="shared" si="6"/>
        <v>8453.8853015117875</v>
      </c>
      <c r="Y15" s="115">
        <f t="shared" si="0"/>
        <v>1548.8617111940891</v>
      </c>
      <c r="Z15" s="950">
        <f t="shared" si="7"/>
        <v>308.44484152861418</v>
      </c>
      <c r="AA15" s="115">
        <f t="shared" si="8"/>
        <v>149.25859847063282</v>
      </c>
      <c r="AB15" s="116">
        <f t="shared" si="9"/>
        <v>1399.6031127234564</v>
      </c>
      <c r="AC15" s="116">
        <f t="shared" si="10"/>
        <v>9038.1847344793186</v>
      </c>
      <c r="AD15" s="115">
        <f t="shared" si="11"/>
        <v>1258.974284316017</v>
      </c>
      <c r="AE15" s="115">
        <f t="shared" si="1"/>
        <v>289.88742687807212</v>
      </c>
      <c r="AF15" s="115">
        <f t="shared" si="2"/>
        <v>8531.8785260350232</v>
      </c>
      <c r="AG15" s="117">
        <f t="shared" si="3"/>
        <v>1270.1749335616282</v>
      </c>
      <c r="AH15" s="664">
        <f t="shared" si="12"/>
        <v>1545.0012192836211</v>
      </c>
      <c r="AJ15" s="913"/>
    </row>
    <row r="16" spans="1:36" ht="15" customHeight="1">
      <c r="A16" s="605" t="s">
        <v>92</v>
      </c>
      <c r="B16" s="562"/>
      <c r="C16" s="562"/>
      <c r="D16" s="99"/>
      <c r="E16" s="99"/>
      <c r="F16" s="562"/>
      <c r="G16" s="562"/>
      <c r="M16" s="104"/>
      <c r="N16" s="104"/>
      <c r="O16" s="104"/>
      <c r="Q16" s="100"/>
      <c r="R16" s="100"/>
      <c r="S16" s="100"/>
      <c r="T16" s="100"/>
      <c r="U16" s="112">
        <v>8</v>
      </c>
      <c r="V16" s="113">
        <f t="shared" si="4"/>
        <v>0.13358932259049017</v>
      </c>
      <c r="W16" s="114">
        <f t="shared" si="5"/>
        <v>12000</v>
      </c>
      <c r="X16" s="118">
        <f t="shared" si="6"/>
        <v>8411.6158750042287</v>
      </c>
      <c r="Y16" s="115">
        <f t="shared" si="0"/>
        <v>1603.0718710858821</v>
      </c>
      <c r="Z16" s="950">
        <f t="shared" si="7"/>
        <v>315.04041098211565</v>
      </c>
      <c r="AA16" s="115">
        <f t="shared" si="8"/>
        <v>164.32939347053826</v>
      </c>
      <c r="AB16" s="116">
        <f t="shared" si="9"/>
        <v>1438.7424776153439</v>
      </c>
      <c r="AC16" s="116">
        <f t="shared" si="10"/>
        <v>10476.927212094663</v>
      </c>
      <c r="AD16" s="115">
        <f t="shared" si="11"/>
        <v>1274.0450793159225</v>
      </c>
      <c r="AE16" s="115">
        <f t="shared" si="1"/>
        <v>329.02679176995957</v>
      </c>
      <c r="AF16" s="115">
        <f t="shared" si="2"/>
        <v>9805.9236053509449</v>
      </c>
      <c r="AG16" s="117">
        <f t="shared" si="3"/>
        <v>1599.201725331588</v>
      </c>
      <c r="AH16" s="664">
        <f t="shared" si="12"/>
        <v>1996.4805306474495</v>
      </c>
      <c r="AJ16" s="913"/>
    </row>
    <row r="17" spans="1:38" ht="15" customHeight="1">
      <c r="A17" s="595" t="s">
        <v>443</v>
      </c>
      <c r="B17" s="547"/>
      <c r="C17" s="552" t="s">
        <v>692</v>
      </c>
      <c r="D17" s="552"/>
      <c r="E17" s="552"/>
      <c r="F17" s="599"/>
      <c r="G17" s="598"/>
      <c r="M17" s="104"/>
      <c r="N17" s="104"/>
      <c r="O17" s="104"/>
      <c r="Q17" s="100"/>
      <c r="R17" s="100"/>
      <c r="S17" s="100"/>
      <c r="T17" s="100"/>
      <c r="U17" s="112">
        <v>9</v>
      </c>
      <c r="V17" s="113">
        <f t="shared" si="4"/>
        <v>0.13826494888115731</v>
      </c>
      <c r="W17" s="114">
        <f t="shared" si="5"/>
        <v>12000</v>
      </c>
      <c r="X17" s="118">
        <f t="shared" si="6"/>
        <v>8369.5577956292072</v>
      </c>
      <c r="Y17" s="115">
        <f t="shared" si="0"/>
        <v>1659.1793865738878</v>
      </c>
      <c r="Z17" s="950">
        <f t="shared" si="7"/>
        <v>321.86682536648971</v>
      </c>
      <c r="AA17" s="115">
        <f t="shared" si="8"/>
        <v>180.09608043683403</v>
      </c>
      <c r="AB17" s="116">
        <f t="shared" si="9"/>
        <v>1479.0833061370538</v>
      </c>
      <c r="AC17" s="116">
        <f t="shared" si="10"/>
        <v>11956.010518231717</v>
      </c>
      <c r="AD17" s="115">
        <f t="shared" si="11"/>
        <v>1289.8117662822183</v>
      </c>
      <c r="AE17" s="115">
        <f t="shared" si="1"/>
        <v>369.36762029166948</v>
      </c>
      <c r="AF17" s="115">
        <f t="shared" si="2"/>
        <v>11095.735371633164</v>
      </c>
      <c r="AG17" s="117">
        <f t="shared" si="3"/>
        <v>1968.5693456232575</v>
      </c>
      <c r="AH17" s="664">
        <f t="shared" si="12"/>
        <v>2522.2579144438573</v>
      </c>
      <c r="AJ17" s="913"/>
    </row>
    <row r="18" spans="1:38" ht="15" customHeight="1">
      <c r="A18" s="605" t="s">
        <v>2</v>
      </c>
      <c r="B18" s="99"/>
      <c r="C18" s="99"/>
      <c r="D18" s="99"/>
      <c r="E18" s="99"/>
      <c r="F18" s="600"/>
      <c r="G18" s="596"/>
      <c r="M18" s="104"/>
      <c r="N18" s="104"/>
      <c r="O18" s="104"/>
      <c r="Q18" s="100"/>
      <c r="R18" s="100"/>
      <c r="S18" s="100"/>
      <c r="T18" s="100"/>
      <c r="U18" s="861">
        <v>10</v>
      </c>
      <c r="V18" s="862">
        <f t="shared" si="4"/>
        <v>0.1431042220919978</v>
      </c>
      <c r="W18" s="863">
        <f t="shared" si="5"/>
        <v>12000</v>
      </c>
      <c r="X18" s="864">
        <f t="shared" si="6"/>
        <v>8327.7100066510611</v>
      </c>
      <c r="Y18" s="865">
        <f t="shared" si="0"/>
        <v>1717.2506651039737</v>
      </c>
      <c r="Z18" s="950">
        <f t="shared" si="7"/>
        <v>328.93216425431683</v>
      </c>
      <c r="AA18" s="115">
        <f t="shared" si="8"/>
        <v>196.5880385401108</v>
      </c>
      <c r="AB18" s="116">
        <f t="shared" si="9"/>
        <v>1520.6626265638629</v>
      </c>
      <c r="AC18" s="866">
        <f t="shared" si="10"/>
        <v>13476.673144795579</v>
      </c>
      <c r="AD18" s="115">
        <f t="shared" si="11"/>
        <v>1306.3037243854951</v>
      </c>
      <c r="AE18" s="865">
        <f t="shared" si="1"/>
        <v>410.94694071847857</v>
      </c>
      <c r="AF18" s="865">
        <f t="shared" si="2"/>
        <v>12402.03909601866</v>
      </c>
      <c r="AG18" s="867">
        <f t="shared" si="3"/>
        <v>2379.5162863417363</v>
      </c>
      <c r="AH18" s="868">
        <f t="shared" si="12"/>
        <v>3128.9833940501649</v>
      </c>
      <c r="AJ18" s="913"/>
    </row>
    <row r="19" spans="1:38" ht="13">
      <c r="A19" s="552"/>
      <c r="B19" s="552"/>
      <c r="C19" s="552"/>
      <c r="D19" s="552"/>
      <c r="E19" s="552"/>
      <c r="F19" s="599"/>
      <c r="G19" s="598"/>
      <c r="H19" s="546"/>
      <c r="I19" s="546"/>
      <c r="J19" s="546"/>
      <c r="K19" s="546"/>
      <c r="L19" s="546"/>
      <c r="M19" s="556"/>
      <c r="N19" s="556"/>
      <c r="O19" s="556"/>
      <c r="P19" s="546"/>
      <c r="Q19" s="557"/>
      <c r="R19" s="557"/>
      <c r="S19" s="557"/>
      <c r="T19" s="557"/>
      <c r="U19" s="112">
        <v>11</v>
      </c>
      <c r="V19" s="113">
        <f t="shared" si="4"/>
        <v>0.14811286986521771</v>
      </c>
      <c r="W19" s="114">
        <f t="shared" si="5"/>
        <v>12000</v>
      </c>
      <c r="X19" s="118">
        <f t="shared" si="6"/>
        <v>8286.0714566178049</v>
      </c>
      <c r="Y19" s="115">
        <f t="shared" si="0"/>
        <v>1777.3544383826124</v>
      </c>
      <c r="Z19" s="950">
        <f t="shared" si="7"/>
        <v>336.24479000321787</v>
      </c>
      <c r="AA19" s="115">
        <f t="shared" si="8"/>
        <v>213.83582503146681</v>
      </c>
      <c r="AB19" s="116">
        <f t="shared" si="9"/>
        <v>1563.5186133511456</v>
      </c>
      <c r="AC19" s="116">
        <f t="shared" si="10"/>
        <v>15040.191758146724</v>
      </c>
      <c r="AD19" s="115">
        <f t="shared" si="11"/>
        <v>1323.5515108768511</v>
      </c>
      <c r="AE19" s="115">
        <f t="shared" si="1"/>
        <v>453.80292750576132</v>
      </c>
      <c r="AF19" s="115">
        <f t="shared" si="2"/>
        <v>13725.59060689551</v>
      </c>
      <c r="AG19" s="117">
        <f t="shared" si="3"/>
        <v>2833.3192138474978</v>
      </c>
      <c r="AH19" s="664">
        <f t="shared" si="12"/>
        <v>3823.8271469208426</v>
      </c>
      <c r="AJ19" s="913"/>
      <c r="AK19" s="101"/>
      <c r="AL19" s="108"/>
    </row>
    <row r="20" spans="1:38" s="546" customFormat="1" ht="13">
      <c r="A20" s="1067" t="s">
        <v>297</v>
      </c>
      <c r="B20" s="1067"/>
      <c r="C20" s="1067"/>
      <c r="D20" s="103"/>
      <c r="E20" s="103"/>
      <c r="F20" s="548"/>
      <c r="G20" s="1068">
        <f>(A14*B14*'3 Pricing Sheet'!D46)</f>
        <v>15720</v>
      </c>
      <c r="H20" s="95"/>
      <c r="I20" s="95"/>
      <c r="J20" s="95"/>
      <c r="K20" s="95"/>
      <c r="L20" s="95"/>
      <c r="M20" s="104"/>
      <c r="N20" s="104"/>
      <c r="O20" s="104"/>
      <c r="P20" s="95"/>
      <c r="Q20" s="100"/>
      <c r="R20" s="100"/>
      <c r="S20" s="100"/>
      <c r="T20" s="100"/>
      <c r="U20" s="112">
        <v>12</v>
      </c>
      <c r="V20" s="113">
        <f t="shared" si="4"/>
        <v>0.15329682031050032</v>
      </c>
      <c r="W20" s="114">
        <f t="shared" si="5"/>
        <v>12000</v>
      </c>
      <c r="X20" s="118">
        <f t="shared" si="6"/>
        <v>8244.6410993347163</v>
      </c>
      <c r="Y20" s="115">
        <f t="shared" si="0"/>
        <v>1839.5618437260039</v>
      </c>
      <c r="Z20" s="950">
        <f t="shared" si="7"/>
        <v>343.81335765333046</v>
      </c>
      <c r="AA20" s="115">
        <f t="shared" si="8"/>
        <v>231.87122094339355</v>
      </c>
      <c r="AB20" s="116">
        <f t="shared" si="9"/>
        <v>1607.6906227826103</v>
      </c>
      <c r="AC20" s="116">
        <f t="shared" si="10"/>
        <v>16647.882380929335</v>
      </c>
      <c r="AD20" s="115">
        <f t="shared" si="11"/>
        <v>1341.5869067887779</v>
      </c>
      <c r="AE20" s="115">
        <f t="shared" si="1"/>
        <v>497.97493693722595</v>
      </c>
      <c r="AF20" s="115">
        <f t="shared" si="2"/>
        <v>15067.177513684288</v>
      </c>
      <c r="AG20" s="117">
        <f t="shared" si="3"/>
        <v>3331.2941507847236</v>
      </c>
      <c r="AH20" s="664">
        <f t="shared" si="12"/>
        <v>4614.5183270601774</v>
      </c>
      <c r="AJ20" s="913"/>
      <c r="AK20" s="558"/>
      <c r="AL20" s="559"/>
    </row>
    <row r="21" spans="1:38" ht="13" customHeight="1">
      <c r="A21" s="1067"/>
      <c r="B21" s="1067"/>
      <c r="C21" s="1067"/>
      <c r="D21" s="549"/>
      <c r="E21" s="551"/>
      <c r="F21" s="549"/>
      <c r="G21" s="1068"/>
      <c r="M21" s="104"/>
      <c r="N21" s="104"/>
      <c r="O21" s="104"/>
      <c r="Q21" s="100"/>
      <c r="R21" s="100"/>
      <c r="S21" s="100"/>
      <c r="T21" s="100"/>
      <c r="U21" s="112">
        <v>13</v>
      </c>
      <c r="V21" s="113">
        <f t="shared" si="4"/>
        <v>0.15866220902136782</v>
      </c>
      <c r="W21" s="114">
        <f t="shared" si="5"/>
        <v>12000</v>
      </c>
      <c r="X21" s="118">
        <f t="shared" si="6"/>
        <v>8203.4178938380428</v>
      </c>
      <c r="Y21" s="115">
        <f t="shared" si="0"/>
        <v>1903.9465082564138</v>
      </c>
      <c r="Z21" s="950">
        <f t="shared" si="7"/>
        <v>351.64682517119701</v>
      </c>
      <c r="AA21" s="115">
        <f t="shared" si="8"/>
        <v>250.72727852345628</v>
      </c>
      <c r="AB21" s="116">
        <f t="shared" si="9"/>
        <v>1653.2192297329575</v>
      </c>
      <c r="AC21" s="116">
        <f t="shared" si="10"/>
        <v>18301.101610662292</v>
      </c>
      <c r="AD21" s="115">
        <f t="shared" si="11"/>
        <v>1360.4429643688406</v>
      </c>
      <c r="AE21" s="115">
        <f t="shared" si="1"/>
        <v>543.50354388757319</v>
      </c>
      <c r="AF21" s="115">
        <f t="shared" si="2"/>
        <v>16427.62047805313</v>
      </c>
      <c r="AG21" s="117">
        <f t="shared" si="3"/>
        <v>3874.7976946722965</v>
      </c>
      <c r="AH21" s="664">
        <f t="shared" si="12"/>
        <v>5509.3867319399887</v>
      </c>
      <c r="AJ21" s="913"/>
    </row>
    <row r="22" spans="1:38" ht="13">
      <c r="A22" s="550"/>
      <c r="B22" s="103"/>
      <c r="C22" s="103"/>
      <c r="D22" s="549"/>
      <c r="E22" s="551"/>
      <c r="F22" s="549"/>
      <c r="G22" s="877"/>
      <c r="M22" s="104"/>
      <c r="N22" s="104"/>
      <c r="O22" s="104"/>
      <c r="Q22" s="100"/>
      <c r="R22" s="100"/>
      <c r="S22" s="100"/>
      <c r="T22" s="100"/>
      <c r="U22" s="112">
        <v>14</v>
      </c>
      <c r="V22" s="113">
        <f t="shared" si="4"/>
        <v>0.16421538633711569</v>
      </c>
      <c r="W22" s="114">
        <f t="shared" si="5"/>
        <v>12000</v>
      </c>
      <c r="X22" s="118">
        <f t="shared" si="6"/>
        <v>8162.4008043688527</v>
      </c>
      <c r="Y22" s="115">
        <f t="shared" si="0"/>
        <v>1970.5846360453882</v>
      </c>
      <c r="Z22" s="950">
        <f t="shared" si="7"/>
        <v>359.75446405218889</v>
      </c>
      <c r="AA22" s="115">
        <f t="shared" si="8"/>
        <v>270.43837046538437</v>
      </c>
      <c r="AB22" s="116">
        <f t="shared" si="9"/>
        <v>1700.1462655800037</v>
      </c>
      <c r="AC22" s="116">
        <f t="shared" si="10"/>
        <v>20001.247876242294</v>
      </c>
      <c r="AD22" s="115">
        <f t="shared" si="11"/>
        <v>1380.1540563107687</v>
      </c>
      <c r="AE22" s="115">
        <f t="shared" si="1"/>
        <v>590.43057973461941</v>
      </c>
      <c r="AF22" s="115">
        <f t="shared" si="2"/>
        <v>17807.7745343639</v>
      </c>
      <c r="AG22" s="117">
        <f t="shared" si="3"/>
        <v>4465.2282744069162</v>
      </c>
      <c r="AH22" s="664">
        <f t="shared" si="12"/>
        <v>6517.4075206746302</v>
      </c>
      <c r="AJ22" s="913"/>
    </row>
    <row r="23" spans="1:38">
      <c r="A23" s="549" t="s">
        <v>444</v>
      </c>
      <c r="B23" s="103"/>
      <c r="C23" s="103"/>
      <c r="D23" s="103"/>
      <c r="E23" s="103"/>
      <c r="F23" s="103"/>
      <c r="G23" s="546"/>
      <c r="M23" s="104"/>
      <c r="N23" s="104"/>
      <c r="O23" s="104"/>
      <c r="Q23" s="100"/>
      <c r="R23" s="100"/>
      <c r="S23" s="100"/>
      <c r="T23" s="100"/>
      <c r="U23" s="112">
        <v>15</v>
      </c>
      <c r="V23" s="113">
        <f t="shared" si="4"/>
        <v>0.16996292485891473</v>
      </c>
      <c r="W23" s="114">
        <f t="shared" si="5"/>
        <v>12000</v>
      </c>
      <c r="X23" s="118">
        <f t="shared" si="6"/>
        <v>8121.5888003470081</v>
      </c>
      <c r="Y23" s="115">
        <f t="shared" si="0"/>
        <v>2039.5550983069768</v>
      </c>
      <c r="Z23" s="950">
        <f t="shared" si="7"/>
        <v>368.14587029401548</v>
      </c>
      <c r="AA23" s="115">
        <f t="shared" si="8"/>
        <v>291.04024100457934</v>
      </c>
      <c r="AB23" s="116">
        <f t="shared" si="9"/>
        <v>1748.5148573023976</v>
      </c>
      <c r="AC23" s="116">
        <f t="shared" si="10"/>
        <v>21749.762733544692</v>
      </c>
      <c r="AD23" s="115">
        <f t="shared" si="11"/>
        <v>1400.7559268499635</v>
      </c>
      <c r="AE23" s="115">
        <f t="shared" si="1"/>
        <v>638.79917145701324</v>
      </c>
      <c r="AF23" s="115">
        <f t="shared" si="2"/>
        <v>19208.530461213864</v>
      </c>
      <c r="AG23" s="117">
        <f t="shared" si="3"/>
        <v>5104.0274458639296</v>
      </c>
      <c r="AH23" s="664">
        <f t="shared" si="12"/>
        <v>7648.2492052532962</v>
      </c>
      <c r="AJ23" s="913"/>
    </row>
    <row r="24" spans="1:38" ht="13" customHeight="1">
      <c r="A24" s="565"/>
      <c r="B24" s="855" t="s">
        <v>66</v>
      </c>
      <c r="C24" s="565"/>
      <c r="D24" s="597" t="str">
        <f>'3 Pricing Sheet'!C20</f>
        <v>No</v>
      </c>
      <c r="E24" s="889" t="str">
        <f>IF(D24="No","",(IF(G11&gt;=3,'Lookup Tables'!M18,(IF(G11&lt;2,'Lookup Tables'!M20,'Lookup Tables'!M19)))))</f>
        <v/>
      </c>
      <c r="F24" s="565"/>
      <c r="G24" s="890">
        <f>IF(D24="yes",($E$24*1000*G11),0)</f>
        <v>0</v>
      </c>
      <c r="M24" s="104"/>
      <c r="N24" s="104"/>
      <c r="O24" s="104"/>
      <c r="Q24" s="100"/>
      <c r="R24" s="100"/>
      <c r="S24" s="100"/>
      <c r="T24" s="100"/>
      <c r="U24" s="112">
        <v>16</v>
      </c>
      <c r="V24" s="113">
        <f t="shared" si="4"/>
        <v>0.17591162722897674</v>
      </c>
      <c r="W24" s="114">
        <f t="shared" si="5"/>
        <v>12000</v>
      </c>
      <c r="X24" s="118">
        <f t="shared" si="6"/>
        <v>8080.9808563452734</v>
      </c>
      <c r="Y24" s="115">
        <f t="shared" si="0"/>
        <v>2110.9395267477207</v>
      </c>
      <c r="Z24" s="950">
        <f t="shared" si="7"/>
        <v>376.83097575430605</v>
      </c>
      <c r="AA24" s="115">
        <f t="shared" si="8"/>
        <v>312.5700589475079</v>
      </c>
      <c r="AB24" s="116">
        <f t="shared" si="9"/>
        <v>1798.3694678002128</v>
      </c>
      <c r="AC24" s="116">
        <f t="shared" si="10"/>
        <v>23548.132201344906</v>
      </c>
      <c r="AD24" s="115">
        <f t="shared" si="11"/>
        <v>1422.2857447928923</v>
      </c>
      <c r="AE24" s="115">
        <f t="shared" si="1"/>
        <v>688.65378195482845</v>
      </c>
      <c r="AF24" s="115">
        <f t="shared" si="2"/>
        <v>20630.816206006755</v>
      </c>
      <c r="AG24" s="117">
        <f t="shared" si="3"/>
        <v>5792.6812278187572</v>
      </c>
      <c r="AH24" s="664">
        <f t="shared" si="12"/>
        <v>8912.3251527020875</v>
      </c>
      <c r="AJ24" s="913"/>
    </row>
    <row r="25" spans="1:38">
      <c r="A25" s="102"/>
      <c r="B25" s="102" t="s">
        <v>398</v>
      </c>
      <c r="C25" s="102"/>
      <c r="D25" s="891" t="str">
        <f>'3 Pricing Sheet'!C22</f>
        <v>No</v>
      </c>
      <c r="E25" s="892">
        <v>0.26</v>
      </c>
      <c r="F25" s="555"/>
      <c r="G25" s="893">
        <f>IF(D25="yes",($G$11*1000*0.26),0)</f>
        <v>0</v>
      </c>
      <c r="H25" s="102"/>
      <c r="I25" s="102"/>
      <c r="J25" s="102"/>
      <c r="K25" s="102"/>
      <c r="L25" s="102"/>
      <c r="M25" s="102"/>
      <c r="N25" s="102"/>
      <c r="O25" s="102"/>
      <c r="P25" s="102"/>
      <c r="Q25" s="102"/>
      <c r="R25" s="111"/>
      <c r="S25" s="111"/>
      <c r="T25" s="111"/>
      <c r="U25" s="112">
        <v>17</v>
      </c>
      <c r="V25" s="113">
        <f t="shared" si="4"/>
        <v>0.18206853418199093</v>
      </c>
      <c r="W25" s="114">
        <f t="shared" si="5"/>
        <v>12000</v>
      </c>
      <c r="X25" s="118">
        <f t="shared" si="6"/>
        <v>8040.5759520635474</v>
      </c>
      <c r="Y25" s="115">
        <f t="shared" si="0"/>
        <v>2184.822410183891</v>
      </c>
      <c r="Z25" s="950">
        <f t="shared" si="7"/>
        <v>385.82005990570673</v>
      </c>
      <c r="AA25" s="115">
        <f t="shared" si="8"/>
        <v>335.06647270700813</v>
      </c>
      <c r="AB25" s="116">
        <f t="shared" si="9"/>
        <v>1849.7559374768828</v>
      </c>
      <c r="AC25" s="116">
        <f t="shared" si="10"/>
        <v>25397.888138821789</v>
      </c>
      <c r="AD25" s="115">
        <f t="shared" si="11"/>
        <v>1444.7821585523925</v>
      </c>
      <c r="AE25" s="115">
        <f t="shared" si="1"/>
        <v>740.04025163149845</v>
      </c>
      <c r="AF25" s="115">
        <f t="shared" si="2"/>
        <v>22075.598364559148</v>
      </c>
      <c r="AG25" s="117">
        <f t="shared" si="3"/>
        <v>6532.7214794502561</v>
      </c>
      <c r="AH25" s="664">
        <f t="shared" si="12"/>
        <v>10320.848853283846</v>
      </c>
      <c r="AJ25" s="913"/>
    </row>
    <row r="26" spans="1:38">
      <c r="A26" s="855"/>
      <c r="B26" s="855" t="s">
        <v>490</v>
      </c>
      <c r="C26" s="855"/>
      <c r="D26" s="597" t="str">
        <f>'3 Pricing Sheet'!C24</f>
        <v>No</v>
      </c>
      <c r="E26" s="889">
        <v>0.05</v>
      </c>
      <c r="F26" s="565"/>
      <c r="G26" s="890">
        <f>IF(D26="yes",($G$11*1000*0.05),0)</f>
        <v>0</v>
      </c>
      <c r="U26" s="112">
        <v>18</v>
      </c>
      <c r="V26" s="113">
        <f t="shared" si="4"/>
        <v>0.18844093287836058</v>
      </c>
      <c r="W26" s="114">
        <f t="shared" si="5"/>
        <v>12000</v>
      </c>
      <c r="X26" s="118">
        <f t="shared" si="6"/>
        <v>8000.3730723032295</v>
      </c>
      <c r="Y26" s="115">
        <f t="shared" si="0"/>
        <v>2261.2911945403271</v>
      </c>
      <c r="Z26" s="950">
        <f t="shared" si="7"/>
        <v>395.12376200240647</v>
      </c>
      <c r="AA26" s="115">
        <f t="shared" si="8"/>
        <v>358.56966741818428</v>
      </c>
      <c r="AB26" s="116">
        <f t="shared" si="9"/>
        <v>1902.7215271221428</v>
      </c>
      <c r="AC26" s="116">
        <f t="shared" si="10"/>
        <v>27300.609665943932</v>
      </c>
      <c r="AD26" s="115">
        <f t="shared" si="11"/>
        <v>1468.2853532635686</v>
      </c>
      <c r="AE26" s="115">
        <f t="shared" si="1"/>
        <v>793.00584127675847</v>
      </c>
      <c r="AF26" s="115">
        <f t="shared" si="2"/>
        <v>23543.883717822715</v>
      </c>
      <c r="AG26" s="117">
        <f t="shared" si="3"/>
        <v>7325.7273207270136</v>
      </c>
      <c r="AH26" s="664">
        <f t="shared" si="12"/>
        <v>11885.893228326499</v>
      </c>
      <c r="AJ26" s="913"/>
    </row>
    <row r="27" spans="1:38">
      <c r="A27" s="102"/>
      <c r="B27" s="102" t="s">
        <v>312</v>
      </c>
      <c r="C27" s="102"/>
      <c r="D27" s="891" t="str">
        <f>'3 Pricing Sheet'!C26</f>
        <v>No</v>
      </c>
      <c r="E27" s="892">
        <v>0.15</v>
      </c>
      <c r="F27" s="102"/>
      <c r="G27" s="893">
        <f>IF(D27="yes",($G$11*1000*0.15),0)</f>
        <v>0</v>
      </c>
      <c r="R27" s="119"/>
      <c r="S27" s="119"/>
      <c r="T27" s="119"/>
      <c r="U27" s="112">
        <v>19</v>
      </c>
      <c r="V27" s="113">
        <f t="shared" si="4"/>
        <v>0.1950363655291032</v>
      </c>
      <c r="W27" s="114">
        <f t="shared" si="5"/>
        <v>12000</v>
      </c>
      <c r="X27" s="118">
        <f t="shared" si="6"/>
        <v>7960.3712069417134</v>
      </c>
      <c r="Y27" s="115">
        <f t="shared" si="0"/>
        <v>2340.4363863492385</v>
      </c>
      <c r="Z27" s="950">
        <f t="shared" si="7"/>
        <v>404.75309367249065</v>
      </c>
      <c r="AA27" s="115">
        <f t="shared" si="8"/>
        <v>383.12142421231533</v>
      </c>
      <c r="AB27" s="116">
        <f t="shared" si="9"/>
        <v>1957.3149621369232</v>
      </c>
      <c r="AC27" s="116">
        <f t="shared" si="10"/>
        <v>29257.924628080855</v>
      </c>
      <c r="AD27" s="115">
        <f t="shared" si="11"/>
        <v>1492.8371100576996</v>
      </c>
      <c r="AE27" s="115">
        <f t="shared" si="1"/>
        <v>847.5992762915389</v>
      </c>
      <c r="AF27" s="115">
        <f t="shared" si="2"/>
        <v>25036.720827880414</v>
      </c>
      <c r="AG27" s="117">
        <f t="shared" si="3"/>
        <v>8173.3265970185521</v>
      </c>
      <c r="AH27" s="664">
        <f t="shared" si="12"/>
        <v>13620.454271090841</v>
      </c>
      <c r="AJ27" s="913"/>
    </row>
    <row r="28" spans="1:38">
      <c r="A28" s="855"/>
      <c r="B28" s="855" t="s">
        <v>400</v>
      </c>
      <c r="C28" s="855"/>
      <c r="D28" s="597" t="str">
        <f>'3 Pricing Sheet'!C30</f>
        <v>No</v>
      </c>
      <c r="E28" s="894">
        <v>200</v>
      </c>
      <c r="F28" s="855" t="str">
        <f>IF(D28="Yes",'3 Pricing Sheet'!G30,"")</f>
        <v/>
      </c>
      <c r="G28" s="890">
        <f>IF(D28="yes",(E28*F28),0)</f>
        <v>0</v>
      </c>
      <c r="R28" s="120"/>
      <c r="S28" s="120"/>
      <c r="T28" s="120"/>
      <c r="U28" s="112">
        <v>20</v>
      </c>
      <c r="V28" s="113">
        <f t="shared" si="4"/>
        <v>0.2018626383226218</v>
      </c>
      <c r="W28" s="114">
        <f t="shared" si="5"/>
        <v>12000</v>
      </c>
      <c r="X28" s="118">
        <f t="shared" si="6"/>
        <v>7920.5693509070052</v>
      </c>
      <c r="Y28" s="115">
        <f t="shared" si="0"/>
        <v>2422.3516598714618</v>
      </c>
      <c r="Z28" s="950">
        <f t="shared" si="7"/>
        <v>414.71945195102785</v>
      </c>
      <c r="AA28" s="115">
        <f t="shared" si="8"/>
        <v>408.76518172904969</v>
      </c>
      <c r="AB28" s="116">
        <f t="shared" si="9"/>
        <v>2013.586478142412</v>
      </c>
      <c r="AC28" s="116">
        <f t="shared" si="10"/>
        <v>31271.511106223268</v>
      </c>
      <c r="AD28" s="115">
        <f t="shared" si="11"/>
        <v>1518.4808675744339</v>
      </c>
      <c r="AE28" s="115">
        <f t="shared" si="1"/>
        <v>903.87079229702795</v>
      </c>
      <c r="AF28" s="115">
        <f t="shared" si="2"/>
        <v>26555.201695454849</v>
      </c>
      <c r="AG28" s="117">
        <f t="shared" si="3"/>
        <v>9077.1973893155809</v>
      </c>
      <c r="AH28" s="664">
        <f t="shared" si="12"/>
        <v>15538.519335342979</v>
      </c>
      <c r="AJ28" s="913"/>
    </row>
    <row r="29" spans="1:38">
      <c r="A29" s="895"/>
      <c r="B29" s="895" t="s">
        <v>401</v>
      </c>
      <c r="C29" s="895"/>
      <c r="D29" s="896" t="str">
        <f>'3 Pricing Sheet'!C36</f>
        <v>No</v>
      </c>
      <c r="E29" s="892">
        <v>0.55000000000000004</v>
      </c>
      <c r="F29" s="895"/>
      <c r="G29" s="893">
        <f>IF(D29="yes",($G$11*1000*0.55),0)</f>
        <v>0</v>
      </c>
      <c r="R29" s="111"/>
      <c r="S29" s="111"/>
      <c r="T29" s="111"/>
      <c r="U29" s="112">
        <v>21</v>
      </c>
      <c r="V29" s="113">
        <f t="shared" si="4"/>
        <v>0.20892783066391354</v>
      </c>
      <c r="W29" s="114">
        <f t="shared" si="5"/>
        <v>12000</v>
      </c>
      <c r="X29" s="118">
        <f t="shared" si="6"/>
        <v>7880.9665041524704</v>
      </c>
      <c r="Y29" s="115">
        <f t="shared" si="0"/>
        <v>2507.1339679669627</v>
      </c>
      <c r="Z29" s="950">
        <f t="shared" si="7"/>
        <v>425.03463276931376</v>
      </c>
      <c r="AA29" s="115">
        <f t="shared" si="8"/>
        <v>435.54609995010668</v>
      </c>
      <c r="AB29" s="116">
        <f t="shared" si="9"/>
        <v>2071.5878680168562</v>
      </c>
      <c r="AC29" s="116">
        <f t="shared" si="10"/>
        <v>33343.098974240122</v>
      </c>
      <c r="AD29" s="115">
        <f t="shared" si="11"/>
        <v>1545.2617857954911</v>
      </c>
      <c r="AE29" s="115">
        <f t="shared" si="1"/>
        <v>961.87218217147165</v>
      </c>
      <c r="AF29" s="115">
        <f t="shared" si="2"/>
        <v>28100.463481250339</v>
      </c>
      <c r="AG29" s="117">
        <f t="shared" si="3"/>
        <v>10039.069571487053</v>
      </c>
      <c r="AH29" s="664">
        <f t="shared" si="12"/>
        <v>17655.140409088821</v>
      </c>
      <c r="AJ29" s="913"/>
    </row>
    <row r="30" spans="1:38">
      <c r="A30" s="855"/>
      <c r="B30" s="855" t="s">
        <v>402</v>
      </c>
      <c r="C30" s="855"/>
      <c r="D30" s="597" t="str">
        <f>'3 Pricing Sheet'!C38</f>
        <v>No</v>
      </c>
      <c r="E30" s="897">
        <v>0.1</v>
      </c>
      <c r="F30" s="855" t="str">
        <f>IF(D30="Yes",'3 Pricing Sheet'!G38,"")</f>
        <v/>
      </c>
      <c r="G30" s="890">
        <f>IF(D30="yes",(E30*F30),0)</f>
        <v>0</v>
      </c>
      <c r="R30" s="111"/>
      <c r="S30" s="111"/>
      <c r="T30" s="111"/>
      <c r="U30" s="869">
        <v>22</v>
      </c>
      <c r="V30" s="870">
        <f t="shared" si="4"/>
        <v>0.2162403047371505</v>
      </c>
      <c r="W30" s="871">
        <f t="shared" si="5"/>
        <v>12000</v>
      </c>
      <c r="X30" s="872">
        <f t="shared" si="6"/>
        <v>7841.5616716317081</v>
      </c>
      <c r="Y30" s="873">
        <f t="shared" si="0"/>
        <v>2594.8836568458059</v>
      </c>
      <c r="Z30" s="950">
        <f t="shared" si="7"/>
        <v>435.71084491623975</v>
      </c>
      <c r="AA30" s="115">
        <f t="shared" si="8"/>
        <v>463.51112644076642</v>
      </c>
      <c r="AB30" s="116">
        <f t="shared" si="9"/>
        <v>2131.3725304050395</v>
      </c>
      <c r="AC30" s="874">
        <f t="shared" si="10"/>
        <v>35474.47150464516</v>
      </c>
      <c r="AD30" s="115">
        <f t="shared" si="11"/>
        <v>1573.2268122861508</v>
      </c>
      <c r="AE30" s="873">
        <f t="shared" si="1"/>
        <v>1021.6568445596552</v>
      </c>
      <c r="AF30" s="873">
        <f t="shared" si="2"/>
        <v>29673.690293536489</v>
      </c>
      <c r="AG30" s="875">
        <f t="shared" si="3"/>
        <v>11060.726416046708</v>
      </c>
      <c r="AH30" s="876">
        <f t="shared" si="12"/>
        <v>19986.512735369255</v>
      </c>
      <c r="AJ30" s="913"/>
    </row>
    <row r="31" spans="1:38">
      <c r="A31" s="941"/>
      <c r="B31" s="941" t="s">
        <v>681</v>
      </c>
      <c r="C31" s="941"/>
      <c r="D31" s="942" t="str">
        <f>'3 Pricing Sheet'!C34</f>
        <v>Yes</v>
      </c>
      <c r="E31" s="943" t="str">
        <f>'3 Pricing Sheet'!D34</f>
        <v>Nest Thermostat + $12.50/LED light</v>
      </c>
      <c r="F31" s="941">
        <f>'3 Pricing Sheet'!G34</f>
        <v>20</v>
      </c>
      <c r="G31" s="944">
        <f>'3 Pricing Sheet'!H34</f>
        <v>600</v>
      </c>
      <c r="R31" s="111"/>
      <c r="S31" s="111"/>
      <c r="T31" s="111"/>
      <c r="U31" s="112">
        <v>23</v>
      </c>
      <c r="V31" s="113">
        <f t="shared" si="4"/>
        <v>0.22380871540295075</v>
      </c>
      <c r="W31" s="114">
        <f>W30</f>
        <v>12000</v>
      </c>
      <c r="X31" s="118">
        <f t="shared" si="6"/>
        <v>7802.3538632735499</v>
      </c>
      <c r="Y31" s="115">
        <f t="shared" si="0"/>
        <v>2685.7045848354092</v>
      </c>
      <c r="Z31" s="950">
        <f t="shared" si="7"/>
        <v>446.76072448830809</v>
      </c>
      <c r="AA31" s="115">
        <f t="shared" si="8"/>
        <v>492.7090650885977</v>
      </c>
      <c r="AB31" s="116">
        <f t="shared" si="9"/>
        <v>2192.9955197468116</v>
      </c>
      <c r="AC31" s="116">
        <f>AC30+AB31</f>
        <v>37667.467024391968</v>
      </c>
      <c r="AD31" s="115">
        <f t="shared" si="11"/>
        <v>1602.4247509339821</v>
      </c>
      <c r="AE31" s="115">
        <f t="shared" si="1"/>
        <v>1083.2798339014271</v>
      </c>
      <c r="AF31" s="115">
        <f>AF30+AD31</f>
        <v>31276.115044470469</v>
      </c>
      <c r="AG31" s="117">
        <f>AG30+Y31-AD31</f>
        <v>12144.006249948134</v>
      </c>
      <c r="AH31" s="664">
        <f t="shared" si="12"/>
        <v>22550.059168224197</v>
      </c>
      <c r="AJ31" s="913"/>
    </row>
    <row r="32" spans="1:38">
      <c r="A32" s="855"/>
      <c r="B32" s="855" t="s">
        <v>399</v>
      </c>
      <c r="C32" s="855"/>
      <c r="D32" s="597" t="str">
        <f>'3 Pricing Sheet'!C28</f>
        <v>No</v>
      </c>
      <c r="E32" s="945" t="s">
        <v>404</v>
      </c>
      <c r="F32" s="901"/>
      <c r="G32" s="890" t="str">
        <f>IF(D32="Yes",'3 Pricing Sheet'!G28,"")</f>
        <v/>
      </c>
      <c r="H32" s="622"/>
      <c r="I32" s="622"/>
      <c r="J32" s="622"/>
      <c r="R32" s="111"/>
      <c r="S32" s="111"/>
      <c r="T32" s="111"/>
      <c r="U32" s="112">
        <v>24</v>
      </c>
      <c r="V32" s="113">
        <f t="shared" si="4"/>
        <v>0.23164202044205401</v>
      </c>
      <c r="W32" s="114">
        <f t="shared" si="5"/>
        <v>12000</v>
      </c>
      <c r="X32" s="118">
        <f t="shared" si="6"/>
        <v>7763.3420939571824</v>
      </c>
      <c r="Y32" s="115">
        <f t="shared" si="0"/>
        <v>2779.7042453046479</v>
      </c>
      <c r="Z32" s="950">
        <f t="shared" si="7"/>
        <v>458.19734984539883</v>
      </c>
      <c r="AA32" s="115">
        <f t="shared" si="8"/>
        <v>523.19064743216131</v>
      </c>
      <c r="AB32" s="116">
        <f t="shared" si="9"/>
        <v>2256.5135978724866</v>
      </c>
      <c r="AC32" s="116">
        <f t="shared" si="10"/>
        <v>39923.980622264455</v>
      </c>
      <c r="AD32" s="115">
        <f t="shared" si="11"/>
        <v>1632.9063332775456</v>
      </c>
      <c r="AE32" s="115">
        <f t="shared" si="1"/>
        <v>1146.7979120271023</v>
      </c>
      <c r="AF32" s="115">
        <f t="shared" si="2"/>
        <v>32909.021377748017</v>
      </c>
      <c r="AG32" s="117">
        <f t="shared" si="3"/>
        <v>13290.804161975235</v>
      </c>
      <c r="AH32" s="664">
        <f t="shared" si="12"/>
        <v>25364.520680039481</v>
      </c>
      <c r="AJ32" s="913"/>
    </row>
    <row r="33" spans="1:44" ht="12" customHeight="1">
      <c r="A33" s="946"/>
      <c r="B33" s="947" t="s">
        <v>171</v>
      </c>
      <c r="C33" s="947"/>
      <c r="D33" s="942" t="str">
        <f>'3 Pricing Sheet'!C32</f>
        <v>No</v>
      </c>
      <c r="E33" s="943">
        <v>5</v>
      </c>
      <c r="F33" s="948" t="str">
        <f>IF(D33="Yes",'3 Pricing Sheet'!G32,"")</f>
        <v/>
      </c>
      <c r="G33" s="944">
        <f>IF(D33="yes",(E33*F33),0)</f>
        <v>0</v>
      </c>
      <c r="R33" s="111"/>
      <c r="S33" s="111"/>
      <c r="T33" s="111"/>
      <c r="U33" s="112">
        <v>25</v>
      </c>
      <c r="V33" s="113">
        <f t="shared" si="4"/>
        <v>0.23974949115752589</v>
      </c>
      <c r="W33" s="114">
        <f t="shared" si="5"/>
        <v>12000</v>
      </c>
      <c r="X33" s="118">
        <f t="shared" si="6"/>
        <v>7724.5253834873965</v>
      </c>
      <c r="Y33" s="115">
        <f t="shared" si="0"/>
        <v>2876.9938938903106</v>
      </c>
      <c r="Z33" s="950">
        <f t="shared" si="7"/>
        <v>470.03425708998782</v>
      </c>
      <c r="AA33" s="115">
        <f t="shared" si="8"/>
        <v>555.00860667582708</v>
      </c>
      <c r="AB33" s="116">
        <f t="shared" si="9"/>
        <v>2321.9852872144834</v>
      </c>
      <c r="AC33" s="116">
        <f t="shared" si="10"/>
        <v>42245.965909478939</v>
      </c>
      <c r="AD33" s="115">
        <f t="shared" si="11"/>
        <v>1664.7242925212113</v>
      </c>
      <c r="AE33" s="115">
        <f t="shared" si="1"/>
        <v>1212.2696013690993</v>
      </c>
      <c r="AF33" s="115">
        <f t="shared" si="2"/>
        <v>34573.745670269229</v>
      </c>
      <c r="AG33" s="117">
        <f t="shared" si="3"/>
        <v>14503.073763344335</v>
      </c>
      <c r="AH33" s="664">
        <f t="shared" si="12"/>
        <v>28450.053466629619</v>
      </c>
      <c r="AJ33" s="913"/>
    </row>
    <row r="34" spans="1:44" ht="13" customHeight="1">
      <c r="A34" s="1067" t="s">
        <v>298</v>
      </c>
      <c r="B34" s="1067"/>
      <c r="C34" s="1067"/>
      <c r="D34" s="1067"/>
      <c r="E34" s="551"/>
      <c r="F34" s="549"/>
      <c r="G34" s="1068">
        <f>SUM(G24:G33)</f>
        <v>600</v>
      </c>
      <c r="R34" s="111"/>
      <c r="S34" s="111"/>
      <c r="T34" s="111"/>
    </row>
    <row r="35" spans="1:44" ht="13" customHeight="1">
      <c r="A35" s="1067"/>
      <c r="B35" s="1067"/>
      <c r="C35" s="1067"/>
      <c r="D35" s="1067"/>
      <c r="G35" s="1068"/>
      <c r="H35" s="546"/>
      <c r="I35" s="546"/>
      <c r="J35" s="546"/>
      <c r="K35" s="546"/>
      <c r="L35" s="546"/>
      <c r="M35" s="546"/>
      <c r="N35" s="546"/>
      <c r="O35" s="546"/>
      <c r="P35" s="546"/>
      <c r="Q35" s="546"/>
      <c r="R35" s="120"/>
      <c r="S35" s="120"/>
      <c r="T35" s="120"/>
      <c r="U35" s="546"/>
      <c r="V35" s="546"/>
      <c r="W35" s="546"/>
      <c r="X35" s="546"/>
      <c r="Y35" s="546"/>
      <c r="Z35" s="546"/>
      <c r="AA35" s="546"/>
      <c r="AB35" s="546"/>
      <c r="AC35" s="546"/>
      <c r="AD35" s="546"/>
      <c r="AE35" s="546"/>
      <c r="AF35" s="546"/>
      <c r="AG35" s="546"/>
      <c r="AH35" s="546"/>
      <c r="AI35" s="546" t="s">
        <v>365</v>
      </c>
      <c r="AJ35" s="546" t="s">
        <v>578</v>
      </c>
      <c r="AK35" s="546" t="s">
        <v>581</v>
      </c>
      <c r="AL35" s="546" t="s">
        <v>582</v>
      </c>
      <c r="AM35" s="546" t="s">
        <v>579</v>
      </c>
      <c r="AN35" s="546" t="s">
        <v>580</v>
      </c>
      <c r="AO35" s="546"/>
      <c r="AP35" s="546"/>
      <c r="AQ35" s="546"/>
      <c r="AR35" s="546"/>
    </row>
    <row r="36" spans="1:44" s="546" customFormat="1">
      <c r="A36" s="860"/>
      <c r="B36" s="860"/>
      <c r="C36" s="860"/>
      <c r="D36" s="860"/>
      <c r="E36" s="860"/>
      <c r="F36" s="860"/>
      <c r="G36" s="860"/>
      <c r="H36" s="95"/>
      <c r="I36" s="95"/>
      <c r="J36" s="95"/>
      <c r="K36" s="95"/>
      <c r="L36" s="95"/>
      <c r="M36" s="95"/>
      <c r="N36" s="95"/>
      <c r="O36" s="95"/>
      <c r="P36" s="95"/>
      <c r="Q36" s="95"/>
      <c r="R36" s="111"/>
      <c r="S36" s="111"/>
      <c r="T36" s="111"/>
      <c r="AI36" s="546">
        <v>1</v>
      </c>
      <c r="AJ36" s="905">
        <f>'Lookup Tables'!V4*$V$9</f>
        <v>95.823367065317385</v>
      </c>
      <c r="AK36" s="905">
        <f>'Lookup Tables'!U4*'4 Dividend Financed Bid'!$V$9</f>
        <v>66.149999999999991</v>
      </c>
      <c r="AL36" s="911">
        <f>$G$49</f>
        <v>92.476307153782031</v>
      </c>
      <c r="AM36" s="906">
        <f>AJ36-AK36+AL36</f>
        <v>122.14967421909942</v>
      </c>
      <c r="AN36" s="907">
        <f t="shared" ref="AN36:AN48" si="13">AK36/AJ36</f>
        <v>0.69033266129032256</v>
      </c>
    </row>
    <row r="37" spans="1:44" s="546" customFormat="1">
      <c r="A37" s="860"/>
      <c r="B37" s="860"/>
      <c r="C37" s="860"/>
      <c r="D37" s="860"/>
      <c r="E37" s="860"/>
      <c r="F37" s="860"/>
      <c r="G37" s="860"/>
      <c r="H37" s="95"/>
      <c r="I37" s="95"/>
      <c r="J37" s="95"/>
      <c r="K37" s="95"/>
      <c r="L37" s="95"/>
      <c r="M37" s="95"/>
      <c r="N37" s="95"/>
      <c r="O37" s="95"/>
      <c r="P37" s="95"/>
      <c r="Q37" s="95"/>
      <c r="R37" s="111"/>
      <c r="S37" s="111"/>
      <c r="T37" s="111"/>
      <c r="U37" s="95"/>
      <c r="V37" s="95"/>
      <c r="W37" s="95"/>
      <c r="X37" s="95"/>
      <c r="Y37" s="95"/>
      <c r="Z37" s="95"/>
      <c r="AA37" s="95"/>
      <c r="AB37" s="95"/>
      <c r="AC37" s="95"/>
      <c r="AD37" s="95"/>
      <c r="AE37" s="95"/>
      <c r="AF37" s="95"/>
      <c r="AG37" s="95"/>
      <c r="AH37" s="95"/>
      <c r="AI37" s="546">
        <v>2</v>
      </c>
      <c r="AJ37" s="905">
        <f>'Lookup Tables'!V5*$V$9</f>
        <v>76.632934682612699</v>
      </c>
      <c r="AK37" s="905">
        <f>'Lookup Tables'!U5*'4 Dividend Financed Bid'!$V$9</f>
        <v>67.41</v>
      </c>
      <c r="AL37" s="911">
        <f t="shared" ref="AL37:AL47" si="14">$G$49</f>
        <v>92.476307153782031</v>
      </c>
      <c r="AM37" s="906">
        <f t="shared" ref="AM37:AM48" si="15">AJ37-AK37+AL37</f>
        <v>101.69924183639473</v>
      </c>
      <c r="AN37" s="907">
        <f t="shared" si="13"/>
        <v>0.87964789915966379</v>
      </c>
      <c r="AO37" s="95"/>
      <c r="AP37" s="95"/>
      <c r="AQ37" s="95"/>
      <c r="AR37" s="95"/>
    </row>
    <row r="38" spans="1:44" ht="13">
      <c r="A38" s="553" t="s">
        <v>296</v>
      </c>
      <c r="B38" s="96"/>
      <c r="C38" s="96"/>
      <c r="D38" s="96"/>
      <c r="E38" s="96"/>
      <c r="F38" s="96"/>
      <c r="G38" s="107"/>
      <c r="R38" s="856"/>
      <c r="S38" s="856"/>
      <c r="T38"/>
      <c r="AI38" s="546">
        <v>3</v>
      </c>
      <c r="AJ38" s="905">
        <f>'Lookup Tables'!V6*$V$9</f>
        <v>71.223551057957678</v>
      </c>
      <c r="AK38" s="905">
        <f>'Lookup Tables'!U6*'4 Dividend Financed Bid'!$V$9</f>
        <v>81.899999999999991</v>
      </c>
      <c r="AL38" s="911">
        <f t="shared" si="14"/>
        <v>92.476307153782031</v>
      </c>
      <c r="AM38" s="906">
        <f t="shared" si="15"/>
        <v>81.799858211739718</v>
      </c>
      <c r="AN38" s="907">
        <f t="shared" si="13"/>
        <v>1.1499005424954791</v>
      </c>
    </row>
    <row r="39" spans="1:44" ht="20" customHeight="1">
      <c r="A39" s="547"/>
      <c r="B39" s="547"/>
      <c r="C39" s="563" t="s">
        <v>299</v>
      </c>
      <c r="D39" s="564"/>
      <c r="E39" s="564"/>
      <c r="F39" s="565"/>
      <c r="G39" s="566">
        <f>G20+G34</f>
        <v>16320</v>
      </c>
      <c r="T39"/>
      <c r="AI39" s="546">
        <v>4</v>
      </c>
      <c r="AJ39" s="905">
        <f>'Lookup Tables'!V7*$V$9</f>
        <v>72.769089236430545</v>
      </c>
      <c r="AK39" s="905">
        <f>'Lookup Tables'!U7*'4 Dividend Financed Bid'!$V$9</f>
        <v>78.11999999999999</v>
      </c>
      <c r="AL39" s="911">
        <f t="shared" si="14"/>
        <v>92.476307153782031</v>
      </c>
      <c r="AM39" s="906">
        <f t="shared" si="15"/>
        <v>87.125396390212586</v>
      </c>
      <c r="AN39" s="907">
        <f t="shared" si="13"/>
        <v>1.0735327433628317</v>
      </c>
    </row>
    <row r="40" spans="1:44" ht="20" customHeight="1">
      <c r="C40" s="561" t="s">
        <v>328</v>
      </c>
      <c r="D40" s="561"/>
      <c r="E40" s="561"/>
      <c r="F40" s="562"/>
      <c r="G40" s="560">
        <f>G39*0.6*0.0825</f>
        <v>807.84</v>
      </c>
      <c r="R40" s="121"/>
      <c r="S40" s="121"/>
      <c r="T40"/>
      <c r="AB40" s="121"/>
      <c r="AC40" s="121"/>
      <c r="AD40" s="121"/>
      <c r="AI40" s="546">
        <v>5</v>
      </c>
      <c r="AJ40" s="905">
        <f>'Lookup Tables'!V8*$V$9</f>
        <v>84.875804967801287</v>
      </c>
      <c r="AK40" s="905">
        <f>'Lookup Tables'!U8*'4 Dividend Financed Bid'!$V$9</f>
        <v>79.38</v>
      </c>
      <c r="AL40" s="911">
        <f t="shared" si="14"/>
        <v>92.476307153782031</v>
      </c>
      <c r="AM40" s="906">
        <f t="shared" si="15"/>
        <v>97.972112121583322</v>
      </c>
      <c r="AN40" s="907">
        <f t="shared" si="13"/>
        <v>0.93524886191198786</v>
      </c>
    </row>
    <row r="41" spans="1:44" ht="20" customHeight="1">
      <c r="A41" s="547"/>
      <c r="B41" s="547"/>
      <c r="C41" s="563" t="s">
        <v>445</v>
      </c>
      <c r="D41" s="564"/>
      <c r="E41" s="564"/>
      <c r="F41" s="565"/>
      <c r="G41" s="567">
        <f>SUM(G39:G40)</f>
        <v>17127.84</v>
      </c>
      <c r="R41" s="121"/>
      <c r="S41" s="121"/>
      <c r="T41"/>
      <c r="AB41" s="121"/>
      <c r="AC41" s="121"/>
      <c r="AD41" s="121"/>
      <c r="AI41" s="546">
        <v>6</v>
      </c>
      <c r="AJ41" s="905">
        <f>'Lookup Tables'!V9*$V$9</f>
        <v>141.67433302667891</v>
      </c>
      <c r="AK41" s="905">
        <f>'Lookup Tables'!U9*'4 Dividend Financed Bid'!$V$9</f>
        <v>81.27</v>
      </c>
      <c r="AL41" s="911">
        <f t="shared" si="14"/>
        <v>92.476307153782031</v>
      </c>
      <c r="AM41" s="906">
        <f t="shared" si="15"/>
        <v>152.88064018046094</v>
      </c>
      <c r="AN41" s="907">
        <f t="shared" si="13"/>
        <v>0.57363954545454554</v>
      </c>
    </row>
    <row r="42" spans="1:44" ht="20" hidden="1" customHeight="1">
      <c r="C42" s="561" t="s">
        <v>525</v>
      </c>
      <c r="D42" s="561"/>
      <c r="E42" s="561"/>
      <c r="F42" s="562"/>
      <c r="G42" s="858">
        <f>IF('1 Customer Record'!C19="Austin Energy",IF('1 Customer Record'!H20=0,'3 Pricing Sheet'!D54,-'1 Customer Record'!H20),IF('1 Customer Record'!C19="Oncor",'3 Pricing Sheet'!D54,0))</f>
        <v>0</v>
      </c>
      <c r="R42" s="121"/>
      <c r="S42" s="121"/>
      <c r="T42"/>
      <c r="AB42" s="121"/>
      <c r="AC42" s="121"/>
      <c r="AD42" s="121"/>
      <c r="AI42" s="546">
        <v>7</v>
      </c>
      <c r="AJ42" s="905">
        <f>'Lookup Tables'!V10*$V$9</f>
        <v>159.70561177552895</v>
      </c>
      <c r="AK42" s="905">
        <f>'Lookup Tables'!U10*'4 Dividend Financed Bid'!$V$9</f>
        <v>86.31</v>
      </c>
      <c r="AL42" s="911">
        <f t="shared" si="14"/>
        <v>92.476307153782031</v>
      </c>
      <c r="AM42" s="906">
        <f t="shared" si="15"/>
        <v>165.87191892931099</v>
      </c>
      <c r="AN42" s="907">
        <f t="shared" si="13"/>
        <v>0.54043185483870981</v>
      </c>
    </row>
    <row r="43" spans="1:44" ht="20" hidden="1" customHeight="1">
      <c r="A43" s="547"/>
      <c r="B43" s="547"/>
      <c r="C43" s="563" t="s">
        <v>412</v>
      </c>
      <c r="D43" s="564"/>
      <c r="E43" s="564"/>
      <c r="F43" s="565"/>
      <c r="G43" s="566">
        <f>G41+G42</f>
        <v>17127.84</v>
      </c>
      <c r="R43" s="121"/>
      <c r="S43" s="121"/>
      <c r="T43"/>
      <c r="AB43" s="121"/>
      <c r="AC43" s="121"/>
      <c r="AD43" s="121"/>
      <c r="AI43" s="546">
        <v>8</v>
      </c>
      <c r="AJ43" s="905">
        <f>'Lookup Tables'!V11*$V$9</f>
        <v>157.12971481140752</v>
      </c>
      <c r="AK43" s="905">
        <f>'Lookup Tables'!U11*'4 Dividend Financed Bid'!$V$9</f>
        <v>86.94</v>
      </c>
      <c r="AL43" s="911">
        <f t="shared" si="14"/>
        <v>92.476307153782031</v>
      </c>
      <c r="AM43" s="906">
        <f t="shared" si="15"/>
        <v>162.66602196518954</v>
      </c>
      <c r="AN43" s="907">
        <f t="shared" si="13"/>
        <v>0.55330081967213118</v>
      </c>
    </row>
    <row r="44" spans="1:44" ht="20" customHeight="1">
      <c r="C44" s="561" t="s">
        <v>528</v>
      </c>
      <c r="D44" s="561"/>
      <c r="E44" s="561"/>
      <c r="F44" s="979">
        <v>0</v>
      </c>
      <c r="G44" s="859">
        <f>F44*G43</f>
        <v>0</v>
      </c>
      <c r="R44" s="121"/>
      <c r="S44" s="121"/>
      <c r="T44"/>
      <c r="AB44" s="121"/>
      <c r="AC44" s="121"/>
      <c r="AD44" s="121"/>
      <c r="AI44" s="546">
        <v>9</v>
      </c>
      <c r="AJ44" s="905">
        <f>'Lookup Tables'!V12*$V$9</f>
        <v>141.67433302667891</v>
      </c>
      <c r="AK44" s="905">
        <f>'Lookup Tables'!U12*'4 Dividend Financed Bid'!$V$9</f>
        <v>80.009999999999991</v>
      </c>
      <c r="AL44" s="911">
        <f t="shared" si="14"/>
        <v>92.476307153782031</v>
      </c>
      <c r="AM44" s="906">
        <f t="shared" si="15"/>
        <v>154.14064018046093</v>
      </c>
      <c r="AN44" s="907">
        <f t="shared" si="13"/>
        <v>0.56474590909090916</v>
      </c>
    </row>
    <row r="45" spans="1:44" ht="20" customHeight="1">
      <c r="A45" s="637"/>
      <c r="B45" s="637"/>
      <c r="C45" s="563" t="s">
        <v>416</v>
      </c>
      <c r="D45" s="563"/>
      <c r="E45" s="563"/>
      <c r="F45" s="637"/>
      <c r="G45" s="566">
        <f>G43-G44</f>
        <v>17127.84</v>
      </c>
      <c r="H45" s="122"/>
      <c r="I45" s="122"/>
      <c r="J45" s="122"/>
      <c r="K45" s="122"/>
      <c r="L45" s="122"/>
      <c r="M45" s="122"/>
      <c r="N45" s="122"/>
      <c r="O45" s="122"/>
      <c r="P45" s="122"/>
      <c r="Q45" s="122"/>
      <c r="R45" s="122"/>
      <c r="S45" s="122"/>
      <c r="T45"/>
      <c r="AB45" s="122"/>
      <c r="AC45" s="122"/>
      <c r="AD45" s="122"/>
      <c r="AI45" s="546">
        <v>10</v>
      </c>
      <c r="AJ45" s="905">
        <f>'Lookup Tables'!V13*$V$9</f>
        <v>98.656853725850979</v>
      </c>
      <c r="AK45" s="905">
        <f>'Lookup Tables'!U13*'4 Dividend Financed Bid'!$V$9</f>
        <v>81.27</v>
      </c>
      <c r="AL45" s="911">
        <f t="shared" si="14"/>
        <v>92.476307153782031</v>
      </c>
      <c r="AM45" s="906">
        <f t="shared" si="15"/>
        <v>109.86316087963301</v>
      </c>
      <c r="AN45" s="907">
        <f t="shared" si="13"/>
        <v>0.82376436031331579</v>
      </c>
    </row>
    <row r="46" spans="1:44" ht="20" customHeight="1">
      <c r="C46" s="561" t="s">
        <v>335</v>
      </c>
      <c r="D46" s="561"/>
      <c r="E46" s="561"/>
      <c r="F46" s="562"/>
      <c r="G46" s="560">
        <f>-(G41+G42-G31)*0.3</f>
        <v>-4958.3519999999999</v>
      </c>
      <c r="H46" s="122"/>
      <c r="I46" s="122"/>
      <c r="J46" s="122"/>
      <c r="K46" s="122"/>
      <c r="L46" s="122"/>
      <c r="M46" s="122"/>
      <c r="N46" s="122"/>
      <c r="O46" s="122"/>
      <c r="P46" s="122"/>
      <c r="Q46" s="122"/>
      <c r="R46" s="122"/>
      <c r="S46" s="122"/>
      <c r="T46"/>
      <c r="AB46" s="122"/>
      <c r="AC46" s="122"/>
      <c r="AD46" s="122"/>
      <c r="AI46" s="546">
        <v>11</v>
      </c>
      <c r="AJ46" s="905">
        <f>'Lookup Tables'!V14*$V$9</f>
        <v>80.496780128794853</v>
      </c>
      <c r="AK46" s="905">
        <f>'Lookup Tables'!U14*'4 Dividend Financed Bid'!$V$9</f>
        <v>65.52</v>
      </c>
      <c r="AL46" s="911">
        <f t="shared" si="14"/>
        <v>92.476307153782031</v>
      </c>
      <c r="AM46" s="906">
        <f t="shared" si="15"/>
        <v>107.45308728257689</v>
      </c>
      <c r="AN46" s="907">
        <f t="shared" si="13"/>
        <v>0.81394559999999994</v>
      </c>
    </row>
    <row r="47" spans="1:44" ht="20" customHeight="1">
      <c r="A47" s="546"/>
      <c r="B47" s="546"/>
      <c r="C47" s="546"/>
      <c r="D47" s="546"/>
      <c r="E47" s="546"/>
      <c r="F47" s="546"/>
      <c r="G47" s="546"/>
      <c r="H47" s="122"/>
      <c r="I47" s="122"/>
      <c r="J47" s="122"/>
      <c r="K47" s="122"/>
      <c r="L47" s="122"/>
      <c r="M47" s="122"/>
      <c r="N47" s="122"/>
      <c r="O47" s="122"/>
      <c r="P47" s="122"/>
      <c r="Q47" s="122"/>
      <c r="R47" s="122"/>
      <c r="S47" s="122"/>
      <c r="T47"/>
      <c r="AB47" s="122"/>
      <c r="AC47" s="122"/>
      <c r="AD47" s="122"/>
      <c r="AI47" s="546">
        <v>12</v>
      </c>
      <c r="AJ47" s="905">
        <f>'Lookup Tables'!V15*$V$9</f>
        <v>79.337626494940196</v>
      </c>
      <c r="AK47" s="905">
        <f>'Lookup Tables'!U15*'4 Dividend Financed Bid'!$V$9</f>
        <v>60.48</v>
      </c>
      <c r="AL47" s="911">
        <f t="shared" si="14"/>
        <v>92.476307153782031</v>
      </c>
      <c r="AM47" s="906">
        <f t="shared" si="15"/>
        <v>111.33393364872222</v>
      </c>
      <c r="AN47" s="907">
        <f t="shared" si="13"/>
        <v>0.76231168831168838</v>
      </c>
    </row>
    <row r="48" spans="1:44" ht="20" customHeight="1">
      <c r="A48" s="547"/>
      <c r="B48" s="547"/>
      <c r="C48" s="564" t="s">
        <v>170</v>
      </c>
      <c r="D48" s="564"/>
      <c r="E48" s="564"/>
      <c r="F48" s="565"/>
      <c r="G48" s="566">
        <f>Y9/12</f>
        <v>105</v>
      </c>
      <c r="H48" s="122"/>
      <c r="I48" s="122"/>
      <c r="J48" s="122"/>
      <c r="K48" s="122"/>
      <c r="L48" s="122"/>
      <c r="M48" s="122"/>
      <c r="N48" s="122"/>
      <c r="O48" s="122"/>
      <c r="P48" s="122"/>
      <c r="Q48" s="122"/>
      <c r="R48" s="122"/>
      <c r="S48" s="122"/>
      <c r="T48"/>
      <c r="AB48" s="122"/>
      <c r="AC48" s="122"/>
      <c r="AD48" s="122"/>
      <c r="AI48" s="546" t="s">
        <v>243</v>
      </c>
      <c r="AJ48" s="905">
        <f>SUM(AJ36:AJ47)</f>
        <v>1260</v>
      </c>
      <c r="AK48" s="905">
        <f>SUM(AK36:AK47)</f>
        <v>914.76</v>
      </c>
      <c r="AL48" s="912">
        <f>SUM(AL36:AL47)</f>
        <v>1109.7156858453843</v>
      </c>
      <c r="AM48" s="906">
        <f t="shared" si="15"/>
        <v>1454.9556858453843</v>
      </c>
      <c r="AN48" s="907">
        <f t="shared" si="13"/>
        <v>0.72599999999999998</v>
      </c>
    </row>
    <row r="49" spans="1:40" ht="21" customHeight="1">
      <c r="A49" s="546"/>
      <c r="B49" s="546"/>
      <c r="C49" s="561" t="s">
        <v>530</v>
      </c>
      <c r="D49" s="561"/>
      <c r="E49" s="561"/>
      <c r="F49" s="562"/>
      <c r="G49" s="560">
        <f>AVERAGE(MonthlyLoanModel!K46:K60,MonthlyLoanModel!K62:K285)</f>
        <v>92.476307153782031</v>
      </c>
      <c r="H49" s="122"/>
      <c r="I49" s="122"/>
      <c r="J49" s="122"/>
      <c r="K49" s="122"/>
      <c r="L49" s="122"/>
      <c r="M49" s="122"/>
      <c r="N49" s="122"/>
      <c r="O49" s="122"/>
      <c r="P49" s="122"/>
      <c r="Q49" s="122"/>
      <c r="R49" s="122"/>
      <c r="S49" s="122"/>
      <c r="T49"/>
      <c r="U49"/>
      <c r="V49" s="971"/>
      <c r="W49" s="971"/>
      <c r="X49" s="971"/>
      <c r="Y49" s="100"/>
      <c r="Z49" s="100"/>
      <c r="AA49" s="100"/>
      <c r="AB49" s="100"/>
      <c r="AC49" s="100"/>
      <c r="AD49" s="972"/>
      <c r="AE49" s="100"/>
      <c r="AF49" s="971"/>
      <c r="AG49" s="582"/>
      <c r="AI49" s="95" t="s">
        <v>583</v>
      </c>
      <c r="AJ49" s="913">
        <f>AVERAGE(AJ36:AJ47)</f>
        <v>105</v>
      </c>
      <c r="AK49" s="913">
        <f>AVERAGE(AK36:AK47)</f>
        <v>76.23</v>
      </c>
      <c r="AL49" s="913">
        <f>AVERAGE(AL36:AL47)</f>
        <v>92.476307153782031</v>
      </c>
      <c r="AM49" s="913">
        <f>AVERAGE(AM36:AM47)</f>
        <v>121.24630715378203</v>
      </c>
      <c r="AN49" s="914">
        <f>AN48</f>
        <v>0.72599999999999998</v>
      </c>
    </row>
    <row r="50" spans="1:40" ht="22" customHeight="1">
      <c r="A50" s="547"/>
      <c r="B50" s="547"/>
      <c r="C50" s="564" t="s">
        <v>176</v>
      </c>
      <c r="D50" s="564"/>
      <c r="E50" s="564"/>
      <c r="F50" s="565"/>
      <c r="G50" s="566">
        <f>AA9/12</f>
        <v>5.9950000000000045</v>
      </c>
      <c r="H50" s="122"/>
      <c r="I50" s="122"/>
      <c r="J50" s="122"/>
      <c r="K50" s="122"/>
      <c r="L50" s="122"/>
      <c r="M50" s="122"/>
      <c r="N50" s="122"/>
      <c r="O50" s="122"/>
      <c r="P50" s="122"/>
      <c r="Q50" s="122"/>
      <c r="R50" s="122"/>
      <c r="S50" s="122"/>
      <c r="T50"/>
      <c r="U50"/>
      <c r="V50" s="971"/>
      <c r="W50" s="971"/>
      <c r="X50" s="971"/>
      <c r="Y50" s="100"/>
      <c r="Z50" s="100"/>
      <c r="AA50" s="100"/>
      <c r="AB50" s="100"/>
      <c r="AC50" s="100"/>
      <c r="AD50" s="973"/>
      <c r="AE50" s="973"/>
      <c r="AF50" s="974"/>
      <c r="AG50" s="974"/>
    </row>
    <row r="51" spans="1:40" ht="20" customHeight="1">
      <c r="A51" s="568"/>
      <c r="B51" s="568"/>
      <c r="C51" s="569" t="s">
        <v>167</v>
      </c>
      <c r="D51" s="570"/>
      <c r="E51" s="570"/>
      <c r="F51" s="568"/>
      <c r="G51" s="571">
        <f>(Y9-AD9)/12</f>
        <v>6.528692846217969</v>
      </c>
      <c r="H51" s="122"/>
      <c r="I51" s="122"/>
      <c r="J51" s="122"/>
      <c r="K51" s="122"/>
      <c r="L51" s="122"/>
      <c r="M51" s="122"/>
      <c r="N51" s="122"/>
      <c r="O51" s="122"/>
      <c r="P51" s="122"/>
      <c r="Q51" s="122"/>
      <c r="R51" s="122"/>
      <c r="S51" s="122"/>
      <c r="T51"/>
      <c r="U51"/>
      <c r="V51" s="971"/>
      <c r="W51" s="971"/>
      <c r="X51" s="971"/>
      <c r="Y51" s="100"/>
      <c r="Z51" s="100"/>
      <c r="AA51" s="100"/>
      <c r="AB51" s="100"/>
      <c r="AC51" s="100"/>
      <c r="AD51" s="974"/>
      <c r="AE51" s="974"/>
      <c r="AF51" s="974"/>
      <c r="AG51" s="974"/>
    </row>
    <row r="52" spans="1:40" ht="20" customHeight="1">
      <c r="A52" s="1076" t="s">
        <v>526</v>
      </c>
      <c r="B52" s="1076"/>
      <c r="C52" s="1076"/>
      <c r="H52" s="122"/>
      <c r="I52" s="122"/>
      <c r="J52" s="122"/>
      <c r="K52" s="122"/>
      <c r="L52" s="122"/>
      <c r="M52" s="122"/>
      <c r="N52" s="122"/>
      <c r="O52" s="122"/>
      <c r="P52" s="122"/>
      <c r="Q52" s="122"/>
      <c r="R52" s="122"/>
      <c r="S52" s="122"/>
      <c r="T52" s="122"/>
      <c r="U52" s="122"/>
      <c r="V52" s="971"/>
      <c r="W52" s="971"/>
      <c r="X52" s="971"/>
      <c r="Y52" s="100"/>
      <c r="Z52" s="100"/>
      <c r="AA52" s="100"/>
      <c r="AB52" s="100"/>
      <c r="AC52" s="100"/>
      <c r="AD52" s="975"/>
      <c r="AE52" s="975"/>
      <c r="AF52" s="975"/>
      <c r="AG52" s="975"/>
    </row>
    <row r="53" spans="1:40" ht="20" customHeight="1">
      <c r="A53" s="1077"/>
      <c r="B53" s="1077"/>
      <c r="C53" s="1077"/>
      <c r="E53" s="123"/>
      <c r="F53" s="124"/>
      <c r="G53" s="125"/>
      <c r="H53" s="122"/>
      <c r="I53" s="122"/>
      <c r="J53" s="122"/>
      <c r="K53" s="122"/>
      <c r="L53" s="122"/>
      <c r="M53" s="122"/>
      <c r="N53" s="122"/>
      <c r="O53" s="122"/>
      <c r="P53" s="122"/>
      <c r="Q53" s="122"/>
      <c r="R53" s="122"/>
      <c r="S53" s="122"/>
      <c r="T53" s="122"/>
      <c r="U53" s="122"/>
      <c r="V53" s="122"/>
      <c r="W53" s="122"/>
      <c r="X53" s="122"/>
      <c r="Y53" s="122"/>
      <c r="Z53" s="122"/>
      <c r="AA53" s="122"/>
      <c r="AB53" s="122"/>
      <c r="AC53" s="122"/>
      <c r="AD53" s="122"/>
    </row>
    <row r="54" spans="1:40">
      <c r="A54" s="1077"/>
      <c r="B54" s="1077"/>
      <c r="C54" s="1077"/>
      <c r="E54" s="126"/>
      <c r="F54" s="127"/>
      <c r="G54" s="128"/>
    </row>
    <row r="55" spans="1:40" ht="22" customHeight="1">
      <c r="A55" s="1077"/>
      <c r="B55" s="1077"/>
      <c r="C55" s="1077"/>
      <c r="E55" s="129" t="s">
        <v>446</v>
      </c>
      <c r="F55" s="130" t="s">
        <v>447</v>
      </c>
      <c r="G55" s="131"/>
      <c r="H55" s="592" t="s">
        <v>303</v>
      </c>
      <c r="I55" s="592"/>
      <c r="J55" s="592"/>
      <c r="K55" s="592"/>
      <c r="L55" s="592"/>
      <c r="M55" s="593" t="s">
        <v>469</v>
      </c>
      <c r="N55" s="1079">
        <f>SUM(X9:X33)/1.452</f>
        <v>141335.70846143839</v>
      </c>
      <c r="O55" s="1079"/>
      <c r="P55" s="593"/>
      <c r="Q55" s="594"/>
      <c r="R55" s="593" t="s">
        <v>470</v>
      </c>
      <c r="S55" s="1080">
        <f>SUM(X9:X33)*1.1</f>
        <v>225741.39355460941</v>
      </c>
      <c r="T55" s="1080"/>
    </row>
    <row r="56" spans="1:40">
      <c r="A56" s="1077"/>
      <c r="B56" s="1077"/>
      <c r="C56" s="1077"/>
      <c r="H56" s="620" t="s">
        <v>308</v>
      </c>
      <c r="I56" s="620"/>
      <c r="J56" s="620"/>
      <c r="Y56" s="132"/>
      <c r="Z56" s="132"/>
    </row>
    <row r="57" spans="1:40">
      <c r="A57" s="1077"/>
      <c r="B57" s="1077"/>
      <c r="C57" s="1077"/>
      <c r="G57" s="912"/>
      <c r="H57" s="102"/>
      <c r="I57" s="102"/>
      <c r="J57" s="102"/>
      <c r="K57" s="102"/>
      <c r="L57" s="611" t="s">
        <v>310</v>
      </c>
      <c r="M57" s="610">
        <f>IF('1 Customer Record'!C19="Austin Energy",'Lookup Tables'!C12,'Lookup Tables'!C13)</f>
        <v>3.5000000000000003E-2</v>
      </c>
      <c r="N57" s="102"/>
      <c r="P57" s="611" t="s">
        <v>463</v>
      </c>
      <c r="Q57" s="610">
        <v>5.0000000000000001E-3</v>
      </c>
      <c r="R57" s="102"/>
      <c r="S57" s="611" t="s">
        <v>473</v>
      </c>
      <c r="T57" s="619">
        <v>0.82</v>
      </c>
      <c r="Y57" s="132"/>
      <c r="Z57" s="132"/>
    </row>
    <row r="58" spans="1:40">
      <c r="A58" s="1078"/>
      <c r="B58" s="1078"/>
      <c r="C58" s="1078"/>
      <c r="G58" s="976"/>
      <c r="H58" s="102"/>
      <c r="I58" s="102"/>
      <c r="J58" s="102"/>
      <c r="K58" s="102"/>
      <c r="L58" s="611" t="s">
        <v>309</v>
      </c>
      <c r="M58" s="618">
        <v>7.0000000000000007E-2</v>
      </c>
      <c r="N58" s="102"/>
      <c r="O58" s="102"/>
      <c r="P58" s="611" t="s">
        <v>185</v>
      </c>
      <c r="Q58" s="662" t="s">
        <v>186</v>
      </c>
      <c r="R58" s="102"/>
      <c r="S58" s="102"/>
      <c r="T58" s="102"/>
    </row>
    <row r="60" spans="1:40">
      <c r="A60" s="636"/>
      <c r="B60" s="636"/>
      <c r="C60" s="636"/>
    </row>
    <row r="61" spans="1:40">
      <c r="A61" s="636"/>
      <c r="B61" s="636"/>
      <c r="C61" s="636"/>
    </row>
    <row r="62" spans="1:40">
      <c r="A62" s="638"/>
      <c r="B62" s="638"/>
      <c r="C62" s="638"/>
      <c r="D62" s="338"/>
      <c r="E62" s="338"/>
      <c r="F62" s="338"/>
      <c r="G62" s="338"/>
    </row>
    <row r="72" ht="13" customHeight="1"/>
    <row r="122" spans="22:31" ht="13" thickBot="1"/>
    <row r="123" spans="22:31">
      <c r="V123" s="641"/>
      <c r="W123" s="555"/>
      <c r="X123" s="555"/>
      <c r="Y123" s="555"/>
      <c r="Z123" s="555"/>
      <c r="AA123" s="642"/>
      <c r="AB123" s="643"/>
      <c r="AC123" s="1048" t="s">
        <v>455</v>
      </c>
      <c r="AD123" s="1050" t="s">
        <v>456</v>
      </c>
      <c r="AE123" s="555"/>
    </row>
    <row r="124" spans="22:31" ht="13" thickBot="1">
      <c r="V124" s="134"/>
      <c r="W124" s="555"/>
      <c r="X124" s="555"/>
      <c r="Y124" s="555"/>
      <c r="Z124" s="555"/>
      <c r="AA124" s="644"/>
      <c r="AB124" s="579"/>
      <c r="AC124" s="1049"/>
      <c r="AD124" s="1051"/>
      <c r="AE124" s="555"/>
    </row>
    <row r="125" spans="22:31">
      <c r="V125" s="339"/>
      <c r="W125" s="643"/>
      <c r="X125" s="645" t="s">
        <v>379</v>
      </c>
      <c r="Y125" s="646">
        <f>PV_Production_Factor</f>
        <v>1453</v>
      </c>
      <c r="Z125" s="649"/>
      <c r="AA125" s="341" t="s">
        <v>457</v>
      </c>
      <c r="AB125" s="579">
        <f t="array" ref="AB125">INDEX($AD$149:$AR$164,MATCH(1,($AD$149:$AD$164=$Y$126)*($AE$149:$AE$164=$Y$127),0),3)</f>
        <v>105</v>
      </c>
      <c r="AC125" s="647">
        <f t="shared" ref="AC125:AC136" si="16">AB125*$G$11</f>
        <v>630</v>
      </c>
      <c r="AD125" s="342">
        <f>IF('3 Pricing Sheet'!$H$7="Monthly Usage",'2 Sizing Sheet'!C24,IF('3 Pricing Sheet'!$H$7="Annual Usage",'2 Sizing Sheet'!$C$50*AE125,'2 Sizing Sheet'!$C$68*AE125))</f>
        <v>912.60349586016559</v>
      </c>
      <c r="AE125" s="436">
        <v>7.6050291321680466E-2</v>
      </c>
    </row>
    <row r="126" spans="22:31">
      <c r="V126" s="340"/>
      <c r="W126" s="579"/>
      <c r="X126" s="648" t="s">
        <v>390</v>
      </c>
      <c r="Y126" s="649">
        <f>'2 Sizing Sheet'!D8</f>
        <v>30</v>
      </c>
      <c r="Z126" s="649"/>
      <c r="AA126" s="341" t="s">
        <v>458</v>
      </c>
      <c r="AB126" s="579">
        <f t="array" ref="AB126">INDEX($AD$149:$AR$164,MATCH(1,($AD$149:$AD$164=$Y$126)*($AE$149:$AE$164=$Y$127),0),4)</f>
        <v>107</v>
      </c>
      <c r="AC126" s="647">
        <f t="shared" si="16"/>
        <v>642</v>
      </c>
      <c r="AD126" s="342">
        <f>IF('3 Pricing Sheet'!$H$7="Monthly Usage",'2 Sizing Sheet'!C25,IF('3 Pricing Sheet'!$H$7="Annual Usage",'2 Sizing Sheet'!$C$50*AE126,'2 Sizing Sheet'!$C$68*AE126))</f>
        <v>729.83747316773997</v>
      </c>
      <c r="AE126" s="436">
        <v>6.0819789430644998E-2</v>
      </c>
    </row>
    <row r="127" spans="22:31" ht="13" thickBot="1">
      <c r="V127" s="650"/>
      <c r="W127" s="651"/>
      <c r="X127" s="652" t="s">
        <v>389</v>
      </c>
      <c r="Y127" s="653" t="str">
        <f>'2 Sizing Sheet'!D10</f>
        <v>South</v>
      </c>
      <c r="Z127" s="649"/>
      <c r="AA127" s="341" t="s">
        <v>459</v>
      </c>
      <c r="AB127" s="579">
        <f t="array" ref="AB127">INDEX($AD$149:$AR$164,MATCH(1,($AD$149:$AD$164=$Y$126)*($AE$149:$AE$164=$Y$127),0),5)</f>
        <v>130</v>
      </c>
      <c r="AC127" s="647">
        <f t="shared" si="16"/>
        <v>780</v>
      </c>
      <c r="AD127" s="342">
        <f>IF('3 Pricing Sheet'!$H$7="Monthly Usage",'2 Sizing Sheet'!C26,IF('3 Pricing Sheet'!$H$7="Annual Usage",'2 Sizing Sheet'!$C$50*AE127,'2 Sizing Sheet'!$C$68*AE127))</f>
        <v>678.31953388531122</v>
      </c>
      <c r="AE127" s="436">
        <v>5.6526627823775939E-2</v>
      </c>
    </row>
    <row r="128" spans="22:31">
      <c r="V128" s="579"/>
      <c r="W128" s="436"/>
      <c r="X128" s="555"/>
      <c r="Y128" s="555"/>
      <c r="Z128" s="555"/>
      <c r="AA128" s="341" t="s">
        <v>370</v>
      </c>
      <c r="AB128" s="555">
        <f t="array" ref="AB128">INDEX($AD$149:$AR$164,MATCH(1,($AD$149:$AD$164=$Y$126)*($AE$149:$AE$164=$Y$127),0),6)</f>
        <v>124</v>
      </c>
      <c r="AC128" s="647">
        <f t="shared" si="16"/>
        <v>744</v>
      </c>
      <c r="AD128" s="342">
        <f>IF('3 Pricing Sheet'!$H$7="Monthly Usage",'2 Sizing Sheet'!C27,IF('3 Pricing Sheet'!$H$7="Annual Usage",'2 Sizing Sheet'!$C$50*AE128,'2 Sizing Sheet'!$C$68*AE128))</f>
        <v>693.03894510886232</v>
      </c>
      <c r="AE128" s="436">
        <v>5.7753245425738529E-2</v>
      </c>
    </row>
    <row r="129" spans="22:31">
      <c r="V129" s="579"/>
      <c r="W129" s="436"/>
      <c r="X129" s="555"/>
      <c r="Y129" s="555"/>
      <c r="Z129" s="555"/>
      <c r="AA129" s="341" t="s">
        <v>371</v>
      </c>
      <c r="AB129" s="555">
        <f t="array" ref="AB129">INDEX($AD$149:$AR$164,MATCH(1,($AD$149:$AD$164=$Y$126)*($AE$149:$AE$164=$Y$127),0),7)</f>
        <v>126</v>
      </c>
      <c r="AC129" s="647">
        <f t="shared" si="16"/>
        <v>756</v>
      </c>
      <c r="AD129" s="342">
        <f>IF('3 Pricing Sheet'!$H$7="Monthly Usage",'2 Sizing Sheet'!C28,IF('3 Pricing Sheet'!$H$7="Annual Usage",'2 Sizing Sheet'!$C$50*AE129,'2 Sizing Sheet'!$C$68*AE129))</f>
        <v>808.34099969334557</v>
      </c>
      <c r="AE129" s="436">
        <v>6.7361749974445467E-2</v>
      </c>
    </row>
    <row r="130" spans="22:31">
      <c r="V130" s="579"/>
      <c r="W130" s="436"/>
      <c r="X130" s="555"/>
      <c r="Y130" s="555"/>
      <c r="Z130" s="555"/>
      <c r="AA130" s="341" t="s">
        <v>372</v>
      </c>
      <c r="AB130" s="579">
        <f t="array" ref="AB130">INDEX($AD$149:$AR$164,MATCH(1,($AD$149:$AD$164=$Y$126)*($AE$149:$AE$164=$Y$127),0),8)</f>
        <v>129</v>
      </c>
      <c r="AC130" s="647">
        <f t="shared" si="16"/>
        <v>774</v>
      </c>
      <c r="AD130" s="342">
        <f>IF('3 Pricing Sheet'!$H$7="Monthly Usage",'2 Sizing Sheet'!C29,IF('3 Pricing Sheet'!$H$7="Annual Usage",'2 Sizing Sheet'!$C$50*AE130,'2 Sizing Sheet'!$C$68*AE130))</f>
        <v>1349.2793621588469</v>
      </c>
      <c r="AE130" s="436">
        <v>0.11243994684657058</v>
      </c>
    </row>
    <row r="131" spans="22:31">
      <c r="V131" s="579"/>
      <c r="W131" s="436"/>
      <c r="X131" s="555"/>
      <c r="Y131" s="555"/>
      <c r="Z131" s="555"/>
      <c r="AA131" s="341" t="s">
        <v>373</v>
      </c>
      <c r="AB131" s="579">
        <f t="array" ref="AB131">INDEX($AD$149:$AR$164,MATCH(1,($AD$149:$AD$164=$Y$126)*($AE$149:$AE$164=$Y$127),0),9)</f>
        <v>137</v>
      </c>
      <c r="AC131" s="647">
        <f t="shared" si="16"/>
        <v>822</v>
      </c>
      <c r="AD131" s="342">
        <f>IF('3 Pricing Sheet'!$H$7="Monthly Usage",'2 Sizing Sheet'!C30,IF('3 Pricing Sheet'!$H$7="Annual Usage",'2 Sizing Sheet'!$C$50*AE131,'2 Sizing Sheet'!$C$68*AE131))</f>
        <v>1521.0058264336092</v>
      </c>
      <c r="AE131" s="436">
        <v>0.12675048553613411</v>
      </c>
    </row>
    <row r="132" spans="22:31">
      <c r="V132" s="579"/>
      <c r="W132" s="436"/>
      <c r="X132" s="555"/>
      <c r="Y132" s="555"/>
      <c r="Z132" s="555"/>
      <c r="AA132" s="341" t="s">
        <v>374</v>
      </c>
      <c r="AB132" s="579">
        <f t="array" ref="AB132">INDEX($AD$149:$AR$164,MATCH(1,($AD$149:$AD$164=$Y$126)*($AE$149:$AE$164=$Y$127),0),10)</f>
        <v>138</v>
      </c>
      <c r="AC132" s="647">
        <f t="shared" si="16"/>
        <v>828</v>
      </c>
      <c r="AD132" s="342">
        <f>IF('3 Pricing Sheet'!$H$7="Monthly Usage",'2 Sizing Sheet'!C31,IF('3 Pricing Sheet'!$H$7="Annual Usage",'2 Sizing Sheet'!$C$50*AE132,'2 Sizing Sheet'!$C$68*AE132))</f>
        <v>1496.4734743943575</v>
      </c>
      <c r="AE132" s="436">
        <v>0.12470612286619646</v>
      </c>
    </row>
    <row r="133" spans="22:31">
      <c r="V133" s="579"/>
      <c r="W133" s="436"/>
      <c r="X133" s="555"/>
      <c r="Y133" s="555"/>
      <c r="Z133" s="555"/>
      <c r="AA133" s="341" t="s">
        <v>375</v>
      </c>
      <c r="AB133" s="579">
        <f t="array" ref="AB133">INDEX($AD$149:$AR$164,MATCH(1,($AD$149:$AD$164=$Y$126)*($AE$149:$AE$164=$Y$127),0),11)</f>
        <v>127</v>
      </c>
      <c r="AC133" s="647">
        <f t="shared" si="16"/>
        <v>762</v>
      </c>
      <c r="AD133" s="342">
        <f>IF('3 Pricing Sheet'!$H$7="Monthly Usage",'2 Sizing Sheet'!C32,IF('3 Pricing Sheet'!$H$7="Annual Usage",'2 Sizing Sheet'!$C$50*AE133,'2 Sizing Sheet'!$C$68*AE133))</f>
        <v>1349.2793621588469</v>
      </c>
      <c r="AE133" s="436">
        <v>0.11243994684657058</v>
      </c>
    </row>
    <row r="134" spans="22:31">
      <c r="V134" s="579"/>
      <c r="W134" s="436"/>
      <c r="X134" s="555"/>
      <c r="Y134" s="555"/>
      <c r="Z134" s="555"/>
      <c r="AA134" s="341" t="s">
        <v>376</v>
      </c>
      <c r="AB134" s="579">
        <f t="array" ref="AB134">INDEX($AD$149:$AR$164,MATCH(1,($AD$149:$AD$164=$Y$126)*($AE$149:$AE$164=$Y$127),0),12)</f>
        <v>129</v>
      </c>
      <c r="AC134" s="647">
        <f t="shared" si="16"/>
        <v>774</v>
      </c>
      <c r="AD134" s="342">
        <f>IF('3 Pricing Sheet'!$H$7="Monthly Usage",'2 Sizing Sheet'!C33,IF('3 Pricing Sheet'!$H$7="Annual Usage",'2 Sizing Sheet'!$C$50*AE134,'2 Sizing Sheet'!$C$68*AE134))</f>
        <v>939.58908310334266</v>
      </c>
      <c r="AE134" s="436">
        <v>7.8299090258611884E-2</v>
      </c>
    </row>
    <row r="135" spans="22:31">
      <c r="V135" s="579"/>
      <c r="W135" s="436"/>
      <c r="X135" s="555"/>
      <c r="Y135" s="555"/>
      <c r="Z135" s="555"/>
      <c r="AA135" s="341" t="s">
        <v>377</v>
      </c>
      <c r="AB135" s="579">
        <f t="array" ref="AB135">INDEX($AD$149:$AR$164,MATCH(1,($AD$149:$AD$164=$Y$126)*($AE$149:$AE$164=$Y$127),0),13)</f>
        <v>104</v>
      </c>
      <c r="AC135" s="647">
        <f t="shared" si="16"/>
        <v>624</v>
      </c>
      <c r="AD135" s="342">
        <f>IF('3 Pricing Sheet'!$H$7="Monthly Usage",'2 Sizing Sheet'!C34,IF('3 Pricing Sheet'!$H$7="Annual Usage",'2 Sizing Sheet'!$C$50*AE135,'2 Sizing Sheet'!$C$68*AE135))</f>
        <v>766.63600122661774</v>
      </c>
      <c r="AE135" s="436">
        <v>6.3886333435551473E-2</v>
      </c>
    </row>
    <row r="136" spans="22:31">
      <c r="V136" s="579"/>
      <c r="W136" s="555"/>
      <c r="X136" s="654"/>
      <c r="Y136" s="555"/>
      <c r="Z136" s="555"/>
      <c r="AA136" s="341" t="s">
        <v>378</v>
      </c>
      <c r="AB136" s="579">
        <f t="array" ref="AB136">INDEX($AD$149:$AR$164,MATCH(1,($AD$149:$AD$164=$Y$126)*($AE$149:$AE$164=$Y$127),0),14)</f>
        <v>96</v>
      </c>
      <c r="AC136" s="647">
        <f t="shared" si="16"/>
        <v>576</v>
      </c>
      <c r="AD136" s="342">
        <f>IF('3 Pricing Sheet'!$H$7="Monthly Usage",'2 Sizing Sheet'!C35,IF('3 Pricing Sheet'!$H$7="Annual Usage",'2 Sizing Sheet'!$C$50*AE136,'2 Sizing Sheet'!$C$68*AE136))</f>
        <v>755.59644280895429</v>
      </c>
      <c r="AE136" s="436">
        <v>6.2966370234079527E-2</v>
      </c>
    </row>
    <row r="137" spans="22:31">
      <c r="V137" s="555"/>
      <c r="W137" s="555"/>
      <c r="X137" s="555"/>
      <c r="Y137" s="555"/>
      <c r="Z137" s="555"/>
      <c r="AA137" s="644"/>
      <c r="AB137" s="579"/>
      <c r="AC137" s="343">
        <f>AVERAGE(AC125:AC136)</f>
        <v>726</v>
      </c>
      <c r="AD137" s="344">
        <f>AVERAGE(AD125:AD136)</f>
        <v>1000</v>
      </c>
      <c r="AE137" s="555"/>
    </row>
    <row r="138" spans="22:31" ht="13" thickBot="1">
      <c r="V138" s="555"/>
      <c r="W138" s="555"/>
      <c r="X138" s="555"/>
      <c r="Y138" s="555"/>
      <c r="Z138" s="555"/>
      <c r="AA138" s="650"/>
      <c r="AB138" s="651"/>
      <c r="AC138" s="655">
        <f>SUM(AC125:AC136)</f>
        <v>8712</v>
      </c>
      <c r="AD138" s="345">
        <f>SUM(AD125:AD136)</f>
        <v>12000</v>
      </c>
      <c r="AE138" s="555"/>
    </row>
    <row r="140" spans="22:31">
      <c r="AC140" s="95" t="s">
        <v>237</v>
      </c>
      <c r="AD140" s="95" t="s">
        <v>183</v>
      </c>
    </row>
    <row r="141" spans="22:31">
      <c r="AC141" s="660">
        <f>AC142/AD138</f>
        <v>0.72599999999999998</v>
      </c>
      <c r="AD141" s="660">
        <f>AD142/AD138</f>
        <v>0.27400000000000002</v>
      </c>
    </row>
    <row r="142" spans="22:31">
      <c r="AC142" s="659">
        <f>AC138</f>
        <v>8712</v>
      </c>
      <c r="AD142" s="659">
        <f>AD138-AC142</f>
        <v>3288</v>
      </c>
    </row>
    <row r="143" spans="22:31">
      <c r="AC143" s="660">
        <f>(AD142-AD138)/AD138</f>
        <v>-0.72599999999999998</v>
      </c>
      <c r="AD143" s="660">
        <f>(AC142-AD138)/AD138</f>
        <v>-0.27400000000000002</v>
      </c>
    </row>
    <row r="148" spans="30:44" ht="13" thickBot="1"/>
    <row r="149" spans="30:44" ht="14" thickBot="1">
      <c r="AD149" s="32" t="s">
        <v>244</v>
      </c>
      <c r="AE149" s="33" t="s">
        <v>245</v>
      </c>
      <c r="AF149" s="33" t="s">
        <v>366</v>
      </c>
      <c r="AG149" s="33" t="s">
        <v>367</v>
      </c>
      <c r="AH149" s="33" t="s">
        <v>369</v>
      </c>
      <c r="AI149" s="33" t="s">
        <v>370</v>
      </c>
      <c r="AJ149" s="33" t="s">
        <v>371</v>
      </c>
      <c r="AK149" s="33" t="s">
        <v>372</v>
      </c>
      <c r="AL149" s="33" t="s">
        <v>373</v>
      </c>
      <c r="AM149" s="33" t="s">
        <v>374</v>
      </c>
      <c r="AN149" s="33" t="s">
        <v>375</v>
      </c>
      <c r="AO149" s="33" t="s">
        <v>376</v>
      </c>
      <c r="AP149" s="33" t="s">
        <v>377</v>
      </c>
      <c r="AQ149" s="33" t="s">
        <v>378</v>
      </c>
      <c r="AR149" s="34" t="s">
        <v>243</v>
      </c>
    </row>
    <row r="150" spans="30:44" ht="13">
      <c r="AD150" s="35">
        <v>15</v>
      </c>
      <c r="AE150" s="36" t="s">
        <v>247</v>
      </c>
      <c r="AF150" s="37">
        <v>71</v>
      </c>
      <c r="AG150" s="37">
        <v>82</v>
      </c>
      <c r="AH150" s="37">
        <v>110</v>
      </c>
      <c r="AI150" s="37">
        <v>118</v>
      </c>
      <c r="AJ150" s="37">
        <v>130</v>
      </c>
      <c r="AK150" s="37">
        <v>140</v>
      </c>
      <c r="AL150" s="37">
        <v>147</v>
      </c>
      <c r="AM150" s="37">
        <v>136</v>
      </c>
      <c r="AN150" s="37">
        <v>112</v>
      </c>
      <c r="AO150" s="37">
        <v>100</v>
      </c>
      <c r="AP150" s="37">
        <v>72</v>
      </c>
      <c r="AQ150" s="37">
        <v>62</v>
      </c>
      <c r="AR150" s="38">
        <v>1281</v>
      </c>
    </row>
    <row r="151" spans="30:44" ht="13">
      <c r="AD151" s="35">
        <v>15</v>
      </c>
      <c r="AE151" s="36" t="s">
        <v>248</v>
      </c>
      <c r="AF151" s="37">
        <v>86</v>
      </c>
      <c r="AG151" s="37">
        <v>94</v>
      </c>
      <c r="AH151" s="37">
        <v>120</v>
      </c>
      <c r="AI151" s="37">
        <v>123</v>
      </c>
      <c r="AJ151" s="37">
        <v>132</v>
      </c>
      <c r="AK151" s="37">
        <v>140</v>
      </c>
      <c r="AL151" s="37">
        <v>147</v>
      </c>
      <c r="AM151" s="37">
        <v>140</v>
      </c>
      <c r="AN151" s="37">
        <v>120</v>
      </c>
      <c r="AO151" s="37">
        <v>114</v>
      </c>
      <c r="AP151" s="37">
        <v>86</v>
      </c>
      <c r="AQ151" s="37">
        <v>76</v>
      </c>
      <c r="AR151" s="38">
        <v>1376</v>
      </c>
    </row>
    <row r="152" spans="30:44" ht="13">
      <c r="AD152" s="35">
        <v>15</v>
      </c>
      <c r="AE152" s="36" t="s">
        <v>249</v>
      </c>
      <c r="AF152" s="37">
        <v>92</v>
      </c>
      <c r="AG152" s="37">
        <v>99</v>
      </c>
      <c r="AH152" s="37">
        <v>126</v>
      </c>
      <c r="AI152" s="37">
        <v>126</v>
      </c>
      <c r="AJ152" s="37">
        <v>134</v>
      </c>
      <c r="AK152" s="37">
        <v>140</v>
      </c>
      <c r="AL152" s="37">
        <v>147</v>
      </c>
      <c r="AM152" s="37">
        <v>142</v>
      </c>
      <c r="AN152" s="37">
        <v>125</v>
      </c>
      <c r="AO152" s="37">
        <v>119</v>
      </c>
      <c r="AP152" s="37">
        <v>92</v>
      </c>
      <c r="AQ152" s="37">
        <v>83</v>
      </c>
      <c r="AR152" s="38">
        <v>1425</v>
      </c>
    </row>
    <row r="153" spans="30:44" ht="13">
      <c r="AD153" s="35">
        <v>15</v>
      </c>
      <c r="AE153" s="36" t="s">
        <v>250</v>
      </c>
      <c r="AF153" s="37">
        <v>87</v>
      </c>
      <c r="AG153" s="37">
        <v>94</v>
      </c>
      <c r="AH153" s="37">
        <v>124</v>
      </c>
      <c r="AI153" s="37">
        <v>124</v>
      </c>
      <c r="AJ153" s="37">
        <v>135</v>
      </c>
      <c r="AK153" s="37">
        <v>142</v>
      </c>
      <c r="AL153" s="37">
        <v>148</v>
      </c>
      <c r="AM153" s="37">
        <v>140</v>
      </c>
      <c r="AN153" s="37">
        <v>122</v>
      </c>
      <c r="AO153" s="37">
        <v>115</v>
      </c>
      <c r="AP153" s="37">
        <v>87</v>
      </c>
      <c r="AQ153" s="37">
        <v>78</v>
      </c>
      <c r="AR153" s="38">
        <v>1398</v>
      </c>
    </row>
    <row r="154" spans="30:44" ht="13">
      <c r="AD154" s="35">
        <v>15</v>
      </c>
      <c r="AE154" s="36" t="s">
        <v>251</v>
      </c>
      <c r="AF154" s="37">
        <v>73</v>
      </c>
      <c r="AG154" s="37">
        <v>83</v>
      </c>
      <c r="AH154" s="37">
        <v>116</v>
      </c>
      <c r="AI154" s="37">
        <v>120</v>
      </c>
      <c r="AJ154" s="37">
        <v>135</v>
      </c>
      <c r="AK154" s="37">
        <v>143</v>
      </c>
      <c r="AL154" s="37">
        <v>148</v>
      </c>
      <c r="AM154" s="37">
        <v>137</v>
      </c>
      <c r="AN154" s="37">
        <v>114</v>
      </c>
      <c r="AO154" s="37">
        <v>102</v>
      </c>
      <c r="AP154" s="37">
        <v>74</v>
      </c>
      <c r="AQ154" s="37">
        <v>64</v>
      </c>
      <c r="AR154" s="38">
        <v>1310</v>
      </c>
    </row>
    <row r="155" spans="30:44" ht="13">
      <c r="AD155" s="39">
        <v>30</v>
      </c>
      <c r="AE155" s="40" t="s">
        <v>247</v>
      </c>
      <c r="AF155" s="41">
        <v>67</v>
      </c>
      <c r="AG155" s="41">
        <v>78</v>
      </c>
      <c r="AH155" s="41">
        <v>101</v>
      </c>
      <c r="AI155" s="41">
        <v>109</v>
      </c>
      <c r="AJ155" s="41">
        <v>119</v>
      </c>
      <c r="AK155" s="41">
        <v>130</v>
      </c>
      <c r="AL155" s="41">
        <v>138</v>
      </c>
      <c r="AM155" s="41">
        <v>128</v>
      </c>
      <c r="AN155" s="41">
        <v>105</v>
      </c>
      <c r="AO155" s="41">
        <v>95</v>
      </c>
      <c r="AP155" s="41">
        <v>68</v>
      </c>
      <c r="AQ155" s="41">
        <v>59</v>
      </c>
      <c r="AR155" s="42">
        <v>1197</v>
      </c>
    </row>
    <row r="156" spans="30:44" ht="13">
      <c r="AD156" s="39">
        <v>30</v>
      </c>
      <c r="AE156" s="40" t="s">
        <v>248</v>
      </c>
      <c r="AF156" s="41">
        <v>93</v>
      </c>
      <c r="AG156" s="41">
        <v>98</v>
      </c>
      <c r="AH156" s="41">
        <v>119</v>
      </c>
      <c r="AI156" s="41">
        <v>119</v>
      </c>
      <c r="AJ156" s="41">
        <v>123</v>
      </c>
      <c r="AK156" s="41">
        <v>129</v>
      </c>
      <c r="AL156" s="41">
        <v>138</v>
      </c>
      <c r="AM156" s="41">
        <v>135</v>
      </c>
      <c r="AN156" s="41">
        <v>119</v>
      </c>
      <c r="AO156" s="41">
        <v>118</v>
      </c>
      <c r="AP156" s="41">
        <v>92</v>
      </c>
      <c r="AQ156" s="41">
        <v>83</v>
      </c>
      <c r="AR156" s="42">
        <v>1366</v>
      </c>
    </row>
    <row r="157" spans="30:44" ht="13">
      <c r="AD157" s="39">
        <v>30</v>
      </c>
      <c r="AE157" s="40" t="s">
        <v>249</v>
      </c>
      <c r="AF157" s="41">
        <v>105</v>
      </c>
      <c r="AG157" s="41">
        <v>107</v>
      </c>
      <c r="AH157" s="41">
        <v>130</v>
      </c>
      <c r="AI157" s="41">
        <v>124</v>
      </c>
      <c r="AJ157" s="41">
        <v>126</v>
      </c>
      <c r="AK157" s="41">
        <v>129</v>
      </c>
      <c r="AL157" s="41">
        <v>137</v>
      </c>
      <c r="AM157" s="41">
        <v>138</v>
      </c>
      <c r="AN157" s="41">
        <v>127</v>
      </c>
      <c r="AO157" s="41">
        <v>129</v>
      </c>
      <c r="AP157" s="41">
        <v>104</v>
      </c>
      <c r="AQ157" s="41">
        <v>96</v>
      </c>
      <c r="AR157" s="42">
        <v>1453</v>
      </c>
    </row>
    <row r="158" spans="30:44" ht="13">
      <c r="AD158" s="39">
        <v>30</v>
      </c>
      <c r="AE158" s="40" t="s">
        <v>250</v>
      </c>
      <c r="AF158" s="41">
        <v>96</v>
      </c>
      <c r="AG158" s="41">
        <v>99</v>
      </c>
      <c r="AH158" s="41">
        <v>127</v>
      </c>
      <c r="AI158" s="41">
        <v>122</v>
      </c>
      <c r="AJ158" s="41">
        <v>129</v>
      </c>
      <c r="AK158" s="41">
        <v>133</v>
      </c>
      <c r="AL158" s="41">
        <v>139</v>
      </c>
      <c r="AM158" s="41">
        <v>136</v>
      </c>
      <c r="AN158" s="41">
        <v>123</v>
      </c>
      <c r="AO158" s="41">
        <v>121</v>
      </c>
      <c r="AP158" s="41">
        <v>95</v>
      </c>
      <c r="AQ158" s="41">
        <v>86</v>
      </c>
      <c r="AR158" s="42">
        <v>1405</v>
      </c>
    </row>
    <row r="159" spans="30:44" ht="13">
      <c r="AD159" s="39">
        <v>30</v>
      </c>
      <c r="AE159" s="40" t="s">
        <v>251</v>
      </c>
      <c r="AF159" s="41">
        <v>71</v>
      </c>
      <c r="AG159" s="41">
        <v>78</v>
      </c>
      <c r="AH159" s="41">
        <v>112</v>
      </c>
      <c r="AI159" s="41">
        <v>114</v>
      </c>
      <c r="AJ159" s="41">
        <v>128</v>
      </c>
      <c r="AK159" s="41">
        <v>135</v>
      </c>
      <c r="AL159" s="41">
        <v>139</v>
      </c>
      <c r="AM159" s="41">
        <v>128</v>
      </c>
      <c r="AN159" s="41">
        <v>109</v>
      </c>
      <c r="AO159" s="41">
        <v>98</v>
      </c>
      <c r="AP159" s="41">
        <v>71</v>
      </c>
      <c r="AQ159" s="41">
        <v>62</v>
      </c>
      <c r="AR159" s="42">
        <v>1247</v>
      </c>
    </row>
    <row r="160" spans="30:44" ht="13">
      <c r="AD160" s="43">
        <v>45</v>
      </c>
      <c r="AE160" s="44" t="s">
        <v>247</v>
      </c>
      <c r="AF160" s="45">
        <v>62</v>
      </c>
      <c r="AG160" s="45">
        <v>72</v>
      </c>
      <c r="AH160" s="45">
        <v>91</v>
      </c>
      <c r="AI160" s="45">
        <v>97</v>
      </c>
      <c r="AJ160" s="45">
        <v>106</v>
      </c>
      <c r="AK160" s="45">
        <v>117</v>
      </c>
      <c r="AL160" s="45">
        <v>124</v>
      </c>
      <c r="AM160" s="45">
        <v>116</v>
      </c>
      <c r="AN160" s="45">
        <v>95</v>
      </c>
      <c r="AO160" s="45">
        <v>87</v>
      </c>
      <c r="AP160" s="45">
        <v>62</v>
      </c>
      <c r="AQ160" s="45">
        <v>54</v>
      </c>
      <c r="AR160" s="46">
        <v>1083</v>
      </c>
    </row>
    <row r="161" spans="30:44" ht="13">
      <c r="AD161" s="43">
        <v>45</v>
      </c>
      <c r="AE161" s="44" t="s">
        <v>248</v>
      </c>
      <c r="AF161" s="45">
        <v>95</v>
      </c>
      <c r="AG161" s="45">
        <v>97</v>
      </c>
      <c r="AH161" s="45">
        <v>112</v>
      </c>
      <c r="AI161" s="45">
        <v>109</v>
      </c>
      <c r="AJ161" s="45">
        <v>109</v>
      </c>
      <c r="AK161" s="45">
        <v>114</v>
      </c>
      <c r="AL161" s="45">
        <v>123</v>
      </c>
      <c r="AM161" s="45">
        <v>124</v>
      </c>
      <c r="AN161" s="45">
        <v>113</v>
      </c>
      <c r="AO161" s="45">
        <v>117</v>
      </c>
      <c r="AP161" s="45">
        <v>94</v>
      </c>
      <c r="AQ161" s="45">
        <v>86</v>
      </c>
      <c r="AR161" s="46">
        <v>1293</v>
      </c>
    </row>
    <row r="162" spans="30:44" ht="13">
      <c r="AD162" s="43">
        <v>45</v>
      </c>
      <c r="AE162" s="44" t="s">
        <v>249</v>
      </c>
      <c r="AF162" s="45">
        <v>112</v>
      </c>
      <c r="AG162" s="45">
        <v>110</v>
      </c>
      <c r="AH162" s="45">
        <v>127</v>
      </c>
      <c r="AI162" s="45">
        <v>115</v>
      </c>
      <c r="AJ162" s="45">
        <v>112</v>
      </c>
      <c r="AK162" s="45">
        <v>111</v>
      </c>
      <c r="AL162" s="45">
        <v>120</v>
      </c>
      <c r="AM162" s="45">
        <v>126</v>
      </c>
      <c r="AN162" s="45">
        <v>123</v>
      </c>
      <c r="AO162" s="45">
        <v>132</v>
      </c>
      <c r="AP162" s="45">
        <v>110</v>
      </c>
      <c r="AQ162" s="45">
        <v>103</v>
      </c>
      <c r="AR162" s="46">
        <v>1401</v>
      </c>
    </row>
    <row r="163" spans="30:44" ht="13">
      <c r="AD163" s="43">
        <v>45</v>
      </c>
      <c r="AE163" s="44" t="s">
        <v>250</v>
      </c>
      <c r="AF163" s="45">
        <v>98</v>
      </c>
      <c r="AG163" s="45">
        <v>98</v>
      </c>
      <c r="AH163" s="45">
        <v>124</v>
      </c>
      <c r="AI163" s="45">
        <v>114</v>
      </c>
      <c r="AJ163" s="45">
        <v>117</v>
      </c>
      <c r="AK163" s="45">
        <v>118</v>
      </c>
      <c r="AL163" s="45">
        <v>125</v>
      </c>
      <c r="AM163" s="45">
        <v>124</v>
      </c>
      <c r="AN163" s="45">
        <v>118</v>
      </c>
      <c r="AO163" s="45">
        <v>120</v>
      </c>
      <c r="AP163" s="45">
        <v>97</v>
      </c>
      <c r="AQ163" s="45">
        <v>90</v>
      </c>
      <c r="AR163" s="46">
        <v>1343</v>
      </c>
    </row>
    <row r="164" spans="30:44" ht="14" thickBot="1">
      <c r="AD164" s="47">
        <v>45</v>
      </c>
      <c r="AE164" s="48" t="s">
        <v>251</v>
      </c>
      <c r="AF164" s="49">
        <v>66</v>
      </c>
      <c r="AG164" s="49">
        <v>72</v>
      </c>
      <c r="AH164" s="49">
        <v>105</v>
      </c>
      <c r="AI164" s="49">
        <v>104</v>
      </c>
      <c r="AJ164" s="49">
        <v>117</v>
      </c>
      <c r="AK164" s="49">
        <v>122</v>
      </c>
      <c r="AL164" s="49">
        <v>126</v>
      </c>
      <c r="AM164" s="49">
        <v>116</v>
      </c>
      <c r="AN164" s="49">
        <v>101</v>
      </c>
      <c r="AO164" s="49">
        <v>91</v>
      </c>
      <c r="AP164" s="49">
        <v>67</v>
      </c>
      <c r="AQ164" s="49">
        <v>58</v>
      </c>
      <c r="AR164" s="50">
        <v>1145</v>
      </c>
    </row>
  </sheetData>
  <sheetProtection selectLockedCells="1"/>
  <mergeCells count="30">
    <mergeCell ref="AD123:AD124"/>
    <mergeCell ref="A34:D35"/>
    <mergeCell ref="G34:G35"/>
    <mergeCell ref="A52:C58"/>
    <mergeCell ref="N55:O55"/>
    <mergeCell ref="S55:T55"/>
    <mergeCell ref="AC123:AC124"/>
    <mergeCell ref="A20:C21"/>
    <mergeCell ref="G20:G21"/>
    <mergeCell ref="AA5:AA7"/>
    <mergeCell ref="AB5:AB7"/>
    <mergeCell ref="AC5:AC7"/>
    <mergeCell ref="Z5:Z7"/>
    <mergeCell ref="K6:L6"/>
    <mergeCell ref="S6:T6"/>
    <mergeCell ref="S7:T7"/>
    <mergeCell ref="C9:D9"/>
    <mergeCell ref="AH5:AH7"/>
    <mergeCell ref="A3:G3"/>
    <mergeCell ref="H3:T3"/>
    <mergeCell ref="U3:AH3"/>
    <mergeCell ref="U5:U7"/>
    <mergeCell ref="V5:V7"/>
    <mergeCell ref="W5:W7"/>
    <mergeCell ref="X5:X7"/>
    <mergeCell ref="Y5:Y7"/>
    <mergeCell ref="AG5:AG7"/>
    <mergeCell ref="AD5:AD7"/>
    <mergeCell ref="AE5:AE7"/>
    <mergeCell ref="AF5:AF7"/>
  </mergeCells>
  <phoneticPr fontId="31" type="noConversion"/>
  <printOptions horizontalCentered="1"/>
  <pageMargins left="0.23" right="0.28999999999999998" top="1.18" bottom="0.4" header="0.4" footer="0.14000000000000001"/>
  <pageSetup scale="81" fitToWidth="3" pageOrder="overThenDown" orientation="portrait" horizontalDpi="4294967292" verticalDpi="4294967292"/>
  <headerFooter>
    <oddHeader>&amp;L&amp;G&amp;R_x000D_2000 South 7th Street_x000D_Austin, TX  78704_x000D_512-476-5555_x000D_austin@lighthousesolar.com</oddHeader>
    <oddFooter>&amp;L&amp;9&amp;K000000LighthouseSolar Confidential</oddFooter>
  </headerFooter>
  <colBreaks count="2" manualBreakCount="2">
    <brk id="7" max="1048575" man="1"/>
    <brk id="20" max="1048575" man="1"/>
  </colBreaks>
  <drawing r:id="rId1"/>
  <legacyDrawingHF r:id="rId2"/>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tabColor theme="3" tint="0.39997558519241921"/>
  </sheetPr>
  <dimension ref="A1:AR161"/>
  <sheetViews>
    <sheetView showGridLines="0" view="pageLayout" zoomScale="90" zoomScaleNormal="90" zoomScalePageLayoutView="90" workbookViewId="0">
      <selection activeCell="G12" sqref="G12"/>
    </sheetView>
  </sheetViews>
  <sheetFormatPr baseColWidth="10" defaultRowHeight="12" x14ac:dyDescent="0"/>
  <cols>
    <col min="1" max="1" width="7.85546875" style="95" customWidth="1"/>
    <col min="2" max="2" width="6.5703125" style="95" customWidth="1"/>
    <col min="3" max="3" width="21.7109375" style="95" customWidth="1"/>
    <col min="4" max="4" width="8.140625" style="95" customWidth="1"/>
    <col min="5" max="5" width="12.42578125" style="95" customWidth="1"/>
    <col min="6" max="6" width="12.7109375" style="95" customWidth="1"/>
    <col min="7" max="7" width="16.140625" style="95" customWidth="1"/>
    <col min="8" max="8" width="6.7109375" style="95" customWidth="1"/>
    <col min="9" max="9" width="7.28515625" style="95" customWidth="1"/>
    <col min="10" max="10" width="5.85546875" style="95" customWidth="1"/>
    <col min="11" max="11" width="9" style="95" customWidth="1"/>
    <col min="12" max="12" width="10.28515625" style="95" customWidth="1"/>
    <col min="13" max="13" width="7.5703125" style="95" customWidth="1"/>
    <col min="14" max="18" width="7.28515625" style="95" customWidth="1"/>
    <col min="19" max="19" width="6.28515625" style="95" customWidth="1"/>
    <col min="20" max="20" width="7.28515625" style="95" customWidth="1"/>
    <col min="21" max="21" width="3.28515625" style="95" bestFit="1" customWidth="1"/>
    <col min="22" max="30" width="8.85546875" style="95" customWidth="1"/>
    <col min="31" max="31" width="10.28515625" style="95" customWidth="1"/>
    <col min="32" max="36" width="8.28515625" style="95" customWidth="1"/>
    <col min="37" max="16384" width="10.7109375" style="95"/>
  </cols>
  <sheetData>
    <row r="1" spans="1:31" ht="3" customHeight="1">
      <c r="A1" s="545"/>
      <c r="B1" s="545"/>
      <c r="C1" s="545"/>
      <c r="D1" s="545"/>
      <c r="E1" s="545"/>
      <c r="F1" s="545"/>
      <c r="G1" s="545"/>
      <c r="H1" s="546"/>
      <c r="I1" s="546"/>
      <c r="J1" s="546"/>
      <c r="K1" s="546"/>
      <c r="L1" s="546"/>
      <c r="M1" s="546"/>
      <c r="N1" s="546"/>
      <c r="O1" s="546"/>
      <c r="P1" s="546"/>
      <c r="Q1" s="546"/>
      <c r="R1" s="546"/>
      <c r="S1" s="546"/>
      <c r="T1" s="546"/>
      <c r="U1" s="546"/>
      <c r="V1" s="546"/>
      <c r="W1" s="546"/>
      <c r="X1" s="546"/>
      <c r="Y1" s="546"/>
      <c r="Z1" s="546"/>
      <c r="AA1" s="546"/>
      <c r="AB1" s="546"/>
      <c r="AC1" s="546"/>
      <c r="AD1" s="546"/>
      <c r="AE1" s="546"/>
    </row>
    <row r="2" spans="1:31" s="546" customFormat="1" ht="4" customHeight="1"/>
    <row r="3" spans="1:31" ht="19">
      <c r="A3" s="1061" t="s">
        <v>532</v>
      </c>
      <c r="B3" s="1062"/>
      <c r="C3" s="1062"/>
      <c r="D3" s="1062"/>
      <c r="E3" s="1062"/>
      <c r="F3" s="1062"/>
      <c r="G3" s="1062"/>
      <c r="H3" s="1063" t="s">
        <v>305</v>
      </c>
      <c r="I3" s="1063"/>
      <c r="J3" s="1063"/>
      <c r="K3" s="1063"/>
      <c r="L3" s="1063"/>
      <c r="M3" s="1063"/>
      <c r="N3" s="1063"/>
      <c r="O3" s="1063"/>
      <c r="P3" s="1063"/>
      <c r="Q3" s="1063"/>
      <c r="R3" s="1063"/>
      <c r="S3" s="1063"/>
      <c r="T3" s="1063"/>
      <c r="U3" s="1063" t="s">
        <v>0</v>
      </c>
      <c r="V3" s="1063"/>
      <c r="W3" s="1063"/>
      <c r="X3" s="1063"/>
      <c r="Y3" s="1063"/>
      <c r="Z3" s="1063"/>
      <c r="AA3" s="1063"/>
      <c r="AB3" s="1063"/>
      <c r="AC3" s="1063"/>
      <c r="AD3" s="1063"/>
      <c r="AE3" s="1063"/>
    </row>
    <row r="4" spans="1:31" ht="13" customHeight="1">
      <c r="A4" s="880"/>
      <c r="B4" s="881"/>
      <c r="C4" s="881"/>
      <c r="D4" s="881"/>
      <c r="E4" s="881"/>
      <c r="F4" s="881"/>
      <c r="G4" s="881"/>
      <c r="H4" s="882"/>
      <c r="I4" s="882"/>
      <c r="J4" s="882"/>
      <c r="K4" s="882"/>
      <c r="L4" s="882"/>
      <c r="M4" s="882"/>
      <c r="N4" s="882"/>
      <c r="O4" s="882"/>
      <c r="P4" s="882"/>
      <c r="Q4" s="882"/>
      <c r="R4" s="882"/>
      <c r="S4" s="882"/>
      <c r="T4" s="882"/>
      <c r="U4" s="1087" t="s">
        <v>453</v>
      </c>
      <c r="V4" s="1087" t="s">
        <v>454</v>
      </c>
      <c r="W4" s="1087" t="s">
        <v>233</v>
      </c>
      <c r="X4" s="1087" t="s">
        <v>460</v>
      </c>
      <c r="Y4" s="1087" t="s">
        <v>467</v>
      </c>
      <c r="Z4" s="1087" t="s">
        <v>466</v>
      </c>
      <c r="AA4" s="1087" t="s">
        <v>461</v>
      </c>
      <c r="AB4" s="1087" t="s">
        <v>180</v>
      </c>
      <c r="AC4" s="1087" t="s">
        <v>464</v>
      </c>
      <c r="AD4" s="1087" t="s">
        <v>462</v>
      </c>
      <c r="AE4" s="1089" t="s">
        <v>179</v>
      </c>
    </row>
    <row r="5" spans="1:31" ht="13" customHeight="1">
      <c r="A5" s="554" t="s">
        <v>527</v>
      </c>
      <c r="B5" s="555"/>
      <c r="C5" s="555"/>
      <c r="D5" s="555"/>
      <c r="E5" s="555"/>
      <c r="F5" s="606" t="s">
        <v>294</v>
      </c>
      <c r="G5" s="97" t="str">
        <f>'1 Customer Record'!C11</f>
        <v>D.J. Rosebaugh</v>
      </c>
      <c r="H5" s="581"/>
      <c r="I5" s="581"/>
      <c r="J5" s="581"/>
      <c r="K5" s="582"/>
      <c r="L5" s="581"/>
      <c r="P5" s="581"/>
      <c r="Q5" s="581"/>
      <c r="R5" s="581"/>
      <c r="U5" s="1088"/>
      <c r="V5" s="1088"/>
      <c r="W5" s="1088"/>
      <c r="X5" s="1088"/>
      <c r="Y5" s="1088"/>
      <c r="Z5" s="1088"/>
      <c r="AA5" s="1088"/>
      <c r="AB5" s="1088"/>
      <c r="AC5" s="1088"/>
      <c r="AD5" s="1088"/>
      <c r="AE5" s="1090"/>
    </row>
    <row r="6" spans="1:31" ht="16" customHeight="1">
      <c r="A6" s="607" t="str">
        <f>'1 Customer Record'!C12</f>
        <v>Suzy</v>
      </c>
      <c r="B6" s="607" t="str">
        <f>'1 Customer Record'!D12</f>
        <v>Solar</v>
      </c>
      <c r="D6" s="97"/>
      <c r="E6" s="555"/>
      <c r="F6" s="606" t="s">
        <v>356</v>
      </c>
      <c r="G6" s="608">
        <f ca="1">TODAY()</f>
        <v>42205</v>
      </c>
      <c r="H6" s="588" t="s">
        <v>304</v>
      </c>
      <c r="I6" s="588"/>
      <c r="J6" s="588"/>
      <c r="K6" s="1072">
        <f>AD31</f>
        <v>35810.187383409422</v>
      </c>
      <c r="L6" s="1072"/>
      <c r="N6" s="585"/>
      <c r="O6" s="585"/>
      <c r="P6" s="584"/>
      <c r="Q6" s="584"/>
      <c r="R6" s="583" t="s">
        <v>178</v>
      </c>
      <c r="S6" s="1073">
        <f>AE31</f>
        <v>87158.134691011088</v>
      </c>
      <c r="T6" s="1073"/>
      <c r="U6" s="109">
        <v>0</v>
      </c>
      <c r="V6" s="109"/>
      <c r="W6" s="109"/>
      <c r="X6" s="109"/>
      <c r="Y6" s="109"/>
      <c r="Z6" s="109"/>
      <c r="AA6" s="109"/>
      <c r="AB6" s="109"/>
      <c r="AC6" s="109"/>
      <c r="AD6" s="903">
        <f>-G43</f>
        <v>0</v>
      </c>
      <c r="AE6" s="109"/>
    </row>
    <row r="7" spans="1:31" ht="16" customHeight="1">
      <c r="A7" s="607" t="str">
        <f>'1 Customer Record'!C15</f>
        <v>123 Sunshine Court</v>
      </c>
      <c r="B7" s="607"/>
      <c r="C7" s="99"/>
      <c r="D7" s="555"/>
      <c r="E7" s="555"/>
      <c r="F7" s="606"/>
      <c r="G7" s="608"/>
      <c r="H7" s="1093" t="s">
        <v>471</v>
      </c>
      <c r="I7" s="1093"/>
      <c r="J7" s="1093"/>
      <c r="K7" s="1094" t="e">
        <f>IRR(AD7:AD31)</f>
        <v>#NUM!</v>
      </c>
      <c r="L7" s="1094"/>
      <c r="M7" s="1095"/>
      <c r="N7" s="1093" t="s">
        <v>472</v>
      </c>
      <c r="O7" s="1093"/>
      <c r="P7" s="1093"/>
      <c r="Q7" s="1093"/>
      <c r="R7" s="1093"/>
      <c r="S7" s="1074">
        <f>2.5*G12*1000</f>
        <v>15000</v>
      </c>
      <c r="T7" s="1074"/>
      <c r="U7" s="112">
        <v>1</v>
      </c>
      <c r="V7" s="113">
        <f>0.113</f>
        <v>0.113</v>
      </c>
      <c r="W7" s="114">
        <f>'Lookup Tables'!V17</f>
        <v>12000</v>
      </c>
      <c r="X7" s="114">
        <f>'Lookup Tables'!U17</f>
        <v>8712</v>
      </c>
      <c r="Y7" s="115">
        <f>V7*W7</f>
        <v>1356</v>
      </c>
      <c r="Z7" s="115">
        <f t="shared" ref="Z7:Z31" si="0">(W7-X7)*V7</f>
        <v>371.54399999999998</v>
      </c>
      <c r="AA7" s="116">
        <f t="shared" ref="AA7:AA31" si="1">V7*X7</f>
        <v>984.45600000000002</v>
      </c>
      <c r="AB7" s="116">
        <f>AA7</f>
        <v>984.45600000000002</v>
      </c>
      <c r="AC7" s="115">
        <f>-G44</f>
        <v>0</v>
      </c>
      <c r="AD7" s="903">
        <f>AD6+AA7+AC7</f>
        <v>984.45600000000002</v>
      </c>
      <c r="AE7" s="664">
        <f>-FV($M$57/12,12,AA7/12)</f>
        <v>1016.6629119915223</v>
      </c>
    </row>
    <row r="8" spans="1:31" ht="15" customHeight="1">
      <c r="A8" s="607" t="str">
        <f>'1 Customer Record'!C16</f>
        <v>Dripping Springs, TX 78620</v>
      </c>
      <c r="B8" s="607"/>
      <c r="C8" s="99"/>
      <c r="D8" s="97"/>
      <c r="E8" s="555"/>
      <c r="F8" s="555"/>
      <c r="G8" s="555"/>
      <c r="H8" s="1093"/>
      <c r="I8" s="1093"/>
      <c r="J8" s="1093"/>
      <c r="K8" s="1094"/>
      <c r="L8" s="1094"/>
      <c r="M8" s="1095"/>
      <c r="N8" s="1093"/>
      <c r="O8" s="1093"/>
      <c r="P8" s="1093"/>
      <c r="Q8" s="1093"/>
      <c r="R8" s="1093"/>
      <c r="S8" s="1074"/>
      <c r="T8" s="1074"/>
      <c r="U8" s="112">
        <v>2</v>
      </c>
      <c r="V8" s="113">
        <f t="shared" ref="V8:V31" si="2">V7*(1+$M$56)</f>
        <v>0.11695499999999999</v>
      </c>
      <c r="W8" s="114">
        <f>W7</f>
        <v>12000</v>
      </c>
      <c r="X8" s="118">
        <f t="shared" ref="X8:X31" si="3">X7*(1-$Q$56)</f>
        <v>8668.44</v>
      </c>
      <c r="Y8" s="115">
        <f t="shared" ref="Y8:Y31" si="4">V8*W8</f>
        <v>1403.4599999999998</v>
      </c>
      <c r="Z8" s="115">
        <f t="shared" si="0"/>
        <v>389.64259979999991</v>
      </c>
      <c r="AA8" s="116">
        <f t="shared" si="1"/>
        <v>1013.8174002</v>
      </c>
      <c r="AB8" s="116">
        <f>AB7+AA8</f>
        <v>1998.2734002</v>
      </c>
      <c r="AC8" s="115"/>
      <c r="AD8" s="903">
        <f>AD7+AA8</f>
        <v>1998.2734002</v>
      </c>
      <c r="AE8" s="664">
        <f t="shared" ref="AE8:AE31" si="5">-FV($M$57/12,12,AA8/12,AE7)</f>
        <v>2137.1424394445949</v>
      </c>
    </row>
    <row r="9" spans="1:31" ht="15">
      <c r="A9" s="607" t="str">
        <f>'1 Customer Record'!C13</f>
        <v>512-476-5555</v>
      </c>
      <c r="B9" s="607"/>
      <c r="C9" s="1075" t="str">
        <f>'1 Customer Record'!C14</f>
        <v>austin@lighthousesolar.com</v>
      </c>
      <c r="D9" s="1075"/>
      <c r="E9" s="579"/>
      <c r="F9" s="555"/>
      <c r="G9" s="555"/>
      <c r="H9" s="585"/>
      <c r="I9" s="585"/>
      <c r="J9" s="585"/>
      <c r="K9" s="585"/>
      <c r="L9" s="585"/>
      <c r="M9" s="585"/>
      <c r="N9" s="585"/>
      <c r="O9" s="585"/>
      <c r="P9" s="585"/>
      <c r="Q9" s="585"/>
      <c r="R9" s="585"/>
      <c r="S9" s="585"/>
      <c r="T9" s="586"/>
      <c r="U9" s="112">
        <v>3</v>
      </c>
      <c r="V9" s="113">
        <f t="shared" si="2"/>
        <v>0.12104842499999997</v>
      </c>
      <c r="W9" s="114">
        <f t="shared" ref="W9:W31" si="6">W8</f>
        <v>12000</v>
      </c>
      <c r="X9" s="118">
        <f t="shared" si="3"/>
        <v>8625.0978000000014</v>
      </c>
      <c r="Y9" s="115">
        <f t="shared" si="4"/>
        <v>1452.5810999999997</v>
      </c>
      <c r="Z9" s="115">
        <f t="shared" si="0"/>
        <v>408.52659583903477</v>
      </c>
      <c r="AA9" s="116">
        <f t="shared" si="1"/>
        <v>1044.0545041609648</v>
      </c>
      <c r="AB9" s="116">
        <f t="shared" ref="AB9:AB31" si="7">AB8+AA9</f>
        <v>3042.3279043609646</v>
      </c>
      <c r="AC9" s="115"/>
      <c r="AD9" s="903">
        <f t="shared" ref="AD9:AD31" si="8">AD8+AA9</f>
        <v>3042.3279043609646</v>
      </c>
      <c r="AE9" s="664">
        <f t="shared" si="5"/>
        <v>3369.8478466806728</v>
      </c>
    </row>
    <row r="10" spans="1:31" ht="13" customHeight="1">
      <c r="E10" s="554"/>
      <c r="F10" s="609"/>
      <c r="G10" s="580"/>
      <c r="M10" s="104"/>
      <c r="N10" s="104"/>
      <c r="O10" s="104"/>
      <c r="Q10" s="100"/>
      <c r="R10" s="100"/>
      <c r="S10" s="100"/>
      <c r="T10" s="100"/>
      <c r="U10" s="112">
        <v>4</v>
      </c>
      <c r="V10" s="113">
        <f t="shared" si="2"/>
        <v>0.12528511987499996</v>
      </c>
      <c r="W10" s="114">
        <f t="shared" si="6"/>
        <v>12000</v>
      </c>
      <c r="X10" s="118">
        <f t="shared" si="3"/>
        <v>8581.9723110000014</v>
      </c>
      <c r="Y10" s="115">
        <f t="shared" si="4"/>
        <v>1503.4214384999996</v>
      </c>
      <c r="Z10" s="115">
        <f t="shared" si="0"/>
        <v>428.22800875243394</v>
      </c>
      <c r="AA10" s="116">
        <f t="shared" si="1"/>
        <v>1075.1934297475657</v>
      </c>
      <c r="AB10" s="116">
        <f t="shared" si="7"/>
        <v>4117.52133410853</v>
      </c>
      <c r="AC10" s="115"/>
      <c r="AD10" s="903">
        <f t="shared" si="8"/>
        <v>4117.52133410853</v>
      </c>
      <c r="AE10" s="664">
        <f t="shared" si="5"/>
        <v>4723.8232767410755</v>
      </c>
    </row>
    <row r="11" spans="1:31" ht="13" customHeight="1">
      <c r="A11" s="98"/>
      <c r="B11" s="98"/>
      <c r="C11" s="98"/>
      <c r="D11" s="99"/>
      <c r="E11" s="549"/>
      <c r="F11" s="878"/>
      <c r="G11" s="879"/>
      <c r="H11" s="546"/>
      <c r="I11" s="546"/>
      <c r="J11" s="546"/>
      <c r="K11" s="546"/>
      <c r="L11" s="546"/>
      <c r="M11" s="556"/>
      <c r="N11" s="556"/>
      <c r="O11" s="556"/>
      <c r="P11" s="546"/>
      <c r="Q11" s="557"/>
      <c r="R11" s="557"/>
      <c r="S11" s="557"/>
      <c r="T11" s="557"/>
      <c r="U11" s="112">
        <v>5</v>
      </c>
      <c r="V11" s="113">
        <f t="shared" si="2"/>
        <v>0.12967009907062496</v>
      </c>
      <c r="W11" s="114">
        <f t="shared" si="6"/>
        <v>12000</v>
      </c>
      <c r="X11" s="118">
        <f t="shared" si="3"/>
        <v>8539.0624494450021</v>
      </c>
      <c r="Y11" s="115">
        <f t="shared" si="4"/>
        <v>1556.0411888474996</v>
      </c>
      <c r="Z11" s="115">
        <f t="shared" si="0"/>
        <v>448.78011505771264</v>
      </c>
      <c r="AA11" s="116">
        <f t="shared" si="1"/>
        <v>1107.2610737897869</v>
      </c>
      <c r="AB11" s="116">
        <f t="shared" si="7"/>
        <v>5224.7824078983167</v>
      </c>
      <c r="AC11" s="115"/>
      <c r="AD11" s="903">
        <f t="shared" si="8"/>
        <v>5224.7824078983167</v>
      </c>
      <c r="AE11" s="664">
        <f t="shared" si="5"/>
        <v>6208.7944512704898</v>
      </c>
    </row>
    <row r="12" spans="1:31" ht="13">
      <c r="A12" s="553" t="s">
        <v>295</v>
      </c>
      <c r="F12" s="587" t="s">
        <v>302</v>
      </c>
      <c r="G12" s="572">
        <f>(A15*B15)/1000</f>
        <v>6</v>
      </c>
      <c r="H12" s="553" t="s">
        <v>64</v>
      </c>
      <c r="I12" s="553"/>
      <c r="J12" s="553"/>
      <c r="K12" s="883"/>
      <c r="L12" s="884">
        <f>'Lookup Tables'!U21</f>
        <v>8712</v>
      </c>
      <c r="M12" s="885">
        <f>'Lookup Tables'!U20</f>
        <v>0.72599999999999998</v>
      </c>
      <c r="N12" s="104"/>
      <c r="O12" s="104"/>
      <c r="Q12" s="100"/>
      <c r="R12" s="100"/>
      <c r="S12" s="100"/>
      <c r="T12" s="100"/>
      <c r="U12" s="112">
        <v>6</v>
      </c>
      <c r="V12" s="113">
        <f t="shared" si="2"/>
        <v>0.13420855253809683</v>
      </c>
      <c r="W12" s="114">
        <f t="shared" si="6"/>
        <v>12000</v>
      </c>
      <c r="X12" s="118">
        <f t="shared" si="3"/>
        <v>8496.3671371977762</v>
      </c>
      <c r="Y12" s="115">
        <f t="shared" si="4"/>
        <v>1610.502630457162</v>
      </c>
      <c r="Z12" s="115">
        <f t="shared" si="0"/>
        <v>470.21749514159484</v>
      </c>
      <c r="AA12" s="116">
        <f t="shared" si="1"/>
        <v>1140.285135315567</v>
      </c>
      <c r="AB12" s="116">
        <f t="shared" si="7"/>
        <v>6365.0675432138833</v>
      </c>
      <c r="AC12" s="115"/>
      <c r="AD12" s="903">
        <f t="shared" si="8"/>
        <v>6365.0675432138833</v>
      </c>
      <c r="AE12" s="664">
        <f t="shared" si="5"/>
        <v>7835.2187703315285</v>
      </c>
    </row>
    <row r="13" spans="1:31" ht="13">
      <c r="A13" s="105"/>
      <c r="B13" s="105"/>
      <c r="C13" s="106"/>
      <c r="D13" s="105"/>
      <c r="E13" s="105"/>
      <c r="F13" s="106"/>
      <c r="G13" s="106"/>
      <c r="H13" s="553" t="s">
        <v>65</v>
      </c>
      <c r="I13" s="553"/>
      <c r="J13" s="553"/>
      <c r="K13" s="883"/>
      <c r="L13" s="886">
        <f>'Lookup Tables'!V21</f>
        <v>685.14285714285734</v>
      </c>
      <c r="M13" s="885">
        <f>'Lookup Tables'!V20</f>
        <v>5.7095238095238109E-2</v>
      </c>
      <c r="N13" s="104"/>
      <c r="O13" s="104"/>
      <c r="Q13" s="100"/>
      <c r="R13" s="100"/>
      <c r="S13" s="100"/>
      <c r="T13" s="100"/>
      <c r="U13" s="112">
        <v>7</v>
      </c>
      <c r="V13" s="113">
        <f t="shared" si="2"/>
        <v>0.13890585187693019</v>
      </c>
      <c r="W13" s="114">
        <f t="shared" si="6"/>
        <v>12000</v>
      </c>
      <c r="X13" s="118">
        <f t="shared" si="3"/>
        <v>8453.8853015117875</v>
      </c>
      <c r="Y13" s="115">
        <f t="shared" si="4"/>
        <v>1666.8702225231623</v>
      </c>
      <c r="Z13" s="115">
        <f t="shared" si="0"/>
        <v>492.57608304680861</v>
      </c>
      <c r="AA13" s="116">
        <f t="shared" si="1"/>
        <v>1174.2941394763536</v>
      </c>
      <c r="AB13" s="116">
        <f t="shared" si="7"/>
        <v>7539.3616826902371</v>
      </c>
      <c r="AC13" s="115"/>
      <c r="AD13" s="903">
        <f t="shared" si="8"/>
        <v>7539.3616826902371</v>
      </c>
      <c r="AE13" s="664">
        <f t="shared" si="5"/>
        <v>9614.3390586472287</v>
      </c>
    </row>
    <row r="14" spans="1:31" ht="15" customHeight="1">
      <c r="A14" s="595" t="s">
        <v>357</v>
      </c>
      <c r="B14" s="552"/>
      <c r="C14" s="552"/>
      <c r="D14" s="552"/>
      <c r="E14" s="552"/>
      <c r="F14" s="599"/>
      <c r="G14" s="552"/>
      <c r="M14" s="104"/>
      <c r="N14" s="104"/>
      <c r="O14" s="104"/>
      <c r="Q14" s="100"/>
      <c r="R14" s="100"/>
      <c r="S14" s="100"/>
      <c r="T14" s="100"/>
      <c r="U14" s="112">
        <v>8</v>
      </c>
      <c r="V14" s="113">
        <f t="shared" si="2"/>
        <v>0.14376755669262273</v>
      </c>
      <c r="W14" s="114">
        <f>W13</f>
        <v>12000</v>
      </c>
      <c r="X14" s="118">
        <f t="shared" si="3"/>
        <v>8411.6158750042287</v>
      </c>
      <c r="Y14" s="115">
        <f t="shared" si="4"/>
        <v>1725.2106803114727</v>
      </c>
      <c r="Z14" s="115">
        <f t="shared" si="0"/>
        <v>515.89321812523701</v>
      </c>
      <c r="AA14" s="116">
        <f t="shared" si="1"/>
        <v>1209.3174621862358</v>
      </c>
      <c r="AB14" s="116">
        <f t="shared" si="7"/>
        <v>8748.6791448764725</v>
      </c>
      <c r="AC14" s="115"/>
      <c r="AD14" s="903">
        <f t="shared" si="8"/>
        <v>8748.6791448764725</v>
      </c>
      <c r="AE14" s="664">
        <f t="shared" si="5"/>
        <v>11558.241222608976</v>
      </c>
    </row>
    <row r="15" spans="1:31" ht="15" customHeight="1">
      <c r="A15" s="600">
        <f>ROUNDUP((('3 Pricing Sheet'!D42*1000)/VLOOKUP('3 Pricing Sheet'!D43,'Lookup Tables'!B16:H28,2,FALSE)),0)</f>
        <v>24</v>
      </c>
      <c r="B15" s="601">
        <f>VLOOKUP('3 Pricing Sheet'!D43,'Lookup Tables'!B16:H28,2,FALSE)</f>
        <v>250</v>
      </c>
      <c r="C15" s="99" t="s">
        <v>590</v>
      </c>
      <c r="D15" s="99"/>
      <c r="E15" s="99"/>
      <c r="F15" s="562"/>
      <c r="G15" s="562"/>
      <c r="M15" s="104"/>
      <c r="N15" s="104"/>
      <c r="O15" s="104"/>
      <c r="Q15" s="100"/>
      <c r="R15" s="100"/>
      <c r="S15" s="100"/>
      <c r="T15" s="100"/>
      <c r="U15" s="112">
        <v>9</v>
      </c>
      <c r="V15" s="113">
        <f t="shared" si="2"/>
        <v>0.14879942117686451</v>
      </c>
      <c r="W15" s="114">
        <f>W14</f>
        <v>12000</v>
      </c>
      <c r="X15" s="118">
        <f t="shared" si="3"/>
        <v>8369.5577956292072</v>
      </c>
      <c r="Y15" s="115">
        <f t="shared" si="4"/>
        <v>1785.593054122374</v>
      </c>
      <c r="Z15" s="115">
        <f t="shared" si="0"/>
        <v>540.20769862643397</v>
      </c>
      <c r="AA15" s="116">
        <f t="shared" si="1"/>
        <v>1245.3853554959401</v>
      </c>
      <c r="AB15" s="116">
        <f t="shared" si="7"/>
        <v>9994.064500372413</v>
      </c>
      <c r="AC15" s="115"/>
      <c r="AD15" s="903">
        <f t="shared" si="8"/>
        <v>9994.064500372413</v>
      </c>
      <c r="AE15" s="664">
        <f t="shared" si="5"/>
        <v>13679.916101518311</v>
      </c>
    </row>
    <row r="16" spans="1:31" ht="15" customHeight="1">
      <c r="A16" s="595" t="s">
        <v>358</v>
      </c>
      <c r="B16" s="602" t="str">
        <f>VLOOKUP('3 Pricing Sheet'!D43,'Lookup Tables'!B16:H28,5,FALSE)</f>
        <v>SMA Transformerless String Inverter</v>
      </c>
      <c r="C16" s="565"/>
      <c r="D16" s="552"/>
      <c r="E16" s="595"/>
      <c r="F16" s="603" t="s">
        <v>359</v>
      </c>
      <c r="G16" s="604" t="str">
        <f>VLOOKUP('3 Pricing Sheet'!D43,'Lookup Tables'!B16:H28,4,FALSE)</f>
        <v>Included</v>
      </c>
      <c r="M16" s="104"/>
      <c r="N16" s="104"/>
      <c r="O16" s="104"/>
      <c r="Q16" s="100"/>
      <c r="R16" s="100"/>
      <c r="S16" s="100"/>
      <c r="T16" s="100"/>
      <c r="U16" s="112">
        <v>10</v>
      </c>
      <c r="V16" s="113">
        <f t="shared" si="2"/>
        <v>0.15400740091805476</v>
      </c>
      <c r="W16" s="114">
        <f t="shared" si="6"/>
        <v>12000</v>
      </c>
      <c r="X16" s="118">
        <f t="shared" si="3"/>
        <v>8327.7100066510611</v>
      </c>
      <c r="Y16" s="115">
        <f t="shared" si="4"/>
        <v>1848.088811016657</v>
      </c>
      <c r="Z16" s="115">
        <f t="shared" si="0"/>
        <v>565.55983729305069</v>
      </c>
      <c r="AA16" s="116">
        <f t="shared" si="1"/>
        <v>1282.5289737236064</v>
      </c>
      <c r="AB16" s="116">
        <f t="shared" si="7"/>
        <v>11276.59347409602</v>
      </c>
      <c r="AC16" s="115"/>
      <c r="AD16" s="903">
        <f t="shared" si="8"/>
        <v>11276.59347409602</v>
      </c>
      <c r="AE16" s="664">
        <f t="shared" si="5"/>
        <v>15993.325817045661</v>
      </c>
    </row>
    <row r="17" spans="1:44" ht="15" customHeight="1">
      <c r="A17" s="605" t="s">
        <v>92</v>
      </c>
      <c r="B17" s="562"/>
      <c r="C17" s="562"/>
      <c r="D17" s="99"/>
      <c r="E17" s="99"/>
      <c r="F17" s="562"/>
      <c r="G17" s="562"/>
      <c r="M17" s="104"/>
      <c r="N17" s="104"/>
      <c r="O17" s="104"/>
      <c r="Q17" s="100"/>
      <c r="R17" s="100"/>
      <c r="S17" s="100"/>
      <c r="T17" s="100"/>
      <c r="U17" s="112">
        <v>11</v>
      </c>
      <c r="V17" s="113">
        <f t="shared" si="2"/>
        <v>0.15939765995018668</v>
      </c>
      <c r="W17" s="114">
        <f t="shared" si="6"/>
        <v>12000</v>
      </c>
      <c r="X17" s="118">
        <f t="shared" si="3"/>
        <v>8286.0714566178049</v>
      </c>
      <c r="Y17" s="115">
        <f t="shared" si="4"/>
        <v>1912.7719194022402</v>
      </c>
      <c r="Z17" s="115">
        <f t="shared" si="0"/>
        <v>591.99151903732729</v>
      </c>
      <c r="AA17" s="116">
        <f t="shared" si="1"/>
        <v>1320.7804003649128</v>
      </c>
      <c r="AB17" s="116">
        <f t="shared" si="7"/>
        <v>12597.373874460933</v>
      </c>
      <c r="AC17" s="115"/>
      <c r="AD17" s="903">
        <f t="shared" si="8"/>
        <v>12597.373874460933</v>
      </c>
      <c r="AE17" s="664">
        <f t="shared" si="5"/>
        <v>18513.47494688732</v>
      </c>
      <c r="AH17" s="101"/>
      <c r="AI17" s="108"/>
    </row>
    <row r="18" spans="1:44" ht="15" customHeight="1">
      <c r="A18" s="595" t="s">
        <v>443</v>
      </c>
      <c r="B18" s="547"/>
      <c r="C18" s="552" t="s">
        <v>524</v>
      </c>
      <c r="D18" s="552"/>
      <c r="E18" s="552"/>
      <c r="F18" s="599"/>
      <c r="G18" s="598"/>
      <c r="M18" s="104"/>
      <c r="N18" s="104"/>
      <c r="O18" s="104"/>
      <c r="Q18" s="100"/>
      <c r="R18" s="100"/>
      <c r="S18" s="100"/>
      <c r="T18" s="100"/>
      <c r="U18" s="112">
        <v>12</v>
      </c>
      <c r="V18" s="113">
        <f t="shared" si="2"/>
        <v>0.16497657804844321</v>
      </c>
      <c r="W18" s="114">
        <f t="shared" si="6"/>
        <v>12000</v>
      </c>
      <c r="X18" s="118">
        <f t="shared" si="3"/>
        <v>8244.6410993347163</v>
      </c>
      <c r="Y18" s="115">
        <f t="shared" si="4"/>
        <v>1979.7189365813185</v>
      </c>
      <c r="Z18" s="115">
        <f t="shared" si="0"/>
        <v>619.54626077552211</v>
      </c>
      <c r="AA18" s="116">
        <f t="shared" si="1"/>
        <v>1360.1726758057964</v>
      </c>
      <c r="AB18" s="116">
        <f t="shared" si="7"/>
        <v>13957.546550266728</v>
      </c>
      <c r="AC18" s="115"/>
      <c r="AD18" s="903">
        <f t="shared" si="8"/>
        <v>13957.546550266728</v>
      </c>
      <c r="AE18" s="664">
        <f t="shared" si="5"/>
        <v>21256.486872191184</v>
      </c>
      <c r="AF18" s="546"/>
      <c r="AG18" s="546"/>
      <c r="AH18" s="558"/>
      <c r="AI18" s="559"/>
      <c r="AJ18" s="546"/>
      <c r="AK18" s="546"/>
      <c r="AL18" s="546"/>
      <c r="AM18" s="546"/>
      <c r="AN18" s="546"/>
      <c r="AO18" s="546"/>
      <c r="AP18" s="546"/>
      <c r="AQ18" s="546"/>
      <c r="AR18" s="546"/>
    </row>
    <row r="19" spans="1:44" ht="15" customHeight="1">
      <c r="A19" s="605" t="s">
        <v>2</v>
      </c>
      <c r="B19" s="99"/>
      <c r="C19" s="99"/>
      <c r="D19" s="99"/>
      <c r="E19" s="99"/>
      <c r="F19" s="600"/>
      <c r="G19" s="596"/>
      <c r="M19" s="104"/>
      <c r="N19" s="104"/>
      <c r="O19" s="104"/>
      <c r="Q19" s="100"/>
      <c r="R19" s="100"/>
      <c r="S19" s="100"/>
      <c r="T19" s="100"/>
      <c r="U19" s="112">
        <v>13</v>
      </c>
      <c r="V19" s="113">
        <f t="shared" si="2"/>
        <v>0.17075075828013869</v>
      </c>
      <c r="W19" s="114">
        <f t="shared" si="6"/>
        <v>12000</v>
      </c>
      <c r="X19" s="118">
        <f t="shared" si="3"/>
        <v>8203.4178938380428</v>
      </c>
      <c r="Y19" s="115">
        <f t="shared" si="4"/>
        <v>2049.0090993616641</v>
      </c>
      <c r="Z19" s="115">
        <f t="shared" si="0"/>
        <v>648.26927349996026</v>
      </c>
      <c r="AA19" s="116">
        <f t="shared" si="1"/>
        <v>1400.739825861704</v>
      </c>
      <c r="AB19" s="116">
        <f t="shared" si="7"/>
        <v>15358.286376128432</v>
      </c>
      <c r="AC19" s="115"/>
      <c r="AD19" s="903">
        <f t="shared" si="8"/>
        <v>15358.286376128432</v>
      </c>
      <c r="AE19" s="664">
        <f t="shared" si="5"/>
        <v>24239.685673617005</v>
      </c>
    </row>
    <row r="20" spans="1:44">
      <c r="A20" s="552"/>
      <c r="B20" s="552"/>
      <c r="C20" s="552"/>
      <c r="D20" s="552"/>
      <c r="E20" s="552"/>
      <c r="F20" s="599"/>
      <c r="G20" s="598"/>
      <c r="H20" s="546"/>
      <c r="I20" s="546"/>
      <c r="J20" s="546"/>
      <c r="K20" s="546"/>
      <c r="L20" s="546"/>
      <c r="M20" s="556"/>
      <c r="N20" s="556"/>
      <c r="O20" s="556"/>
      <c r="P20" s="546"/>
      <c r="Q20" s="557"/>
      <c r="R20" s="557"/>
      <c r="S20" s="557"/>
      <c r="T20" s="557"/>
      <c r="U20" s="112">
        <v>14</v>
      </c>
      <c r="V20" s="113">
        <f t="shared" si="2"/>
        <v>0.17672703481994353</v>
      </c>
      <c r="W20" s="114">
        <f t="shared" si="6"/>
        <v>12000</v>
      </c>
      <c r="X20" s="118">
        <f t="shared" si="3"/>
        <v>8162.4008043688527</v>
      </c>
      <c r="Y20" s="115">
        <f t="shared" si="4"/>
        <v>2120.7244178393225</v>
      </c>
      <c r="Z20" s="115">
        <f t="shared" si="0"/>
        <v>678.20752667129307</v>
      </c>
      <c r="AA20" s="116">
        <f t="shared" si="1"/>
        <v>1442.5168911680294</v>
      </c>
      <c r="AB20" s="116">
        <f t="shared" si="7"/>
        <v>16800.803267296462</v>
      </c>
      <c r="AC20" s="115"/>
      <c r="AD20" s="903">
        <f t="shared" si="8"/>
        <v>16800.803267296462</v>
      </c>
      <c r="AE20" s="664">
        <f t="shared" si="5"/>
        <v>27481.683978021418</v>
      </c>
    </row>
    <row r="21" spans="1:44" s="546" customFormat="1">
      <c r="A21" s="1067" t="s">
        <v>297</v>
      </c>
      <c r="B21" s="1067"/>
      <c r="C21" s="1067"/>
      <c r="D21" s="103"/>
      <c r="E21" s="103"/>
      <c r="F21" s="548"/>
      <c r="G21" s="1068">
        <f>(A15*B15*'3 Pricing Sheet'!F46)</f>
        <v>0</v>
      </c>
      <c r="H21" s="95"/>
      <c r="I21" s="95"/>
      <c r="J21" s="95"/>
      <c r="K21" s="95"/>
      <c r="L21" s="95"/>
      <c r="M21" s="104"/>
      <c r="N21" s="104"/>
      <c r="O21" s="104"/>
      <c r="P21" s="95"/>
      <c r="Q21" s="100"/>
      <c r="R21" s="100"/>
      <c r="S21" s="100"/>
      <c r="T21" s="100"/>
      <c r="U21" s="112">
        <v>15</v>
      </c>
      <c r="V21" s="113">
        <f t="shared" si="2"/>
        <v>0.18291248103864155</v>
      </c>
      <c r="W21" s="114">
        <f t="shared" si="6"/>
        <v>12000</v>
      </c>
      <c r="X21" s="118">
        <f t="shared" si="3"/>
        <v>8121.5888003470081</v>
      </c>
      <c r="Y21" s="115">
        <f t="shared" si="4"/>
        <v>2194.9497724636985</v>
      </c>
      <c r="Z21" s="115">
        <f t="shared" si="0"/>
        <v>709.40981501658291</v>
      </c>
      <c r="AA21" s="116">
        <f t="shared" si="1"/>
        <v>1485.5399574471157</v>
      </c>
      <c r="AB21" s="116">
        <f t="shared" si="7"/>
        <v>18286.343224743578</v>
      </c>
      <c r="AC21" s="115"/>
      <c r="AD21" s="903">
        <f t="shared" si="8"/>
        <v>18286.343224743578</v>
      </c>
      <c r="AE21" s="664">
        <f t="shared" si="5"/>
        <v>31002.477186844128</v>
      </c>
      <c r="AF21" s="95"/>
      <c r="AG21" s="95"/>
      <c r="AH21" s="95"/>
      <c r="AI21" s="95"/>
      <c r="AJ21" s="95"/>
      <c r="AK21" s="95"/>
      <c r="AL21" s="95"/>
      <c r="AM21" s="95"/>
      <c r="AN21" s="95"/>
      <c r="AO21" s="95"/>
      <c r="AP21" s="95"/>
      <c r="AQ21" s="95"/>
      <c r="AR21" s="95"/>
    </row>
    <row r="22" spans="1:44" ht="13" customHeight="1">
      <c r="A22" s="1067"/>
      <c r="B22" s="1067"/>
      <c r="C22" s="1067"/>
      <c r="D22" s="549"/>
      <c r="E22" s="551"/>
      <c r="F22" s="549"/>
      <c r="G22" s="1068"/>
      <c r="M22" s="104"/>
      <c r="N22" s="104"/>
      <c r="O22" s="104"/>
      <c r="Q22" s="100"/>
      <c r="R22" s="100"/>
      <c r="S22" s="100"/>
      <c r="T22" s="100"/>
      <c r="U22" s="112">
        <v>16</v>
      </c>
      <c r="V22" s="113">
        <f t="shared" si="2"/>
        <v>0.18931441787499398</v>
      </c>
      <c r="W22" s="114">
        <f t="shared" si="6"/>
        <v>12000</v>
      </c>
      <c r="X22" s="118">
        <f t="shared" si="3"/>
        <v>8080.9808563452734</v>
      </c>
      <c r="Y22" s="115">
        <f t="shared" si="4"/>
        <v>2271.7730144999277</v>
      </c>
      <c r="Z22" s="115">
        <f t="shared" si="0"/>
        <v>741.92682782195197</v>
      </c>
      <c r="AA22" s="116">
        <f t="shared" si="1"/>
        <v>1529.8461866779758</v>
      </c>
      <c r="AB22" s="116">
        <f t="shared" si="7"/>
        <v>19816.189411421554</v>
      </c>
      <c r="AC22" s="115"/>
      <c r="AD22" s="903">
        <f t="shared" si="8"/>
        <v>19816.189411421554</v>
      </c>
      <c r="AE22" s="664">
        <f t="shared" si="5"/>
        <v>34823.544548461199</v>
      </c>
    </row>
    <row r="23" spans="1:44" ht="13">
      <c r="A23" s="550"/>
      <c r="B23" s="103"/>
      <c r="C23" s="103"/>
      <c r="D23" s="549"/>
      <c r="E23" s="551"/>
      <c r="F23" s="549"/>
      <c r="G23" s="877"/>
      <c r="M23" s="104"/>
      <c r="N23" s="104"/>
      <c r="O23" s="104"/>
      <c r="Q23" s="100"/>
      <c r="R23" s="100"/>
      <c r="S23" s="100"/>
      <c r="T23" s="100"/>
      <c r="U23" s="112">
        <v>17</v>
      </c>
      <c r="V23" s="113">
        <f t="shared" si="2"/>
        <v>0.19594042250061874</v>
      </c>
      <c r="W23" s="114">
        <f t="shared" si="6"/>
        <v>12000</v>
      </c>
      <c r="X23" s="118">
        <f t="shared" si="3"/>
        <v>8040.5759520635474</v>
      </c>
      <c r="Y23" s="115">
        <f t="shared" si="4"/>
        <v>2351.285070007425</v>
      </c>
      <c r="Z23" s="115">
        <f t="shared" si="0"/>
        <v>775.81122081177864</v>
      </c>
      <c r="AA23" s="116">
        <f t="shared" si="1"/>
        <v>1575.4738491956464</v>
      </c>
      <c r="AB23" s="116">
        <f t="shared" si="7"/>
        <v>21391.663260617199</v>
      </c>
      <c r="AC23" s="115"/>
      <c r="AD23" s="903">
        <f t="shared" si="8"/>
        <v>21391.663260617199</v>
      </c>
      <c r="AE23" s="664">
        <f t="shared" si="5"/>
        <v>38967.957570216451</v>
      </c>
    </row>
    <row r="24" spans="1:44">
      <c r="A24" s="902" t="s">
        <v>444</v>
      </c>
      <c r="B24" s="887"/>
      <c r="C24" s="887"/>
      <c r="D24" s="887"/>
      <c r="E24" s="887"/>
      <c r="F24" s="887"/>
      <c r="G24" s="888"/>
      <c r="M24" s="104"/>
      <c r="N24" s="104"/>
      <c r="O24" s="104"/>
      <c r="Q24" s="100"/>
      <c r="R24" s="100"/>
      <c r="S24" s="100"/>
      <c r="T24" s="100"/>
      <c r="U24" s="112">
        <v>18</v>
      </c>
      <c r="V24" s="113">
        <f t="shared" si="2"/>
        <v>0.2027983372881404</v>
      </c>
      <c r="W24" s="114">
        <f t="shared" si="6"/>
        <v>12000</v>
      </c>
      <c r="X24" s="118">
        <f t="shared" si="3"/>
        <v>8000.3730723032295</v>
      </c>
      <c r="Y24" s="115">
        <f t="shared" si="4"/>
        <v>2433.5800474576849</v>
      </c>
      <c r="Z24" s="115">
        <f t="shared" si="0"/>
        <v>811.11769070977834</v>
      </c>
      <c r="AA24" s="116">
        <f t="shared" si="1"/>
        <v>1622.4623567479064</v>
      </c>
      <c r="AB24" s="116">
        <f t="shared" si="7"/>
        <v>23014.125617365105</v>
      </c>
      <c r="AC24" s="115"/>
      <c r="AD24" s="903">
        <f t="shared" si="8"/>
        <v>23014.125617365105</v>
      </c>
      <c r="AE24" s="664">
        <f t="shared" si="5"/>
        <v>43460.496301705556</v>
      </c>
    </row>
    <row r="25" spans="1:44" ht="13" customHeight="1">
      <c r="A25" s="565"/>
      <c r="B25" s="855" t="s">
        <v>66</v>
      </c>
      <c r="C25" s="565"/>
      <c r="D25" s="597" t="str">
        <f>'3 Pricing Sheet'!C20</f>
        <v>No</v>
      </c>
      <c r="E25" s="889" t="str">
        <f>IF(D25="No","",(IF(G12&gt;=3,'Lookup Tables'!M18,(IF(G12&lt;2,'Lookup Tables'!M20,'Lookup Tables'!M19)))))</f>
        <v/>
      </c>
      <c r="F25" s="565"/>
      <c r="G25" s="890">
        <f>IF(D25="yes",($E$25*1000*G12),0)</f>
        <v>0</v>
      </c>
      <c r="M25" s="104"/>
      <c r="N25" s="104"/>
      <c r="O25" s="104"/>
      <c r="Q25" s="100"/>
      <c r="R25" s="100"/>
      <c r="S25" s="100"/>
      <c r="T25" s="100"/>
      <c r="U25" s="112">
        <v>19</v>
      </c>
      <c r="V25" s="113">
        <f t="shared" si="2"/>
        <v>0.20989627909322528</v>
      </c>
      <c r="W25" s="114">
        <f t="shared" si="6"/>
        <v>12000</v>
      </c>
      <c r="X25" s="118">
        <f t="shared" si="3"/>
        <v>7960.3712069417134</v>
      </c>
      <c r="Y25" s="115">
        <f t="shared" si="4"/>
        <v>2518.7553491187032</v>
      </c>
      <c r="Z25" s="115">
        <f t="shared" si="0"/>
        <v>847.90305258079093</v>
      </c>
      <c r="AA25" s="116">
        <f t="shared" si="1"/>
        <v>1670.8522965379125</v>
      </c>
      <c r="AB25" s="116">
        <f t="shared" si="7"/>
        <v>24684.977913903018</v>
      </c>
      <c r="AC25" s="115"/>
      <c r="AD25" s="903">
        <f t="shared" si="8"/>
        <v>24684.977913903018</v>
      </c>
      <c r="AE25" s="664">
        <f t="shared" si="5"/>
        <v>48327.774059344469</v>
      </c>
    </row>
    <row r="26" spans="1:44">
      <c r="A26" s="102"/>
      <c r="B26" s="102" t="s">
        <v>398</v>
      </c>
      <c r="C26" s="102"/>
      <c r="D26" s="891" t="str">
        <f>'3 Pricing Sheet'!C22</f>
        <v>No</v>
      </c>
      <c r="E26" s="892">
        <v>0.26</v>
      </c>
      <c r="F26" s="555"/>
      <c r="G26" s="893">
        <f>IF(D26="yes",($G$12*1000*0.26),0)</f>
        <v>0</v>
      </c>
      <c r="H26" s="102"/>
      <c r="I26" s="102"/>
      <c r="J26" s="102"/>
      <c r="K26" s="102"/>
      <c r="L26" s="102"/>
      <c r="M26" s="102"/>
      <c r="N26" s="102"/>
      <c r="O26" s="102"/>
      <c r="P26" s="102"/>
      <c r="Q26" s="102"/>
      <c r="R26" s="111"/>
      <c r="S26" s="111"/>
      <c r="T26" s="111"/>
      <c r="U26" s="112">
        <v>20</v>
      </c>
      <c r="V26" s="113">
        <f t="shared" si="2"/>
        <v>0.21724264886148814</v>
      </c>
      <c r="W26" s="114">
        <f t="shared" si="6"/>
        <v>12000</v>
      </c>
      <c r="X26" s="118">
        <f t="shared" si="3"/>
        <v>7920.5693509070052</v>
      </c>
      <c r="Y26" s="115">
        <f t="shared" si="4"/>
        <v>2606.9117863378578</v>
      </c>
      <c r="Z26" s="115">
        <f t="shared" si="0"/>
        <v>886.2263200557021</v>
      </c>
      <c r="AA26" s="116">
        <f t="shared" si="1"/>
        <v>1720.6854662821556</v>
      </c>
      <c r="AB26" s="116">
        <f t="shared" si="7"/>
        <v>26405.663380185175</v>
      </c>
      <c r="AC26" s="115"/>
      <c r="AD26" s="903">
        <f t="shared" si="8"/>
        <v>26405.663380185175</v>
      </c>
      <c r="AE26" s="664">
        <f t="shared" si="5"/>
        <v>53598.371203491908</v>
      </c>
    </row>
    <row r="27" spans="1:44">
      <c r="A27" s="855"/>
      <c r="B27" s="855" t="s">
        <v>490</v>
      </c>
      <c r="C27" s="855"/>
      <c r="D27" s="597" t="str">
        <f>'3 Pricing Sheet'!C24</f>
        <v>No</v>
      </c>
      <c r="E27" s="889">
        <v>0.05</v>
      </c>
      <c r="F27" s="565"/>
      <c r="G27" s="890">
        <f>IF(D27="yes",($G$12*1000*0.05),0)</f>
        <v>0</v>
      </c>
      <c r="U27" s="112">
        <v>21</v>
      </c>
      <c r="V27" s="113">
        <f t="shared" si="2"/>
        <v>0.22484614157164021</v>
      </c>
      <c r="W27" s="114">
        <f t="shared" si="6"/>
        <v>12000</v>
      </c>
      <c r="X27" s="118">
        <f t="shared" si="3"/>
        <v>7880.9665041524704</v>
      </c>
      <c r="Y27" s="115">
        <f t="shared" si="4"/>
        <v>2698.1536988596827</v>
      </c>
      <c r="Z27" s="115">
        <f t="shared" si="0"/>
        <v>926.14878854566166</v>
      </c>
      <c r="AA27" s="116">
        <f t="shared" si="1"/>
        <v>1772.0049103140207</v>
      </c>
      <c r="AB27" s="116">
        <f t="shared" si="7"/>
        <v>28177.668290499194</v>
      </c>
      <c r="AC27" s="115"/>
      <c r="AD27" s="903">
        <f t="shared" si="8"/>
        <v>28177.668290499194</v>
      </c>
      <c r="AE27" s="664">
        <f t="shared" si="5"/>
        <v>59302.978623615563</v>
      </c>
    </row>
    <row r="28" spans="1:44">
      <c r="A28" s="102"/>
      <c r="B28" s="102" t="s">
        <v>312</v>
      </c>
      <c r="C28" s="102"/>
      <c r="D28" s="891" t="str">
        <f>'3 Pricing Sheet'!C26</f>
        <v>No</v>
      </c>
      <c r="E28" s="892">
        <v>0.15</v>
      </c>
      <c r="F28" s="102"/>
      <c r="G28" s="893">
        <f>IF(D28="yes",($G$12*1000*0.15),0)</f>
        <v>0</v>
      </c>
      <c r="R28" s="119"/>
      <c r="S28" s="119"/>
      <c r="T28" s="119"/>
      <c r="U28" s="112">
        <v>22</v>
      </c>
      <c r="V28" s="113">
        <f t="shared" si="2"/>
        <v>0.23271575652664758</v>
      </c>
      <c r="W28" s="114">
        <f t="shared" si="6"/>
        <v>12000</v>
      </c>
      <c r="X28" s="118">
        <f t="shared" si="3"/>
        <v>7841.5616716317081</v>
      </c>
      <c r="Y28" s="115">
        <f t="shared" si="4"/>
        <v>2792.589078319771</v>
      </c>
      <c r="Z28" s="115">
        <f t="shared" si="0"/>
        <v>967.73412155563483</v>
      </c>
      <c r="AA28" s="116">
        <f t="shared" si="1"/>
        <v>1824.8549567641362</v>
      </c>
      <c r="AB28" s="116">
        <f t="shared" si="7"/>
        <v>30002.523247263329</v>
      </c>
      <c r="AC28" s="115"/>
      <c r="AD28" s="903">
        <f t="shared" si="8"/>
        <v>30002.523247263329</v>
      </c>
      <c r="AE28" s="664">
        <f t="shared" si="5"/>
        <v>65474.551634409247</v>
      </c>
    </row>
    <row r="29" spans="1:44">
      <c r="A29" s="855"/>
      <c r="B29" s="855" t="s">
        <v>400</v>
      </c>
      <c r="C29" s="855"/>
      <c r="D29" s="597" t="str">
        <f>'3 Pricing Sheet'!C30</f>
        <v>No</v>
      </c>
      <c r="E29" s="894">
        <v>200</v>
      </c>
      <c r="F29" s="855" t="str">
        <f>IF(D29="Yes",'3 Pricing Sheet'!G30,"")</f>
        <v/>
      </c>
      <c r="G29" s="890">
        <f>IF(D29="yes",(E29*F29),0)</f>
        <v>0</v>
      </c>
      <c r="R29" s="120"/>
      <c r="S29" s="120"/>
      <c r="T29" s="120"/>
      <c r="U29" s="112">
        <v>23</v>
      </c>
      <c r="V29" s="113">
        <f t="shared" si="2"/>
        <v>0.24086080800508022</v>
      </c>
      <c r="W29" s="114">
        <f t="shared" si="6"/>
        <v>12000</v>
      </c>
      <c r="X29" s="118">
        <f t="shared" si="3"/>
        <v>7802.3538632735499</v>
      </c>
      <c r="Y29" s="115">
        <f t="shared" si="4"/>
        <v>2890.3296960609628</v>
      </c>
      <c r="Z29" s="115">
        <f t="shared" si="0"/>
        <v>1011.0484402113362</v>
      </c>
      <c r="AA29" s="116">
        <f t="shared" si="1"/>
        <v>1879.2812558496264</v>
      </c>
      <c r="AB29" s="116">
        <f t="shared" si="7"/>
        <v>31881.804503112955</v>
      </c>
      <c r="AC29" s="115"/>
      <c r="AD29" s="903">
        <f t="shared" si="8"/>
        <v>31881.804503112955</v>
      </c>
      <c r="AE29" s="664">
        <f t="shared" si="5"/>
        <v>72148.475036614749</v>
      </c>
    </row>
    <row r="30" spans="1:44">
      <c r="A30" s="895"/>
      <c r="B30" s="895" t="s">
        <v>401</v>
      </c>
      <c r="C30" s="895"/>
      <c r="D30" s="896" t="str">
        <f>'3 Pricing Sheet'!C36</f>
        <v>No</v>
      </c>
      <c r="E30" s="892">
        <v>0.55000000000000004</v>
      </c>
      <c r="F30" s="895"/>
      <c r="G30" s="893">
        <f>IF(D30="yes",($G$12*1000*0.55),0)</f>
        <v>0</v>
      </c>
      <c r="R30" s="111"/>
      <c r="S30" s="111"/>
      <c r="T30" s="111"/>
      <c r="U30" s="112">
        <v>24</v>
      </c>
      <c r="V30" s="113">
        <f t="shared" si="2"/>
        <v>0.249290936285258</v>
      </c>
      <c r="W30" s="114">
        <f t="shared" si="6"/>
        <v>12000</v>
      </c>
      <c r="X30" s="118">
        <f t="shared" si="3"/>
        <v>7763.3420939571824</v>
      </c>
      <c r="Y30" s="115">
        <f t="shared" si="4"/>
        <v>2991.491235423096</v>
      </c>
      <c r="Z30" s="115">
        <f t="shared" si="0"/>
        <v>1056.1604161177547</v>
      </c>
      <c r="AA30" s="116">
        <f t="shared" si="1"/>
        <v>1935.3308193053415</v>
      </c>
      <c r="AB30" s="116">
        <f t="shared" si="7"/>
        <v>33817.135322418297</v>
      </c>
      <c r="AC30" s="115"/>
      <c r="AD30" s="903">
        <f t="shared" si="8"/>
        <v>33817.135322418297</v>
      </c>
      <c r="AE30" s="664">
        <f t="shared" si="5"/>
        <v>79362.740150825004</v>
      </c>
    </row>
    <row r="31" spans="1:44">
      <c r="A31" s="855"/>
      <c r="B31" s="855" t="s">
        <v>402</v>
      </c>
      <c r="C31" s="855"/>
      <c r="D31" s="597" t="str">
        <f>'3 Pricing Sheet'!C38</f>
        <v>No</v>
      </c>
      <c r="E31" s="897">
        <v>0.1</v>
      </c>
      <c r="F31" s="855" t="str">
        <f>IF(D31="Yes",'3 Pricing Sheet'!G38,"")</f>
        <v/>
      </c>
      <c r="G31" s="890">
        <f>IF(D31="yes",(E31*F31),0)</f>
        <v>0</v>
      </c>
      <c r="R31" s="111"/>
      <c r="S31" s="111"/>
      <c r="T31" s="111"/>
      <c r="U31" s="112">
        <v>25</v>
      </c>
      <c r="V31" s="113">
        <f t="shared" si="2"/>
        <v>0.25801611905524202</v>
      </c>
      <c r="W31" s="114">
        <f t="shared" si="6"/>
        <v>12000</v>
      </c>
      <c r="X31" s="118">
        <f t="shared" si="3"/>
        <v>7724.5253834873965</v>
      </c>
      <c r="Y31" s="115">
        <f t="shared" si="4"/>
        <v>3096.1934286629044</v>
      </c>
      <c r="Z31" s="115">
        <f t="shared" si="0"/>
        <v>1103.1413676717812</v>
      </c>
      <c r="AA31" s="116">
        <f t="shared" si="1"/>
        <v>1993.0520609911232</v>
      </c>
      <c r="AB31" s="116">
        <f t="shared" si="7"/>
        <v>35810.187383409422</v>
      </c>
      <c r="AC31" s="115"/>
      <c r="AD31" s="903">
        <f t="shared" si="8"/>
        <v>35810.187383409422</v>
      </c>
      <c r="AE31" s="664">
        <f t="shared" si="5"/>
        <v>87158.134691011088</v>
      </c>
    </row>
    <row r="32" spans="1:44">
      <c r="A32" s="895"/>
      <c r="B32" s="895" t="s">
        <v>399</v>
      </c>
      <c r="C32" s="895"/>
      <c r="D32" s="896" t="str">
        <f>'3 Pricing Sheet'!C28</f>
        <v>No</v>
      </c>
      <c r="E32" s="898" t="s">
        <v>404</v>
      </c>
      <c r="F32" s="899"/>
      <c r="G32" s="893">
        <f>IF(D32="Yes",'3 Pricing Sheet'!G29,0)</f>
        <v>0</v>
      </c>
      <c r="H32" s="622"/>
      <c r="I32" s="622"/>
      <c r="J32" s="622"/>
      <c r="R32" s="111"/>
      <c r="S32" s="111"/>
      <c r="T32" s="111"/>
    </row>
    <row r="33" spans="1:44" ht="12" customHeight="1">
      <c r="A33" s="900"/>
      <c r="B33" s="565" t="s">
        <v>171</v>
      </c>
      <c r="C33" s="565"/>
      <c r="D33" s="597" t="str">
        <f>'3 Pricing Sheet'!C32</f>
        <v>No</v>
      </c>
      <c r="E33" s="897">
        <v>5</v>
      </c>
      <c r="F33" s="901" t="str">
        <f>IF(D33="Yes",'3 Pricing Sheet'!G32,"")</f>
        <v/>
      </c>
      <c r="G33" s="890">
        <f>IF(D33="yes",(E33*F33),0)</f>
        <v>0</v>
      </c>
      <c r="R33" s="111"/>
      <c r="S33" s="111"/>
      <c r="T33" s="111"/>
      <c r="U33" s="546"/>
      <c r="V33" s="546"/>
      <c r="W33" s="546"/>
      <c r="X33" s="546"/>
      <c r="Y33" s="546"/>
      <c r="Z33" s="546"/>
      <c r="AA33" s="546"/>
      <c r="AB33" s="546"/>
      <c r="AC33" s="546"/>
      <c r="AD33" s="546"/>
      <c r="AE33" s="546"/>
      <c r="AF33" s="546"/>
      <c r="AG33" s="546"/>
      <c r="AH33" s="546"/>
      <c r="AI33" s="908" t="s">
        <v>365</v>
      </c>
      <c r="AJ33" s="908" t="s">
        <v>578</v>
      </c>
      <c r="AK33" s="908" t="s">
        <v>581</v>
      </c>
      <c r="AL33" s="908" t="s">
        <v>579</v>
      </c>
      <c r="AM33" s="908" t="s">
        <v>580</v>
      </c>
      <c r="AN33" s="546"/>
      <c r="AO33" s="546"/>
      <c r="AP33" s="546"/>
      <c r="AQ33" s="546"/>
      <c r="AR33" s="546"/>
    </row>
    <row r="34" spans="1:44" ht="13" customHeight="1">
      <c r="A34" s="1067" t="s">
        <v>298</v>
      </c>
      <c r="B34" s="1067"/>
      <c r="C34" s="1067"/>
      <c r="D34" s="1067"/>
      <c r="E34" s="551"/>
      <c r="F34" s="549"/>
      <c r="G34" s="1068">
        <f>SUM(G25:G33)</f>
        <v>0</v>
      </c>
      <c r="R34" s="111"/>
      <c r="S34" s="111"/>
      <c r="T34" s="111"/>
      <c r="U34" s="546"/>
      <c r="V34" s="546"/>
      <c r="W34" s="546"/>
      <c r="X34" s="546"/>
      <c r="Y34" s="546"/>
      <c r="Z34" s="546"/>
      <c r="AA34" s="546"/>
      <c r="AB34" s="546"/>
      <c r="AC34" s="546"/>
      <c r="AD34" s="546"/>
      <c r="AE34" s="546"/>
      <c r="AF34" s="546"/>
      <c r="AG34" s="546"/>
      <c r="AH34" s="546"/>
      <c r="AI34" s="908">
        <v>1</v>
      </c>
      <c r="AJ34" s="909">
        <f>'2 Sizing Sheet'!C24*'Cash Bid'!$V$7</f>
        <v>101.7</v>
      </c>
      <c r="AK34" s="909">
        <f>(IF('3 Pricing Sheet'!$H$9='2 Sizing Sheet'!$E$21,('2 Sizing Sheet'!F24*$V$7),IF('3 Pricing Sheet'!$H$9='2 Sizing Sheet'!$H$21,('2 Sizing Sheet'!I24*$V$7),IF('3 Pricing Sheet'!$H$9='2 Sizing Sheet'!$K$21,('2 Sizing Sheet'!L24*$V$7),('2 Sizing Sheet'!O24*$V$7)))))</f>
        <v>67.450034411562285</v>
      </c>
      <c r="AL34" s="909">
        <f>AJ34-AK34</f>
        <v>34.249965588437718</v>
      </c>
      <c r="AM34" s="910">
        <f>AK34/AJ34</f>
        <v>0.6632255104381739</v>
      </c>
      <c r="AN34" s="546"/>
      <c r="AO34" s="546"/>
      <c r="AP34" s="546"/>
      <c r="AQ34" s="546"/>
      <c r="AR34" s="546"/>
    </row>
    <row r="35" spans="1:44" ht="13" customHeight="1">
      <c r="A35" s="1067"/>
      <c r="B35" s="1067"/>
      <c r="C35" s="1067"/>
      <c r="D35" s="1067"/>
      <c r="G35" s="1068"/>
      <c r="H35" s="546"/>
      <c r="I35" s="546"/>
      <c r="J35" s="546"/>
      <c r="K35" s="546"/>
      <c r="L35" s="546"/>
      <c r="M35" s="546"/>
      <c r="N35" s="546"/>
      <c r="O35" s="546"/>
      <c r="P35" s="546"/>
      <c r="Q35" s="546"/>
      <c r="R35" s="120"/>
      <c r="S35" s="120"/>
      <c r="T35" s="120"/>
      <c r="AI35" s="908">
        <v>2</v>
      </c>
      <c r="AJ35" s="909">
        <f>'2 Sizing Sheet'!C25*'Cash Bid'!$V$7</f>
        <v>96.05</v>
      </c>
      <c r="AK35" s="909">
        <f>(IF('3 Pricing Sheet'!$H$9='2 Sizing Sheet'!$E$21,('2 Sizing Sheet'!F25*$V$7),IF('3 Pricing Sheet'!$H$9='2 Sizing Sheet'!$H$21,('2 Sizing Sheet'!I25*$V$7),IF('3 Pricing Sheet'!$H$9='2 Sizing Sheet'!$K$21,('2 Sizing Sheet'!L25*$V$7),('2 Sizing Sheet'!O25*$V$7)))))</f>
        <v>68.734796971782501</v>
      </c>
      <c r="AL35" s="909">
        <f t="shared" ref="AL35:AL45" si="9">AJ35-AK35</f>
        <v>27.315203028217496</v>
      </c>
      <c r="AM35" s="910">
        <f t="shared" ref="AM35:AM46" si="10">AK35/AJ35</f>
        <v>0.71561475243917239</v>
      </c>
    </row>
    <row r="36" spans="1:44" s="546" customFormat="1">
      <c r="A36" s="860"/>
      <c r="B36" s="860"/>
      <c r="C36" s="860"/>
      <c r="D36" s="860"/>
      <c r="E36" s="860"/>
      <c r="F36" s="860"/>
      <c r="G36" s="860"/>
      <c r="H36" s="95"/>
      <c r="I36" s="95"/>
      <c r="J36" s="95"/>
      <c r="K36" s="95"/>
      <c r="L36" s="95"/>
      <c r="M36" s="95"/>
      <c r="N36" s="95"/>
      <c r="O36" s="95"/>
      <c r="P36" s="95"/>
      <c r="Q36" s="95"/>
      <c r="R36" s="111"/>
      <c r="S36" s="111"/>
      <c r="T36" s="111"/>
      <c r="U36" s="95"/>
      <c r="V36" s="95"/>
      <c r="W36" s="95"/>
      <c r="X36" s="95"/>
      <c r="Y36" s="95"/>
      <c r="Z36" s="95"/>
      <c r="AA36" s="95"/>
      <c r="AB36" s="95"/>
      <c r="AC36" s="95"/>
      <c r="AD36" s="95"/>
      <c r="AE36" s="95"/>
      <c r="AF36" s="95"/>
      <c r="AG36" s="95"/>
      <c r="AH36" s="95"/>
      <c r="AI36" s="908">
        <v>3</v>
      </c>
      <c r="AJ36" s="909">
        <f>'2 Sizing Sheet'!C26*'Cash Bid'!$V$7</f>
        <v>90.4</v>
      </c>
      <c r="AK36" s="909">
        <f>(IF('3 Pricing Sheet'!$H$9='2 Sizing Sheet'!$E$21,('2 Sizing Sheet'!F26*$V$7),IF('3 Pricing Sheet'!$H$9='2 Sizing Sheet'!$H$21,('2 Sizing Sheet'!I26*$V$7),IF('3 Pricing Sheet'!$H$9='2 Sizing Sheet'!$K$21,('2 Sizing Sheet'!L26*$V$7),('2 Sizing Sheet'!O26*$V$7)))))</f>
        <v>83.509566414315202</v>
      </c>
      <c r="AL36" s="909">
        <f t="shared" si="9"/>
        <v>6.8904335856848036</v>
      </c>
      <c r="AM36" s="910">
        <f t="shared" si="10"/>
        <v>0.92377838953888491</v>
      </c>
      <c r="AN36" s="95"/>
      <c r="AO36" s="95"/>
      <c r="AP36" s="95"/>
      <c r="AQ36" s="95"/>
      <c r="AR36" s="95"/>
    </row>
    <row r="37" spans="1:44" s="546" customFormat="1">
      <c r="A37" s="860"/>
      <c r="B37" s="860"/>
      <c r="C37" s="860"/>
      <c r="D37" s="860"/>
      <c r="E37" s="860"/>
      <c r="F37" s="860"/>
      <c r="G37" s="860"/>
      <c r="H37" s="95"/>
      <c r="I37" s="95"/>
      <c r="J37" s="95"/>
      <c r="K37" s="95"/>
      <c r="L37" s="95"/>
      <c r="M37" s="95"/>
      <c r="N37" s="95"/>
      <c r="O37" s="95"/>
      <c r="P37" s="95"/>
      <c r="Q37" s="95"/>
      <c r="R37" s="111"/>
      <c r="S37" s="111"/>
      <c r="T37" s="111"/>
      <c r="U37" s="95"/>
      <c r="V37" s="95"/>
      <c r="W37" s="95"/>
      <c r="X37" s="95"/>
      <c r="Y37" s="95"/>
      <c r="Z37" s="95"/>
      <c r="AA37" s="95"/>
      <c r="AB37" s="95"/>
      <c r="AC37" s="95"/>
      <c r="AD37" s="95"/>
      <c r="AE37" s="95"/>
      <c r="AF37" s="95"/>
      <c r="AG37" s="95"/>
      <c r="AH37" s="95"/>
      <c r="AI37" s="908">
        <v>4</v>
      </c>
      <c r="AJ37" s="909">
        <f>'2 Sizing Sheet'!C27*'Cash Bid'!$V$7</f>
        <v>96.05</v>
      </c>
      <c r="AK37" s="909">
        <f>(IF('3 Pricing Sheet'!$H$9='2 Sizing Sheet'!$E$21,('2 Sizing Sheet'!F27*$V$7),IF('3 Pricing Sheet'!$H$9='2 Sizing Sheet'!$H$21,('2 Sizing Sheet'!I27*$V$7),IF('3 Pricing Sheet'!$H$9='2 Sizing Sheet'!$K$21,('2 Sizing Sheet'!L27*$V$7),('2 Sizing Sheet'!O27*$V$7)))))</f>
        <v>79.655278733654498</v>
      </c>
      <c r="AL37" s="909">
        <f t="shared" si="9"/>
        <v>16.394721266345499</v>
      </c>
      <c r="AM37" s="910">
        <f t="shared" si="10"/>
        <v>0.82931055422857369</v>
      </c>
      <c r="AN37" s="95"/>
      <c r="AO37" s="95"/>
      <c r="AP37" s="95"/>
      <c r="AQ37" s="95"/>
      <c r="AR37" s="95"/>
    </row>
    <row r="38" spans="1:44" ht="13">
      <c r="A38" s="553" t="s">
        <v>296</v>
      </c>
      <c r="B38" s="96"/>
      <c r="C38" s="96"/>
      <c r="D38" s="96"/>
      <c r="E38" s="96"/>
      <c r="F38" s="96"/>
      <c r="G38" s="107"/>
      <c r="R38" s="856"/>
      <c r="S38" s="856"/>
      <c r="T38"/>
      <c r="AI38" s="908">
        <v>5</v>
      </c>
      <c r="AJ38" s="909">
        <f>'2 Sizing Sheet'!C28*'Cash Bid'!$V$7</f>
        <v>101.7</v>
      </c>
      <c r="AK38" s="909">
        <f>(IF('3 Pricing Sheet'!$H$9='2 Sizing Sheet'!$E$21,('2 Sizing Sheet'!F28*$V$7),IF('3 Pricing Sheet'!$H$9='2 Sizing Sheet'!$H$21,('2 Sizing Sheet'!I28*$V$7),IF('3 Pricing Sheet'!$H$9='2 Sizing Sheet'!$K$21,('2 Sizing Sheet'!L28*$V$7),('2 Sizing Sheet'!O28*$V$7)))))</f>
        <v>80.940041293874728</v>
      </c>
      <c r="AL38" s="909">
        <f t="shared" si="9"/>
        <v>20.759958706125275</v>
      </c>
      <c r="AM38" s="910">
        <f t="shared" si="10"/>
        <v>0.79587061252580849</v>
      </c>
    </row>
    <row r="39" spans="1:44" ht="20" customHeight="1">
      <c r="A39" s="547"/>
      <c r="B39" s="547"/>
      <c r="C39" s="563" t="s">
        <v>299</v>
      </c>
      <c r="D39" s="564"/>
      <c r="E39" s="564"/>
      <c r="F39" s="565"/>
      <c r="G39" s="566">
        <f>G21+G34</f>
        <v>0</v>
      </c>
      <c r="T39"/>
      <c r="AI39" s="908">
        <v>6</v>
      </c>
      <c r="AJ39" s="909">
        <f>'2 Sizing Sheet'!C29*'Cash Bid'!$V$7</f>
        <v>113</v>
      </c>
      <c r="AK39" s="909">
        <f>(IF('3 Pricing Sheet'!$H$9='2 Sizing Sheet'!$E$21,('2 Sizing Sheet'!F29*$V$7),IF('3 Pricing Sheet'!$H$9='2 Sizing Sheet'!$H$21,('2 Sizing Sheet'!I29*$V$7),IF('3 Pricing Sheet'!$H$9='2 Sizing Sheet'!$K$21,('2 Sizing Sheet'!L29*$V$7),('2 Sizing Sheet'!O29*$V$7)))))</f>
        <v>82.867185134205087</v>
      </c>
      <c r="AL39" s="909">
        <f t="shared" si="9"/>
        <v>30.132814865794913</v>
      </c>
      <c r="AM39" s="910">
        <f t="shared" si="10"/>
        <v>0.7333379215416379</v>
      </c>
    </row>
    <row r="40" spans="1:44" ht="20" customHeight="1">
      <c r="C40" s="561" t="s">
        <v>328</v>
      </c>
      <c r="D40" s="561"/>
      <c r="E40" s="561"/>
      <c r="F40" s="562"/>
      <c r="G40" s="560">
        <f>G39*0.6*0.0825</f>
        <v>0</v>
      </c>
      <c r="R40" s="121"/>
      <c r="S40" s="121"/>
      <c r="T40"/>
      <c r="AI40" s="908">
        <v>7</v>
      </c>
      <c r="AJ40" s="909">
        <f>'2 Sizing Sheet'!C30*'Cash Bid'!$V$7</f>
        <v>146.9</v>
      </c>
      <c r="AK40" s="909">
        <f>(IF('3 Pricing Sheet'!$H$9='2 Sizing Sheet'!$E$21,('2 Sizing Sheet'!F30*$V$7),IF('3 Pricing Sheet'!$H$9='2 Sizing Sheet'!$H$21,('2 Sizing Sheet'!I30*$V$7),IF('3 Pricing Sheet'!$H$9='2 Sizing Sheet'!$K$21,('2 Sizing Sheet'!L30*$V$7),('2 Sizing Sheet'!O30*$V$7)))))</f>
        <v>88.006235375086021</v>
      </c>
      <c r="AL40" s="909">
        <f t="shared" si="9"/>
        <v>58.893764624913985</v>
      </c>
      <c r="AM40" s="910">
        <f t="shared" si="10"/>
        <v>0.59908941712107566</v>
      </c>
    </row>
    <row r="41" spans="1:44" ht="20" customHeight="1">
      <c r="A41" s="547"/>
      <c r="B41" s="547"/>
      <c r="C41" s="563" t="s">
        <v>445</v>
      </c>
      <c r="D41" s="564"/>
      <c r="E41" s="564"/>
      <c r="F41" s="565"/>
      <c r="G41" s="567">
        <f>SUM(G39:G40)</f>
        <v>0</v>
      </c>
      <c r="R41" s="121"/>
      <c r="S41" s="121"/>
      <c r="T41"/>
      <c r="AI41" s="908">
        <v>8</v>
      </c>
      <c r="AJ41" s="909">
        <f>'2 Sizing Sheet'!C31*'Cash Bid'!$V$7</f>
        <v>158.20000000000002</v>
      </c>
      <c r="AK41" s="909">
        <f>(IF('3 Pricing Sheet'!$H$9='2 Sizing Sheet'!$E$21,('2 Sizing Sheet'!F31*$V$7),IF('3 Pricing Sheet'!$H$9='2 Sizing Sheet'!$H$21,('2 Sizing Sheet'!I31*$V$7),IF('3 Pricing Sheet'!$H$9='2 Sizing Sheet'!$K$21,('2 Sizing Sheet'!L31*$V$7),('2 Sizing Sheet'!O31*$V$7)))))</f>
        <v>88.648616655196136</v>
      </c>
      <c r="AL41" s="909">
        <f t="shared" si="9"/>
        <v>69.551383344803881</v>
      </c>
      <c r="AM41" s="910">
        <f t="shared" si="10"/>
        <v>0.56035788024776312</v>
      </c>
    </row>
    <row r="42" spans="1:44" ht="20" customHeight="1">
      <c r="C42" s="561" t="s">
        <v>525</v>
      </c>
      <c r="D42" s="561"/>
      <c r="E42" s="561"/>
      <c r="F42" s="562"/>
      <c r="G42" s="858">
        <f>IF('1 Customer Record'!C19="Austin Energy",IF('1 Customer Record'!H20=0,'3 Pricing Sheet'!D54,-'1 Customer Record'!H20),IF('1 Customer Record'!C19="Oncor",'3 Pricing Sheet'!D54,0))</f>
        <v>0</v>
      </c>
      <c r="R42" s="121"/>
      <c r="S42" s="121"/>
      <c r="T42"/>
      <c r="AI42" s="908">
        <v>9</v>
      </c>
      <c r="AJ42" s="909">
        <f>'2 Sizing Sheet'!C32*'Cash Bid'!$V$7</f>
        <v>141.25</v>
      </c>
      <c r="AK42" s="909">
        <f>(IF('3 Pricing Sheet'!$H$9='2 Sizing Sheet'!$E$21,('2 Sizing Sheet'!F32*$V$7),IF('3 Pricing Sheet'!$H$9='2 Sizing Sheet'!$H$21,('2 Sizing Sheet'!I32*$V$7),IF('3 Pricing Sheet'!$H$9='2 Sizing Sheet'!$K$21,('2 Sizing Sheet'!L32*$V$7),('2 Sizing Sheet'!O32*$V$7)))))</f>
        <v>81.582422573984843</v>
      </c>
      <c r="AL42" s="909">
        <f t="shared" si="9"/>
        <v>59.667577426015157</v>
      </c>
      <c r="AM42" s="910">
        <f t="shared" si="10"/>
        <v>0.5775746730901582</v>
      </c>
    </row>
    <row r="43" spans="1:44" ht="20" customHeight="1">
      <c r="A43" s="547"/>
      <c r="B43" s="547"/>
      <c r="C43" s="563" t="s">
        <v>412</v>
      </c>
      <c r="D43" s="564"/>
      <c r="E43" s="564"/>
      <c r="F43" s="565"/>
      <c r="G43" s="566">
        <f>G41+G42</f>
        <v>0</v>
      </c>
      <c r="R43" s="121"/>
      <c r="S43" s="121"/>
      <c r="T43"/>
      <c r="AI43" s="908">
        <v>10</v>
      </c>
      <c r="AJ43" s="909">
        <f>'2 Sizing Sheet'!C33*'Cash Bid'!$V$7</f>
        <v>101.7</v>
      </c>
      <c r="AK43" s="909">
        <f>(IF('3 Pricing Sheet'!$H$9='2 Sizing Sheet'!$E$21,('2 Sizing Sheet'!F33*$V$7),IF('3 Pricing Sheet'!$H$9='2 Sizing Sheet'!$H$21,('2 Sizing Sheet'!I33*$V$7),IF('3 Pricing Sheet'!$H$9='2 Sizing Sheet'!$K$21,('2 Sizing Sheet'!L33*$V$7),('2 Sizing Sheet'!O33*$V$7)))))</f>
        <v>82.867185134205087</v>
      </c>
      <c r="AL43" s="909">
        <f t="shared" si="9"/>
        <v>18.832814865794916</v>
      </c>
      <c r="AM43" s="910">
        <f t="shared" si="10"/>
        <v>0.81481991282404209</v>
      </c>
    </row>
    <row r="44" spans="1:44" ht="20" customHeight="1">
      <c r="C44" s="561" t="s">
        <v>335</v>
      </c>
      <c r="D44" s="561"/>
      <c r="E44" s="561"/>
      <c r="F44" s="562"/>
      <c r="G44" s="560">
        <f>-(G43)*0.3</f>
        <v>0</v>
      </c>
      <c r="R44" s="121"/>
      <c r="S44" s="121"/>
      <c r="T44"/>
      <c r="AI44" s="908">
        <v>11</v>
      </c>
      <c r="AJ44" s="909">
        <f>'2 Sizing Sheet'!C34*'Cash Bid'!$V$7</f>
        <v>90.4</v>
      </c>
      <c r="AK44" s="909">
        <f>(IF('3 Pricing Sheet'!$H$9='2 Sizing Sheet'!$E$21,('2 Sizing Sheet'!F34*$V$7),IF('3 Pricing Sheet'!$H$9='2 Sizing Sheet'!$H$21,('2 Sizing Sheet'!I34*$V$7),IF('3 Pricing Sheet'!$H$9='2 Sizing Sheet'!$K$21,('2 Sizing Sheet'!L34*$V$7),('2 Sizing Sheet'!O34*$V$7)))))</f>
        <v>66.807653131452156</v>
      </c>
      <c r="AL44" s="909">
        <f t="shared" si="9"/>
        <v>23.59234686854785</v>
      </c>
      <c r="AM44" s="910">
        <f t="shared" si="10"/>
        <v>0.73902271163110789</v>
      </c>
    </row>
    <row r="45" spans="1:44" ht="20" customHeight="1">
      <c r="A45" s="568"/>
      <c r="B45" s="568"/>
      <c r="C45" s="569" t="s">
        <v>188</v>
      </c>
      <c r="D45" s="570"/>
      <c r="E45" s="570"/>
      <c r="F45" s="568"/>
      <c r="G45" s="571">
        <f>G43+G44</f>
        <v>0</v>
      </c>
      <c r="H45" s="122"/>
      <c r="I45" s="122"/>
      <c r="J45" s="122"/>
      <c r="K45" s="122"/>
      <c r="L45" s="122"/>
      <c r="M45" s="122"/>
      <c r="N45" s="122"/>
      <c r="O45" s="122"/>
      <c r="P45" s="122"/>
      <c r="Q45" s="122"/>
      <c r="R45" s="122"/>
      <c r="S45" s="122"/>
      <c r="T45"/>
      <c r="AI45" s="908">
        <v>12</v>
      </c>
      <c r="AJ45" s="909">
        <f>'2 Sizing Sheet'!C35*'Cash Bid'!$V$7</f>
        <v>96.05</v>
      </c>
      <c r="AK45" s="909">
        <f>(IF('3 Pricing Sheet'!$H$9='2 Sizing Sheet'!$E$21,('2 Sizing Sheet'!F35*$V$7),IF('3 Pricing Sheet'!$H$9='2 Sizing Sheet'!$H$21,('2 Sizing Sheet'!I35*$V$7),IF('3 Pricing Sheet'!$H$9='2 Sizing Sheet'!$K$21,('2 Sizing Sheet'!L35*$V$7),('2 Sizing Sheet'!O35*$V$7)))))</f>
        <v>61.668602890571222</v>
      </c>
      <c r="AL45" s="909">
        <f t="shared" si="9"/>
        <v>34.381397109428775</v>
      </c>
      <c r="AM45" s="910">
        <f t="shared" si="10"/>
        <v>0.64204688069308924</v>
      </c>
    </row>
    <row r="46" spans="1:44" ht="20" customHeight="1">
      <c r="A46"/>
      <c r="B46"/>
      <c r="C46"/>
      <c r="D46"/>
      <c r="E46"/>
      <c r="F46"/>
      <c r="G46"/>
      <c r="H46" s="122"/>
      <c r="I46" s="122"/>
      <c r="J46" s="122"/>
      <c r="K46" s="122"/>
      <c r="L46" s="122"/>
      <c r="M46" s="122"/>
      <c r="N46" s="122"/>
      <c r="O46" s="122"/>
      <c r="P46" s="122"/>
      <c r="Q46" s="122"/>
      <c r="R46" s="122"/>
      <c r="S46" s="122"/>
      <c r="T46"/>
      <c r="AI46" s="908" t="s">
        <v>243</v>
      </c>
      <c r="AJ46" s="909">
        <f>SUM(AJ34:AJ45)</f>
        <v>1333.4</v>
      </c>
      <c r="AK46" s="909">
        <f>SUM(AK34:AK45)</f>
        <v>932.73761871988984</v>
      </c>
      <c r="AL46" s="909">
        <f>SUM(AL34:AL45)</f>
        <v>400.66238128011025</v>
      </c>
      <c r="AM46" s="910">
        <f t="shared" si="10"/>
        <v>0.69951823812801095</v>
      </c>
    </row>
    <row r="47" spans="1:44" ht="20" customHeight="1">
      <c r="A47" s="547"/>
      <c r="B47" s="547"/>
      <c r="C47" s="564" t="s">
        <v>168</v>
      </c>
      <c r="D47" s="564"/>
      <c r="E47" s="564"/>
      <c r="F47" s="565"/>
      <c r="G47" s="566">
        <f>AJ47</f>
        <v>111.11666666666667</v>
      </c>
      <c r="H47" s="122"/>
      <c r="I47" s="122"/>
      <c r="J47" s="122"/>
      <c r="K47" s="122"/>
      <c r="L47" s="122"/>
      <c r="M47" s="122"/>
      <c r="N47" s="122"/>
      <c r="O47" s="122"/>
      <c r="P47" s="122"/>
      <c r="Q47" s="122"/>
      <c r="R47" s="122"/>
      <c r="S47" s="122"/>
      <c r="T47"/>
      <c r="AJ47" s="913">
        <f>AVERAGE(AJ34:AJ45)</f>
        <v>111.11666666666667</v>
      </c>
      <c r="AK47" s="913">
        <f>AVERAGE(AK34:AK45)</f>
        <v>77.728134893324153</v>
      </c>
      <c r="AL47" s="913">
        <f>AVERAGE(AL34:AL45)</f>
        <v>33.388531773342521</v>
      </c>
      <c r="AM47" s="660">
        <f>AM46</f>
        <v>0.69951823812801095</v>
      </c>
    </row>
    <row r="48" spans="1:44" ht="20" customHeight="1">
      <c r="C48" s="561" t="s">
        <v>169</v>
      </c>
      <c r="D48" s="561"/>
      <c r="E48" s="561"/>
      <c r="F48" s="562"/>
      <c r="G48" s="560">
        <f>AL47</f>
        <v>33.388531773342521</v>
      </c>
      <c r="H48" s="122"/>
      <c r="I48" s="122"/>
      <c r="J48" s="122"/>
      <c r="K48" s="122"/>
      <c r="L48" s="122"/>
      <c r="M48" s="122"/>
      <c r="N48" s="122"/>
      <c r="O48" s="122"/>
      <c r="P48" s="122"/>
      <c r="Q48" s="122"/>
      <c r="R48" s="122"/>
      <c r="S48" s="122"/>
      <c r="T48"/>
    </row>
    <row r="49" spans="1:31" ht="21" customHeight="1">
      <c r="A49" s="100"/>
      <c r="B49" s="636"/>
      <c r="C49" s="636"/>
      <c r="D49"/>
      <c r="E49"/>
      <c r="F49"/>
      <c r="G49"/>
      <c r="H49" s="122"/>
      <c r="I49" s="122"/>
      <c r="J49" s="122"/>
      <c r="K49" s="122"/>
      <c r="L49" s="122"/>
      <c r="M49" s="122"/>
      <c r="N49" s="122"/>
      <c r="O49" s="122"/>
      <c r="P49" s="122"/>
      <c r="Q49" s="122"/>
      <c r="R49" s="122"/>
      <c r="S49" s="122"/>
      <c r="T49"/>
      <c r="V49" s="553"/>
      <c r="W49" s="553"/>
      <c r="X49" s="553"/>
      <c r="AC49" s="915" t="s">
        <v>586</v>
      </c>
      <c r="AD49" s="553"/>
      <c r="AE49" s="920" t="s">
        <v>468</v>
      </c>
    </row>
    <row r="50" spans="1:31" ht="22" customHeight="1">
      <c r="A50" s="636"/>
      <c r="B50" s="636"/>
      <c r="C50" s="636"/>
      <c r="D50"/>
      <c r="E50"/>
      <c r="F50"/>
      <c r="G50"/>
      <c r="H50" s="122"/>
      <c r="I50" s="122"/>
      <c r="J50" s="122"/>
      <c r="K50" s="122"/>
      <c r="L50" s="122"/>
      <c r="M50" s="122"/>
      <c r="N50" s="122"/>
      <c r="O50" s="122"/>
      <c r="P50" s="122"/>
      <c r="Q50" s="122"/>
      <c r="R50" s="122"/>
      <c r="S50" s="122"/>
      <c r="T50"/>
      <c r="V50" s="916" t="s">
        <v>587</v>
      </c>
      <c r="W50" s="916"/>
      <c r="X50" s="916"/>
      <c r="Y50" s="917"/>
      <c r="Z50" s="917"/>
      <c r="AA50" s="917"/>
      <c r="AB50" s="1092">
        <f>AJ47</f>
        <v>111.11666666666667</v>
      </c>
      <c r="AC50" s="1092"/>
      <c r="AD50" s="1091">
        <f>AL47</f>
        <v>33.388531773342521</v>
      </c>
      <c r="AE50" s="1091"/>
    </row>
    <row r="51" spans="1:31" ht="22" customHeight="1">
      <c r="A51" s="1081" t="s">
        <v>526</v>
      </c>
      <c r="B51" s="1076"/>
      <c r="C51" s="1082"/>
      <c r="D51"/>
      <c r="H51" s="122"/>
      <c r="I51" s="122"/>
      <c r="J51" s="122"/>
      <c r="K51" s="122"/>
      <c r="L51" s="122"/>
      <c r="M51" s="122"/>
      <c r="N51" s="122"/>
      <c r="O51" s="122"/>
      <c r="P51" s="122"/>
      <c r="Q51" s="122"/>
      <c r="R51" s="122"/>
      <c r="S51" s="122"/>
      <c r="T51"/>
      <c r="V51" s="918" t="s">
        <v>585</v>
      </c>
      <c r="W51" s="918"/>
      <c r="X51" s="918"/>
      <c r="Y51" s="919"/>
      <c r="Z51" s="919"/>
      <c r="AA51" s="919"/>
      <c r="AB51" s="1097">
        <f>AJ46</f>
        <v>1333.4</v>
      </c>
      <c r="AC51" s="1097"/>
      <c r="AD51" s="1097">
        <f>AL46</f>
        <v>400.66238128011025</v>
      </c>
      <c r="AE51" s="1097"/>
    </row>
    <row r="52" spans="1:31" ht="20" customHeight="1">
      <c r="A52" s="1083"/>
      <c r="B52" s="1077"/>
      <c r="C52" s="1084"/>
      <c r="H52" s="122"/>
      <c r="I52" s="122"/>
      <c r="J52" s="122"/>
      <c r="K52" s="122"/>
      <c r="L52" s="122"/>
      <c r="M52" s="122"/>
      <c r="N52" s="122"/>
      <c r="O52" s="122"/>
      <c r="P52" s="122"/>
      <c r="Q52" s="122"/>
      <c r="R52" s="122"/>
      <c r="S52" s="122"/>
      <c r="T52" s="122"/>
      <c r="V52" s="918" t="s">
        <v>584</v>
      </c>
      <c r="W52" s="918"/>
      <c r="X52" s="918"/>
      <c r="Y52" s="919"/>
      <c r="Z52" s="919"/>
      <c r="AA52" s="919"/>
      <c r="AB52" s="1096">
        <f>V7</f>
        <v>0.113</v>
      </c>
      <c r="AC52" s="1096"/>
      <c r="AD52" s="1096">
        <f>AL46/W7</f>
        <v>3.3388531773342521E-2</v>
      </c>
      <c r="AE52" s="1096"/>
    </row>
    <row r="53" spans="1:31" ht="20" customHeight="1">
      <c r="A53" s="1083"/>
      <c r="B53" s="1077"/>
      <c r="C53" s="1084"/>
      <c r="H53" s="122"/>
      <c r="I53" s="122"/>
      <c r="J53" s="122"/>
      <c r="K53" s="122"/>
      <c r="L53" s="122"/>
      <c r="M53" s="122"/>
      <c r="N53" s="122"/>
      <c r="O53" s="122"/>
      <c r="P53" s="122"/>
      <c r="Q53" s="122"/>
      <c r="R53" s="122"/>
      <c r="S53" s="122"/>
      <c r="T53" s="122"/>
    </row>
    <row r="54" spans="1:31" ht="22" customHeight="1">
      <c r="A54" s="1083"/>
      <c r="B54" s="1077"/>
      <c r="C54" s="1084"/>
      <c r="E54" s="123"/>
      <c r="F54" s="124"/>
      <c r="G54" s="125"/>
      <c r="H54" s="592" t="s">
        <v>303</v>
      </c>
      <c r="I54" s="592"/>
      <c r="J54" s="592"/>
      <c r="K54" s="592"/>
      <c r="L54" s="592"/>
      <c r="M54" s="593" t="s">
        <v>469</v>
      </c>
      <c r="N54" s="1079">
        <f>SUM(X7:X31)/1.452</f>
        <v>141335.70846143839</v>
      </c>
      <c r="O54" s="1079"/>
      <c r="P54" s="593"/>
      <c r="Q54" s="594"/>
      <c r="R54" s="593" t="s">
        <v>470</v>
      </c>
      <c r="S54" s="1080">
        <f>SUM(X7:X31)*1.1</f>
        <v>225741.39355460941</v>
      </c>
      <c r="T54" s="1080"/>
    </row>
    <row r="55" spans="1:31">
      <c r="A55" s="1083"/>
      <c r="B55" s="1077"/>
      <c r="C55" s="1084"/>
      <c r="E55" s="126"/>
      <c r="F55" s="127"/>
      <c r="G55" s="128"/>
      <c r="H55" s="620" t="s">
        <v>308</v>
      </c>
      <c r="I55" s="620"/>
      <c r="J55" s="620"/>
    </row>
    <row r="56" spans="1:31">
      <c r="A56" s="1083"/>
      <c r="B56" s="1077"/>
      <c r="C56" s="1084"/>
      <c r="E56" s="129" t="s">
        <v>446</v>
      </c>
      <c r="F56" s="130" t="s">
        <v>447</v>
      </c>
      <c r="G56" s="131"/>
      <c r="H56" s="102"/>
      <c r="I56" s="102"/>
      <c r="J56" s="102"/>
      <c r="K56" s="102"/>
      <c r="L56" s="611" t="s">
        <v>310</v>
      </c>
      <c r="M56" s="610">
        <f>IF('1 Customer Record'!C19="Austin Energy",'Lookup Tables'!C12,'Lookup Tables'!C13)</f>
        <v>3.5000000000000003E-2</v>
      </c>
      <c r="N56" s="102"/>
      <c r="P56" s="611" t="s">
        <v>463</v>
      </c>
      <c r="Q56" s="610">
        <v>5.0000000000000001E-3</v>
      </c>
      <c r="R56" s="102"/>
      <c r="S56" s="611" t="s">
        <v>473</v>
      </c>
      <c r="T56" s="619">
        <v>0.82</v>
      </c>
    </row>
    <row r="57" spans="1:31">
      <c r="A57" s="1085"/>
      <c r="B57" s="1078"/>
      <c r="C57" s="1086"/>
      <c r="H57" s="102"/>
      <c r="I57" s="102"/>
      <c r="J57" s="102"/>
      <c r="K57" s="102"/>
      <c r="L57" s="611" t="s">
        <v>309</v>
      </c>
      <c r="M57" s="618">
        <v>7.0000000000000007E-2</v>
      </c>
      <c r="N57" s="102"/>
      <c r="O57" s="102"/>
      <c r="P57" s="611" t="s">
        <v>185</v>
      </c>
      <c r="Q57" s="662" t="s">
        <v>186</v>
      </c>
      <c r="R57" s="102"/>
      <c r="S57" s="102"/>
      <c r="T57" s="102"/>
    </row>
    <row r="59" spans="1:31">
      <c r="A59" s="636"/>
      <c r="B59" s="636"/>
      <c r="C59" s="636"/>
    </row>
    <row r="60" spans="1:31">
      <c r="A60" s="636"/>
      <c r="B60" s="636"/>
      <c r="C60" s="636"/>
    </row>
    <row r="61" spans="1:31">
      <c r="A61" s="638"/>
      <c r="B61" s="638"/>
      <c r="C61" s="638"/>
      <c r="D61" s="338"/>
      <c r="E61" s="338"/>
      <c r="F61" s="338"/>
      <c r="G61" s="338"/>
    </row>
    <row r="71" ht="13" customHeight="1"/>
    <row r="119" spans="22:30" ht="13" thickBot="1"/>
    <row r="120" spans="22:30">
      <c r="V120" s="641"/>
      <c r="W120" s="555"/>
      <c r="X120" s="555"/>
      <c r="Y120" s="555"/>
      <c r="Z120" s="642"/>
      <c r="AA120" s="643"/>
      <c r="AB120" s="1048" t="s">
        <v>455</v>
      </c>
      <c r="AC120" s="1050" t="s">
        <v>456</v>
      </c>
      <c r="AD120" s="555"/>
    </row>
    <row r="121" spans="22:30" ht="13" thickBot="1">
      <c r="V121" s="134"/>
      <c r="W121" s="555"/>
      <c r="X121" s="555"/>
      <c r="Y121" s="555"/>
      <c r="Z121" s="644"/>
      <c r="AA121" s="579"/>
      <c r="AB121" s="1049"/>
      <c r="AC121" s="1051"/>
      <c r="AD121" s="555"/>
    </row>
    <row r="122" spans="22:30">
      <c r="V122" s="339"/>
      <c r="W122" s="643"/>
      <c r="X122" s="645" t="s">
        <v>379</v>
      </c>
      <c r="Y122" s="646">
        <f>PV_Production_Factor</f>
        <v>1453</v>
      </c>
      <c r="Z122" s="341" t="s">
        <v>457</v>
      </c>
      <c r="AA122" s="579">
        <f t="array" ref="AA122">INDEX($AC$146:$AO$161,MATCH(1,($AC$146:$AC$161=$Y$123)*($AD$146:$AD$161=$Y$124),0),3)</f>
        <v>105</v>
      </c>
      <c r="AB122" s="647">
        <f t="shared" ref="AB122:AB133" si="11">AA122*$G$12</f>
        <v>630</v>
      </c>
      <c r="AC122" s="342">
        <f>IF('3 Pricing Sheet'!$H$7="Monthly Usage",'2 Sizing Sheet'!C24,IF('3 Pricing Sheet'!$H$7="Annual Usage",'2 Sizing Sheet'!$C$50*AD122,'2 Sizing Sheet'!$C$68*AD122))</f>
        <v>912.60349586016559</v>
      </c>
      <c r="AD122" s="436">
        <v>7.6050291321680466E-2</v>
      </c>
    </row>
    <row r="123" spans="22:30">
      <c r="V123" s="340"/>
      <c r="W123" s="579"/>
      <c r="X123" s="648" t="s">
        <v>390</v>
      </c>
      <c r="Y123" s="649">
        <f>'2 Sizing Sheet'!D8</f>
        <v>30</v>
      </c>
      <c r="Z123" s="341" t="s">
        <v>458</v>
      </c>
      <c r="AA123" s="579">
        <f t="array" ref="AA123">INDEX($AC$146:$AO$161,MATCH(1,($AC$146:$AC$161=$Y$123)*($AD$146:$AD$161=$Y$124),0),4)</f>
        <v>124</v>
      </c>
      <c r="AB123" s="647">
        <f t="shared" si="11"/>
        <v>744</v>
      </c>
      <c r="AC123" s="342">
        <f>IF('3 Pricing Sheet'!$H$7="Monthly Usage",'2 Sizing Sheet'!C25,IF('3 Pricing Sheet'!$H$7="Annual Usage",'2 Sizing Sheet'!$C$50*AD123,'2 Sizing Sheet'!$C$68*AD123))</f>
        <v>729.83747316773997</v>
      </c>
      <c r="AD123" s="436">
        <v>6.0819789430644998E-2</v>
      </c>
    </row>
    <row r="124" spans="22:30" ht="13" thickBot="1">
      <c r="V124" s="650"/>
      <c r="W124" s="651"/>
      <c r="X124" s="652" t="s">
        <v>389</v>
      </c>
      <c r="Y124" s="653" t="str">
        <f>'2 Sizing Sheet'!D10</f>
        <v>South</v>
      </c>
      <c r="Z124" s="341" t="s">
        <v>459</v>
      </c>
      <c r="AA124" s="579">
        <f t="array" ref="AA124">INDEX($AC$146:$AO$161,MATCH(1,($AC$146:$AC$161=$Y$123)*($AD$146:$AD$161=$Y$124),0),5)</f>
        <v>126</v>
      </c>
      <c r="AB124" s="647">
        <f t="shared" si="11"/>
        <v>756</v>
      </c>
      <c r="AC124" s="342">
        <f>IF('3 Pricing Sheet'!$H$7="Monthly Usage",'2 Sizing Sheet'!C26,IF('3 Pricing Sheet'!$H$7="Annual Usage",'2 Sizing Sheet'!$C$50*AD124,'2 Sizing Sheet'!$C$68*AD124))</f>
        <v>678.31953388531122</v>
      </c>
      <c r="AD124" s="436">
        <v>5.6526627823775939E-2</v>
      </c>
    </row>
    <row r="125" spans="22:30">
      <c r="V125" s="579"/>
      <c r="W125" s="436"/>
      <c r="X125" s="555"/>
      <c r="Y125" s="555"/>
      <c r="Z125" s="341" t="s">
        <v>370</v>
      </c>
      <c r="AA125" s="555">
        <f t="array" ref="AA125">INDEX($AC$146:$AO$161,MATCH(1,($AC$146:$AC$161=$Y$123)*($AD$146:$AD$161=$Y$124),0),6)</f>
        <v>129</v>
      </c>
      <c r="AB125" s="647">
        <f t="shared" si="11"/>
        <v>774</v>
      </c>
      <c r="AC125" s="342">
        <f>IF('3 Pricing Sheet'!$H$7="Monthly Usage",'2 Sizing Sheet'!C27,IF('3 Pricing Sheet'!$H$7="Annual Usage",'2 Sizing Sheet'!$C$50*AD125,'2 Sizing Sheet'!$C$68*AD125))</f>
        <v>693.03894510886232</v>
      </c>
      <c r="AD125" s="436">
        <v>5.7753245425738529E-2</v>
      </c>
    </row>
    <row r="126" spans="22:30">
      <c r="V126" s="579"/>
      <c r="W126" s="436"/>
      <c r="X126" s="555"/>
      <c r="Y126" s="555"/>
      <c r="Z126" s="341" t="s">
        <v>371</v>
      </c>
      <c r="AA126" s="555">
        <f t="array" ref="AA126">INDEX($AC$146:$AO$161,MATCH(1,($AC$146:$AC$161=$Y$123)*($AD$146:$AD$161=$Y$124),0),7)</f>
        <v>137</v>
      </c>
      <c r="AB126" s="647">
        <f t="shared" si="11"/>
        <v>822</v>
      </c>
      <c r="AC126" s="342">
        <f>IF('3 Pricing Sheet'!$H$7="Monthly Usage",'2 Sizing Sheet'!C28,IF('3 Pricing Sheet'!$H$7="Annual Usage",'2 Sizing Sheet'!$C$50*AD126,'2 Sizing Sheet'!$C$68*AD126))</f>
        <v>808.34099969334557</v>
      </c>
      <c r="AD126" s="436">
        <v>6.7361749974445467E-2</v>
      </c>
    </row>
    <row r="127" spans="22:30">
      <c r="V127" s="579"/>
      <c r="W127" s="436"/>
      <c r="X127" s="555"/>
      <c r="Y127" s="555"/>
      <c r="Z127" s="341" t="s">
        <v>372</v>
      </c>
      <c r="AA127" s="579">
        <f t="array" ref="AA127">INDEX($AC$146:$AO$161,MATCH(1,($AC$146:$AC$161=$Y$123)*($AD$146:$AD$161=$Y$124),0),8)</f>
        <v>138</v>
      </c>
      <c r="AB127" s="647">
        <f t="shared" si="11"/>
        <v>828</v>
      </c>
      <c r="AC127" s="342">
        <f>IF('3 Pricing Sheet'!$H$7="Monthly Usage",'2 Sizing Sheet'!C29,IF('3 Pricing Sheet'!$H$7="Annual Usage",'2 Sizing Sheet'!$C$50*AD127,'2 Sizing Sheet'!$C$68*AD127))</f>
        <v>1349.2793621588469</v>
      </c>
      <c r="AD127" s="436">
        <v>0.11243994684657058</v>
      </c>
    </row>
    <row r="128" spans="22:30">
      <c r="V128" s="579"/>
      <c r="W128" s="436"/>
      <c r="X128" s="555"/>
      <c r="Y128" s="555"/>
      <c r="Z128" s="341" t="s">
        <v>373</v>
      </c>
      <c r="AA128" s="579">
        <f t="array" ref="AA128">INDEX($AC$146:$AO$161,MATCH(1,($AC$146:$AC$161=$Y$123)*($AD$146:$AD$161=$Y$124),0),9)</f>
        <v>127</v>
      </c>
      <c r="AB128" s="647">
        <f t="shared" si="11"/>
        <v>762</v>
      </c>
      <c r="AC128" s="342">
        <f>IF('3 Pricing Sheet'!$H$7="Monthly Usage",'2 Sizing Sheet'!C30,IF('3 Pricing Sheet'!$H$7="Annual Usage",'2 Sizing Sheet'!$C$50*AD128,'2 Sizing Sheet'!$C$68*AD128))</f>
        <v>1521.0058264336092</v>
      </c>
      <c r="AD128" s="436">
        <v>0.12675048553613411</v>
      </c>
    </row>
    <row r="129" spans="22:30">
      <c r="V129" s="579"/>
      <c r="W129" s="436"/>
      <c r="X129" s="555"/>
      <c r="Y129" s="555"/>
      <c r="Z129" s="341" t="s">
        <v>374</v>
      </c>
      <c r="AA129" s="579">
        <f t="array" ref="AA129">INDEX($AC$146:$AO$161,MATCH(1,($AC$146:$AC$161=$Y$123)*($AD$146:$AD$161=$Y$124),0),10)</f>
        <v>129</v>
      </c>
      <c r="AB129" s="647">
        <f t="shared" si="11"/>
        <v>774</v>
      </c>
      <c r="AC129" s="342">
        <f>IF('3 Pricing Sheet'!$H$7="Monthly Usage",'2 Sizing Sheet'!C31,IF('3 Pricing Sheet'!$H$7="Annual Usage",'2 Sizing Sheet'!$C$50*AD129,'2 Sizing Sheet'!$C$68*AD129))</f>
        <v>1496.4734743943575</v>
      </c>
      <c r="AD129" s="436">
        <v>0.12470612286619646</v>
      </c>
    </row>
    <row r="130" spans="22:30">
      <c r="V130" s="579"/>
      <c r="W130" s="436"/>
      <c r="X130" s="555"/>
      <c r="Y130" s="555"/>
      <c r="Z130" s="341" t="s">
        <v>375</v>
      </c>
      <c r="AA130" s="579">
        <f t="array" ref="AA130">INDEX($AC$146:$AO$161,MATCH(1,($AC$146:$AC$161=$Y$123)*($AD$146:$AD$161=$Y$124),0),11)</f>
        <v>104</v>
      </c>
      <c r="AB130" s="647">
        <f t="shared" si="11"/>
        <v>624</v>
      </c>
      <c r="AC130" s="342">
        <f>IF('3 Pricing Sheet'!$H$7="Monthly Usage",'2 Sizing Sheet'!C32,IF('3 Pricing Sheet'!$H$7="Annual Usage",'2 Sizing Sheet'!$C$50*AD130,'2 Sizing Sheet'!$C$68*AD130))</f>
        <v>1349.2793621588469</v>
      </c>
      <c r="AD130" s="436">
        <v>0.11243994684657058</v>
      </c>
    </row>
    <row r="131" spans="22:30">
      <c r="V131" s="579"/>
      <c r="W131" s="436"/>
      <c r="X131" s="555"/>
      <c r="Y131" s="555"/>
      <c r="Z131" s="341" t="s">
        <v>376</v>
      </c>
      <c r="AA131" s="579">
        <f t="array" ref="AA131">INDEX($AC$146:$AO$161,MATCH(1,($AC$146:$AC$161=$Y$123)*($AD$146:$AD$161=$Y$124),0),12)</f>
        <v>96</v>
      </c>
      <c r="AB131" s="647">
        <f t="shared" si="11"/>
        <v>576</v>
      </c>
      <c r="AC131" s="342">
        <f>IF('3 Pricing Sheet'!$H$7="Monthly Usage",'2 Sizing Sheet'!C33,IF('3 Pricing Sheet'!$H$7="Annual Usage",'2 Sizing Sheet'!$C$50*AD131,'2 Sizing Sheet'!$C$68*AD131))</f>
        <v>939.58908310334266</v>
      </c>
      <c r="AD131" s="436">
        <v>7.8299090258611884E-2</v>
      </c>
    </row>
    <row r="132" spans="22:30">
      <c r="V132" s="579"/>
      <c r="W132" s="436"/>
      <c r="X132" s="555"/>
      <c r="Y132" s="555"/>
      <c r="Z132" s="341" t="s">
        <v>377</v>
      </c>
      <c r="AA132" s="579">
        <f t="array" ref="AA132">INDEX($AC$146:$AO$161,MATCH(1,($AC$146:$AC$161=$Y$123)*($AD$146:$AD$161=$Y$124),0),13)</f>
        <v>1453</v>
      </c>
      <c r="AB132" s="647">
        <f t="shared" si="11"/>
        <v>8718</v>
      </c>
      <c r="AC132" s="342">
        <f>IF('3 Pricing Sheet'!$H$7="Monthly Usage",'2 Sizing Sheet'!C34,IF('3 Pricing Sheet'!$H$7="Annual Usage",'2 Sizing Sheet'!$C$50*AD132,'2 Sizing Sheet'!$C$68*AD132))</f>
        <v>766.63600122661774</v>
      </c>
      <c r="AD132" s="436">
        <v>6.3886333435551473E-2</v>
      </c>
    </row>
    <row r="133" spans="22:30">
      <c r="V133" s="579"/>
      <c r="W133" s="555"/>
      <c r="X133" s="654"/>
      <c r="Y133" s="555"/>
      <c r="Z133" s="341" t="s">
        <v>378</v>
      </c>
      <c r="AA133" s="579" t="e">
        <f t="array" ref="AA133">INDEX($AC$146:$AO$161,MATCH(1,($AC$146:$AC$161=$Y$123)*($AD$146:$AD$161=$Y$124),0),14)</f>
        <v>#REF!</v>
      </c>
      <c r="AB133" s="647" t="e">
        <f t="shared" si="11"/>
        <v>#REF!</v>
      </c>
      <c r="AC133" s="342">
        <f>IF('3 Pricing Sheet'!$H$7="Monthly Usage",'2 Sizing Sheet'!C35,IF('3 Pricing Sheet'!$H$7="Annual Usage",'2 Sizing Sheet'!$C$50*AD133,'2 Sizing Sheet'!$C$68*AD133))</f>
        <v>755.59644280895429</v>
      </c>
      <c r="AD133" s="436">
        <v>6.2966370234079527E-2</v>
      </c>
    </row>
    <row r="134" spans="22:30">
      <c r="V134" s="555"/>
      <c r="W134" s="555"/>
      <c r="X134" s="555"/>
      <c r="Y134" s="555"/>
      <c r="Z134" s="644"/>
      <c r="AA134" s="579"/>
      <c r="AB134" s="343" t="e">
        <f>AVERAGE(AB122:AB133)</f>
        <v>#REF!</v>
      </c>
      <c r="AC134" s="344">
        <f>AVERAGE(AC122:AC133)</f>
        <v>1000</v>
      </c>
      <c r="AD134" s="555"/>
    </row>
    <row r="135" spans="22:30" ht="13" thickBot="1">
      <c r="V135" s="555"/>
      <c r="W135" s="555"/>
      <c r="X135" s="555"/>
      <c r="Y135" s="555"/>
      <c r="Z135" s="650"/>
      <c r="AA135" s="651"/>
      <c r="AB135" s="655" t="e">
        <f>SUM(AB122:AB133)</f>
        <v>#REF!</v>
      </c>
      <c r="AC135" s="345">
        <f>SUM(AC122:AC133)</f>
        <v>12000</v>
      </c>
      <c r="AD135" s="555"/>
    </row>
    <row r="137" spans="22:30">
      <c r="AB137" s="95" t="s">
        <v>237</v>
      </c>
      <c r="AC137" s="95" t="s">
        <v>183</v>
      </c>
    </row>
    <row r="138" spans="22:30">
      <c r="AB138" s="660" t="e">
        <f>AB139/AC135</f>
        <v>#REF!</v>
      </c>
      <c r="AC138" s="660" t="e">
        <f>AC139/AC135</f>
        <v>#REF!</v>
      </c>
    </row>
    <row r="139" spans="22:30">
      <c r="AB139" s="659" t="e">
        <f>AB135</f>
        <v>#REF!</v>
      </c>
      <c r="AC139" s="659" t="e">
        <f>AC135-AB139</f>
        <v>#REF!</v>
      </c>
    </row>
    <row r="140" spans="22:30">
      <c r="AB140" s="660" t="e">
        <f>(AC139-AC135)/AC135</f>
        <v>#REF!</v>
      </c>
      <c r="AC140" s="660" t="e">
        <f>(AB139-AC135)/AC135</f>
        <v>#REF!</v>
      </c>
    </row>
    <row r="145" spans="29:41" ht="13" thickBot="1"/>
    <row r="146" spans="29:41" ht="14" thickBot="1">
      <c r="AC146" s="32" t="s">
        <v>244</v>
      </c>
      <c r="AD146" s="33" t="s">
        <v>245</v>
      </c>
      <c r="AE146" s="33" t="s">
        <v>366</v>
      </c>
      <c r="AF146" s="33" t="s">
        <v>370</v>
      </c>
      <c r="AG146" s="33" t="s">
        <v>371</v>
      </c>
      <c r="AH146" s="33" t="s">
        <v>372</v>
      </c>
      <c r="AI146" s="33" t="s">
        <v>373</v>
      </c>
      <c r="AJ146" s="33" t="s">
        <v>374</v>
      </c>
      <c r="AK146" s="33" t="s">
        <v>375</v>
      </c>
      <c r="AL146" s="33" t="s">
        <v>376</v>
      </c>
      <c r="AM146" s="33" t="s">
        <v>377</v>
      </c>
      <c r="AN146" s="33" t="s">
        <v>378</v>
      </c>
      <c r="AO146" s="34" t="s">
        <v>243</v>
      </c>
    </row>
    <row r="147" spans="29:41" ht="13">
      <c r="AC147" s="35">
        <v>15</v>
      </c>
      <c r="AD147" s="36" t="s">
        <v>247</v>
      </c>
      <c r="AE147" s="37">
        <v>71</v>
      </c>
      <c r="AF147" s="37">
        <v>118</v>
      </c>
      <c r="AG147" s="37">
        <v>130</v>
      </c>
      <c r="AH147" s="37">
        <v>140</v>
      </c>
      <c r="AI147" s="37">
        <v>147</v>
      </c>
      <c r="AJ147" s="37">
        <v>136</v>
      </c>
      <c r="AK147" s="37">
        <v>112</v>
      </c>
      <c r="AL147" s="37">
        <v>100</v>
      </c>
      <c r="AM147" s="37">
        <v>72</v>
      </c>
      <c r="AN147" s="37">
        <v>62</v>
      </c>
      <c r="AO147" s="38">
        <v>1281</v>
      </c>
    </row>
    <row r="148" spans="29:41" ht="13">
      <c r="AC148" s="35">
        <v>15</v>
      </c>
      <c r="AD148" s="36" t="s">
        <v>248</v>
      </c>
      <c r="AE148" s="37">
        <v>86</v>
      </c>
      <c r="AF148" s="37">
        <v>123</v>
      </c>
      <c r="AG148" s="37">
        <v>132</v>
      </c>
      <c r="AH148" s="37">
        <v>140</v>
      </c>
      <c r="AI148" s="37">
        <v>147</v>
      </c>
      <c r="AJ148" s="37">
        <v>140</v>
      </c>
      <c r="AK148" s="37">
        <v>120</v>
      </c>
      <c r="AL148" s="37">
        <v>114</v>
      </c>
      <c r="AM148" s="37">
        <v>86</v>
      </c>
      <c r="AN148" s="37">
        <v>76</v>
      </c>
      <c r="AO148" s="38">
        <v>1376</v>
      </c>
    </row>
    <row r="149" spans="29:41" ht="13">
      <c r="AC149" s="35">
        <v>15</v>
      </c>
      <c r="AD149" s="36" t="s">
        <v>249</v>
      </c>
      <c r="AE149" s="37">
        <v>92</v>
      </c>
      <c r="AF149" s="37">
        <v>126</v>
      </c>
      <c r="AG149" s="37">
        <v>134</v>
      </c>
      <c r="AH149" s="37">
        <v>140</v>
      </c>
      <c r="AI149" s="37">
        <v>147</v>
      </c>
      <c r="AJ149" s="37">
        <v>142</v>
      </c>
      <c r="AK149" s="37">
        <v>125</v>
      </c>
      <c r="AL149" s="37">
        <v>119</v>
      </c>
      <c r="AM149" s="37">
        <v>92</v>
      </c>
      <c r="AN149" s="37">
        <v>83</v>
      </c>
      <c r="AO149" s="38">
        <v>1425</v>
      </c>
    </row>
    <row r="150" spans="29:41" ht="13">
      <c r="AC150" s="35">
        <v>15</v>
      </c>
      <c r="AD150" s="36" t="s">
        <v>250</v>
      </c>
      <c r="AE150" s="37">
        <v>87</v>
      </c>
      <c r="AF150" s="37">
        <v>124</v>
      </c>
      <c r="AG150" s="37">
        <v>135</v>
      </c>
      <c r="AH150" s="37">
        <v>142</v>
      </c>
      <c r="AI150" s="37">
        <v>148</v>
      </c>
      <c r="AJ150" s="37">
        <v>140</v>
      </c>
      <c r="AK150" s="37">
        <v>122</v>
      </c>
      <c r="AL150" s="37">
        <v>115</v>
      </c>
      <c r="AM150" s="37">
        <v>87</v>
      </c>
      <c r="AN150" s="37">
        <v>78</v>
      </c>
      <c r="AO150" s="38">
        <v>1398</v>
      </c>
    </row>
    <row r="151" spans="29:41" ht="13">
      <c r="AC151" s="35">
        <v>15</v>
      </c>
      <c r="AD151" s="36" t="s">
        <v>251</v>
      </c>
      <c r="AE151" s="37">
        <v>73</v>
      </c>
      <c r="AF151" s="37">
        <v>120</v>
      </c>
      <c r="AG151" s="37">
        <v>135</v>
      </c>
      <c r="AH151" s="37">
        <v>143</v>
      </c>
      <c r="AI151" s="37">
        <v>148</v>
      </c>
      <c r="AJ151" s="37">
        <v>137</v>
      </c>
      <c r="AK151" s="37">
        <v>114</v>
      </c>
      <c r="AL151" s="37">
        <v>102</v>
      </c>
      <c r="AM151" s="37">
        <v>74</v>
      </c>
      <c r="AN151" s="37">
        <v>64</v>
      </c>
      <c r="AO151" s="38">
        <v>1310</v>
      </c>
    </row>
    <row r="152" spans="29:41" ht="13">
      <c r="AC152" s="39">
        <v>30</v>
      </c>
      <c r="AD152" s="40" t="s">
        <v>247</v>
      </c>
      <c r="AE152" s="41">
        <v>67</v>
      </c>
      <c r="AF152" s="41">
        <v>109</v>
      </c>
      <c r="AG152" s="41">
        <v>119</v>
      </c>
      <c r="AH152" s="41">
        <v>130</v>
      </c>
      <c r="AI152" s="41">
        <v>138</v>
      </c>
      <c r="AJ152" s="41">
        <v>128</v>
      </c>
      <c r="AK152" s="41">
        <v>105</v>
      </c>
      <c r="AL152" s="41">
        <v>95</v>
      </c>
      <c r="AM152" s="41">
        <v>68</v>
      </c>
      <c r="AN152" s="41">
        <v>59</v>
      </c>
      <c r="AO152" s="42">
        <v>1197</v>
      </c>
    </row>
    <row r="153" spans="29:41" ht="13">
      <c r="AC153" s="39">
        <v>30</v>
      </c>
      <c r="AD153" s="40" t="s">
        <v>248</v>
      </c>
      <c r="AE153" s="41">
        <v>93</v>
      </c>
      <c r="AF153" s="41">
        <v>119</v>
      </c>
      <c r="AG153" s="41">
        <v>123</v>
      </c>
      <c r="AH153" s="41">
        <v>129</v>
      </c>
      <c r="AI153" s="41">
        <v>138</v>
      </c>
      <c r="AJ153" s="41">
        <v>135</v>
      </c>
      <c r="AK153" s="41">
        <v>119</v>
      </c>
      <c r="AL153" s="41">
        <v>118</v>
      </c>
      <c r="AM153" s="41">
        <v>92</v>
      </c>
      <c r="AN153" s="41">
        <v>83</v>
      </c>
      <c r="AO153" s="42">
        <v>1366</v>
      </c>
    </row>
    <row r="154" spans="29:41" ht="13">
      <c r="AC154" s="39">
        <v>30</v>
      </c>
      <c r="AD154" s="40" t="s">
        <v>249</v>
      </c>
      <c r="AE154" s="41">
        <v>105</v>
      </c>
      <c r="AF154" s="41">
        <v>124</v>
      </c>
      <c r="AG154" s="41">
        <v>126</v>
      </c>
      <c r="AH154" s="41">
        <v>129</v>
      </c>
      <c r="AI154" s="41">
        <v>137</v>
      </c>
      <c r="AJ154" s="41">
        <v>138</v>
      </c>
      <c r="AK154" s="41">
        <v>127</v>
      </c>
      <c r="AL154" s="41">
        <v>129</v>
      </c>
      <c r="AM154" s="41">
        <v>104</v>
      </c>
      <c r="AN154" s="41">
        <v>96</v>
      </c>
      <c r="AO154" s="42">
        <v>1453</v>
      </c>
    </row>
    <row r="155" spans="29:41" ht="13">
      <c r="AC155" s="39">
        <v>30</v>
      </c>
      <c r="AD155" s="40" t="s">
        <v>250</v>
      </c>
      <c r="AE155" s="41">
        <v>96</v>
      </c>
      <c r="AF155" s="41">
        <v>122</v>
      </c>
      <c r="AG155" s="41">
        <v>129</v>
      </c>
      <c r="AH155" s="41">
        <v>133</v>
      </c>
      <c r="AI155" s="41">
        <v>139</v>
      </c>
      <c r="AJ155" s="41">
        <v>136</v>
      </c>
      <c r="AK155" s="41">
        <v>123</v>
      </c>
      <c r="AL155" s="41">
        <v>121</v>
      </c>
      <c r="AM155" s="41">
        <v>95</v>
      </c>
      <c r="AN155" s="41">
        <v>86</v>
      </c>
      <c r="AO155" s="42">
        <v>1405</v>
      </c>
    </row>
    <row r="156" spans="29:41" ht="13">
      <c r="AC156" s="39">
        <v>30</v>
      </c>
      <c r="AD156" s="40" t="s">
        <v>251</v>
      </c>
      <c r="AE156" s="41">
        <v>71</v>
      </c>
      <c r="AF156" s="41">
        <v>114</v>
      </c>
      <c r="AG156" s="41">
        <v>128</v>
      </c>
      <c r="AH156" s="41">
        <v>135</v>
      </c>
      <c r="AI156" s="41">
        <v>139</v>
      </c>
      <c r="AJ156" s="41">
        <v>128</v>
      </c>
      <c r="AK156" s="41">
        <v>109</v>
      </c>
      <c r="AL156" s="41">
        <v>98</v>
      </c>
      <c r="AM156" s="41">
        <v>71</v>
      </c>
      <c r="AN156" s="41">
        <v>62</v>
      </c>
      <c r="AO156" s="42">
        <v>1247</v>
      </c>
    </row>
    <row r="157" spans="29:41" ht="13">
      <c r="AC157" s="43">
        <v>45</v>
      </c>
      <c r="AD157" s="44" t="s">
        <v>247</v>
      </c>
      <c r="AE157" s="45">
        <v>62</v>
      </c>
      <c r="AF157" s="45">
        <v>97</v>
      </c>
      <c r="AG157" s="45">
        <v>106</v>
      </c>
      <c r="AH157" s="45">
        <v>117</v>
      </c>
      <c r="AI157" s="45">
        <v>124</v>
      </c>
      <c r="AJ157" s="45">
        <v>116</v>
      </c>
      <c r="AK157" s="45">
        <v>95</v>
      </c>
      <c r="AL157" s="45">
        <v>87</v>
      </c>
      <c r="AM157" s="45">
        <v>62</v>
      </c>
      <c r="AN157" s="45">
        <v>54</v>
      </c>
      <c r="AO157" s="46">
        <v>1083</v>
      </c>
    </row>
    <row r="158" spans="29:41" ht="13">
      <c r="AC158" s="43">
        <v>45</v>
      </c>
      <c r="AD158" s="44" t="s">
        <v>248</v>
      </c>
      <c r="AE158" s="45">
        <v>95</v>
      </c>
      <c r="AF158" s="45">
        <v>109</v>
      </c>
      <c r="AG158" s="45">
        <v>109</v>
      </c>
      <c r="AH158" s="45">
        <v>114</v>
      </c>
      <c r="AI158" s="45">
        <v>123</v>
      </c>
      <c r="AJ158" s="45">
        <v>124</v>
      </c>
      <c r="AK158" s="45">
        <v>113</v>
      </c>
      <c r="AL158" s="45">
        <v>117</v>
      </c>
      <c r="AM158" s="45">
        <v>94</v>
      </c>
      <c r="AN158" s="45">
        <v>86</v>
      </c>
      <c r="AO158" s="46">
        <v>1293</v>
      </c>
    </row>
    <row r="159" spans="29:41" ht="13">
      <c r="AC159" s="43">
        <v>45</v>
      </c>
      <c r="AD159" s="44" t="s">
        <v>249</v>
      </c>
      <c r="AE159" s="45">
        <v>112</v>
      </c>
      <c r="AF159" s="45">
        <v>115</v>
      </c>
      <c r="AG159" s="45">
        <v>112</v>
      </c>
      <c r="AH159" s="45">
        <v>111</v>
      </c>
      <c r="AI159" s="45">
        <v>120</v>
      </c>
      <c r="AJ159" s="45">
        <v>126</v>
      </c>
      <c r="AK159" s="45">
        <v>123</v>
      </c>
      <c r="AL159" s="45">
        <v>132</v>
      </c>
      <c r="AM159" s="45">
        <v>110</v>
      </c>
      <c r="AN159" s="45">
        <v>103</v>
      </c>
      <c r="AO159" s="46">
        <v>1401</v>
      </c>
    </row>
    <row r="160" spans="29:41" ht="13">
      <c r="AC160" s="43">
        <v>45</v>
      </c>
      <c r="AD160" s="44" t="s">
        <v>250</v>
      </c>
      <c r="AE160" s="45">
        <v>98</v>
      </c>
      <c r="AF160" s="45">
        <v>114</v>
      </c>
      <c r="AG160" s="45">
        <v>117</v>
      </c>
      <c r="AH160" s="45">
        <v>118</v>
      </c>
      <c r="AI160" s="45">
        <v>125</v>
      </c>
      <c r="AJ160" s="45">
        <v>124</v>
      </c>
      <c r="AK160" s="45">
        <v>118</v>
      </c>
      <c r="AL160" s="45">
        <v>120</v>
      </c>
      <c r="AM160" s="45">
        <v>97</v>
      </c>
      <c r="AN160" s="45">
        <v>90</v>
      </c>
      <c r="AO160" s="46">
        <v>1343</v>
      </c>
    </row>
    <row r="161" spans="29:41" ht="14" thickBot="1">
      <c r="AC161" s="47">
        <v>45</v>
      </c>
      <c r="AD161" s="48" t="s">
        <v>251</v>
      </c>
      <c r="AE161" s="49">
        <v>66</v>
      </c>
      <c r="AF161" s="49">
        <v>104</v>
      </c>
      <c r="AG161" s="49">
        <v>117</v>
      </c>
      <c r="AH161" s="49">
        <v>122</v>
      </c>
      <c r="AI161" s="49">
        <v>126</v>
      </c>
      <c r="AJ161" s="49">
        <v>116</v>
      </c>
      <c r="AK161" s="49">
        <v>101</v>
      </c>
      <c r="AL161" s="49">
        <v>91</v>
      </c>
      <c r="AM161" s="49">
        <v>67</v>
      </c>
      <c r="AN161" s="49">
        <v>58</v>
      </c>
      <c r="AO161" s="50">
        <v>1145</v>
      </c>
    </row>
  </sheetData>
  <mergeCells count="38">
    <mergeCell ref="AD52:AE52"/>
    <mergeCell ref="AD51:AE51"/>
    <mergeCell ref="AC120:AC121"/>
    <mergeCell ref="AB120:AB121"/>
    <mergeCell ref="AB52:AC52"/>
    <mergeCell ref="AB51:AC51"/>
    <mergeCell ref="N54:O54"/>
    <mergeCell ref="S54:T54"/>
    <mergeCell ref="Y4:Y5"/>
    <mergeCell ref="Z4:Z5"/>
    <mergeCell ref="AA4:AA5"/>
    <mergeCell ref="AB4:AB5"/>
    <mergeCell ref="AC4:AC5"/>
    <mergeCell ref="C9:D9"/>
    <mergeCell ref="A21:C22"/>
    <mergeCell ref="G21:G22"/>
    <mergeCell ref="N7:R8"/>
    <mergeCell ref="S7:T8"/>
    <mergeCell ref="H7:I8"/>
    <mergeCell ref="J7:J8"/>
    <mergeCell ref="K7:L8"/>
    <mergeCell ref="M7:M8"/>
    <mergeCell ref="A51:C57"/>
    <mergeCell ref="AD4:AD5"/>
    <mergeCell ref="AE4:AE5"/>
    <mergeCell ref="A3:G3"/>
    <mergeCell ref="H3:T3"/>
    <mergeCell ref="U3:AE3"/>
    <mergeCell ref="K6:L6"/>
    <mergeCell ref="S6:T6"/>
    <mergeCell ref="U4:U5"/>
    <mergeCell ref="V4:V5"/>
    <mergeCell ref="AD50:AE50"/>
    <mergeCell ref="AB50:AC50"/>
    <mergeCell ref="W4:W5"/>
    <mergeCell ref="X4:X5"/>
    <mergeCell ref="A34:D35"/>
    <mergeCell ref="G34:G35"/>
  </mergeCells>
  <phoneticPr fontId="31" type="noConversion"/>
  <printOptions horizontalCentered="1"/>
  <pageMargins left="0.23" right="0.28999999999999998" top="1.18" bottom="0.4" header="0.4" footer="0.14000000000000001"/>
  <pageSetup scale="78" fitToWidth="3" pageOrder="overThenDown" orientation="portrait" horizontalDpi="4294967292" verticalDpi="4294967292"/>
  <headerFooter>
    <oddHeader>&amp;L&amp;G&amp;R_x000D_2000 South 7th Street_x000D_Austin, TX  78704_x000D_512-476-5555_x000D_austin@lighthousesolar.com</oddHeader>
    <oddFooter>&amp;L&amp;9&amp;K000000LighthouseSolar Confidential</oddFooter>
  </headerFooter>
  <colBreaks count="2" manualBreakCount="2">
    <brk id="7" max="1048575" man="1"/>
    <brk id="20" max="1048575" man="1"/>
  </colBreaks>
  <drawing r:id="rId1"/>
  <legacyDrawingHF r:id="rId2"/>
  <extLst>
    <ext xmlns:mx="http://schemas.microsoft.com/office/mac/excel/2008/main" uri="{64002731-A6B0-56B0-2670-7721B7C09600}">
      <mx:PLV Mode="1"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pageSetUpPr fitToPage="1"/>
  </sheetPr>
  <dimension ref="A1:V152"/>
  <sheetViews>
    <sheetView showZeros="0" view="pageLayout" zoomScaleNormal="125" zoomScalePageLayoutView="125" workbookViewId="0">
      <selection activeCell="A26" sqref="A26:J27"/>
    </sheetView>
  </sheetViews>
  <sheetFormatPr baseColWidth="10" defaultRowHeight="12" x14ac:dyDescent="0"/>
  <cols>
    <col min="1" max="1" width="17.7109375" style="697" customWidth="1"/>
    <col min="2" max="2" width="12.85546875" style="697" customWidth="1"/>
    <col min="3" max="3" width="16.85546875" style="697" customWidth="1"/>
    <col min="4" max="4" width="11.7109375" style="697" customWidth="1"/>
    <col min="5" max="5" width="3.5703125" style="697" customWidth="1"/>
    <col min="6" max="6" width="3" style="697" customWidth="1"/>
    <col min="7" max="7" width="2.42578125" style="697" customWidth="1"/>
    <col min="8" max="8" width="2.28515625" style="697" customWidth="1"/>
    <col min="9" max="9" width="13" style="697" customWidth="1"/>
    <col min="10" max="10" width="4.28515625" style="697" customWidth="1"/>
    <col min="11" max="11" width="5.28515625" style="697" customWidth="1"/>
    <col min="12" max="12" width="15" style="69" customWidth="1"/>
    <col min="13" max="13" width="10.42578125" style="69" customWidth="1"/>
    <col min="14" max="14" width="8.140625" style="69" customWidth="1"/>
    <col min="15" max="15" width="11" style="69" customWidth="1"/>
    <col min="16" max="16" width="10.7109375" style="69"/>
    <col min="17" max="17" width="7.42578125" style="69" customWidth="1"/>
    <col min="18" max="18" width="6" style="69" customWidth="1"/>
    <col min="19" max="19" width="4.28515625" style="69" customWidth="1"/>
    <col min="20" max="20" width="10.7109375" style="69"/>
    <col min="21" max="21" width="12.140625" style="69" customWidth="1"/>
    <col min="22" max="16384" width="10.7109375" style="69"/>
  </cols>
  <sheetData>
    <row r="1" spans="1:21" ht="15" customHeight="1">
      <c r="A1" s="696" t="s">
        <v>591</v>
      </c>
      <c r="L1" s="696" t="s">
        <v>592</v>
      </c>
      <c r="M1" s="697"/>
      <c r="N1" s="697"/>
      <c r="O1" s="697"/>
      <c r="P1" s="697"/>
      <c r="Q1" s="697"/>
      <c r="R1" s="697"/>
      <c r="S1" s="697"/>
      <c r="T1" s="697"/>
      <c r="U1" s="697"/>
    </row>
    <row r="2" spans="1:21" ht="14" customHeight="1">
      <c r="A2" s="696" t="s">
        <v>593</v>
      </c>
      <c r="L2" s="696" t="s">
        <v>593</v>
      </c>
      <c r="M2" s="697"/>
      <c r="N2" s="697"/>
      <c r="O2" s="697"/>
      <c r="P2" s="697"/>
      <c r="Q2" s="697"/>
      <c r="R2" s="697"/>
      <c r="S2" s="697"/>
      <c r="T2" s="697"/>
      <c r="U2" s="697"/>
    </row>
    <row r="3" spans="1:21" ht="27" customHeight="1">
      <c r="J3" s="698" t="s">
        <v>594</v>
      </c>
      <c r="L3" s="699" t="s">
        <v>595</v>
      </c>
      <c r="M3" s="1098" t="str">
        <f>B4</f>
        <v>D.J. Rosebaugh</v>
      </c>
      <c r="N3" s="1099"/>
      <c r="O3" s="697"/>
      <c r="P3" s="697"/>
      <c r="Q3" s="697"/>
      <c r="R3" s="697"/>
      <c r="S3" s="697"/>
      <c r="T3" s="697"/>
      <c r="U3" s="697"/>
    </row>
    <row r="4" spans="1:21" ht="13" customHeight="1">
      <c r="A4" s="701" t="s">
        <v>596</v>
      </c>
      <c r="B4" s="1100" t="str">
        <f>'1 Customer Record'!C11</f>
        <v>D.J. Rosebaugh</v>
      </c>
      <c r="C4" s="1099"/>
      <c r="J4" s="698" t="s">
        <v>597</v>
      </c>
      <c r="K4" s="701"/>
      <c r="L4" s="699" t="s">
        <v>598</v>
      </c>
      <c r="M4" s="702" t="str">
        <f>B5</f>
        <v>Suzy</v>
      </c>
      <c r="N4" s="703" t="str">
        <f>C5</f>
        <v>Solar</v>
      </c>
      <c r="O4" s="704"/>
      <c r="P4" s="704"/>
      <c r="Q4" s="704"/>
      <c r="R4" s="704"/>
      <c r="S4" s="699" t="s">
        <v>204</v>
      </c>
      <c r="T4" s="705">
        <f>I5</f>
        <v>0</v>
      </c>
      <c r="U4" s="921" t="s">
        <v>599</v>
      </c>
    </row>
    <row r="5" spans="1:21" ht="16" customHeight="1">
      <c r="A5" s="707" t="s">
        <v>600</v>
      </c>
      <c r="B5" s="822" t="str">
        <f>'1 Customer Record'!C12</f>
        <v>Suzy</v>
      </c>
      <c r="C5" s="822" t="str">
        <f>'1 Customer Record'!D12</f>
        <v>Solar</v>
      </c>
      <c r="D5" s="708"/>
      <c r="E5" s="708"/>
      <c r="F5" s="708"/>
      <c r="G5" s="708"/>
      <c r="H5" s="707" t="s">
        <v>601</v>
      </c>
      <c r="I5" s="709">
        <f>'1 Customer Record'!H8</f>
        <v>0</v>
      </c>
      <c r="J5" s="710"/>
      <c r="K5" s="701"/>
      <c r="L5" s="699" t="s">
        <v>602</v>
      </c>
      <c r="M5" s="711" t="str">
        <f>B7</f>
        <v>512-476-5555</v>
      </c>
      <c r="N5" s="711"/>
      <c r="O5" s="704"/>
      <c r="P5" s="704"/>
      <c r="Q5" s="704"/>
      <c r="R5" s="704"/>
      <c r="S5" s="699" t="s">
        <v>206</v>
      </c>
      <c r="T5" s="700">
        <f>I7</f>
        <v>0</v>
      </c>
      <c r="U5" s="922" t="str">
        <f>'[3]Customer Record'!B9</f>
        <v>Dividend Solar</v>
      </c>
    </row>
    <row r="6" spans="1:21" ht="5" customHeight="1">
      <c r="A6" s="712"/>
      <c r="B6" s="708"/>
      <c r="C6" s="708"/>
      <c r="D6" s="708"/>
      <c r="E6" s="708"/>
      <c r="F6" s="708"/>
      <c r="G6" s="708"/>
      <c r="H6" s="708"/>
      <c r="I6" s="708"/>
      <c r="O6" s="704"/>
      <c r="P6" s="704"/>
      <c r="Q6" s="704"/>
      <c r="R6" s="704"/>
      <c r="U6" s="706"/>
    </row>
    <row r="7" spans="1:21">
      <c r="A7" s="707" t="s">
        <v>603</v>
      </c>
      <c r="B7" s="713" t="str">
        <f>'1 Customer Record'!C13</f>
        <v>512-476-5555</v>
      </c>
      <c r="C7" s="714"/>
      <c r="D7" s="708"/>
      <c r="E7" s="708"/>
      <c r="F7" s="708"/>
      <c r="G7" s="708"/>
      <c r="H7" s="707" t="s">
        <v>604</v>
      </c>
      <c r="I7" s="715">
        <f>'1 Customer Record'!H9</f>
        <v>0</v>
      </c>
      <c r="J7" s="710"/>
      <c r="L7" s="699" t="s">
        <v>605</v>
      </c>
      <c r="M7" s="716" t="str">
        <f>B9</f>
        <v>austin@lighthousesolar.com</v>
      </c>
      <c r="N7" s="703"/>
      <c r="O7" s="704"/>
      <c r="P7" s="704"/>
      <c r="Q7" s="704"/>
      <c r="R7" s="704"/>
      <c r="S7" s="699" t="s">
        <v>209</v>
      </c>
      <c r="T7" s="700">
        <f>I9</f>
        <v>0</v>
      </c>
      <c r="U7" s="706"/>
    </row>
    <row r="8" spans="1:21" ht="6" customHeight="1">
      <c r="A8" s="712"/>
      <c r="B8" s="717"/>
      <c r="C8" s="717"/>
      <c r="D8" s="708"/>
      <c r="E8" s="708"/>
      <c r="F8" s="708"/>
      <c r="G8" s="708"/>
      <c r="H8" s="707"/>
      <c r="I8" s="708"/>
      <c r="O8" s="704"/>
      <c r="P8" s="704"/>
      <c r="Q8" s="704"/>
      <c r="R8" s="704"/>
      <c r="U8" s="706"/>
    </row>
    <row r="9" spans="1:21">
      <c r="A9" s="707" t="s">
        <v>605</v>
      </c>
      <c r="B9" s="718" t="str">
        <f>'1 Customer Record'!C14</f>
        <v>austin@lighthousesolar.com</v>
      </c>
      <c r="C9" s="714"/>
      <c r="D9" s="708"/>
      <c r="E9" s="708"/>
      <c r="F9" s="708"/>
      <c r="G9" s="708"/>
      <c r="H9" s="707" t="s">
        <v>606</v>
      </c>
      <c r="I9" s="715">
        <f>'1 Customer Record'!H10</f>
        <v>0</v>
      </c>
      <c r="J9" s="710"/>
      <c r="L9" s="699" t="s">
        <v>607</v>
      </c>
      <c r="M9" s="703" t="str">
        <f>B11</f>
        <v>123 Sunshine Court</v>
      </c>
      <c r="N9" s="703"/>
      <c r="O9" s="704"/>
      <c r="P9" s="704"/>
      <c r="Q9" s="704"/>
      <c r="R9" s="704"/>
      <c r="S9" s="699" t="s">
        <v>212</v>
      </c>
      <c r="T9" s="719">
        <f>I11</f>
        <v>0</v>
      </c>
      <c r="U9" s="706"/>
    </row>
    <row r="10" spans="1:21" ht="6" customHeight="1">
      <c r="A10" s="712"/>
      <c r="B10" s="708"/>
      <c r="C10" s="708"/>
      <c r="D10" s="708"/>
      <c r="E10" s="708"/>
      <c r="F10" s="708"/>
      <c r="G10" s="708"/>
      <c r="H10" s="708"/>
      <c r="I10" s="708"/>
      <c r="J10" s="706"/>
      <c r="O10" s="704"/>
      <c r="P10" s="704"/>
      <c r="U10" s="720"/>
    </row>
    <row r="11" spans="1:21">
      <c r="A11" s="707" t="s">
        <v>608</v>
      </c>
      <c r="B11" s="721" t="str">
        <f>'1 Customer Record'!C15</f>
        <v>123 Sunshine Court</v>
      </c>
      <c r="C11" s="721"/>
      <c r="G11" s="708"/>
      <c r="H11" s="707" t="s">
        <v>609</v>
      </c>
      <c r="I11" s="715">
        <f>'1 Customer Record'!C20</f>
        <v>0</v>
      </c>
      <c r="J11" s="722"/>
      <c r="L11" s="704"/>
      <c r="M11" s="703" t="str">
        <f>B13</f>
        <v>Dripping Springs, TX 78620</v>
      </c>
      <c r="N11" s="703"/>
      <c r="O11" s="704"/>
      <c r="P11" s="704"/>
      <c r="Q11" s="704"/>
      <c r="R11" s="704"/>
      <c r="S11" s="699" t="s">
        <v>214</v>
      </c>
      <c r="T11" s="723">
        <f>I13</f>
        <v>0</v>
      </c>
      <c r="U11" s="720"/>
    </row>
    <row r="12" spans="1:21" ht="6" customHeight="1">
      <c r="A12" s="707"/>
      <c r="B12" s="708"/>
      <c r="C12" s="724"/>
      <c r="D12" s="708"/>
      <c r="E12" s="708"/>
      <c r="F12" s="708"/>
      <c r="G12" s="708"/>
      <c r="H12" s="708"/>
      <c r="I12" s="725"/>
      <c r="J12" s="720"/>
      <c r="O12" s="704"/>
      <c r="P12" s="704"/>
      <c r="U12" s="720"/>
    </row>
    <row r="13" spans="1:21">
      <c r="A13" s="707" t="s">
        <v>610</v>
      </c>
      <c r="B13" s="721" t="str">
        <f>'1 Customer Record'!C16</f>
        <v>Dripping Springs, TX 78620</v>
      </c>
      <c r="C13" s="721"/>
      <c r="D13" s="708"/>
      <c r="E13" s="708"/>
      <c r="F13" s="708"/>
      <c r="G13" s="708"/>
      <c r="H13" s="707" t="s">
        <v>611</v>
      </c>
      <c r="I13" s="726">
        <f>'1 Customer Record'!C21</f>
        <v>0</v>
      </c>
      <c r="J13" s="722"/>
      <c r="L13" s="699" t="s">
        <v>612</v>
      </c>
      <c r="M13" s="703" t="str">
        <f>'[3]Customer Record'!B10</f>
        <v>CTEC</v>
      </c>
      <c r="N13" s="756"/>
      <c r="O13" s="756"/>
      <c r="P13" s="756"/>
      <c r="Q13" s="756"/>
      <c r="R13" s="756"/>
      <c r="S13" s="732" t="s">
        <v>613</v>
      </c>
      <c r="T13" s="700" t="str">
        <f>'[3]Customer Record'!B15</f>
        <v>-</v>
      </c>
      <c r="U13" s="706"/>
    </row>
    <row r="14" spans="1:21" ht="4" customHeight="1">
      <c r="A14" s="708"/>
      <c r="B14" s="724"/>
      <c r="C14" s="724"/>
      <c r="D14" s="708"/>
      <c r="E14" s="708"/>
      <c r="F14" s="708"/>
      <c r="G14" s="708"/>
      <c r="H14" s="707"/>
      <c r="I14" s="728"/>
      <c r="J14" s="706"/>
      <c r="L14" s="729"/>
      <c r="N14" s="759"/>
      <c r="O14" s="706"/>
      <c r="P14" s="697"/>
      <c r="Q14" s="697"/>
      <c r="R14" s="697"/>
      <c r="S14" s="697"/>
      <c r="T14" s="697"/>
      <c r="U14" s="697"/>
    </row>
    <row r="15" spans="1:21" ht="12" customHeight="1" thickBot="1">
      <c r="A15" s="707" t="s">
        <v>614</v>
      </c>
      <c r="B15" s="721" t="str">
        <f>'1 Customer Record'!C19</f>
        <v>PEC</v>
      </c>
      <c r="C15" s="721"/>
      <c r="D15" s="708"/>
      <c r="E15" s="708"/>
      <c r="F15" s="708"/>
      <c r="G15" s="708"/>
      <c r="H15" s="707" t="s">
        <v>615</v>
      </c>
      <c r="I15" s="715">
        <f>'1 Customer Record'!H11</f>
        <v>0</v>
      </c>
      <c r="J15" s="710"/>
      <c r="L15" s="788" t="s">
        <v>616</v>
      </c>
      <c r="M15" s="793"/>
      <c r="N15" s="793"/>
      <c r="O15" s="794"/>
      <c r="P15" s="923" t="s">
        <v>617</v>
      </c>
      <c r="Q15" s="697"/>
      <c r="R15" s="697"/>
      <c r="S15" s="697"/>
      <c r="T15" s="697"/>
      <c r="U15" s="697"/>
    </row>
    <row r="16" spans="1:21" ht="15" customHeight="1" thickBot="1">
      <c r="A16" s="733" t="s">
        <v>618</v>
      </c>
      <c r="B16" s="708"/>
      <c r="C16" s="708"/>
      <c r="D16" s="708"/>
      <c r="E16" s="708"/>
      <c r="F16" s="708"/>
      <c r="G16" s="708"/>
      <c r="H16" s="708"/>
      <c r="I16" s="708"/>
      <c r="L16" s="924" t="s">
        <v>619</v>
      </c>
      <c r="M16" s="734">
        <f>'4 Dividend Financed Bid'!G43</f>
        <v>17127.84</v>
      </c>
      <c r="N16" s="706"/>
      <c r="O16" s="925"/>
      <c r="P16" s="1101" t="s">
        <v>620</v>
      </c>
      <c r="Q16" s="1102"/>
      <c r="R16" s="1102"/>
      <c r="S16" s="1102"/>
      <c r="T16" s="1102"/>
      <c r="U16" s="1102"/>
    </row>
    <row r="17" spans="1:22" ht="14" customHeight="1" thickBot="1">
      <c r="A17" s="737" t="s">
        <v>621</v>
      </c>
      <c r="B17" s="926">
        <f>'4 Dividend Financed Bid'!G11*1000</f>
        <v>6000</v>
      </c>
      <c r="C17" s="737" t="s">
        <v>673</v>
      </c>
      <c r="D17" s="737">
        <f>B17*0.8</f>
        <v>4800</v>
      </c>
      <c r="E17" s="737" t="s">
        <v>622</v>
      </c>
      <c r="F17" s="708"/>
      <c r="G17" s="708"/>
      <c r="H17" s="708"/>
      <c r="I17" s="708"/>
      <c r="L17" s="924"/>
      <c r="M17" s="736"/>
      <c r="N17" s="706"/>
      <c r="O17" s="925"/>
      <c r="P17" s="1101"/>
      <c r="Q17" s="1102"/>
      <c r="R17" s="1102"/>
      <c r="S17" s="1102"/>
      <c r="T17" s="1102"/>
      <c r="U17" s="1102"/>
    </row>
    <row r="18" spans="1:22" ht="14" customHeight="1" thickBot="1">
      <c r="A18" s="740" t="s">
        <v>623</v>
      </c>
      <c r="B18" s="741"/>
      <c r="C18" s="741"/>
      <c r="D18" s="741"/>
      <c r="E18" s="741"/>
      <c r="F18" s="741"/>
      <c r="G18" s="741"/>
      <c r="H18" s="741"/>
      <c r="I18" s="741"/>
      <c r="J18" s="741"/>
      <c r="L18" s="924" t="s">
        <v>624</v>
      </c>
      <c r="M18" s="742">
        <f>'4 Dividend Financed Bid'!G42</f>
        <v>0</v>
      </c>
      <c r="N18" s="732"/>
      <c r="O18" s="925"/>
      <c r="P18" s="1101"/>
      <c r="Q18" s="1102"/>
      <c r="R18" s="1102"/>
      <c r="S18" s="1102"/>
      <c r="T18" s="1102"/>
      <c r="U18" s="1102"/>
    </row>
    <row r="19" spans="1:22" ht="17" customHeight="1" thickBot="1">
      <c r="A19" s="1105" t="s">
        <v>625</v>
      </c>
      <c r="B19" s="1106"/>
      <c r="C19" s="1106"/>
      <c r="D19" s="1106"/>
      <c r="E19" s="1106"/>
      <c r="F19" s="1106"/>
      <c r="G19" s="1106"/>
      <c r="H19" s="1106"/>
      <c r="I19" s="1106"/>
      <c r="J19" s="706"/>
      <c r="L19" s="924" t="s">
        <v>626</v>
      </c>
      <c r="M19" s="734">
        <f>M16+M17+M18+M20</f>
        <v>17127.84</v>
      </c>
      <c r="N19" s="743"/>
      <c r="O19" s="925"/>
      <c r="P19" s="1103"/>
      <c r="Q19" s="1104"/>
      <c r="R19" s="1104"/>
      <c r="S19" s="1104"/>
      <c r="T19" s="1104"/>
      <c r="U19" s="1104"/>
    </row>
    <row r="20" spans="1:22" ht="14" customHeight="1">
      <c r="A20" s="1107"/>
      <c r="B20" s="1107"/>
      <c r="C20" s="1107"/>
      <c r="D20" s="1107"/>
      <c r="E20" s="1107"/>
      <c r="F20" s="1107"/>
      <c r="G20" s="1107"/>
      <c r="H20" s="1107"/>
      <c r="I20" s="1107"/>
      <c r="J20" s="745"/>
      <c r="K20" s="755"/>
      <c r="L20" s="1109" t="s">
        <v>627</v>
      </c>
      <c r="M20" s="1110"/>
      <c r="N20" s="756"/>
      <c r="O20" s="925"/>
      <c r="P20" s="1103"/>
      <c r="Q20" s="1104"/>
      <c r="R20" s="1104"/>
      <c r="S20" s="1104"/>
      <c r="T20" s="1104"/>
      <c r="U20" s="1104"/>
    </row>
    <row r="21" spans="1:22" s="747" customFormat="1" ht="13" customHeight="1">
      <c r="A21" s="1107"/>
      <c r="B21" s="1107"/>
      <c r="C21" s="1107"/>
      <c r="D21" s="1107"/>
      <c r="E21" s="1107"/>
      <c r="F21" s="1107"/>
      <c r="G21" s="1107"/>
      <c r="H21" s="1107"/>
      <c r="I21" s="1107"/>
      <c r="J21" s="746"/>
      <c r="L21" s="1111"/>
      <c r="M21" s="1110"/>
      <c r="N21" s="813"/>
      <c r="O21" s="925"/>
      <c r="P21" s="757" t="s">
        <v>628</v>
      </c>
      <c r="Q21" s="746"/>
      <c r="R21" s="746"/>
      <c r="S21" s="746"/>
      <c r="T21" s="746"/>
      <c r="U21" s="746"/>
    </row>
    <row r="22" spans="1:22" s="748" customFormat="1" ht="11" customHeight="1">
      <c r="A22" s="1108"/>
      <c r="B22" s="1108"/>
      <c r="C22" s="1108"/>
      <c r="D22" s="1108"/>
      <c r="E22" s="1108"/>
      <c r="F22" s="1108"/>
      <c r="G22" s="1108"/>
      <c r="H22" s="1108"/>
      <c r="I22" s="1108"/>
      <c r="J22" s="746"/>
      <c r="L22" s="924" t="s">
        <v>629</v>
      </c>
      <c r="M22" s="813"/>
      <c r="N22" s="813"/>
      <c r="O22" s="925"/>
      <c r="P22" s="1101" t="s">
        <v>630</v>
      </c>
      <c r="Q22" s="1104"/>
      <c r="R22" s="1104"/>
      <c r="S22" s="1104"/>
      <c r="T22" s="1104"/>
      <c r="U22" s="1104"/>
    </row>
    <row r="23" spans="1:22" s="748" customFormat="1" ht="12" customHeight="1">
      <c r="A23" s="749" t="s">
        <v>143</v>
      </c>
      <c r="B23" s="749" t="s">
        <v>144</v>
      </c>
      <c r="C23" s="749" t="s">
        <v>145</v>
      </c>
      <c r="D23" s="749" t="s">
        <v>146</v>
      </c>
      <c r="E23" s="1112" t="s">
        <v>147</v>
      </c>
      <c r="F23" s="1113"/>
      <c r="G23" s="1113"/>
      <c r="H23" s="1114"/>
      <c r="I23" s="749" t="s">
        <v>148</v>
      </c>
      <c r="J23" s="750"/>
      <c r="L23" s="1115" t="s">
        <v>631</v>
      </c>
      <c r="M23" s="1116"/>
      <c r="N23" s="1117"/>
      <c r="O23" s="1118"/>
      <c r="P23" s="1103"/>
      <c r="Q23" s="1104"/>
      <c r="R23" s="1104"/>
      <c r="S23" s="1104"/>
      <c r="T23" s="1104"/>
      <c r="U23" s="1104"/>
    </row>
    <row r="24" spans="1:22" ht="17" customHeight="1" thickBot="1">
      <c r="A24" s="740" t="s">
        <v>632</v>
      </c>
      <c r="B24" s="741"/>
      <c r="C24" s="741"/>
      <c r="D24" s="741"/>
      <c r="E24" s="741"/>
      <c r="F24" s="741"/>
      <c r="G24" s="741"/>
      <c r="H24" s="741"/>
      <c r="I24" s="741"/>
      <c r="J24" s="741"/>
      <c r="L24" s="1119"/>
      <c r="M24" s="1120"/>
      <c r="N24" s="1121"/>
      <c r="O24" s="1122"/>
      <c r="P24" s="1103"/>
      <c r="Q24" s="1104"/>
      <c r="R24" s="1104"/>
      <c r="S24" s="1104"/>
      <c r="T24" s="1104"/>
      <c r="U24" s="1104"/>
    </row>
    <row r="25" spans="1:22" ht="3" customHeight="1">
      <c r="A25" s="754"/>
      <c r="B25" s="706"/>
      <c r="C25" s="706"/>
      <c r="D25" s="706"/>
      <c r="E25" s="706"/>
      <c r="F25" s="706"/>
      <c r="G25" s="706"/>
      <c r="H25" s="706"/>
      <c r="I25" s="706"/>
      <c r="J25" s="706"/>
      <c r="L25" s="754"/>
      <c r="M25" s="731"/>
      <c r="N25" s="755"/>
      <c r="O25" s="704"/>
      <c r="P25" s="756"/>
      <c r="Q25" s="697"/>
      <c r="R25" s="697"/>
      <c r="S25" s="697"/>
      <c r="T25" s="697"/>
      <c r="U25" s="731"/>
    </row>
    <row r="26" spans="1:22" ht="10" customHeight="1">
      <c r="A26" s="1132" t="s">
        <v>633</v>
      </c>
      <c r="B26" s="1127"/>
      <c r="C26" s="1127"/>
      <c r="D26" s="1127"/>
      <c r="E26" s="1127"/>
      <c r="F26" s="1127"/>
      <c r="G26" s="1127"/>
      <c r="H26" s="1127"/>
      <c r="I26" s="1127"/>
      <c r="J26" s="1127"/>
      <c r="L26" s="1133" t="s">
        <v>120</v>
      </c>
      <c r="M26" s="1134"/>
      <c r="N26" s="1134"/>
      <c r="O26" s="1134"/>
      <c r="P26" s="1134"/>
      <c r="Q26" s="1134"/>
      <c r="R26" s="1134"/>
      <c r="S26" s="1134"/>
      <c r="T26" s="1134"/>
      <c r="U26" s="1134"/>
    </row>
    <row r="27" spans="1:22" ht="14" customHeight="1">
      <c r="A27" s="1127"/>
      <c r="B27" s="1127"/>
      <c r="C27" s="1127"/>
      <c r="D27" s="1127"/>
      <c r="E27" s="1127"/>
      <c r="F27" s="1127"/>
      <c r="G27" s="1127"/>
      <c r="H27" s="1127"/>
      <c r="I27" s="1127"/>
      <c r="J27" s="1127"/>
      <c r="L27" s="1134"/>
      <c r="M27" s="1134"/>
      <c r="N27" s="1134"/>
      <c r="O27" s="1134"/>
      <c r="P27" s="1134"/>
      <c r="Q27" s="1134"/>
      <c r="R27" s="1134"/>
      <c r="S27" s="1134"/>
      <c r="T27" s="1134"/>
      <c r="U27" s="1134"/>
    </row>
    <row r="28" spans="1:22" ht="11" customHeight="1">
      <c r="A28" s="1132" t="s">
        <v>634</v>
      </c>
      <c r="B28" s="1132"/>
      <c r="C28" s="1132"/>
      <c r="D28" s="1132"/>
      <c r="E28" s="1132"/>
      <c r="F28" s="1132"/>
      <c r="G28" s="1132"/>
      <c r="H28" s="1132"/>
      <c r="I28" s="1132"/>
      <c r="J28" s="1132"/>
      <c r="L28" s="1104"/>
      <c r="M28" s="1104"/>
      <c r="N28" s="1104"/>
      <c r="O28" s="1104"/>
      <c r="P28" s="1104"/>
      <c r="Q28" s="1104"/>
      <c r="R28" s="1104"/>
      <c r="S28" s="1104"/>
      <c r="T28" s="1104"/>
      <c r="U28" s="1104"/>
    </row>
    <row r="29" spans="1:22" ht="12" customHeight="1">
      <c r="A29" s="1132"/>
      <c r="B29" s="1132"/>
      <c r="C29" s="1132"/>
      <c r="D29" s="1132"/>
      <c r="E29" s="1132"/>
      <c r="F29" s="1132"/>
      <c r="G29" s="1132"/>
      <c r="H29" s="1132"/>
      <c r="I29" s="1132"/>
      <c r="J29" s="1132"/>
      <c r="L29" s="1126" t="s">
        <v>107</v>
      </c>
      <c r="M29" s="1127"/>
      <c r="N29" s="1127"/>
      <c r="O29" s="1127"/>
      <c r="P29" s="1127"/>
      <c r="Q29" s="1127"/>
      <c r="R29" s="1127"/>
      <c r="S29" s="1127"/>
      <c r="T29" s="1127"/>
      <c r="U29" s="1127"/>
    </row>
    <row r="30" spans="1:22" ht="12" customHeight="1">
      <c r="A30" s="758" t="s">
        <v>119</v>
      </c>
      <c r="B30" s="708"/>
      <c r="C30" s="708"/>
      <c r="D30" s="708"/>
      <c r="E30" s="708"/>
      <c r="F30" s="708"/>
      <c r="G30" s="708"/>
      <c r="H30" s="708"/>
      <c r="I30" s="708"/>
      <c r="J30" s="708"/>
      <c r="L30" s="1127"/>
      <c r="M30" s="1127"/>
      <c r="N30" s="1127"/>
      <c r="O30" s="1127"/>
      <c r="P30" s="1127"/>
      <c r="Q30" s="1127"/>
      <c r="R30" s="1127"/>
      <c r="S30" s="1127"/>
      <c r="T30" s="1127"/>
      <c r="U30" s="1127"/>
      <c r="V30" s="69" t="s">
        <v>635</v>
      </c>
    </row>
    <row r="31" spans="1:22" s="759" customFormat="1" ht="10" customHeight="1">
      <c r="A31" s="758" t="s">
        <v>636</v>
      </c>
      <c r="J31" s="708"/>
      <c r="K31" s="697"/>
      <c r="L31" s="1127"/>
      <c r="M31" s="1127"/>
      <c r="N31" s="1127"/>
      <c r="O31" s="1127"/>
      <c r="P31" s="1127"/>
      <c r="Q31" s="1127"/>
      <c r="R31" s="1127"/>
      <c r="S31" s="1127"/>
      <c r="T31" s="1127"/>
      <c r="U31" s="1127"/>
    </row>
    <row r="32" spans="1:22" s="759" customFormat="1" ht="14" customHeight="1">
      <c r="A32" s="758" t="s">
        <v>637</v>
      </c>
      <c r="B32" s="697"/>
      <c r="C32" s="708" t="str">
        <f>'[3]Customer Record'!B20</f>
        <v>Main Panel Rebuild</v>
      </c>
      <c r="J32" s="708"/>
      <c r="K32" s="697"/>
      <c r="L32" s="1104"/>
      <c r="M32" s="1104"/>
      <c r="N32" s="1104"/>
      <c r="O32" s="1104"/>
      <c r="P32" s="1104"/>
      <c r="Q32" s="1104"/>
      <c r="R32" s="1104"/>
      <c r="S32" s="1104"/>
      <c r="T32" s="1104"/>
      <c r="U32" s="1104"/>
    </row>
    <row r="33" spans="1:21" s="759" customFormat="1" ht="12" customHeight="1">
      <c r="A33" s="758" t="s">
        <v>638</v>
      </c>
      <c r="B33" s="1129" t="str">
        <f>'[3]Customer Record'!B21</f>
        <v>no tree trimming required</v>
      </c>
      <c r="C33" s="1130"/>
      <c r="D33" s="1130"/>
      <c r="E33" s="1130"/>
      <c r="F33" s="1130"/>
      <c r="G33" s="1130"/>
      <c r="H33" s="1130"/>
      <c r="I33" s="1130"/>
      <c r="J33" s="1130"/>
      <c r="K33" s="697"/>
      <c r="L33" s="757" t="s">
        <v>639</v>
      </c>
    </row>
    <row r="34" spans="1:21" s="759" customFormat="1" ht="16" customHeight="1">
      <c r="A34" s="758" t="s">
        <v>640</v>
      </c>
      <c r="B34" s="1129" t="str">
        <f>'[3]Customer Record'!B22</f>
        <v>0 vents to be relocated</v>
      </c>
      <c r="C34" s="1130"/>
      <c r="D34" s="1130"/>
      <c r="E34" s="1130"/>
      <c r="F34" s="1130"/>
      <c r="G34" s="1130"/>
      <c r="H34" s="1130"/>
      <c r="I34" s="1130"/>
      <c r="J34" s="1130"/>
      <c r="K34" s="697"/>
      <c r="L34" s="1131" t="s">
        <v>641</v>
      </c>
      <c r="M34" s="1131"/>
      <c r="N34" s="1131"/>
      <c r="O34" s="1131"/>
      <c r="P34" s="1131"/>
      <c r="Q34" s="1131"/>
      <c r="R34" s="1131"/>
      <c r="S34" s="1131"/>
      <c r="T34" s="1131"/>
      <c r="U34" s="1131"/>
    </row>
    <row r="35" spans="1:21" s="759" customFormat="1" ht="21" customHeight="1">
      <c r="A35" s="758" t="s">
        <v>1</v>
      </c>
      <c r="B35" s="760"/>
      <c r="C35" s="746"/>
      <c r="D35" s="746"/>
      <c r="E35" s="746"/>
      <c r="F35" s="746"/>
      <c r="G35" s="746"/>
      <c r="H35" s="746"/>
      <c r="K35" s="697"/>
      <c r="L35" s="1131"/>
      <c r="M35" s="1131"/>
      <c r="N35" s="1131"/>
      <c r="O35" s="1131"/>
      <c r="P35" s="1131"/>
      <c r="Q35" s="1131"/>
      <c r="R35" s="1131"/>
      <c r="S35" s="1131"/>
      <c r="T35" s="1131"/>
      <c r="U35" s="1131"/>
    </row>
    <row r="36" spans="1:21" ht="11" customHeight="1">
      <c r="A36" s="1123" t="s">
        <v>642</v>
      </c>
      <c r="B36" s="1124"/>
      <c r="C36" s="1124"/>
      <c r="D36" s="1124"/>
      <c r="E36" s="1124"/>
      <c r="F36" s="1124"/>
      <c r="G36" s="1124"/>
      <c r="H36" s="1124"/>
      <c r="I36" s="1124"/>
      <c r="K36" s="706"/>
      <c r="L36" s="730" t="s">
        <v>643</v>
      </c>
      <c r="M36" s="706"/>
      <c r="N36" s="706"/>
      <c r="O36" s="756"/>
      <c r="P36" s="704"/>
      <c r="Q36" s="704"/>
      <c r="R36" s="704"/>
      <c r="S36" s="704"/>
      <c r="T36" s="699"/>
      <c r="U36" s="697"/>
    </row>
    <row r="37" spans="1:21" ht="17" customHeight="1">
      <c r="A37" s="1125"/>
      <c r="B37" s="1125"/>
      <c r="C37" s="1125"/>
      <c r="D37" s="1125"/>
      <c r="E37" s="1125"/>
      <c r="F37" s="1125"/>
      <c r="G37" s="1125"/>
      <c r="H37" s="1125"/>
      <c r="I37" s="1125"/>
      <c r="K37" s="706"/>
      <c r="L37" s="1126" t="s">
        <v>111</v>
      </c>
      <c r="M37" s="1127"/>
      <c r="N37" s="1127"/>
      <c r="O37" s="1127"/>
      <c r="P37" s="1127"/>
      <c r="Q37" s="1127"/>
      <c r="R37" s="1127"/>
      <c r="S37" s="1127"/>
      <c r="T37" s="1127"/>
      <c r="U37" s="1127"/>
    </row>
    <row r="38" spans="1:21" s="759" customFormat="1" ht="12" customHeight="1" thickBot="1">
      <c r="A38" s="761" t="s">
        <v>644</v>
      </c>
      <c r="B38" s="762"/>
      <c r="C38" s="762"/>
      <c r="D38" s="762"/>
      <c r="E38" s="762"/>
      <c r="F38" s="762"/>
      <c r="G38" s="762"/>
      <c r="H38" s="762"/>
      <c r="I38" s="762"/>
      <c r="J38" s="762"/>
      <c r="K38" s="706"/>
      <c r="L38" s="1127"/>
      <c r="M38" s="1127"/>
      <c r="N38" s="1127"/>
      <c r="O38" s="1127"/>
      <c r="P38" s="1127"/>
      <c r="Q38" s="1127"/>
      <c r="R38" s="1127"/>
      <c r="S38" s="1127"/>
      <c r="T38" s="1127"/>
      <c r="U38" s="1127"/>
    </row>
    <row r="39" spans="1:21" ht="1" customHeight="1">
      <c r="L39" s="1126" t="s">
        <v>645</v>
      </c>
      <c r="M39" s="1104"/>
      <c r="N39" s="1104"/>
      <c r="O39" s="1104"/>
      <c r="P39" s="1104"/>
      <c r="Q39" s="1104"/>
      <c r="R39" s="1104"/>
      <c r="S39" s="1104"/>
      <c r="T39" s="1104"/>
      <c r="U39" s="1104"/>
    </row>
    <row r="40" spans="1:21" ht="13" customHeight="1">
      <c r="A40" s="754"/>
      <c r="B40" s="706"/>
      <c r="C40" s="706"/>
      <c r="D40" s="706"/>
      <c r="E40" s="706"/>
      <c r="F40" s="706"/>
      <c r="G40" s="706"/>
      <c r="H40" s="706"/>
      <c r="I40" s="706"/>
      <c r="J40" s="706"/>
      <c r="L40" s="1104"/>
      <c r="M40" s="1104"/>
      <c r="N40" s="1104"/>
      <c r="O40" s="1104"/>
      <c r="P40" s="1104"/>
      <c r="Q40" s="1104"/>
      <c r="R40" s="1104"/>
      <c r="S40" s="1104"/>
      <c r="T40" s="1104"/>
      <c r="U40" s="1104"/>
    </row>
    <row r="41" spans="1:21" ht="7" customHeight="1">
      <c r="A41" s="1126" t="s">
        <v>103</v>
      </c>
      <c r="B41" s="1128"/>
      <c r="C41" s="1128"/>
      <c r="D41" s="1128"/>
      <c r="E41" s="1128"/>
      <c r="F41" s="1128"/>
      <c r="G41" s="1128"/>
      <c r="H41" s="1128"/>
      <c r="I41" s="1128"/>
      <c r="J41" s="1128"/>
      <c r="L41" s="1104"/>
      <c r="M41" s="1104"/>
      <c r="N41" s="1104"/>
      <c r="O41" s="1104"/>
      <c r="P41" s="1104"/>
      <c r="Q41" s="1104"/>
      <c r="R41" s="1104"/>
      <c r="S41" s="1104"/>
      <c r="T41" s="1104"/>
      <c r="U41" s="1104"/>
    </row>
    <row r="42" spans="1:21" ht="14" customHeight="1">
      <c r="A42" s="1128"/>
      <c r="B42" s="1128"/>
      <c r="C42" s="1128"/>
      <c r="D42" s="1128"/>
      <c r="E42" s="1128"/>
      <c r="F42" s="1128"/>
      <c r="G42" s="1128"/>
      <c r="H42" s="1128"/>
      <c r="I42" s="1128"/>
      <c r="J42" s="1128"/>
      <c r="L42" s="1104"/>
      <c r="M42" s="1104"/>
      <c r="N42" s="1104"/>
      <c r="O42" s="1104"/>
      <c r="P42" s="1104"/>
      <c r="Q42" s="1104"/>
      <c r="R42" s="1104"/>
      <c r="S42" s="1104"/>
      <c r="T42" s="1104"/>
      <c r="U42" s="1104"/>
    </row>
    <row r="43" spans="1:21" ht="28" customHeight="1">
      <c r="A43" s="1128"/>
      <c r="B43" s="1128"/>
      <c r="C43" s="1128"/>
      <c r="D43" s="1128"/>
      <c r="E43" s="1128"/>
      <c r="F43" s="1128"/>
      <c r="G43" s="1128"/>
      <c r="H43" s="1128"/>
      <c r="I43" s="1128"/>
      <c r="J43" s="1128"/>
      <c r="L43" s="1104"/>
      <c r="M43" s="1104"/>
      <c r="N43" s="1104"/>
      <c r="O43" s="1104"/>
      <c r="P43" s="1104"/>
      <c r="Q43" s="1104"/>
      <c r="R43" s="1104"/>
      <c r="S43" s="1104"/>
      <c r="T43" s="1104"/>
      <c r="U43" s="1104"/>
    </row>
    <row r="44" spans="1:21" ht="4" customHeight="1">
      <c r="A44" s="1128"/>
      <c r="B44" s="1128"/>
      <c r="C44" s="1128"/>
      <c r="D44" s="1128"/>
      <c r="E44" s="1128"/>
      <c r="F44" s="1128"/>
      <c r="G44" s="1128"/>
      <c r="H44" s="1128"/>
      <c r="I44" s="1128"/>
      <c r="J44" s="1128"/>
      <c r="L44" s="1104"/>
      <c r="M44" s="1104"/>
      <c r="N44" s="1104"/>
      <c r="O44" s="1104"/>
      <c r="P44" s="1104"/>
      <c r="Q44" s="1104"/>
      <c r="R44" s="1104"/>
      <c r="S44" s="1104"/>
      <c r="T44" s="1104"/>
      <c r="U44" s="1104"/>
    </row>
    <row r="45" spans="1:21" ht="16" customHeight="1">
      <c r="L45" s="1135" t="s">
        <v>646</v>
      </c>
      <c r="M45" s="1127"/>
      <c r="N45" s="1127"/>
      <c r="O45" s="1127"/>
      <c r="P45" s="1127"/>
      <c r="Q45" s="1127"/>
      <c r="R45" s="1127"/>
      <c r="S45" s="1127"/>
      <c r="T45" s="1127"/>
      <c r="U45" s="1127"/>
    </row>
    <row r="46" spans="1:21" ht="13" thickBot="1">
      <c r="A46" s="740" t="s">
        <v>647</v>
      </c>
      <c r="B46" s="741"/>
      <c r="C46" s="741"/>
      <c r="D46" s="741"/>
      <c r="E46" s="741"/>
      <c r="F46" s="741"/>
      <c r="G46" s="741"/>
      <c r="H46" s="741"/>
      <c r="I46" s="741"/>
      <c r="L46" s="1127"/>
      <c r="M46" s="1127"/>
      <c r="N46" s="1127"/>
      <c r="O46" s="1127"/>
      <c r="P46" s="1127"/>
      <c r="Q46" s="1127"/>
      <c r="R46" s="1127"/>
      <c r="S46" s="1127"/>
      <c r="T46" s="1127"/>
      <c r="U46" s="1127"/>
    </row>
    <row r="47" spans="1:21">
      <c r="A47" s="756" t="s">
        <v>648</v>
      </c>
      <c r="B47" s="706"/>
      <c r="C47" s="706"/>
      <c r="D47" s="706"/>
      <c r="E47" s="706"/>
      <c r="F47" s="706"/>
      <c r="G47" s="706"/>
      <c r="H47" s="706"/>
      <c r="I47" s="706"/>
      <c r="L47" s="1127"/>
      <c r="M47" s="1127"/>
      <c r="N47" s="1127"/>
      <c r="O47" s="1127"/>
      <c r="P47" s="1127"/>
      <c r="Q47" s="1127"/>
      <c r="R47" s="1127"/>
      <c r="S47" s="1127"/>
      <c r="T47" s="1127"/>
      <c r="U47" s="1127"/>
    </row>
    <row r="48" spans="1:21" ht="14" customHeight="1">
      <c r="A48" s="724" t="s">
        <v>649</v>
      </c>
      <c r="B48" s="724"/>
      <c r="D48" s="706"/>
      <c r="E48" s="763" t="s">
        <v>650</v>
      </c>
      <c r="F48" s="706"/>
      <c r="I48" s="706"/>
      <c r="L48" s="1127"/>
      <c r="M48" s="1127"/>
      <c r="N48" s="1127"/>
      <c r="O48" s="1127"/>
      <c r="P48" s="1127"/>
      <c r="Q48" s="1127"/>
      <c r="R48" s="1127"/>
      <c r="S48" s="1127"/>
      <c r="T48" s="1127"/>
      <c r="U48" s="1127"/>
    </row>
    <row r="49" spans="1:21" ht="13" customHeight="1">
      <c r="B49" s="708" t="s">
        <v>651</v>
      </c>
      <c r="C49" s="708"/>
      <c r="D49" s="708"/>
      <c r="E49" s="764"/>
      <c r="F49" s="708"/>
      <c r="G49" s="755"/>
      <c r="H49" s="755"/>
      <c r="I49" s="755"/>
      <c r="L49" s="730" t="s">
        <v>652</v>
      </c>
      <c r="M49" s="697"/>
      <c r="N49" s="765"/>
      <c r="O49" s="697"/>
      <c r="P49" s="701"/>
      <c r="Q49" s="697"/>
      <c r="R49" s="697"/>
      <c r="S49" s="697"/>
      <c r="T49" s="697"/>
      <c r="U49" s="755"/>
    </row>
    <row r="50" spans="1:21" ht="13" customHeight="1">
      <c r="B50" s="708" t="s">
        <v>653</v>
      </c>
      <c r="C50" s="708"/>
      <c r="D50" s="708"/>
      <c r="E50" s="764"/>
      <c r="F50" s="708"/>
      <c r="G50" s="755"/>
      <c r="H50" s="755"/>
      <c r="I50" s="755"/>
      <c r="L50" s="1133" t="s">
        <v>654</v>
      </c>
      <c r="M50" s="1104"/>
      <c r="N50" s="1104"/>
      <c r="O50" s="1104"/>
      <c r="P50" s="1104"/>
      <c r="Q50" s="1104"/>
      <c r="R50" s="1104"/>
      <c r="S50" s="1104"/>
      <c r="T50" s="1104"/>
      <c r="U50" s="1104"/>
    </row>
    <row r="51" spans="1:21" ht="12" customHeight="1">
      <c r="B51" s="708" t="s">
        <v>655</v>
      </c>
      <c r="C51" s="708"/>
      <c r="D51" s="708"/>
      <c r="E51" s="764"/>
      <c r="F51" s="708"/>
      <c r="G51" s="69"/>
      <c r="H51" s="69"/>
      <c r="I51" s="69"/>
      <c r="L51" s="1104"/>
      <c r="M51" s="1104"/>
      <c r="N51" s="1104"/>
      <c r="O51" s="1104"/>
      <c r="P51" s="1104"/>
      <c r="Q51" s="1104"/>
      <c r="R51" s="1104"/>
      <c r="S51" s="1104"/>
      <c r="T51" s="1104"/>
      <c r="U51" s="1104"/>
    </row>
    <row r="52" spans="1:21" ht="13" customHeight="1">
      <c r="B52" s="1136" t="s">
        <v>68</v>
      </c>
      <c r="C52" s="1137"/>
      <c r="D52" s="1137"/>
      <c r="E52" s="1137"/>
      <c r="F52" s="1137"/>
      <c r="G52" s="1137"/>
      <c r="H52" s="1137"/>
      <c r="I52" s="755"/>
      <c r="L52" s="1104"/>
      <c r="M52" s="1104"/>
      <c r="N52" s="1104"/>
      <c r="O52" s="1104"/>
      <c r="P52" s="1104"/>
      <c r="Q52" s="1104"/>
      <c r="R52" s="1104"/>
      <c r="S52" s="1104"/>
      <c r="T52" s="1104"/>
      <c r="U52" s="1104"/>
    </row>
    <row r="53" spans="1:21" ht="12" customHeight="1">
      <c r="B53" s="1137"/>
      <c r="C53" s="1137"/>
      <c r="D53" s="1137"/>
      <c r="E53" s="1137"/>
      <c r="F53" s="1137"/>
      <c r="G53" s="1137"/>
      <c r="H53" s="1137"/>
      <c r="I53" s="755"/>
      <c r="J53" s="755"/>
      <c r="L53" s="1104"/>
      <c r="M53" s="1104"/>
      <c r="N53" s="1104"/>
      <c r="O53" s="1104"/>
      <c r="P53" s="1104"/>
      <c r="Q53" s="1104"/>
      <c r="R53" s="1104"/>
      <c r="S53" s="1104"/>
      <c r="T53" s="1104"/>
      <c r="U53" s="1104"/>
    </row>
    <row r="54" spans="1:21" ht="13" customHeight="1">
      <c r="A54" s="758" t="s">
        <v>656</v>
      </c>
      <c r="B54" s="731"/>
      <c r="C54" s="731"/>
      <c r="D54" s="731"/>
      <c r="E54" s="766"/>
      <c r="F54" s="731"/>
      <c r="G54" s="731"/>
      <c r="H54" s="731"/>
      <c r="I54" s="731"/>
      <c r="J54" s="731"/>
      <c r="L54" s="1104"/>
      <c r="M54" s="1104"/>
      <c r="N54" s="1104"/>
      <c r="O54" s="1104"/>
      <c r="P54" s="1104"/>
      <c r="Q54" s="1104"/>
      <c r="R54" s="1104"/>
      <c r="S54" s="1104"/>
      <c r="T54" s="1104"/>
      <c r="U54" s="1104"/>
    </row>
    <row r="55" spans="1:21" ht="12" customHeight="1">
      <c r="A55" s="708" t="s">
        <v>657</v>
      </c>
      <c r="B55" s="731"/>
      <c r="D55" s="731"/>
      <c r="E55" s="766"/>
      <c r="F55" s="767"/>
      <c r="G55" s="767"/>
      <c r="H55" s="767"/>
      <c r="J55" s="755"/>
      <c r="L55" s="1104"/>
      <c r="M55" s="1104"/>
      <c r="N55" s="1104"/>
      <c r="O55" s="1104"/>
      <c r="P55" s="1104"/>
      <c r="Q55" s="1104"/>
      <c r="R55" s="1104"/>
      <c r="S55" s="1104"/>
      <c r="T55" s="1104"/>
      <c r="U55" s="1104"/>
    </row>
    <row r="56" spans="1:21" ht="12" customHeight="1">
      <c r="A56" s="758" t="s">
        <v>658</v>
      </c>
      <c r="B56" s="755"/>
      <c r="C56" s="731"/>
      <c r="E56" s="763"/>
      <c r="J56" s="755"/>
      <c r="L56" s="1104"/>
      <c r="M56" s="1104"/>
      <c r="N56" s="1104"/>
      <c r="O56" s="1104"/>
      <c r="P56" s="1104"/>
      <c r="Q56" s="1104"/>
      <c r="R56" s="1104"/>
      <c r="S56" s="1104"/>
      <c r="T56" s="1104"/>
      <c r="U56" s="1104"/>
    </row>
    <row r="57" spans="1:21">
      <c r="A57" s="758" t="s">
        <v>659</v>
      </c>
      <c r="B57" s="701"/>
      <c r="C57" s="768"/>
      <c r="E57" s="769"/>
      <c r="F57" s="737"/>
      <c r="G57" s="737"/>
      <c r="H57" s="737"/>
      <c r="I57" s="770"/>
      <c r="J57" s="720"/>
      <c r="L57" s="1104"/>
      <c r="M57" s="1104"/>
      <c r="N57" s="1104"/>
      <c r="O57" s="1104"/>
      <c r="P57" s="1104"/>
      <c r="Q57" s="1104"/>
      <c r="R57" s="1104"/>
      <c r="S57" s="1104"/>
      <c r="T57" s="1104"/>
      <c r="U57" s="1104"/>
    </row>
    <row r="58" spans="1:21" ht="12" customHeight="1">
      <c r="A58" s="758"/>
      <c r="B58" s="701"/>
      <c r="C58" s="768"/>
      <c r="E58" s="771"/>
      <c r="F58" s="737"/>
      <c r="G58" s="737"/>
      <c r="H58" s="737"/>
      <c r="I58" s="772"/>
      <c r="J58" s="706"/>
      <c r="L58" s="1104"/>
      <c r="M58" s="1104"/>
      <c r="N58" s="1104"/>
      <c r="O58" s="1104"/>
      <c r="P58" s="1104"/>
      <c r="Q58" s="1104"/>
      <c r="R58" s="1104"/>
      <c r="S58" s="1104"/>
      <c r="T58" s="1104"/>
      <c r="U58" s="1104"/>
    </row>
    <row r="59" spans="1:21" ht="4" customHeight="1">
      <c r="B59" s="701"/>
      <c r="C59" s="768"/>
      <c r="E59" s="707"/>
      <c r="F59" s="707"/>
      <c r="G59" s="707"/>
      <c r="H59" s="707"/>
      <c r="I59" s="707"/>
      <c r="J59" s="706"/>
      <c r="L59" s="1104"/>
      <c r="M59" s="1104"/>
      <c r="N59" s="1104"/>
      <c r="O59" s="1104"/>
      <c r="P59" s="1104"/>
      <c r="Q59" s="1104"/>
      <c r="R59" s="1104"/>
      <c r="S59" s="1104"/>
      <c r="T59" s="1104"/>
      <c r="U59" s="1104"/>
    </row>
    <row r="60" spans="1:21" ht="13" customHeight="1" thickBot="1">
      <c r="A60" s="740" t="s">
        <v>660</v>
      </c>
      <c r="B60" s="773"/>
      <c r="C60" s="773"/>
      <c r="D60" s="773"/>
      <c r="E60" s="773"/>
      <c r="F60" s="773"/>
      <c r="G60" s="773"/>
      <c r="H60" s="773"/>
      <c r="I60" s="773"/>
      <c r="J60" s="706"/>
      <c r="L60" s="1104"/>
      <c r="M60" s="1104"/>
      <c r="N60" s="1104"/>
      <c r="O60" s="1104"/>
      <c r="P60" s="1104"/>
      <c r="Q60" s="1104"/>
      <c r="R60" s="1104"/>
      <c r="S60" s="1104"/>
      <c r="T60" s="1104"/>
      <c r="U60" s="1104"/>
    </row>
    <row r="61" spans="1:21" ht="4" customHeight="1">
      <c r="B61" s="774"/>
      <c r="E61" s="708"/>
      <c r="F61" s="708"/>
      <c r="G61" s="708"/>
      <c r="H61" s="708"/>
      <c r="I61" s="708"/>
      <c r="L61" s="1104"/>
      <c r="M61" s="1104"/>
      <c r="N61" s="1104"/>
      <c r="O61" s="1104"/>
      <c r="P61" s="1104"/>
      <c r="Q61" s="1104"/>
      <c r="R61" s="1104"/>
      <c r="S61" s="1104"/>
      <c r="T61" s="1104"/>
      <c r="U61" s="1104"/>
    </row>
    <row r="62" spans="1:21" ht="13" customHeight="1">
      <c r="A62" s="717">
        <f>'4 Dividend Financed Bid'!$A$14</f>
        <v>24</v>
      </c>
      <c r="B62" s="823">
        <f>'4 Dividend Financed Bid'!$B$14</f>
        <v>250</v>
      </c>
      <c r="C62" s="708" t="str">
        <f>'Cash Bid'!$C$15</f>
        <v>Solar Modules</v>
      </c>
      <c r="D62" s="775" t="s">
        <v>91</v>
      </c>
      <c r="E62" s="708"/>
      <c r="F62" s="708"/>
      <c r="G62" s="708"/>
      <c r="H62" s="708"/>
      <c r="I62" s="708"/>
      <c r="L62" s="1104"/>
      <c r="M62" s="1104"/>
      <c r="N62" s="1104"/>
      <c r="O62" s="1104"/>
      <c r="P62" s="1104"/>
      <c r="Q62" s="1104"/>
      <c r="R62" s="1104"/>
      <c r="S62" s="1104"/>
      <c r="T62" s="1104"/>
      <c r="U62" s="1104"/>
    </row>
    <row r="63" spans="1:21" ht="12" customHeight="1">
      <c r="A63" s="717">
        <v>1</v>
      </c>
      <c r="B63" s="1147">
        <f>'1 Customer Record'!H18</f>
        <v>0</v>
      </c>
      <c r="C63" s="1148"/>
      <c r="D63" s="775" t="s">
        <v>74</v>
      </c>
      <c r="E63" s="708"/>
      <c r="F63" s="708"/>
      <c r="G63" s="708"/>
      <c r="H63" s="708"/>
      <c r="I63" s="708"/>
      <c r="J63" s="731"/>
      <c r="L63" s="730" t="s">
        <v>661</v>
      </c>
      <c r="M63" s="697"/>
      <c r="N63" s="697"/>
      <c r="O63" s="697"/>
      <c r="P63" s="697"/>
      <c r="Q63" s="697"/>
      <c r="R63" s="697"/>
      <c r="S63" s="697"/>
      <c r="T63" s="697"/>
      <c r="U63" s="697"/>
    </row>
    <row r="64" spans="1:21" ht="13" customHeight="1">
      <c r="A64" s="717">
        <v>1</v>
      </c>
      <c r="B64" s="776" t="s">
        <v>76</v>
      </c>
      <c r="C64" s="708"/>
      <c r="D64" s="776" t="s">
        <v>89</v>
      </c>
      <c r="J64" s="731"/>
      <c r="L64" s="1135" t="s">
        <v>662</v>
      </c>
      <c r="M64" s="1127"/>
      <c r="N64" s="1127"/>
      <c r="O64" s="1127"/>
      <c r="P64" s="1127"/>
      <c r="Q64" s="1127"/>
      <c r="R64" s="1127"/>
      <c r="S64" s="1127"/>
      <c r="T64" s="1127"/>
      <c r="U64" s="1127"/>
    </row>
    <row r="65" spans="1:21" ht="13" customHeight="1" thickBot="1">
      <c r="A65" s="740" t="s">
        <v>663</v>
      </c>
      <c r="B65" s="741"/>
      <c r="C65" s="741"/>
      <c r="D65" s="741"/>
      <c r="E65" s="741"/>
      <c r="F65" s="741"/>
      <c r="G65" s="741"/>
      <c r="H65" s="741"/>
      <c r="I65" s="741"/>
      <c r="J65" s="731"/>
      <c r="L65" s="1127"/>
      <c r="M65" s="1127"/>
      <c r="N65" s="1127"/>
      <c r="O65" s="1127"/>
      <c r="P65" s="1127"/>
      <c r="Q65" s="1127"/>
      <c r="R65" s="1127"/>
      <c r="S65" s="1127"/>
      <c r="T65" s="1127"/>
      <c r="U65" s="1127"/>
    </row>
    <row r="66" spans="1:21" ht="4" customHeight="1">
      <c r="J66" s="755"/>
      <c r="L66" s="704"/>
      <c r="M66" s="704"/>
      <c r="N66" s="704"/>
      <c r="O66" s="704"/>
      <c r="P66" s="704"/>
      <c r="Q66" s="704"/>
      <c r="R66" s="704"/>
      <c r="S66" s="704"/>
      <c r="T66" s="704"/>
      <c r="U66" s="697"/>
    </row>
    <row r="67" spans="1:21" ht="11" customHeight="1">
      <c r="A67" s="737" t="s">
        <v>79</v>
      </c>
      <c r="B67" s="777" t="str">
        <f>B5</f>
        <v>Suzy</v>
      </c>
      <c r="C67" s="778" t="str">
        <f>C5</f>
        <v>Solar</v>
      </c>
      <c r="D67" s="737" t="s">
        <v>664</v>
      </c>
      <c r="E67" s="778" t="s">
        <v>665</v>
      </c>
      <c r="G67" s="755"/>
      <c r="H67" s="755"/>
      <c r="I67" s="755"/>
      <c r="L67" s="1135" t="s">
        <v>666</v>
      </c>
      <c r="M67" s="1127"/>
      <c r="N67" s="1127"/>
      <c r="O67" s="1127"/>
      <c r="P67" s="1127"/>
      <c r="Q67" s="1127"/>
      <c r="R67" s="1127"/>
      <c r="S67" s="1127"/>
      <c r="T67" s="1127"/>
      <c r="U67" s="1127"/>
    </row>
    <row r="68" spans="1:21" ht="6" customHeight="1">
      <c r="A68" s="755"/>
      <c r="B68" s="755"/>
      <c r="C68" s="755"/>
      <c r="D68" s="755"/>
      <c r="E68" s="755"/>
      <c r="F68" s="755"/>
      <c r="G68" s="755"/>
      <c r="H68" s="755"/>
      <c r="I68" s="755"/>
      <c r="L68" s="1127"/>
      <c r="M68" s="1127"/>
      <c r="N68" s="1127"/>
      <c r="O68" s="1127"/>
      <c r="P68" s="1127"/>
      <c r="Q68" s="1127"/>
      <c r="R68" s="1127"/>
      <c r="S68" s="1127"/>
      <c r="T68" s="1127"/>
      <c r="U68" s="1127"/>
    </row>
    <row r="69" spans="1:21" ht="12" customHeight="1">
      <c r="A69" s="779"/>
      <c r="B69" s="780"/>
      <c r="C69" s="781">
        <f>I5</f>
        <v>0</v>
      </c>
      <c r="D69" s="782"/>
      <c r="E69" s="782"/>
      <c r="F69" s="782"/>
      <c r="G69" s="782"/>
      <c r="H69" s="782"/>
      <c r="I69" s="783">
        <f>C69</f>
        <v>0</v>
      </c>
      <c r="J69" s="706"/>
      <c r="L69" s="1127"/>
      <c r="M69" s="1127"/>
      <c r="N69" s="1127"/>
      <c r="O69" s="1127"/>
      <c r="P69" s="1127"/>
      <c r="Q69" s="1127"/>
      <c r="R69" s="1127"/>
      <c r="S69" s="1127"/>
      <c r="T69" s="1127"/>
      <c r="U69" s="1127"/>
    </row>
    <row r="70" spans="1:21">
      <c r="A70" s="784" t="s">
        <v>667</v>
      </c>
      <c r="C70" s="785" t="s">
        <v>668</v>
      </c>
      <c r="D70" s="755" t="s">
        <v>667</v>
      </c>
      <c r="E70" s="755"/>
      <c r="F70" s="755"/>
      <c r="G70" s="755"/>
      <c r="H70" s="755"/>
      <c r="I70" s="786" t="s">
        <v>668</v>
      </c>
      <c r="L70" s="1104"/>
      <c r="M70" s="1104"/>
      <c r="N70" s="1104"/>
      <c r="O70" s="1104"/>
      <c r="P70" s="1104"/>
      <c r="Q70" s="1104"/>
      <c r="R70" s="1104"/>
      <c r="S70" s="1104"/>
      <c r="T70" s="1104"/>
      <c r="U70" s="1104"/>
    </row>
    <row r="71" spans="1:21" ht="11" customHeight="1">
      <c r="A71" s="787" t="s">
        <v>669</v>
      </c>
      <c r="B71" s="704" t="str">
        <f>B4</f>
        <v>D.J. Rosebaugh</v>
      </c>
      <c r="L71" s="757" t="s">
        <v>86</v>
      </c>
      <c r="M71" s="746"/>
      <c r="N71" s="746"/>
      <c r="O71" s="746"/>
      <c r="P71" s="746"/>
      <c r="Q71" s="746"/>
      <c r="R71" s="746"/>
      <c r="S71" s="746"/>
      <c r="T71" s="746"/>
      <c r="U71" s="706"/>
    </row>
    <row r="72" spans="1:21" ht="12" customHeight="1">
      <c r="L72" s="788" t="s">
        <v>79</v>
      </c>
      <c r="M72" s="789" t="str">
        <f>M4</f>
        <v>Suzy</v>
      </c>
      <c r="N72" s="790" t="str">
        <f>N4</f>
        <v>Solar</v>
      </c>
      <c r="O72" s="791" t="s">
        <v>87</v>
      </c>
      <c r="P72" s="792"/>
      <c r="Q72" s="792"/>
      <c r="R72" s="793" t="s">
        <v>670</v>
      </c>
      <c r="S72" s="792"/>
      <c r="T72" s="792"/>
      <c r="U72" s="794"/>
    </row>
    <row r="73" spans="1:21" ht="12" customHeight="1">
      <c r="C73" s="704"/>
      <c r="L73" s="795"/>
      <c r="M73" s="780"/>
      <c r="N73" s="796">
        <f>T4</f>
        <v>0</v>
      </c>
      <c r="O73" s="797"/>
      <c r="P73" s="710"/>
      <c r="Q73" s="710"/>
      <c r="R73" s="798"/>
      <c r="S73" s="710"/>
      <c r="T73" s="710"/>
      <c r="U73" s="799">
        <f>T4</f>
        <v>0</v>
      </c>
    </row>
    <row r="74" spans="1:21">
      <c r="L74" s="800" t="s">
        <v>671</v>
      </c>
      <c r="M74" s="697"/>
      <c r="N74" s="787" t="s">
        <v>672</v>
      </c>
      <c r="O74" s="801" t="s">
        <v>671</v>
      </c>
      <c r="P74" s="756"/>
      <c r="Q74" s="756"/>
      <c r="R74" s="756"/>
      <c r="S74" s="756"/>
      <c r="T74" s="697"/>
      <c r="U74" s="787" t="s">
        <v>672</v>
      </c>
    </row>
    <row r="75" spans="1:21">
      <c r="L75" s="706"/>
      <c r="M75" s="706"/>
      <c r="N75" s="706"/>
      <c r="O75" s="706"/>
      <c r="P75" s="706"/>
      <c r="Q75" s="706"/>
      <c r="R75" s="706"/>
      <c r="S75" s="706"/>
      <c r="T75" s="706"/>
      <c r="U75" s="706"/>
    </row>
    <row r="76" spans="1:21">
      <c r="L76" s="706"/>
      <c r="M76" s="706"/>
      <c r="N76" s="706"/>
      <c r="O76" s="706"/>
      <c r="P76" s="706"/>
      <c r="Q76" s="706"/>
      <c r="R76" s="706"/>
      <c r="S76" s="706"/>
      <c r="T76" s="706"/>
      <c r="U76" s="706"/>
    </row>
    <row r="77" spans="1:21" ht="15">
      <c r="J77" s="706"/>
      <c r="L77" s="802"/>
      <c r="M77" s="706"/>
      <c r="N77" s="706"/>
      <c r="O77" s="706"/>
      <c r="P77" s="706"/>
      <c r="Q77" s="706"/>
      <c r="R77" s="706"/>
      <c r="S77" s="706"/>
      <c r="T77" s="706"/>
      <c r="U77" s="706"/>
    </row>
    <row r="78" spans="1:21">
      <c r="J78" s="706"/>
      <c r="L78" s="732"/>
      <c r="M78" s="1141"/>
      <c r="N78" s="1142"/>
      <c r="O78" s="706"/>
      <c r="P78" s="706"/>
      <c r="Q78" s="706"/>
      <c r="R78" s="706"/>
      <c r="S78" s="706"/>
      <c r="T78" s="706"/>
      <c r="U78" s="706"/>
    </row>
    <row r="79" spans="1:21">
      <c r="J79" s="706"/>
      <c r="L79" s="732"/>
      <c r="M79" s="804"/>
      <c r="N79" s="756"/>
      <c r="O79" s="756"/>
      <c r="P79" s="756"/>
      <c r="Q79" s="756"/>
      <c r="R79" s="756"/>
      <c r="S79" s="732"/>
      <c r="T79" s="805"/>
      <c r="U79" s="706"/>
    </row>
    <row r="80" spans="1:21" ht="8" customHeight="1">
      <c r="J80" s="755"/>
      <c r="L80" s="804"/>
      <c r="M80" s="756"/>
      <c r="N80" s="756"/>
      <c r="O80" s="756"/>
      <c r="P80" s="756"/>
      <c r="Q80" s="756"/>
      <c r="R80" s="756"/>
      <c r="S80" s="756"/>
      <c r="T80" s="756"/>
      <c r="U80" s="706"/>
    </row>
    <row r="81" spans="1:21">
      <c r="J81" s="755"/>
      <c r="L81" s="732"/>
      <c r="M81" s="806"/>
      <c r="N81" s="806"/>
      <c r="O81" s="756"/>
      <c r="P81" s="756"/>
      <c r="Q81" s="756"/>
      <c r="R81" s="756"/>
      <c r="S81" s="732"/>
      <c r="T81" s="803"/>
      <c r="U81" s="706"/>
    </row>
    <row r="82" spans="1:21" ht="6" customHeight="1">
      <c r="J82" s="69"/>
      <c r="L82" s="804"/>
      <c r="M82" s="756"/>
      <c r="N82" s="756"/>
      <c r="O82" s="756"/>
      <c r="P82" s="756"/>
      <c r="Q82" s="756"/>
      <c r="R82" s="756"/>
      <c r="S82" s="732"/>
      <c r="T82" s="803"/>
      <c r="U82" s="706"/>
    </row>
    <row r="83" spans="1:21">
      <c r="J83" s="755"/>
      <c r="L83" s="732"/>
      <c r="M83" s="807"/>
      <c r="N83" s="756"/>
      <c r="O83" s="756"/>
      <c r="P83" s="756"/>
      <c r="Q83" s="756"/>
      <c r="R83" s="756"/>
      <c r="S83" s="732"/>
      <c r="T83" s="803"/>
      <c r="U83" s="706"/>
    </row>
    <row r="84" spans="1:21" ht="6" customHeight="1">
      <c r="J84" s="755"/>
      <c r="L84" s="804"/>
      <c r="M84" s="756"/>
      <c r="N84" s="756"/>
      <c r="O84" s="756"/>
      <c r="P84" s="756"/>
      <c r="Q84" s="756"/>
      <c r="R84" s="756"/>
      <c r="S84" s="756"/>
      <c r="T84" s="756"/>
      <c r="U84" s="706"/>
    </row>
    <row r="85" spans="1:21">
      <c r="A85" s="808"/>
      <c r="B85" s="755"/>
      <c r="C85" s="755"/>
      <c r="D85" s="755"/>
      <c r="E85" s="755"/>
      <c r="F85" s="755"/>
      <c r="G85" s="755"/>
      <c r="H85" s="755"/>
      <c r="I85" s="755"/>
      <c r="J85" s="755"/>
      <c r="L85" s="732"/>
      <c r="M85" s="756"/>
      <c r="N85" s="756"/>
      <c r="O85" s="756"/>
      <c r="P85" s="756"/>
      <c r="Q85" s="756"/>
      <c r="R85" s="756"/>
      <c r="S85" s="732"/>
      <c r="T85" s="809"/>
      <c r="U85" s="720"/>
    </row>
    <row r="86" spans="1:21" ht="6" customHeight="1">
      <c r="L86" s="732"/>
      <c r="M86" s="756"/>
      <c r="N86" s="756"/>
      <c r="O86" s="756"/>
      <c r="P86" s="756"/>
      <c r="Q86" s="756"/>
      <c r="R86" s="756"/>
      <c r="S86" s="756"/>
      <c r="T86" s="809"/>
      <c r="U86" s="720"/>
    </row>
    <row r="87" spans="1:21">
      <c r="L87" s="756"/>
      <c r="M87" s="756"/>
      <c r="N87" s="756"/>
      <c r="O87" s="756"/>
      <c r="P87" s="756"/>
      <c r="Q87" s="756"/>
      <c r="R87" s="756"/>
      <c r="S87" s="732"/>
      <c r="T87" s="809"/>
      <c r="U87" s="720"/>
    </row>
    <row r="88" spans="1:21" ht="7" customHeight="1">
      <c r="L88" s="756"/>
      <c r="M88" s="756"/>
      <c r="N88" s="756"/>
      <c r="O88" s="756"/>
      <c r="P88" s="756"/>
      <c r="Q88" s="756"/>
      <c r="R88" s="756"/>
      <c r="S88" s="756"/>
      <c r="T88" s="756"/>
      <c r="U88" s="706"/>
    </row>
    <row r="89" spans="1:21">
      <c r="L89" s="756"/>
      <c r="M89" s="756"/>
      <c r="N89" s="756"/>
      <c r="O89" s="756"/>
      <c r="P89" s="756"/>
      <c r="Q89" s="756"/>
      <c r="R89" s="756"/>
      <c r="S89" s="732"/>
      <c r="T89" s="803"/>
      <c r="U89" s="1143"/>
    </row>
    <row r="90" spans="1:21">
      <c r="L90" s="730"/>
      <c r="M90" s="756"/>
      <c r="N90" s="756"/>
      <c r="O90" s="731"/>
      <c r="P90" s="731"/>
      <c r="Q90" s="732"/>
      <c r="R90" s="731"/>
      <c r="S90" s="731"/>
      <c r="T90" s="731"/>
      <c r="U90" s="1144"/>
    </row>
    <row r="91" spans="1:21">
      <c r="L91" s="732"/>
      <c r="M91" s="810"/>
      <c r="N91" s="706"/>
      <c r="O91" s="706"/>
      <c r="P91" s="706"/>
      <c r="Q91" s="732"/>
      <c r="R91" s="810"/>
      <c r="S91" s="735"/>
      <c r="T91" s="810"/>
      <c r="U91" s="811"/>
    </row>
    <row r="92" spans="1:21">
      <c r="L92" s="732"/>
      <c r="M92" s="811"/>
      <c r="N92" s="706"/>
      <c r="O92" s="706"/>
      <c r="P92" s="732"/>
      <c r="Q92" s="732"/>
      <c r="R92" s="812"/>
      <c r="S92" s="738"/>
      <c r="T92" s="812"/>
      <c r="U92" s="811"/>
    </row>
    <row r="93" spans="1:21">
      <c r="L93" s="732"/>
      <c r="M93" s="743"/>
      <c r="N93" s="706"/>
      <c r="O93" s="813"/>
      <c r="P93" s="813"/>
      <c r="Q93" s="732"/>
      <c r="R93" s="812"/>
      <c r="S93" s="738"/>
      <c r="T93" s="812"/>
      <c r="U93" s="811"/>
    </row>
    <row r="94" spans="1:21">
      <c r="L94" s="732"/>
      <c r="M94" s="810"/>
      <c r="N94" s="743"/>
      <c r="O94" s="1145"/>
      <c r="P94" s="1125"/>
      <c r="Q94" s="1125"/>
      <c r="R94" s="812"/>
      <c r="S94" s="738"/>
      <c r="T94" s="706"/>
      <c r="U94" s="811"/>
    </row>
    <row r="95" spans="1:21" ht="11" customHeight="1">
      <c r="L95" s="1146"/>
      <c r="M95" s="1110"/>
      <c r="N95" s="756"/>
      <c r="O95" s="1125"/>
      <c r="P95" s="1125"/>
      <c r="Q95" s="1125"/>
      <c r="R95" s="706"/>
      <c r="S95" s="706"/>
      <c r="T95" s="812"/>
      <c r="U95" s="811"/>
    </row>
    <row r="96" spans="1:21">
      <c r="L96" s="1110"/>
      <c r="M96" s="1110"/>
      <c r="N96" s="813"/>
      <c r="O96" s="706"/>
      <c r="P96" s="813"/>
      <c r="Q96" s="732"/>
      <c r="R96" s="812"/>
      <c r="S96" s="738"/>
      <c r="T96" s="814"/>
      <c r="U96" s="811"/>
    </row>
    <row r="97" spans="12:21">
      <c r="L97" s="732"/>
      <c r="M97" s="813"/>
      <c r="N97" s="813"/>
      <c r="O97" s="706"/>
      <c r="P97" s="706"/>
      <c r="Q97" s="706"/>
      <c r="R97" s="706"/>
      <c r="S97" s="706"/>
      <c r="T97" s="706"/>
      <c r="U97" s="706"/>
    </row>
    <row r="98" spans="12:21">
      <c r="L98" s="1149"/>
      <c r="M98" s="1149"/>
      <c r="N98" s="1150"/>
      <c r="O98" s="706"/>
      <c r="P98" s="706"/>
      <c r="Q98" s="706"/>
      <c r="R98" s="706"/>
      <c r="S98" s="706"/>
      <c r="T98" s="706"/>
      <c r="U98" s="731"/>
    </row>
    <row r="99" spans="12:21" ht="18" customHeight="1">
      <c r="L99" s="1149"/>
      <c r="M99" s="1149"/>
      <c r="N99" s="1150"/>
      <c r="O99" s="706"/>
      <c r="P99" s="706"/>
      <c r="Q99" s="732"/>
      <c r="R99" s="706"/>
      <c r="S99" s="706"/>
      <c r="T99" s="706"/>
      <c r="U99" s="731"/>
    </row>
    <row r="100" spans="12:21" ht="3" customHeight="1">
      <c r="L100" s="754"/>
      <c r="M100" s="731"/>
      <c r="N100" s="731"/>
      <c r="O100" s="756"/>
      <c r="P100" s="756"/>
      <c r="Q100" s="706"/>
      <c r="R100" s="706"/>
      <c r="S100" s="706"/>
      <c r="T100" s="706"/>
      <c r="U100" s="731"/>
    </row>
    <row r="101" spans="12:21">
      <c r="L101" s="730"/>
      <c r="M101" s="706"/>
      <c r="N101" s="706"/>
      <c r="O101" s="706"/>
      <c r="P101" s="706"/>
      <c r="Q101" s="706"/>
      <c r="R101" s="706"/>
      <c r="S101" s="706"/>
      <c r="T101" s="706"/>
      <c r="U101" s="731"/>
    </row>
    <row r="102" spans="12:21">
      <c r="L102" s="1126"/>
      <c r="M102" s="1138"/>
      <c r="N102" s="1138"/>
      <c r="O102" s="1138"/>
      <c r="P102" s="1138"/>
      <c r="Q102" s="1138"/>
      <c r="R102" s="1138"/>
      <c r="S102" s="1138"/>
      <c r="T102" s="1138"/>
      <c r="U102" s="1138"/>
    </row>
    <row r="103" spans="12:21">
      <c r="L103" s="1138"/>
      <c r="M103" s="1138"/>
      <c r="N103" s="1138"/>
      <c r="O103" s="1138"/>
      <c r="P103" s="1138"/>
      <c r="Q103" s="1138"/>
      <c r="R103" s="1138"/>
      <c r="S103" s="1138"/>
      <c r="T103" s="1138"/>
      <c r="U103" s="1138"/>
    </row>
    <row r="104" spans="12:21">
      <c r="L104" s="1138"/>
      <c r="M104" s="1138"/>
      <c r="N104" s="1138"/>
      <c r="O104" s="1138"/>
      <c r="P104" s="1138"/>
      <c r="Q104" s="1138"/>
      <c r="R104" s="1138"/>
      <c r="S104" s="1138"/>
      <c r="T104" s="1138"/>
      <c r="U104" s="1138"/>
    </row>
    <row r="105" spans="12:21">
      <c r="L105" s="1139"/>
      <c r="M105" s="1140"/>
      <c r="N105" s="1140"/>
      <c r="O105" s="1140"/>
      <c r="P105" s="1140"/>
      <c r="Q105" s="1140"/>
      <c r="R105" s="1140"/>
      <c r="S105" s="1140"/>
      <c r="T105" s="1140"/>
      <c r="U105" s="1140"/>
    </row>
    <row r="106" spans="12:21">
      <c r="L106" s="1140"/>
      <c r="M106" s="1140"/>
      <c r="N106" s="1140"/>
      <c r="O106" s="1140"/>
      <c r="P106" s="1140"/>
      <c r="Q106" s="1140"/>
      <c r="R106" s="1140"/>
      <c r="S106" s="1140"/>
      <c r="T106" s="1140"/>
      <c r="U106" s="1140"/>
    </row>
    <row r="107" spans="12:21">
      <c r="L107" s="1126"/>
      <c r="M107" s="1138"/>
      <c r="N107" s="1138"/>
      <c r="O107" s="1138"/>
      <c r="P107" s="1138"/>
      <c r="Q107" s="1138"/>
      <c r="R107" s="1138"/>
      <c r="S107" s="1138"/>
      <c r="T107" s="1138"/>
      <c r="U107" s="1138"/>
    </row>
    <row r="108" spans="12:21">
      <c r="L108" s="1138"/>
      <c r="M108" s="1138"/>
      <c r="N108" s="1138"/>
      <c r="O108" s="1138"/>
      <c r="P108" s="1138"/>
      <c r="Q108" s="1138"/>
      <c r="R108" s="1138"/>
      <c r="S108" s="1138"/>
      <c r="T108" s="1138"/>
      <c r="U108" s="1138"/>
    </row>
    <row r="109" spans="12:21">
      <c r="L109" s="1138"/>
      <c r="M109" s="1138"/>
      <c r="N109" s="1138"/>
      <c r="O109" s="1138"/>
      <c r="P109" s="1138"/>
      <c r="Q109" s="1138"/>
      <c r="R109" s="1138"/>
      <c r="S109" s="1138"/>
      <c r="T109" s="1138"/>
      <c r="U109" s="1138"/>
    </row>
    <row r="110" spans="12:21" ht="18" customHeight="1">
      <c r="L110" s="1138"/>
      <c r="M110" s="1138"/>
      <c r="N110" s="1138"/>
      <c r="O110" s="1138"/>
      <c r="P110" s="1138"/>
      <c r="Q110" s="1138"/>
      <c r="R110" s="1138"/>
      <c r="S110" s="1138"/>
      <c r="T110" s="1138"/>
      <c r="U110" s="1138"/>
    </row>
    <row r="111" spans="12:21">
      <c r="L111" s="730"/>
      <c r="M111" s="706"/>
      <c r="N111" s="706"/>
      <c r="O111" s="756"/>
      <c r="P111" s="756"/>
      <c r="Q111" s="756"/>
      <c r="R111" s="756"/>
      <c r="S111" s="756"/>
      <c r="T111" s="732"/>
      <c r="U111" s="706"/>
    </row>
    <row r="112" spans="12:21" ht="14" customHeight="1">
      <c r="L112" s="1126"/>
      <c r="M112" s="1138"/>
      <c r="N112" s="1138"/>
      <c r="O112" s="1138"/>
      <c r="P112" s="1138"/>
      <c r="Q112" s="1138"/>
      <c r="R112" s="1138"/>
      <c r="S112" s="1138"/>
      <c r="T112" s="1138"/>
      <c r="U112" s="1138"/>
    </row>
    <row r="113" spans="12:21" ht="14" customHeight="1">
      <c r="L113" s="1138"/>
      <c r="M113" s="1138"/>
      <c r="N113" s="1138"/>
      <c r="O113" s="1138"/>
      <c r="P113" s="1138"/>
      <c r="Q113" s="1138"/>
      <c r="R113" s="1138"/>
      <c r="S113" s="1138"/>
      <c r="T113" s="1138"/>
      <c r="U113" s="1138"/>
    </row>
    <row r="114" spans="12:21" ht="4" customHeight="1">
      <c r="L114" s="706"/>
      <c r="M114" s="706"/>
      <c r="N114" s="706"/>
      <c r="O114" s="706"/>
      <c r="P114" s="706"/>
      <c r="Q114" s="706"/>
      <c r="R114" s="706"/>
      <c r="S114" s="706"/>
      <c r="T114" s="706"/>
      <c r="U114" s="706"/>
    </row>
    <row r="115" spans="12:21">
      <c r="L115" s="1126"/>
      <c r="M115" s="1138"/>
      <c r="N115" s="1138"/>
      <c r="O115" s="1138"/>
      <c r="P115" s="1138"/>
      <c r="Q115" s="1138"/>
      <c r="R115" s="1138"/>
      <c r="S115" s="1138"/>
      <c r="T115" s="1138"/>
      <c r="U115" s="1138"/>
    </row>
    <row r="116" spans="12:21">
      <c r="L116" s="1138"/>
      <c r="M116" s="1138"/>
      <c r="N116" s="1138"/>
      <c r="O116" s="1138"/>
      <c r="P116" s="1138"/>
      <c r="Q116" s="1138"/>
      <c r="R116" s="1138"/>
      <c r="S116" s="1138"/>
      <c r="T116" s="1138"/>
      <c r="U116" s="1138"/>
    </row>
    <row r="117" spans="12:21" ht="18" customHeight="1">
      <c r="L117" s="1138"/>
      <c r="M117" s="1138"/>
      <c r="N117" s="1138"/>
      <c r="O117" s="1138"/>
      <c r="P117" s="1138"/>
      <c r="Q117" s="1138"/>
      <c r="R117" s="1138"/>
      <c r="S117" s="1138"/>
      <c r="T117" s="1138"/>
      <c r="U117" s="1138"/>
    </row>
    <row r="118" spans="12:21" ht="21" customHeight="1">
      <c r="L118" s="1138"/>
      <c r="M118" s="1138"/>
      <c r="N118" s="1138"/>
      <c r="O118" s="1138"/>
      <c r="P118" s="1138"/>
      <c r="Q118" s="1138"/>
      <c r="R118" s="1138"/>
      <c r="S118" s="1138"/>
      <c r="T118" s="1138"/>
      <c r="U118" s="1138"/>
    </row>
    <row r="119" spans="12:21" ht="4" customHeight="1">
      <c r="L119" s="754"/>
      <c r="M119" s="815"/>
      <c r="N119" s="815"/>
      <c r="O119" s="706"/>
      <c r="P119" s="706"/>
      <c r="Q119" s="706"/>
      <c r="R119" s="706"/>
      <c r="S119" s="706"/>
      <c r="T119" s="706"/>
      <c r="U119" s="731"/>
    </row>
    <row r="120" spans="12:21">
      <c r="L120" s="1126"/>
      <c r="M120" s="1138"/>
      <c r="N120" s="1138"/>
      <c r="O120" s="1138"/>
      <c r="P120" s="1138"/>
      <c r="Q120" s="1138"/>
      <c r="R120" s="1138"/>
      <c r="S120" s="1138"/>
      <c r="T120" s="1138"/>
      <c r="U120" s="1138"/>
    </row>
    <row r="121" spans="12:21">
      <c r="L121" s="1138"/>
      <c r="M121" s="1138"/>
      <c r="N121" s="1138"/>
      <c r="O121" s="1138"/>
      <c r="P121" s="1138"/>
      <c r="Q121" s="1138"/>
      <c r="R121" s="1138"/>
      <c r="S121" s="1138"/>
      <c r="T121" s="1138"/>
      <c r="U121" s="1138"/>
    </row>
    <row r="122" spans="12:21" ht="19" customHeight="1">
      <c r="L122" s="1138"/>
      <c r="M122" s="1138"/>
      <c r="N122" s="1138"/>
      <c r="O122" s="1138"/>
      <c r="P122" s="1138"/>
      <c r="Q122" s="1138"/>
      <c r="R122" s="1138"/>
      <c r="S122" s="1138"/>
      <c r="T122" s="1138"/>
      <c r="U122" s="1138"/>
    </row>
    <row r="123" spans="12:21">
      <c r="L123" s="1138"/>
      <c r="M123" s="1138"/>
      <c r="N123" s="1138"/>
      <c r="O123" s="1138"/>
      <c r="P123" s="1138"/>
      <c r="Q123" s="1138"/>
      <c r="R123" s="1138"/>
      <c r="S123" s="1138"/>
      <c r="T123" s="1138"/>
      <c r="U123" s="1138"/>
    </row>
    <row r="124" spans="12:21" ht="3" customHeight="1">
      <c r="L124" s="706"/>
      <c r="M124" s="706"/>
      <c r="N124" s="815"/>
      <c r="O124" s="706"/>
      <c r="P124" s="772"/>
      <c r="Q124" s="706"/>
      <c r="R124" s="706"/>
      <c r="S124" s="706"/>
      <c r="T124" s="706"/>
      <c r="U124" s="731"/>
    </row>
    <row r="125" spans="12:21">
      <c r="L125" s="730"/>
      <c r="M125" s="706"/>
      <c r="N125" s="815"/>
      <c r="O125" s="706"/>
      <c r="P125" s="772"/>
      <c r="Q125" s="706"/>
      <c r="R125" s="706"/>
      <c r="S125" s="706"/>
      <c r="T125" s="706"/>
      <c r="U125" s="731"/>
    </row>
    <row r="126" spans="12:21">
      <c r="L126" s="1139"/>
      <c r="M126" s="1140"/>
      <c r="N126" s="1140"/>
      <c r="O126" s="1140"/>
      <c r="P126" s="1140"/>
      <c r="Q126" s="1140"/>
      <c r="R126" s="1140"/>
      <c r="S126" s="1140"/>
      <c r="T126" s="1140"/>
      <c r="U126" s="1140"/>
    </row>
    <row r="127" spans="12:21">
      <c r="L127" s="1140"/>
      <c r="M127" s="1140"/>
      <c r="N127" s="1140"/>
      <c r="O127" s="1140"/>
      <c r="P127" s="1140"/>
      <c r="Q127" s="1140"/>
      <c r="R127" s="1140"/>
      <c r="S127" s="1140"/>
      <c r="T127" s="1140"/>
      <c r="U127" s="1140"/>
    </row>
    <row r="128" spans="12:21">
      <c r="L128" s="1140"/>
      <c r="M128" s="1140"/>
      <c r="N128" s="1140"/>
      <c r="O128" s="1140"/>
      <c r="P128" s="1140"/>
      <c r="Q128" s="1140"/>
      <c r="R128" s="1140"/>
      <c r="S128" s="1140"/>
      <c r="T128" s="1140"/>
      <c r="U128" s="1140"/>
    </row>
    <row r="129" spans="12:21">
      <c r="L129" s="1140"/>
      <c r="M129" s="1140"/>
      <c r="N129" s="1140"/>
      <c r="O129" s="1140"/>
      <c r="P129" s="1140"/>
      <c r="Q129" s="1140"/>
      <c r="R129" s="1140"/>
      <c r="S129" s="1140"/>
      <c r="T129" s="1140"/>
      <c r="U129" s="1140"/>
    </row>
    <row r="130" spans="12:21" ht="17" customHeight="1">
      <c r="L130" s="1140"/>
      <c r="M130" s="1140"/>
      <c r="N130" s="1140"/>
      <c r="O130" s="1140"/>
      <c r="P130" s="1140"/>
      <c r="Q130" s="1140"/>
      <c r="R130" s="1140"/>
      <c r="S130" s="1140"/>
      <c r="T130" s="1140"/>
      <c r="U130" s="1140"/>
    </row>
    <row r="131" spans="12:21">
      <c r="L131" s="1140"/>
      <c r="M131" s="1140"/>
      <c r="N131" s="1140"/>
      <c r="O131" s="1140"/>
      <c r="P131" s="1140"/>
      <c r="Q131" s="1140"/>
      <c r="R131" s="1140"/>
      <c r="S131" s="1140"/>
      <c r="T131" s="1140"/>
      <c r="U131" s="1140"/>
    </row>
    <row r="132" spans="12:21">
      <c r="L132" s="1140"/>
      <c r="M132" s="1140"/>
      <c r="N132" s="1140"/>
      <c r="O132" s="1140"/>
      <c r="P132" s="1140"/>
      <c r="Q132" s="1140"/>
      <c r="R132" s="1140"/>
      <c r="S132" s="1140"/>
      <c r="T132" s="1140"/>
      <c r="U132" s="1140"/>
    </row>
    <row r="133" spans="12:21">
      <c r="L133" s="1140"/>
      <c r="M133" s="1140"/>
      <c r="N133" s="1140"/>
      <c r="O133" s="1140"/>
      <c r="P133" s="1140"/>
      <c r="Q133" s="1140"/>
      <c r="R133" s="1140"/>
      <c r="S133" s="1140"/>
      <c r="T133" s="1140"/>
      <c r="U133" s="1140"/>
    </row>
    <row r="134" spans="12:21">
      <c r="L134" s="1140"/>
      <c r="M134" s="1140"/>
      <c r="N134" s="1140"/>
      <c r="O134" s="1140"/>
      <c r="P134" s="1140"/>
      <c r="Q134" s="1140"/>
      <c r="R134" s="1140"/>
      <c r="S134" s="1140"/>
      <c r="T134" s="1140"/>
      <c r="U134" s="1140"/>
    </row>
    <row r="135" spans="12:21">
      <c r="L135" s="1140"/>
      <c r="M135" s="1140"/>
      <c r="N135" s="1140"/>
      <c r="O135" s="1140"/>
      <c r="P135" s="1140"/>
      <c r="Q135" s="1140"/>
      <c r="R135" s="1140"/>
      <c r="S135" s="1140"/>
      <c r="T135" s="1140"/>
      <c r="U135" s="1140"/>
    </row>
    <row r="136" spans="12:21">
      <c r="L136" s="1140"/>
      <c r="M136" s="1140"/>
      <c r="N136" s="1140"/>
      <c r="O136" s="1140"/>
      <c r="P136" s="1140"/>
      <c r="Q136" s="1140"/>
      <c r="R136" s="1140"/>
      <c r="S136" s="1140"/>
      <c r="T136" s="1140"/>
      <c r="U136" s="1140"/>
    </row>
    <row r="137" spans="12:21" ht="2" customHeight="1">
      <c r="L137" s="760"/>
      <c r="M137" s="760"/>
      <c r="N137" s="760"/>
      <c r="O137" s="760"/>
      <c r="P137" s="760"/>
      <c r="Q137" s="760"/>
      <c r="R137" s="760"/>
      <c r="S137" s="760"/>
      <c r="T137" s="760"/>
      <c r="U137" s="706"/>
    </row>
    <row r="138" spans="12:21">
      <c r="L138" s="730"/>
      <c r="M138" s="706"/>
      <c r="N138" s="706"/>
      <c r="O138" s="706"/>
      <c r="P138" s="706"/>
      <c r="Q138" s="706"/>
      <c r="R138" s="706"/>
      <c r="S138" s="706"/>
      <c r="T138" s="706"/>
      <c r="U138" s="706"/>
    </row>
    <row r="139" spans="12:21">
      <c r="L139" s="1126"/>
      <c r="M139" s="1138"/>
      <c r="N139" s="1138"/>
      <c r="O139" s="1138"/>
      <c r="P139" s="1138"/>
      <c r="Q139" s="1138"/>
      <c r="R139" s="1138"/>
      <c r="S139" s="1138"/>
      <c r="T139" s="1138"/>
      <c r="U139" s="1138"/>
    </row>
    <row r="140" spans="12:21" ht="10" customHeight="1">
      <c r="L140" s="1138"/>
      <c r="M140" s="1138"/>
      <c r="N140" s="1138"/>
      <c r="O140" s="1138"/>
      <c r="P140" s="1138"/>
      <c r="Q140" s="1138"/>
      <c r="R140" s="1138"/>
      <c r="S140" s="1138"/>
      <c r="T140" s="1138"/>
      <c r="U140" s="1138"/>
    </row>
    <row r="141" spans="12:21" ht="3" customHeight="1">
      <c r="L141" s="756"/>
      <c r="M141" s="756"/>
      <c r="N141" s="756"/>
      <c r="O141" s="756"/>
      <c r="P141" s="756"/>
      <c r="Q141" s="756"/>
      <c r="R141" s="756"/>
      <c r="S141" s="756"/>
      <c r="T141" s="756"/>
      <c r="U141" s="706"/>
    </row>
    <row r="142" spans="12:21">
      <c r="L142" s="1126"/>
      <c r="M142" s="1138"/>
      <c r="N142" s="1138"/>
      <c r="O142" s="1138"/>
      <c r="P142" s="1138"/>
      <c r="Q142" s="1138"/>
      <c r="R142" s="1138"/>
      <c r="S142" s="1138"/>
      <c r="T142" s="1138"/>
      <c r="U142" s="1138"/>
    </row>
    <row r="143" spans="12:21">
      <c r="L143" s="1138"/>
      <c r="M143" s="1138"/>
      <c r="N143" s="1138"/>
      <c r="O143" s="1138"/>
      <c r="P143" s="1138"/>
      <c r="Q143" s="1138"/>
      <c r="R143" s="1138"/>
      <c r="S143" s="1138"/>
      <c r="T143" s="1138"/>
      <c r="U143" s="1138"/>
    </row>
    <row r="144" spans="12:21">
      <c r="L144" s="1138"/>
      <c r="M144" s="1138"/>
      <c r="N144" s="1138"/>
      <c r="O144" s="1138"/>
      <c r="P144" s="1138"/>
      <c r="Q144" s="1138"/>
      <c r="R144" s="1138"/>
      <c r="S144" s="1138"/>
      <c r="T144" s="1138"/>
      <c r="U144" s="1138"/>
    </row>
    <row r="145" spans="12:21" ht="3" customHeight="1">
      <c r="L145" s="706"/>
      <c r="M145" s="706"/>
      <c r="N145" s="706"/>
      <c r="O145" s="706"/>
      <c r="P145" s="706"/>
      <c r="Q145" s="706"/>
      <c r="R145" s="706"/>
      <c r="S145" s="706"/>
      <c r="T145" s="706"/>
      <c r="U145" s="706"/>
    </row>
    <row r="146" spans="12:21">
      <c r="L146" s="730"/>
      <c r="M146" s="760"/>
      <c r="N146" s="760"/>
      <c r="O146" s="760"/>
      <c r="P146" s="760"/>
      <c r="Q146" s="760"/>
      <c r="R146" s="760"/>
      <c r="S146" s="760"/>
      <c r="T146" s="760"/>
      <c r="U146" s="706"/>
    </row>
    <row r="147" spans="12:21">
      <c r="L147" s="730"/>
      <c r="M147" s="816"/>
      <c r="N147" s="817"/>
      <c r="O147" s="730"/>
      <c r="P147" s="760"/>
      <c r="Q147" s="760"/>
      <c r="R147" s="756"/>
      <c r="S147" s="760"/>
      <c r="T147" s="760"/>
      <c r="U147" s="706"/>
    </row>
    <row r="148" spans="12:21">
      <c r="L148" s="818"/>
      <c r="M148" s="819"/>
      <c r="N148" s="820"/>
      <c r="O148" s="706"/>
      <c r="P148" s="706"/>
      <c r="Q148" s="706"/>
      <c r="R148" s="821"/>
      <c r="S148" s="706"/>
      <c r="T148" s="706"/>
      <c r="U148" s="820"/>
    </row>
    <row r="149" spans="12:21">
      <c r="L149" s="806"/>
      <c r="M149" s="706"/>
      <c r="N149" s="804"/>
      <c r="O149" s="803"/>
      <c r="P149" s="756"/>
      <c r="Q149" s="756"/>
      <c r="R149" s="756"/>
      <c r="S149" s="756"/>
      <c r="T149" s="706"/>
      <c r="U149" s="804"/>
    </row>
    <row r="150" spans="12:21">
      <c r="L150" s="706"/>
      <c r="M150" s="706"/>
      <c r="N150" s="706"/>
      <c r="O150" s="706"/>
      <c r="P150" s="706"/>
      <c r="Q150" s="706"/>
      <c r="R150" s="706"/>
      <c r="S150" s="706"/>
      <c r="T150" s="706"/>
      <c r="U150" s="706"/>
    </row>
    <row r="151" spans="12:21">
      <c r="L151" s="697"/>
      <c r="M151" s="697"/>
      <c r="N151" s="697"/>
      <c r="O151" s="697"/>
      <c r="P151" s="697"/>
      <c r="Q151" s="697"/>
      <c r="R151" s="697"/>
      <c r="S151" s="697"/>
      <c r="T151" s="697"/>
      <c r="U151" s="697"/>
    </row>
    <row r="152" spans="12:21">
      <c r="L152" s="697"/>
      <c r="M152" s="697"/>
      <c r="N152" s="697"/>
      <c r="O152" s="697"/>
      <c r="P152" s="697"/>
      <c r="Q152" s="697"/>
      <c r="R152" s="697"/>
      <c r="S152" s="697"/>
      <c r="T152" s="697"/>
      <c r="U152" s="697"/>
    </row>
  </sheetData>
  <sheetProtection selectLockedCells="1"/>
  <mergeCells count="39">
    <mergeCell ref="L142:U144"/>
    <mergeCell ref="B63:C63"/>
    <mergeCell ref="L98:N99"/>
    <mergeCell ref="L102:U104"/>
    <mergeCell ref="L105:U106"/>
    <mergeCell ref="L107:U110"/>
    <mergeCell ref="L112:U113"/>
    <mergeCell ref="L115:U118"/>
    <mergeCell ref="L64:U65"/>
    <mergeCell ref="L67:U70"/>
    <mergeCell ref="L139:U140"/>
    <mergeCell ref="L45:U48"/>
    <mergeCell ref="L50:U62"/>
    <mergeCell ref="B52:H53"/>
    <mergeCell ref="L120:U123"/>
    <mergeCell ref="L126:U136"/>
    <mergeCell ref="M78:N78"/>
    <mergeCell ref="U89:U90"/>
    <mergeCell ref="O94:Q95"/>
    <mergeCell ref="L95:M96"/>
    <mergeCell ref="A26:J27"/>
    <mergeCell ref="L26:U28"/>
    <mergeCell ref="A28:J29"/>
    <mergeCell ref="L29:U32"/>
    <mergeCell ref="B33:J33"/>
    <mergeCell ref="A36:I37"/>
    <mergeCell ref="L37:U38"/>
    <mergeCell ref="L39:U44"/>
    <mergeCell ref="A41:J44"/>
    <mergeCell ref="B34:J34"/>
    <mergeCell ref="L34:U35"/>
    <mergeCell ref="M3:N3"/>
    <mergeCell ref="B4:C4"/>
    <mergeCell ref="P16:U20"/>
    <mergeCell ref="A19:I22"/>
    <mergeCell ref="L20:M21"/>
    <mergeCell ref="P22:U24"/>
    <mergeCell ref="E23:H23"/>
    <mergeCell ref="L23:O24"/>
  </mergeCells>
  <phoneticPr fontId="31" type="noConversion"/>
  <printOptions horizontalCentered="1" verticalCentered="1"/>
  <pageMargins left="0.5" right="0.5" top="0.5" bottom="0.5" header="0.5" footer="0.5"/>
  <pageSetup scale="78" fitToWidth="2" pageOrder="overThenDown" orientation="portrait" horizontalDpi="300" verticalDpi="300"/>
  <colBreaks count="1" manualBreakCount="1">
    <brk id="11" max="1048575" man="1"/>
  </colBreaks>
  <drawing r:id="rId1"/>
  <extLst>
    <ext xmlns:mx="http://schemas.microsoft.com/office/mac/excel/2008/main" uri="{64002731-A6B0-56B0-2670-7721B7C09600}">
      <mx:PLV Mode="1"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pageSetUpPr fitToPage="1"/>
  </sheetPr>
  <dimension ref="A1:U152"/>
  <sheetViews>
    <sheetView showZeros="0" view="pageLayout" topLeftCell="A11" workbookViewId="0">
      <selection activeCell="B36" sqref="B36"/>
    </sheetView>
  </sheetViews>
  <sheetFormatPr baseColWidth="10" defaultRowHeight="12" x14ac:dyDescent="0"/>
  <cols>
    <col min="1" max="1" width="17.7109375" style="697" customWidth="1"/>
    <col min="2" max="2" width="12.85546875" style="697" customWidth="1"/>
    <col min="3" max="3" width="16.85546875" style="697" customWidth="1"/>
    <col min="4" max="4" width="11.7109375" style="697" customWidth="1"/>
    <col min="5" max="5" width="3.5703125" style="697" customWidth="1"/>
    <col min="6" max="6" width="3" style="697" customWidth="1"/>
    <col min="7" max="7" width="2.42578125" style="697" customWidth="1"/>
    <col min="8" max="8" width="2.28515625" style="697" customWidth="1"/>
    <col min="9" max="9" width="13" style="697" customWidth="1"/>
    <col min="10" max="10" width="4.28515625" style="697" customWidth="1"/>
    <col min="11" max="11" width="5.28515625" style="697" customWidth="1"/>
    <col min="12" max="12" width="15" style="69" customWidth="1"/>
    <col min="13" max="13" width="10.42578125" style="69" customWidth="1"/>
    <col min="14" max="14" width="8.140625" style="69" customWidth="1"/>
    <col min="15" max="15" width="11" style="69" customWidth="1"/>
    <col min="16" max="16" width="10.7109375" style="69"/>
    <col min="17" max="17" width="7.42578125" style="69" customWidth="1"/>
    <col min="18" max="18" width="6" style="69" customWidth="1"/>
    <col min="19" max="19" width="4.28515625" style="69" customWidth="1"/>
    <col min="20" max="20" width="10.7109375" style="69"/>
    <col min="21" max="21" width="12.140625" style="69" customWidth="1"/>
    <col min="22" max="16384" width="10.7109375" style="69"/>
  </cols>
  <sheetData>
    <row r="1" spans="1:21" ht="15" customHeight="1">
      <c r="A1" s="696" t="s">
        <v>196</v>
      </c>
      <c r="L1" s="696" t="s">
        <v>197</v>
      </c>
      <c r="M1" s="697"/>
      <c r="N1" s="697"/>
      <c r="O1" s="697"/>
      <c r="P1" s="697"/>
      <c r="Q1" s="697"/>
      <c r="R1" s="697"/>
      <c r="S1" s="697"/>
      <c r="T1" s="697"/>
      <c r="U1" s="697"/>
    </row>
    <row r="2" spans="1:21" ht="14" customHeight="1">
      <c r="A2" s="696" t="s">
        <v>198</v>
      </c>
      <c r="L2" s="696" t="s">
        <v>198</v>
      </c>
      <c r="M2" s="697"/>
      <c r="N2" s="697"/>
      <c r="O2" s="697"/>
      <c r="P2" s="697"/>
      <c r="Q2" s="697"/>
      <c r="R2" s="697"/>
      <c r="S2" s="697"/>
      <c r="T2" s="697"/>
      <c r="U2" s="697"/>
    </row>
    <row r="3" spans="1:21" ht="27" customHeight="1">
      <c r="J3" s="698" t="s">
        <v>199</v>
      </c>
      <c r="L3" s="699" t="s">
        <v>200</v>
      </c>
      <c r="M3" s="1098" t="str">
        <f>B4</f>
        <v>D.J. Rosebaugh</v>
      </c>
      <c r="N3" s="1099"/>
      <c r="O3" s="697"/>
      <c r="P3" s="697"/>
      <c r="Q3" s="697"/>
      <c r="R3" s="697"/>
      <c r="S3" s="697"/>
      <c r="T3" s="697"/>
      <c r="U3" s="697"/>
    </row>
    <row r="4" spans="1:21" ht="13" customHeight="1">
      <c r="A4" s="701" t="s">
        <v>201</v>
      </c>
      <c r="B4" s="1158" t="str">
        <f>'1 Customer Record'!C11</f>
        <v>D.J. Rosebaugh</v>
      </c>
      <c r="C4" s="1159"/>
      <c r="J4" s="698" t="s">
        <v>202</v>
      </c>
      <c r="K4" s="701"/>
      <c r="L4" s="699" t="s">
        <v>203</v>
      </c>
      <c r="M4" s="702" t="str">
        <f>B5</f>
        <v>Suzy</v>
      </c>
      <c r="N4" s="703" t="str">
        <f>C5</f>
        <v>Solar</v>
      </c>
      <c r="O4" s="704"/>
      <c r="P4" s="704"/>
      <c r="Q4" s="704"/>
      <c r="R4" s="704"/>
      <c r="S4" s="699" t="s">
        <v>204</v>
      </c>
      <c r="T4" s="705">
        <f>I5</f>
        <v>0</v>
      </c>
      <c r="U4" s="706"/>
    </row>
    <row r="5" spans="1:21" ht="16" customHeight="1">
      <c r="A5" s="707" t="s">
        <v>203</v>
      </c>
      <c r="B5" s="822" t="str">
        <f>'1 Customer Record'!C12</f>
        <v>Suzy</v>
      </c>
      <c r="C5" s="822" t="str">
        <f>'1 Customer Record'!D12</f>
        <v>Solar</v>
      </c>
      <c r="D5" s="708"/>
      <c r="E5" s="708"/>
      <c r="F5" s="708"/>
      <c r="G5" s="708"/>
      <c r="H5" s="707" t="s">
        <v>204</v>
      </c>
      <c r="I5" s="709">
        <f>'1 Customer Record'!H8</f>
        <v>0</v>
      </c>
      <c r="J5" s="710"/>
      <c r="K5" s="701"/>
      <c r="L5" s="699" t="s">
        <v>205</v>
      </c>
      <c r="M5" s="711" t="str">
        <f>B7</f>
        <v>512-476-5555</v>
      </c>
      <c r="N5" s="711"/>
      <c r="O5" s="704"/>
      <c r="P5" s="704"/>
      <c r="Q5" s="704"/>
      <c r="R5" s="704"/>
      <c r="S5" s="699" t="s">
        <v>206</v>
      </c>
      <c r="T5" s="700">
        <f>I7</f>
        <v>0</v>
      </c>
      <c r="U5" s="706"/>
    </row>
    <row r="6" spans="1:21" ht="5" customHeight="1">
      <c r="A6" s="712"/>
      <c r="B6" s="708"/>
      <c r="C6" s="708"/>
      <c r="D6" s="708"/>
      <c r="E6" s="708"/>
      <c r="F6" s="708"/>
      <c r="G6" s="708"/>
      <c r="H6" s="708"/>
      <c r="I6" s="708"/>
      <c r="O6" s="704"/>
      <c r="P6" s="704"/>
      <c r="Q6" s="704"/>
      <c r="R6" s="704"/>
      <c r="U6" s="706"/>
    </row>
    <row r="7" spans="1:21">
      <c r="A7" s="707" t="s">
        <v>205</v>
      </c>
      <c r="B7" s="713" t="str">
        <f>'1 Customer Record'!C13</f>
        <v>512-476-5555</v>
      </c>
      <c r="C7" s="714"/>
      <c r="D7" s="708"/>
      <c r="E7" s="708"/>
      <c r="F7" s="708"/>
      <c r="G7" s="708"/>
      <c r="H7" s="707" t="s">
        <v>207</v>
      </c>
      <c r="I7" s="715">
        <f>'1 Customer Record'!H9</f>
        <v>0</v>
      </c>
      <c r="J7" s="710"/>
      <c r="L7" s="699" t="s">
        <v>208</v>
      </c>
      <c r="M7" s="716" t="str">
        <f>B9</f>
        <v>austin@lighthousesolar.com</v>
      </c>
      <c r="N7" s="703"/>
      <c r="O7" s="704"/>
      <c r="P7" s="704"/>
      <c r="Q7" s="704"/>
      <c r="R7" s="704"/>
      <c r="S7" s="699" t="s">
        <v>209</v>
      </c>
      <c r="T7" s="700">
        <f>I9</f>
        <v>0</v>
      </c>
      <c r="U7" s="706"/>
    </row>
    <row r="8" spans="1:21" ht="6" customHeight="1">
      <c r="A8" s="712"/>
      <c r="B8" s="717"/>
      <c r="C8" s="717"/>
      <c r="D8" s="708"/>
      <c r="E8" s="708"/>
      <c r="F8" s="708"/>
      <c r="G8" s="708"/>
      <c r="H8" s="707"/>
      <c r="I8" s="708"/>
      <c r="O8" s="704"/>
      <c r="P8" s="704"/>
      <c r="Q8" s="704"/>
      <c r="R8" s="704"/>
      <c r="U8" s="706"/>
    </row>
    <row r="9" spans="1:21">
      <c r="A9" s="707" t="s">
        <v>208</v>
      </c>
      <c r="B9" s="718" t="str">
        <f>'1 Customer Record'!C14</f>
        <v>austin@lighthousesolar.com</v>
      </c>
      <c r="C9" s="714"/>
      <c r="D9" s="708"/>
      <c r="E9" s="708"/>
      <c r="F9" s="708"/>
      <c r="G9" s="708"/>
      <c r="H9" s="707" t="s">
        <v>210</v>
      </c>
      <c r="I9" s="715">
        <f>'1 Customer Record'!H10</f>
        <v>0</v>
      </c>
      <c r="J9" s="710"/>
      <c r="L9" s="699" t="s">
        <v>211</v>
      </c>
      <c r="M9" s="703" t="str">
        <f>B11</f>
        <v>123 Sunshine Court</v>
      </c>
      <c r="N9" s="703"/>
      <c r="O9" s="704"/>
      <c r="P9" s="704"/>
      <c r="Q9" s="704"/>
      <c r="R9" s="704"/>
      <c r="S9" s="699" t="s">
        <v>212</v>
      </c>
      <c r="T9" s="719">
        <f>I11</f>
        <v>0</v>
      </c>
      <c r="U9" s="706"/>
    </row>
    <row r="10" spans="1:21" ht="6" customHeight="1">
      <c r="A10" s="712"/>
      <c r="B10" s="708"/>
      <c r="C10" s="708"/>
      <c r="D10" s="708"/>
      <c r="E10" s="708"/>
      <c r="F10" s="708"/>
      <c r="G10" s="708"/>
      <c r="H10" s="708"/>
      <c r="I10" s="708"/>
      <c r="J10" s="706"/>
      <c r="O10" s="704"/>
      <c r="P10" s="704"/>
      <c r="U10" s="720"/>
    </row>
    <row r="11" spans="1:21">
      <c r="A11" s="707" t="s">
        <v>211</v>
      </c>
      <c r="B11" s="721" t="str">
        <f>'1 Customer Record'!C15</f>
        <v>123 Sunshine Court</v>
      </c>
      <c r="C11" s="721"/>
      <c r="G11" s="708"/>
      <c r="H11" s="707" t="s">
        <v>213</v>
      </c>
      <c r="I11" s="715">
        <f>'1 Customer Record'!C20</f>
        <v>0</v>
      </c>
      <c r="J11" s="722"/>
      <c r="L11" s="704"/>
      <c r="M11" s="703" t="str">
        <f>B13</f>
        <v>Dripping Springs, TX 78620</v>
      </c>
      <c r="N11" s="703"/>
      <c r="O11" s="704"/>
      <c r="P11" s="704"/>
      <c r="Q11" s="704"/>
      <c r="R11" s="704"/>
      <c r="S11" s="699" t="s">
        <v>214</v>
      </c>
      <c r="T11" s="723">
        <f>I13</f>
        <v>0</v>
      </c>
      <c r="U11" s="720"/>
    </row>
    <row r="12" spans="1:21" ht="6" customHeight="1">
      <c r="A12" s="707"/>
      <c r="B12" s="708"/>
      <c r="C12" s="724"/>
      <c r="D12" s="708"/>
      <c r="E12" s="708"/>
      <c r="F12" s="708"/>
      <c r="G12" s="708"/>
      <c r="H12" s="708"/>
      <c r="I12" s="725"/>
      <c r="J12" s="720"/>
      <c r="O12" s="704"/>
      <c r="P12" s="704"/>
      <c r="U12" s="720"/>
    </row>
    <row r="13" spans="1:21">
      <c r="A13" s="707" t="s">
        <v>215</v>
      </c>
      <c r="B13" s="721" t="str">
        <f>'1 Customer Record'!C16</f>
        <v>Dripping Springs, TX 78620</v>
      </c>
      <c r="C13" s="721"/>
      <c r="D13" s="708"/>
      <c r="E13" s="708"/>
      <c r="F13" s="708"/>
      <c r="G13" s="708"/>
      <c r="H13" s="707" t="s">
        <v>216</v>
      </c>
      <c r="I13" s="726">
        <f>'1 Customer Record'!C21</f>
        <v>0</v>
      </c>
      <c r="J13" s="722"/>
      <c r="L13" s="699" t="s">
        <v>121</v>
      </c>
      <c r="M13" s="703" t="str">
        <f>B15</f>
        <v>PEC</v>
      </c>
      <c r="N13" s="703"/>
      <c r="O13" s="703"/>
      <c r="P13" s="703"/>
      <c r="Q13" s="703"/>
      <c r="R13" s="703"/>
      <c r="S13" s="727" t="s">
        <v>122</v>
      </c>
      <c r="T13" s="700">
        <f>I15</f>
        <v>0</v>
      </c>
      <c r="U13" s="706"/>
    </row>
    <row r="14" spans="1:21" ht="4" customHeight="1">
      <c r="A14" s="708"/>
      <c r="B14" s="724"/>
      <c r="C14" s="724"/>
      <c r="D14" s="708"/>
      <c r="E14" s="708"/>
      <c r="F14" s="708"/>
      <c r="G14" s="708"/>
      <c r="H14" s="707"/>
      <c r="I14" s="728"/>
      <c r="J14" s="706"/>
      <c r="L14" s="729"/>
      <c r="U14" s="1143"/>
    </row>
    <row r="15" spans="1:21" ht="12" customHeight="1" thickBot="1">
      <c r="A15" s="707" t="s">
        <v>123</v>
      </c>
      <c r="B15" s="721" t="str">
        <f>'1 Customer Record'!C19</f>
        <v>PEC</v>
      </c>
      <c r="C15" s="721"/>
      <c r="D15" s="708"/>
      <c r="E15" s="708"/>
      <c r="F15" s="708"/>
      <c r="G15" s="708"/>
      <c r="H15" s="707" t="s">
        <v>124</v>
      </c>
      <c r="I15" s="715">
        <f>'1 Customer Record'!H11</f>
        <v>0</v>
      </c>
      <c r="J15" s="710"/>
      <c r="L15" s="730" t="s">
        <v>125</v>
      </c>
      <c r="M15" s="704"/>
      <c r="N15" s="704"/>
      <c r="O15" s="731"/>
      <c r="P15" s="1160" t="s">
        <v>126</v>
      </c>
      <c r="Q15" s="1104"/>
      <c r="R15" s="1104"/>
      <c r="S15" s="731"/>
      <c r="T15" s="731"/>
      <c r="U15" s="1144"/>
    </row>
    <row r="16" spans="1:21" ht="15" customHeight="1" thickBot="1">
      <c r="A16" s="733" t="s">
        <v>127</v>
      </c>
      <c r="B16" s="708"/>
      <c r="C16" s="708"/>
      <c r="D16" s="708"/>
      <c r="E16" s="708"/>
      <c r="F16" s="708"/>
      <c r="G16" s="708"/>
      <c r="H16" s="708"/>
      <c r="I16" s="708"/>
      <c r="L16" s="699" t="s">
        <v>128</v>
      </c>
      <c r="M16" s="734">
        <f>'4 Dividend Financed Bid'!G43</f>
        <v>17127.84</v>
      </c>
      <c r="N16" s="697"/>
      <c r="O16" s="697"/>
      <c r="P16" s="1151" t="s">
        <v>129</v>
      </c>
      <c r="Q16" s="1104"/>
      <c r="R16" s="1104"/>
      <c r="S16" s="735"/>
      <c r="T16" s="734">
        <f>(M19)</f>
        <v>17127.84</v>
      </c>
      <c r="U16" s="811"/>
    </row>
    <row r="17" spans="1:21" ht="14" customHeight="1" thickBot="1">
      <c r="A17" s="737" t="s">
        <v>130</v>
      </c>
      <c r="B17" s="737">
        <f>'Cash Bid'!G12</f>
        <v>6</v>
      </c>
      <c r="C17" s="737" t="s">
        <v>131</v>
      </c>
      <c r="D17" s="737">
        <f>B17*0.8</f>
        <v>4.8000000000000007</v>
      </c>
      <c r="E17" s="737" t="s">
        <v>132</v>
      </c>
      <c r="F17" s="708"/>
      <c r="G17" s="708"/>
      <c r="H17" s="708"/>
      <c r="I17" s="708"/>
      <c r="L17" s="699"/>
      <c r="M17" s="736">
        <f>'[3]Customer Record'!F6</f>
        <v>0</v>
      </c>
      <c r="N17" s="697"/>
      <c r="O17" s="1151" t="s">
        <v>133</v>
      </c>
      <c r="P17" s="1104"/>
      <c r="Q17" s="1104"/>
      <c r="R17" s="1104"/>
      <c r="S17" s="738"/>
      <c r="T17" s="739">
        <f>0.5*(T16)</f>
        <v>8563.92</v>
      </c>
      <c r="U17" s="811"/>
    </row>
    <row r="18" spans="1:21" ht="14" customHeight="1" thickBot="1">
      <c r="A18" s="740" t="s">
        <v>134</v>
      </c>
      <c r="B18" s="741"/>
      <c r="C18" s="741"/>
      <c r="D18" s="741"/>
      <c r="E18" s="741"/>
      <c r="F18" s="741"/>
      <c r="G18" s="741"/>
      <c r="H18" s="741"/>
      <c r="I18" s="741"/>
      <c r="J18" s="741"/>
      <c r="L18" s="732" t="s">
        <v>135</v>
      </c>
      <c r="M18" s="742">
        <f>'4 Dividend Financed Bid'!G42</f>
        <v>0</v>
      </c>
      <c r="N18" s="1152" t="s">
        <v>136</v>
      </c>
      <c r="O18" s="1104"/>
      <c r="P18" s="1104"/>
      <c r="Q18" s="1104"/>
      <c r="R18" s="1104"/>
      <c r="S18" s="738"/>
      <c r="T18" s="739">
        <f>0.4*T16</f>
        <v>6851.1360000000004</v>
      </c>
      <c r="U18" s="811"/>
    </row>
    <row r="19" spans="1:21" ht="12" customHeight="1" thickBot="1">
      <c r="A19" s="1105" t="s">
        <v>137</v>
      </c>
      <c r="B19" s="1106"/>
      <c r="C19" s="1106"/>
      <c r="D19" s="1106"/>
      <c r="E19" s="1106"/>
      <c r="F19" s="1106"/>
      <c r="G19" s="1106"/>
      <c r="H19" s="1106"/>
      <c r="I19" s="1106"/>
      <c r="J19" s="706"/>
      <c r="L19" s="732" t="s">
        <v>138</v>
      </c>
      <c r="M19" s="734">
        <f>M16+M17+M18+M20</f>
        <v>17127.84</v>
      </c>
      <c r="N19" s="743"/>
      <c r="P19" s="1153" t="s">
        <v>139</v>
      </c>
      <c r="Q19" s="1104"/>
      <c r="R19" s="1104"/>
      <c r="S19" s="738"/>
      <c r="T19" s="744"/>
      <c r="U19" s="811"/>
    </row>
    <row r="20" spans="1:21" ht="12" customHeight="1" thickBot="1">
      <c r="A20" s="1107"/>
      <c r="B20" s="1107"/>
      <c r="C20" s="1107"/>
      <c r="D20" s="1107"/>
      <c r="E20" s="1107"/>
      <c r="F20" s="1107"/>
      <c r="G20" s="1107"/>
      <c r="H20" s="1107"/>
      <c r="I20" s="1107"/>
      <c r="J20" s="745"/>
      <c r="L20" s="1146" t="s">
        <v>140</v>
      </c>
      <c r="M20" s="1137"/>
      <c r="N20" s="704"/>
      <c r="O20" s="746"/>
      <c r="P20" s="1104"/>
      <c r="Q20" s="1104"/>
      <c r="R20" s="1104"/>
      <c r="S20" s="697"/>
      <c r="T20" s="739">
        <f>T16*0.1</f>
        <v>1712.7840000000001</v>
      </c>
      <c r="U20" s="811"/>
    </row>
    <row r="21" spans="1:21" s="747" customFormat="1" ht="11" customHeight="1" thickBot="1">
      <c r="A21" s="1107"/>
      <c r="B21" s="1107"/>
      <c r="C21" s="1107"/>
      <c r="D21" s="1107"/>
      <c r="E21" s="1107"/>
      <c r="F21" s="1107"/>
      <c r="G21" s="1107"/>
      <c r="H21" s="1107"/>
      <c r="I21" s="1107"/>
      <c r="J21" s="746"/>
      <c r="L21" s="1137"/>
      <c r="M21" s="1137"/>
      <c r="N21" s="745"/>
      <c r="O21" s="1151" t="s">
        <v>141</v>
      </c>
      <c r="P21" s="1104"/>
      <c r="Q21" s="1104"/>
      <c r="R21" s="1104"/>
      <c r="S21" s="738"/>
      <c r="T21" s="928">
        <f>T16</f>
        <v>17127.84</v>
      </c>
      <c r="U21" s="811"/>
    </row>
    <row r="22" spans="1:21" s="748" customFormat="1" ht="11" customHeight="1">
      <c r="A22" s="1108"/>
      <c r="B22" s="1108"/>
      <c r="C22" s="1108"/>
      <c r="D22" s="1108"/>
      <c r="E22" s="1108"/>
      <c r="F22" s="1108"/>
      <c r="G22" s="1108"/>
      <c r="H22" s="1108"/>
      <c r="I22" s="1108"/>
      <c r="J22" s="746"/>
      <c r="L22" s="732" t="s">
        <v>142</v>
      </c>
      <c r="M22" s="745"/>
      <c r="N22" s="745"/>
      <c r="O22" s="697"/>
      <c r="P22" s="697"/>
      <c r="Q22" s="697"/>
      <c r="R22" s="697"/>
      <c r="S22" s="697"/>
      <c r="T22" s="697"/>
      <c r="U22" s="697"/>
    </row>
    <row r="23" spans="1:21" s="748" customFormat="1" ht="12" customHeight="1">
      <c r="A23" s="749" t="s">
        <v>143</v>
      </c>
      <c r="B23" s="749" t="s">
        <v>144</v>
      </c>
      <c r="C23" s="749" t="s">
        <v>145</v>
      </c>
      <c r="D23" s="749" t="s">
        <v>146</v>
      </c>
      <c r="E23" s="1112" t="s">
        <v>147</v>
      </c>
      <c r="F23" s="1113"/>
      <c r="G23" s="1113"/>
      <c r="H23" s="1114"/>
      <c r="I23" s="749" t="s">
        <v>148</v>
      </c>
      <c r="J23" s="750"/>
      <c r="L23" s="1154" t="s">
        <v>149</v>
      </c>
      <c r="M23" s="1154"/>
      <c r="N23" s="1155"/>
      <c r="O23" s="1104"/>
      <c r="P23" s="712"/>
      <c r="Q23" s="707" t="s">
        <v>150</v>
      </c>
      <c r="R23" s="751"/>
      <c r="S23" s="1156" t="s">
        <v>678</v>
      </c>
      <c r="T23" s="1157"/>
      <c r="U23" s="752"/>
    </row>
    <row r="24" spans="1:21" ht="17" customHeight="1" thickBot="1">
      <c r="A24" s="740" t="s">
        <v>151</v>
      </c>
      <c r="B24" s="741"/>
      <c r="C24" s="741"/>
      <c r="D24" s="741"/>
      <c r="E24" s="741"/>
      <c r="F24" s="741"/>
      <c r="G24" s="741"/>
      <c r="H24" s="741"/>
      <c r="I24" s="741"/>
      <c r="J24" s="741"/>
      <c r="L24" s="1116"/>
      <c r="M24" s="1116"/>
      <c r="N24" s="1117"/>
      <c r="O24" s="1104"/>
      <c r="P24" s="712"/>
      <c r="Q24" s="712"/>
      <c r="R24" s="707" t="s">
        <v>113</v>
      </c>
      <c r="S24" s="710"/>
      <c r="T24" s="710"/>
      <c r="U24" s="753" t="s">
        <v>114</v>
      </c>
    </row>
    <row r="25" spans="1:21" ht="3" customHeight="1">
      <c r="A25" s="754"/>
      <c r="B25" s="706"/>
      <c r="C25" s="706"/>
      <c r="D25" s="706"/>
      <c r="E25" s="706"/>
      <c r="F25" s="706"/>
      <c r="G25" s="706"/>
      <c r="H25" s="706"/>
      <c r="I25" s="706"/>
      <c r="J25" s="706"/>
      <c r="L25" s="754"/>
      <c r="M25" s="731"/>
      <c r="N25" s="755"/>
      <c r="O25" s="704"/>
      <c r="P25" s="756"/>
      <c r="Q25" s="697"/>
      <c r="R25" s="697"/>
      <c r="S25" s="697"/>
      <c r="T25" s="697"/>
      <c r="U25" s="731"/>
    </row>
    <row r="26" spans="1:21" ht="10" customHeight="1">
      <c r="A26" s="1132" t="s">
        <v>115</v>
      </c>
      <c r="B26" s="1127"/>
      <c r="C26" s="1127"/>
      <c r="D26" s="1127"/>
      <c r="E26" s="1127"/>
      <c r="F26" s="1127"/>
      <c r="G26" s="1127"/>
      <c r="H26" s="1127"/>
      <c r="I26" s="1127"/>
      <c r="J26" s="1127"/>
      <c r="L26" s="757" t="s">
        <v>116</v>
      </c>
      <c r="M26" s="697"/>
      <c r="N26" s="697"/>
      <c r="O26" s="697"/>
      <c r="P26" s="697"/>
      <c r="Q26" s="697"/>
      <c r="R26" s="697"/>
      <c r="S26" s="697"/>
      <c r="T26" s="697"/>
      <c r="U26" s="731"/>
    </row>
    <row r="27" spans="1:21" ht="14" customHeight="1">
      <c r="A27" s="1127"/>
      <c r="B27" s="1127"/>
      <c r="C27" s="1127"/>
      <c r="D27" s="1127"/>
      <c r="E27" s="1127"/>
      <c r="F27" s="1127"/>
      <c r="G27" s="1127"/>
      <c r="H27" s="1127"/>
      <c r="I27" s="1127"/>
      <c r="J27" s="1127"/>
      <c r="L27" s="1135" t="s">
        <v>117</v>
      </c>
      <c r="M27" s="1127"/>
      <c r="N27" s="1127"/>
      <c r="O27" s="1127"/>
      <c r="P27" s="1127"/>
      <c r="Q27" s="1127"/>
      <c r="R27" s="1127"/>
      <c r="S27" s="1127"/>
      <c r="T27" s="1127"/>
      <c r="U27" s="1127"/>
    </row>
    <row r="28" spans="1:21" ht="11" customHeight="1">
      <c r="A28" s="1132" t="s">
        <v>118</v>
      </c>
      <c r="B28" s="1132"/>
      <c r="C28" s="1132"/>
      <c r="D28" s="1132"/>
      <c r="E28" s="1132"/>
      <c r="F28" s="1132"/>
      <c r="G28" s="1132"/>
      <c r="H28" s="1132"/>
      <c r="I28" s="1132"/>
      <c r="J28" s="1132"/>
      <c r="L28" s="1127"/>
      <c r="M28" s="1127"/>
      <c r="N28" s="1127"/>
      <c r="O28" s="1127"/>
      <c r="P28" s="1127"/>
      <c r="Q28" s="1127"/>
      <c r="R28" s="1127"/>
      <c r="S28" s="1127"/>
      <c r="T28" s="1127"/>
      <c r="U28" s="1127"/>
    </row>
    <row r="29" spans="1:21" ht="12" customHeight="1">
      <c r="A29" s="1132"/>
      <c r="B29" s="1132"/>
      <c r="C29" s="1132"/>
      <c r="D29" s="1132"/>
      <c r="E29" s="1132"/>
      <c r="F29" s="1132"/>
      <c r="G29" s="1132"/>
      <c r="H29" s="1132"/>
      <c r="I29" s="1132"/>
      <c r="J29" s="1132"/>
      <c r="L29" s="1127"/>
      <c r="M29" s="1127"/>
      <c r="N29" s="1127"/>
      <c r="O29" s="1127"/>
      <c r="P29" s="1127"/>
      <c r="Q29" s="1127"/>
      <c r="R29" s="1127"/>
      <c r="S29" s="1127"/>
      <c r="T29" s="1127"/>
      <c r="U29" s="1127"/>
    </row>
    <row r="30" spans="1:21" ht="12" customHeight="1">
      <c r="A30" s="758" t="s">
        <v>119</v>
      </c>
      <c r="B30" s="708"/>
      <c r="C30" s="708"/>
      <c r="D30" s="708"/>
      <c r="E30" s="708"/>
      <c r="F30" s="708"/>
      <c r="G30" s="708"/>
      <c r="H30" s="708"/>
      <c r="I30" s="708"/>
      <c r="J30" s="708"/>
      <c r="L30" s="1133" t="s">
        <v>120</v>
      </c>
      <c r="M30" s="1134"/>
      <c r="N30" s="1134"/>
      <c r="O30" s="1134"/>
      <c r="P30" s="1134"/>
      <c r="Q30" s="1134"/>
      <c r="R30" s="1134"/>
      <c r="S30" s="1134"/>
      <c r="T30" s="1134"/>
      <c r="U30" s="1134"/>
    </row>
    <row r="31" spans="1:21" s="759" customFormat="1" ht="10" customHeight="1">
      <c r="A31" s="758" t="s">
        <v>104</v>
      </c>
      <c r="J31" s="708"/>
      <c r="K31" s="697"/>
      <c r="L31" s="1134"/>
      <c r="M31" s="1134"/>
      <c r="N31" s="1134"/>
      <c r="O31" s="1134"/>
      <c r="P31" s="1134"/>
      <c r="Q31" s="1134"/>
      <c r="R31" s="1134"/>
      <c r="S31" s="1134"/>
      <c r="T31" s="1134"/>
      <c r="U31" s="1134"/>
    </row>
    <row r="32" spans="1:21" s="759" customFormat="1" ht="14" customHeight="1">
      <c r="A32" s="758" t="s">
        <v>105</v>
      </c>
      <c r="B32" s="697"/>
      <c r="C32" s="708" t="s">
        <v>7</v>
      </c>
      <c r="J32" s="708"/>
      <c r="K32" s="697"/>
      <c r="L32" s="1104"/>
      <c r="M32" s="1104"/>
      <c r="N32" s="1104"/>
      <c r="O32" s="1104"/>
      <c r="P32" s="1104"/>
      <c r="Q32" s="1104"/>
      <c r="R32" s="1104"/>
      <c r="S32" s="1104"/>
      <c r="T32" s="1104"/>
      <c r="U32" s="1104"/>
    </row>
    <row r="33" spans="1:21" s="759" customFormat="1" ht="15" customHeight="1">
      <c r="A33" s="758" t="s">
        <v>106</v>
      </c>
      <c r="B33" s="1129" t="s">
        <v>8</v>
      </c>
      <c r="C33" s="1130"/>
      <c r="D33" s="1130"/>
      <c r="E33" s="1130"/>
      <c r="F33" s="1130"/>
      <c r="G33" s="1130"/>
      <c r="H33" s="1130"/>
      <c r="I33" s="1130"/>
      <c r="J33" s="1130"/>
      <c r="K33" s="697"/>
      <c r="L33" s="1126" t="s">
        <v>107</v>
      </c>
      <c r="M33" s="1127"/>
      <c r="N33" s="1127"/>
      <c r="O33" s="1127"/>
      <c r="P33" s="1127"/>
      <c r="Q33" s="1127"/>
      <c r="R33" s="1127"/>
      <c r="S33" s="1127"/>
      <c r="T33" s="1127"/>
      <c r="U33" s="1127"/>
    </row>
    <row r="34" spans="1:21" s="759" customFormat="1" ht="16" customHeight="1">
      <c r="A34" s="758" t="s">
        <v>108</v>
      </c>
      <c r="B34" s="1161">
        <f>'3 Pricing Sheet'!G30</f>
        <v>0</v>
      </c>
      <c r="C34" s="1162"/>
      <c r="D34" s="1162"/>
      <c r="E34" s="1162"/>
      <c r="F34" s="1162"/>
      <c r="G34" s="1162"/>
      <c r="H34" s="1162"/>
      <c r="I34" s="1162"/>
      <c r="J34" s="1162"/>
      <c r="K34" s="697"/>
      <c r="L34" s="1127"/>
      <c r="M34" s="1127"/>
      <c r="N34" s="1127"/>
      <c r="O34" s="1127"/>
      <c r="P34" s="1127"/>
      <c r="Q34" s="1127"/>
      <c r="R34" s="1127"/>
      <c r="S34" s="1127"/>
      <c r="T34" s="1127"/>
      <c r="U34" s="1127"/>
    </row>
    <row r="35" spans="1:21" s="759" customFormat="1" ht="18" customHeight="1">
      <c r="A35" s="758" t="s">
        <v>1</v>
      </c>
      <c r="B35" s="760"/>
      <c r="C35" s="746"/>
      <c r="D35" s="746"/>
      <c r="E35" s="746"/>
      <c r="F35" s="746"/>
      <c r="G35" s="746"/>
      <c r="H35" s="746"/>
      <c r="J35" s="929"/>
      <c r="K35" s="697"/>
      <c r="L35" s="1127"/>
      <c r="M35" s="1127"/>
      <c r="N35" s="1127"/>
      <c r="O35" s="1127"/>
      <c r="P35" s="1127"/>
      <c r="Q35" s="1127"/>
      <c r="R35" s="1127"/>
      <c r="S35" s="1127"/>
      <c r="T35" s="1127"/>
      <c r="U35" s="1127"/>
    </row>
    <row r="36" spans="1:21" ht="11" customHeight="1">
      <c r="A36" s="758" t="s">
        <v>683</v>
      </c>
      <c r="J36" s="759"/>
      <c r="L36" s="730" t="s">
        <v>110</v>
      </c>
      <c r="M36" s="706"/>
      <c r="N36" s="706"/>
      <c r="O36" s="756"/>
      <c r="P36" s="704"/>
      <c r="Q36" s="704"/>
      <c r="R36" s="704"/>
      <c r="S36" s="704"/>
      <c r="T36" s="699"/>
      <c r="U36" s="697"/>
    </row>
    <row r="37" spans="1:21" ht="17" customHeight="1">
      <c r="A37" s="1123" t="s">
        <v>109</v>
      </c>
      <c r="B37" s="1124"/>
      <c r="C37" s="1124"/>
      <c r="D37" s="1124"/>
      <c r="E37" s="1124"/>
      <c r="F37" s="1124"/>
      <c r="G37" s="1124"/>
      <c r="H37" s="1124"/>
      <c r="I37" s="1124"/>
      <c r="K37" s="706"/>
      <c r="L37" s="1126" t="s">
        <v>111</v>
      </c>
      <c r="M37" s="1127"/>
      <c r="N37" s="1127"/>
      <c r="O37" s="1127"/>
      <c r="P37" s="1127"/>
      <c r="Q37" s="1127"/>
      <c r="R37" s="1127"/>
      <c r="S37" s="1127"/>
      <c r="T37" s="1127"/>
      <c r="U37" s="1127"/>
    </row>
    <row r="38" spans="1:21" s="759" customFormat="1" ht="12" customHeight="1">
      <c r="A38" s="1125"/>
      <c r="B38" s="1125"/>
      <c r="C38" s="1125"/>
      <c r="D38" s="1125"/>
      <c r="E38" s="1125"/>
      <c r="F38" s="1125"/>
      <c r="G38" s="1125"/>
      <c r="H38" s="1125"/>
      <c r="I38" s="1125"/>
      <c r="J38" s="697"/>
      <c r="K38" s="706"/>
      <c r="L38" s="1127"/>
      <c r="M38" s="1127"/>
      <c r="N38" s="1127"/>
      <c r="O38" s="1127"/>
      <c r="P38" s="1127"/>
      <c r="Q38" s="1127"/>
      <c r="R38" s="1127"/>
      <c r="S38" s="1127"/>
      <c r="T38" s="1127"/>
      <c r="U38" s="1127"/>
    </row>
    <row r="39" spans="1:21" ht="1" customHeight="1" thickBot="1">
      <c r="A39" s="761" t="s">
        <v>112</v>
      </c>
      <c r="B39" s="762"/>
      <c r="C39" s="762"/>
      <c r="D39" s="762"/>
      <c r="E39" s="762"/>
      <c r="F39" s="762"/>
      <c r="G39" s="762"/>
      <c r="H39" s="762"/>
      <c r="I39" s="762"/>
      <c r="J39" s="762"/>
      <c r="K39" s="706"/>
      <c r="L39" s="1126" t="s">
        <v>102</v>
      </c>
      <c r="M39" s="1104"/>
      <c r="N39" s="1104"/>
      <c r="O39" s="1104"/>
      <c r="P39" s="1104"/>
      <c r="Q39" s="1104"/>
      <c r="R39" s="1104"/>
      <c r="S39" s="1104"/>
      <c r="T39" s="1104"/>
      <c r="U39" s="1104"/>
    </row>
    <row r="40" spans="1:21" ht="13" customHeight="1">
      <c r="L40" s="1104"/>
      <c r="M40" s="1104"/>
      <c r="N40" s="1104"/>
      <c r="O40" s="1104"/>
      <c r="P40" s="1104"/>
      <c r="Q40" s="1104"/>
      <c r="R40" s="1104"/>
      <c r="S40" s="1104"/>
      <c r="T40" s="1104"/>
      <c r="U40" s="1104"/>
    </row>
    <row r="41" spans="1:21" ht="7" customHeight="1">
      <c r="A41" s="754"/>
      <c r="B41" s="706"/>
      <c r="C41" s="706"/>
      <c r="D41" s="706"/>
      <c r="E41" s="706"/>
      <c r="F41" s="706"/>
      <c r="G41" s="706"/>
      <c r="H41" s="706"/>
      <c r="I41" s="706"/>
      <c r="J41" s="706"/>
      <c r="L41" s="1104"/>
      <c r="M41" s="1104"/>
      <c r="N41" s="1104"/>
      <c r="O41" s="1104"/>
      <c r="P41" s="1104"/>
      <c r="Q41" s="1104"/>
      <c r="R41" s="1104"/>
      <c r="S41" s="1104"/>
      <c r="T41" s="1104"/>
      <c r="U41" s="1104"/>
    </row>
    <row r="42" spans="1:21" ht="14" customHeight="1">
      <c r="A42" s="1126" t="s">
        <v>103</v>
      </c>
      <c r="B42" s="1128"/>
      <c r="C42" s="1128"/>
      <c r="D42" s="1128"/>
      <c r="E42" s="1128"/>
      <c r="F42" s="1128"/>
      <c r="G42" s="1128"/>
      <c r="H42" s="1128"/>
      <c r="I42" s="1128"/>
      <c r="J42" s="1128"/>
      <c r="L42" s="1104"/>
      <c r="M42" s="1104"/>
      <c r="N42" s="1104"/>
      <c r="O42" s="1104"/>
      <c r="P42" s="1104"/>
      <c r="Q42" s="1104"/>
      <c r="R42" s="1104"/>
      <c r="S42" s="1104"/>
      <c r="T42" s="1104"/>
      <c r="U42" s="1104"/>
    </row>
    <row r="43" spans="1:21" ht="28" customHeight="1">
      <c r="A43" s="1128"/>
      <c r="B43" s="1128"/>
      <c r="C43" s="1128"/>
      <c r="D43" s="1128"/>
      <c r="E43" s="1128"/>
      <c r="F43" s="1128"/>
      <c r="G43" s="1128"/>
      <c r="H43" s="1128"/>
      <c r="I43" s="1128"/>
      <c r="J43" s="1128"/>
      <c r="L43" s="1104"/>
      <c r="M43" s="1104"/>
      <c r="N43" s="1104"/>
      <c r="O43" s="1104"/>
      <c r="P43" s="1104"/>
      <c r="Q43" s="1104"/>
      <c r="R43" s="1104"/>
      <c r="S43" s="1104"/>
      <c r="T43" s="1104"/>
      <c r="U43" s="1104"/>
    </row>
    <row r="44" spans="1:21" ht="4" customHeight="1">
      <c r="A44" s="1128"/>
      <c r="B44" s="1128"/>
      <c r="C44" s="1128"/>
      <c r="D44" s="1128"/>
      <c r="E44" s="1128"/>
      <c r="F44" s="1128"/>
      <c r="G44" s="1128"/>
      <c r="H44" s="1128"/>
      <c r="I44" s="1128"/>
      <c r="J44" s="1128"/>
      <c r="L44" s="1104"/>
      <c r="M44" s="1104"/>
      <c r="N44" s="1104"/>
      <c r="O44" s="1104"/>
      <c r="P44" s="1104"/>
      <c r="Q44" s="1104"/>
      <c r="R44" s="1104"/>
      <c r="S44" s="1104"/>
      <c r="T44" s="1104"/>
      <c r="U44" s="1104"/>
    </row>
    <row r="45" spans="1:21" ht="16" customHeight="1">
      <c r="A45" s="1128"/>
      <c r="B45" s="1128"/>
      <c r="C45" s="1128"/>
      <c r="D45" s="1128"/>
      <c r="E45" s="1128"/>
      <c r="F45" s="1128"/>
      <c r="G45" s="1128"/>
      <c r="H45" s="1128"/>
      <c r="I45" s="1128"/>
      <c r="J45" s="1128"/>
      <c r="L45" s="1135" t="s">
        <v>94</v>
      </c>
      <c r="M45" s="1127"/>
      <c r="N45" s="1127"/>
      <c r="O45" s="1127"/>
      <c r="P45" s="1127"/>
      <c r="Q45" s="1127"/>
      <c r="R45" s="1127"/>
      <c r="S45" s="1127"/>
      <c r="T45" s="1127"/>
      <c r="U45" s="1127"/>
    </row>
    <row r="46" spans="1:21">
      <c r="L46" s="1127"/>
      <c r="M46" s="1127"/>
      <c r="N46" s="1127"/>
      <c r="O46" s="1127"/>
      <c r="P46" s="1127"/>
      <c r="Q46" s="1127"/>
      <c r="R46" s="1127"/>
      <c r="S46" s="1127"/>
      <c r="T46" s="1127"/>
      <c r="U46" s="1127"/>
    </row>
    <row r="47" spans="1:21" ht="13" thickBot="1">
      <c r="A47" s="740" t="s">
        <v>95</v>
      </c>
      <c r="B47" s="741"/>
      <c r="C47" s="741"/>
      <c r="D47" s="741"/>
      <c r="E47" s="741"/>
      <c r="F47" s="741"/>
      <c r="G47" s="741"/>
      <c r="H47" s="741"/>
      <c r="I47" s="741"/>
      <c r="L47" s="1127"/>
      <c r="M47" s="1127"/>
      <c r="N47" s="1127"/>
      <c r="O47" s="1127"/>
      <c r="P47" s="1127"/>
      <c r="Q47" s="1127"/>
      <c r="R47" s="1127"/>
      <c r="S47" s="1127"/>
      <c r="T47" s="1127"/>
      <c r="U47" s="1127"/>
    </row>
    <row r="48" spans="1:21" ht="14" customHeight="1">
      <c r="A48" s="756" t="s">
        <v>96</v>
      </c>
      <c r="B48" s="706"/>
      <c r="C48" s="706"/>
      <c r="D48" s="706"/>
      <c r="E48" s="706"/>
      <c r="F48" s="706"/>
      <c r="G48" s="706"/>
      <c r="H48" s="706"/>
      <c r="I48" s="706"/>
      <c r="L48" s="1127"/>
      <c r="M48" s="1127"/>
      <c r="N48" s="1127"/>
      <c r="O48" s="1127"/>
      <c r="P48" s="1127"/>
      <c r="Q48" s="1127"/>
      <c r="R48" s="1127"/>
      <c r="S48" s="1127"/>
      <c r="T48" s="1127"/>
      <c r="U48" s="1127"/>
    </row>
    <row r="49" spans="1:21" ht="13" customHeight="1">
      <c r="A49" s="724" t="s">
        <v>97</v>
      </c>
      <c r="B49" s="724"/>
      <c r="D49" s="706"/>
      <c r="E49" s="763" t="s">
        <v>98</v>
      </c>
      <c r="F49" s="706"/>
      <c r="I49" s="706"/>
      <c r="L49" s="730" t="s">
        <v>100</v>
      </c>
      <c r="M49" s="697"/>
      <c r="N49" s="765"/>
      <c r="O49" s="697"/>
      <c r="P49" s="701"/>
      <c r="Q49" s="697"/>
      <c r="R49" s="697"/>
      <c r="S49" s="697"/>
      <c r="T49" s="697"/>
      <c r="U49" s="755"/>
    </row>
    <row r="50" spans="1:21" ht="13" customHeight="1">
      <c r="B50" s="708" t="s">
        <v>99</v>
      </c>
      <c r="C50" s="708"/>
      <c r="D50" s="708"/>
      <c r="E50" s="764"/>
      <c r="F50" s="708"/>
      <c r="G50" s="755"/>
      <c r="H50" s="755"/>
      <c r="I50" s="755"/>
      <c r="L50" s="1133" t="s">
        <v>93</v>
      </c>
      <c r="M50" s="1104"/>
      <c r="N50" s="1104"/>
      <c r="O50" s="1104"/>
      <c r="P50" s="1104"/>
      <c r="Q50" s="1104"/>
      <c r="R50" s="1104"/>
      <c r="S50" s="1104"/>
      <c r="T50" s="1104"/>
      <c r="U50" s="1104"/>
    </row>
    <row r="51" spans="1:21" ht="12" customHeight="1">
      <c r="B51" s="708" t="s">
        <v>101</v>
      </c>
      <c r="C51" s="708"/>
      <c r="D51" s="708"/>
      <c r="E51" s="764"/>
      <c r="F51" s="708"/>
      <c r="G51" s="755"/>
      <c r="H51" s="755"/>
      <c r="I51" s="755"/>
      <c r="L51" s="1104"/>
      <c r="M51" s="1104"/>
      <c r="N51" s="1104"/>
      <c r="O51" s="1104"/>
      <c r="P51" s="1104"/>
      <c r="Q51" s="1104"/>
      <c r="R51" s="1104"/>
      <c r="S51" s="1104"/>
      <c r="T51" s="1104"/>
      <c r="U51" s="1104"/>
    </row>
    <row r="52" spans="1:21" ht="13" customHeight="1">
      <c r="B52" s="708" t="s">
        <v>67</v>
      </c>
      <c r="C52" s="708"/>
      <c r="D52" s="708"/>
      <c r="E52" s="764"/>
      <c r="F52" s="708"/>
      <c r="G52" s="69"/>
      <c r="H52" s="69"/>
      <c r="I52" s="69"/>
      <c r="L52" s="1104"/>
      <c r="M52" s="1104"/>
      <c r="N52" s="1104"/>
      <c r="O52" s="1104"/>
      <c r="P52" s="1104"/>
      <c r="Q52" s="1104"/>
      <c r="R52" s="1104"/>
      <c r="S52" s="1104"/>
      <c r="T52" s="1104"/>
      <c r="U52" s="1104"/>
    </row>
    <row r="53" spans="1:21" ht="12" customHeight="1">
      <c r="B53" s="1136" t="s">
        <v>68</v>
      </c>
      <c r="C53" s="1137"/>
      <c r="D53" s="1137"/>
      <c r="E53" s="1137"/>
      <c r="F53" s="1137"/>
      <c r="G53" s="1137"/>
      <c r="H53" s="1137"/>
      <c r="I53" s="755"/>
      <c r="L53" s="1104"/>
      <c r="M53" s="1104"/>
      <c r="N53" s="1104"/>
      <c r="O53" s="1104"/>
      <c r="P53" s="1104"/>
      <c r="Q53" s="1104"/>
      <c r="R53" s="1104"/>
      <c r="S53" s="1104"/>
      <c r="T53" s="1104"/>
      <c r="U53" s="1104"/>
    </row>
    <row r="54" spans="1:21" ht="13" customHeight="1">
      <c r="B54" s="1137"/>
      <c r="C54" s="1137"/>
      <c r="D54" s="1137"/>
      <c r="E54" s="1137"/>
      <c r="F54" s="1137"/>
      <c r="G54" s="1137"/>
      <c r="H54" s="1137"/>
      <c r="I54" s="755"/>
      <c r="J54" s="755"/>
      <c r="L54" s="1104"/>
      <c r="M54" s="1104"/>
      <c r="N54" s="1104"/>
      <c r="O54" s="1104"/>
      <c r="P54" s="1104"/>
      <c r="Q54" s="1104"/>
      <c r="R54" s="1104"/>
      <c r="S54" s="1104"/>
      <c r="T54" s="1104"/>
      <c r="U54" s="1104"/>
    </row>
    <row r="55" spans="1:21" ht="12" customHeight="1">
      <c r="A55" s="758" t="s">
        <v>69</v>
      </c>
      <c r="B55" s="731"/>
      <c r="C55" s="731"/>
      <c r="D55" s="731"/>
      <c r="E55" s="766"/>
      <c r="F55" s="731"/>
      <c r="G55" s="731"/>
      <c r="H55" s="731"/>
      <c r="I55" s="731"/>
      <c r="J55" s="731"/>
      <c r="L55" s="1104"/>
      <c r="M55" s="1104"/>
      <c r="N55" s="1104"/>
      <c r="O55" s="1104"/>
      <c r="P55" s="1104"/>
      <c r="Q55" s="1104"/>
      <c r="R55" s="1104"/>
      <c r="S55" s="1104"/>
      <c r="T55" s="1104"/>
      <c r="U55" s="1104"/>
    </row>
    <row r="56" spans="1:21" ht="12" customHeight="1">
      <c r="A56" s="708" t="s">
        <v>70</v>
      </c>
      <c r="B56" s="731"/>
      <c r="D56" s="731"/>
      <c r="E56" s="766"/>
      <c r="F56" s="767"/>
      <c r="G56" s="767"/>
      <c r="H56" s="767"/>
      <c r="J56" s="755"/>
      <c r="L56" s="1104"/>
      <c r="M56" s="1104"/>
      <c r="N56" s="1104"/>
      <c r="O56" s="1104"/>
      <c r="P56" s="1104"/>
      <c r="Q56" s="1104"/>
      <c r="R56" s="1104"/>
      <c r="S56" s="1104"/>
      <c r="T56" s="1104"/>
      <c r="U56" s="1104"/>
    </row>
    <row r="57" spans="1:21">
      <c r="A57" s="758" t="s">
        <v>71</v>
      </c>
      <c r="B57" s="755"/>
      <c r="C57" s="731"/>
      <c r="E57" s="763"/>
      <c r="J57" s="755"/>
      <c r="L57" s="1104"/>
      <c r="M57" s="1104"/>
      <c r="N57" s="1104"/>
      <c r="O57" s="1104"/>
      <c r="P57" s="1104"/>
      <c r="Q57" s="1104"/>
      <c r="R57" s="1104"/>
      <c r="S57" s="1104"/>
      <c r="T57" s="1104"/>
      <c r="U57" s="1104"/>
    </row>
    <row r="58" spans="1:21" ht="12" customHeight="1">
      <c r="A58" s="758" t="s">
        <v>72</v>
      </c>
      <c r="B58" s="701"/>
      <c r="C58" s="768"/>
      <c r="E58" s="769"/>
      <c r="F58" s="737"/>
      <c r="G58" s="737"/>
      <c r="H58" s="737"/>
      <c r="I58" s="770"/>
      <c r="J58" s="720"/>
      <c r="L58" s="1104"/>
      <c r="M58" s="1104"/>
      <c r="N58" s="1104"/>
      <c r="O58" s="1104"/>
      <c r="P58" s="1104"/>
      <c r="Q58" s="1104"/>
      <c r="R58" s="1104"/>
      <c r="S58" s="1104"/>
      <c r="T58" s="1104"/>
      <c r="U58" s="1104"/>
    </row>
    <row r="59" spans="1:21" ht="4" customHeight="1">
      <c r="A59" s="758"/>
      <c r="B59" s="701"/>
      <c r="C59" s="768"/>
      <c r="E59" s="771"/>
      <c r="F59" s="737"/>
      <c r="G59" s="737"/>
      <c r="H59" s="737"/>
      <c r="I59" s="772"/>
      <c r="J59" s="706"/>
      <c r="L59" s="1104"/>
      <c r="M59" s="1104"/>
      <c r="N59" s="1104"/>
      <c r="O59" s="1104"/>
      <c r="P59" s="1104"/>
      <c r="Q59" s="1104"/>
      <c r="R59" s="1104"/>
      <c r="S59" s="1104"/>
      <c r="T59" s="1104"/>
      <c r="U59" s="1104"/>
    </row>
    <row r="60" spans="1:21" ht="13" customHeight="1">
      <c r="B60" s="701"/>
      <c r="C60" s="768"/>
      <c r="E60" s="707"/>
      <c r="F60" s="707"/>
      <c r="G60" s="707"/>
      <c r="H60" s="707"/>
      <c r="I60" s="707"/>
      <c r="J60" s="706"/>
      <c r="L60" s="1104"/>
      <c r="M60" s="1104"/>
      <c r="N60" s="1104"/>
      <c r="O60" s="1104"/>
      <c r="P60" s="1104"/>
      <c r="Q60" s="1104"/>
      <c r="R60" s="1104"/>
      <c r="S60" s="1104"/>
      <c r="T60" s="1104"/>
      <c r="U60" s="1104"/>
    </row>
    <row r="61" spans="1:21" ht="4" customHeight="1" thickBot="1">
      <c r="A61" s="740" t="s">
        <v>73</v>
      </c>
      <c r="B61" s="773"/>
      <c r="C61" s="773"/>
      <c r="D61" s="773"/>
      <c r="E61" s="773"/>
      <c r="F61" s="773"/>
      <c r="G61" s="773"/>
      <c r="H61" s="773"/>
      <c r="I61" s="773"/>
      <c r="J61" s="706"/>
      <c r="L61" s="1104"/>
      <c r="M61" s="1104"/>
      <c r="N61" s="1104"/>
      <c r="O61" s="1104"/>
      <c r="P61" s="1104"/>
      <c r="Q61" s="1104"/>
      <c r="R61" s="1104"/>
      <c r="S61" s="1104"/>
      <c r="T61" s="1104"/>
      <c r="U61" s="1104"/>
    </row>
    <row r="62" spans="1:21" ht="13" customHeight="1">
      <c r="B62" s="774"/>
      <c r="E62" s="708"/>
      <c r="F62" s="708"/>
      <c r="G62" s="708"/>
      <c r="H62" s="708"/>
      <c r="I62" s="708"/>
      <c r="L62" s="1104"/>
      <c r="M62" s="1104"/>
      <c r="N62" s="1104"/>
      <c r="O62" s="1104"/>
      <c r="P62" s="1104"/>
      <c r="Q62" s="1104"/>
      <c r="R62" s="1104"/>
      <c r="S62" s="1104"/>
      <c r="T62" s="1104"/>
      <c r="U62" s="1104"/>
    </row>
    <row r="63" spans="1:21" ht="12" customHeight="1">
      <c r="A63" s="717">
        <f>'Cash Bid'!$A$15</f>
        <v>24</v>
      </c>
      <c r="B63" s="823">
        <f>'Cash Bid'!$B$15</f>
        <v>250</v>
      </c>
      <c r="C63" s="708" t="str">
        <f>'Cash Bid'!$C$15</f>
        <v>Solar Modules</v>
      </c>
      <c r="D63" s="775" t="s">
        <v>91</v>
      </c>
      <c r="E63" s="708"/>
      <c r="F63" s="708"/>
      <c r="G63" s="708"/>
      <c r="H63" s="708"/>
      <c r="I63" s="708"/>
      <c r="L63" s="730" t="s">
        <v>75</v>
      </c>
      <c r="M63" s="697"/>
      <c r="N63" s="697"/>
      <c r="O63" s="697"/>
      <c r="P63" s="697"/>
      <c r="Q63" s="697"/>
      <c r="R63" s="697"/>
      <c r="S63" s="697"/>
      <c r="T63" s="697"/>
      <c r="U63" s="697"/>
    </row>
    <row r="64" spans="1:21" ht="13" customHeight="1">
      <c r="A64" s="717">
        <v>1</v>
      </c>
      <c r="B64" s="1147">
        <f>'1 Customer Record'!H18</f>
        <v>0</v>
      </c>
      <c r="C64" s="1148"/>
      <c r="D64" s="775" t="s">
        <v>74</v>
      </c>
      <c r="E64" s="708"/>
      <c r="F64" s="708"/>
      <c r="G64" s="708"/>
      <c r="H64" s="708"/>
      <c r="I64" s="708"/>
      <c r="J64" s="731"/>
      <c r="L64" s="1135" t="s">
        <v>77</v>
      </c>
      <c r="M64" s="1127"/>
      <c r="N64" s="1127"/>
      <c r="O64" s="1127"/>
      <c r="P64" s="1127"/>
      <c r="Q64" s="1127"/>
      <c r="R64" s="1127"/>
      <c r="S64" s="1127"/>
      <c r="T64" s="1127"/>
      <c r="U64" s="1127"/>
    </row>
    <row r="65" spans="1:21" ht="13" customHeight="1">
      <c r="A65" s="717">
        <v>1</v>
      </c>
      <c r="B65" s="776" t="s">
        <v>76</v>
      </c>
      <c r="C65" s="708"/>
      <c r="D65" s="776" t="s">
        <v>89</v>
      </c>
      <c r="E65" s="708"/>
      <c r="F65" s="708"/>
      <c r="G65" s="708"/>
      <c r="H65" s="708"/>
      <c r="I65" s="708"/>
      <c r="J65" s="731"/>
      <c r="L65" s="1127"/>
      <c r="M65" s="1127"/>
      <c r="N65" s="1127"/>
      <c r="O65" s="1127"/>
      <c r="P65" s="1127"/>
      <c r="Q65" s="1127"/>
      <c r="R65" s="1127"/>
      <c r="S65" s="1127"/>
      <c r="T65" s="1127"/>
      <c r="U65" s="1127"/>
    </row>
    <row r="66" spans="1:21" ht="4" customHeight="1" thickBot="1">
      <c r="A66" s="740" t="s">
        <v>78</v>
      </c>
      <c r="B66" s="741"/>
      <c r="C66" s="741"/>
      <c r="D66" s="741"/>
      <c r="E66" s="741"/>
      <c r="F66" s="741"/>
      <c r="G66" s="741"/>
      <c r="H66" s="741"/>
      <c r="I66" s="741"/>
      <c r="J66" s="731"/>
      <c r="L66" s="704"/>
      <c r="M66" s="704"/>
      <c r="N66" s="704"/>
      <c r="O66" s="704"/>
      <c r="P66" s="704"/>
      <c r="Q66" s="704"/>
      <c r="R66" s="704"/>
      <c r="S66" s="704"/>
      <c r="T66" s="704"/>
      <c r="U66" s="697"/>
    </row>
    <row r="67" spans="1:21" ht="11" customHeight="1">
      <c r="J67" s="755"/>
      <c r="L67" s="1135" t="s">
        <v>82</v>
      </c>
      <c r="M67" s="1127"/>
      <c r="N67" s="1127"/>
      <c r="O67" s="1127"/>
      <c r="P67" s="1127"/>
      <c r="Q67" s="1127"/>
      <c r="R67" s="1127"/>
      <c r="S67" s="1127"/>
      <c r="T67" s="1127"/>
      <c r="U67" s="1127"/>
    </row>
    <row r="68" spans="1:21" ht="6" customHeight="1">
      <c r="A68" s="737" t="s">
        <v>79</v>
      </c>
      <c r="B68" s="777" t="str">
        <f>B5</f>
        <v>Suzy</v>
      </c>
      <c r="C68" s="778" t="str">
        <f>C5</f>
        <v>Solar</v>
      </c>
      <c r="D68" s="737" t="s">
        <v>80</v>
      </c>
      <c r="E68" s="778" t="s">
        <v>81</v>
      </c>
      <c r="G68" s="755"/>
      <c r="H68" s="755"/>
      <c r="I68" s="755"/>
      <c r="L68" s="1127"/>
      <c r="M68" s="1127"/>
      <c r="N68" s="1127"/>
      <c r="O68" s="1127"/>
      <c r="P68" s="1127"/>
      <c r="Q68" s="1127"/>
      <c r="R68" s="1127"/>
      <c r="S68" s="1127"/>
      <c r="T68" s="1127"/>
      <c r="U68" s="1127"/>
    </row>
    <row r="69" spans="1:21" ht="12" customHeight="1">
      <c r="A69" s="755"/>
      <c r="B69" s="755"/>
      <c r="C69" s="755"/>
      <c r="D69" s="755"/>
      <c r="E69" s="755"/>
      <c r="F69" s="755"/>
      <c r="G69" s="755"/>
      <c r="H69" s="755"/>
      <c r="I69" s="755"/>
      <c r="L69" s="1127"/>
      <c r="M69" s="1127"/>
      <c r="N69" s="1127"/>
      <c r="O69" s="1127"/>
      <c r="P69" s="1127"/>
      <c r="Q69" s="1127"/>
      <c r="R69" s="1127"/>
      <c r="S69" s="1127"/>
      <c r="T69" s="1127"/>
      <c r="U69" s="1127"/>
    </row>
    <row r="70" spans="1:21">
      <c r="A70" s="779"/>
      <c r="B70" s="780"/>
      <c r="C70" s="781">
        <f>I5</f>
        <v>0</v>
      </c>
      <c r="D70" s="782"/>
      <c r="E70" s="782"/>
      <c r="F70" s="782"/>
      <c r="G70" s="782"/>
      <c r="H70" s="782"/>
      <c r="I70" s="783">
        <f>C70</f>
        <v>0</v>
      </c>
      <c r="J70" s="706"/>
      <c r="L70" s="1104"/>
      <c r="M70" s="1104"/>
      <c r="N70" s="1104"/>
      <c r="O70" s="1104"/>
      <c r="P70" s="1104"/>
      <c r="Q70" s="1104"/>
      <c r="R70" s="1104"/>
      <c r="S70" s="1104"/>
      <c r="T70" s="1104"/>
      <c r="U70" s="1104"/>
    </row>
    <row r="71" spans="1:21" ht="11" customHeight="1">
      <c r="A71" s="784" t="s">
        <v>83</v>
      </c>
      <c r="C71" s="785" t="s">
        <v>84</v>
      </c>
      <c r="D71" s="755" t="s">
        <v>83</v>
      </c>
      <c r="E71" s="755"/>
      <c r="F71" s="755"/>
      <c r="G71" s="755"/>
      <c r="H71" s="755"/>
      <c r="I71" s="786" t="s">
        <v>84</v>
      </c>
      <c r="L71" s="757" t="s">
        <v>86</v>
      </c>
      <c r="M71" s="746"/>
      <c r="N71" s="746"/>
      <c r="O71" s="746"/>
      <c r="P71" s="746"/>
      <c r="Q71" s="746"/>
      <c r="R71" s="746"/>
      <c r="S71" s="746"/>
      <c r="T71" s="746"/>
      <c r="U71" s="706"/>
    </row>
    <row r="72" spans="1:21" ht="12" customHeight="1">
      <c r="A72" s="787" t="s">
        <v>85</v>
      </c>
      <c r="B72" s="704" t="str">
        <f>B4</f>
        <v>D.J. Rosebaugh</v>
      </c>
      <c r="L72" s="788" t="s">
        <v>79</v>
      </c>
      <c r="M72" s="789" t="str">
        <f>B5</f>
        <v>Suzy</v>
      </c>
      <c r="N72" s="790" t="str">
        <f>C5</f>
        <v>Solar</v>
      </c>
      <c r="O72" s="791" t="s">
        <v>87</v>
      </c>
      <c r="P72" s="792"/>
      <c r="Q72" s="792"/>
      <c r="R72" s="793" t="s">
        <v>88</v>
      </c>
      <c r="S72" s="792"/>
      <c r="T72" s="792"/>
      <c r="U72" s="794"/>
    </row>
    <row r="73" spans="1:21" ht="12" customHeight="1">
      <c r="L73" s="795"/>
      <c r="M73" s="780"/>
      <c r="N73" s="796">
        <f>T4</f>
        <v>0</v>
      </c>
      <c r="O73" s="797"/>
      <c r="P73" s="710"/>
      <c r="Q73" s="710"/>
      <c r="R73" s="798"/>
      <c r="S73" s="710"/>
      <c r="T73" s="710"/>
      <c r="U73" s="799">
        <f>T4</f>
        <v>0</v>
      </c>
    </row>
    <row r="74" spans="1:21">
      <c r="C74" s="704"/>
      <c r="L74" s="800" t="s">
        <v>83</v>
      </c>
      <c r="M74" s="697"/>
      <c r="N74" s="787" t="s">
        <v>84</v>
      </c>
      <c r="O74" s="801" t="s">
        <v>83</v>
      </c>
      <c r="P74" s="756"/>
      <c r="Q74" s="756"/>
      <c r="R74" s="756"/>
      <c r="S74" s="756"/>
      <c r="T74" s="697"/>
      <c r="U74" s="787" t="s">
        <v>84</v>
      </c>
    </row>
    <row r="75" spans="1:21">
      <c r="L75" s="706"/>
      <c r="M75" s="706"/>
      <c r="N75" s="706"/>
      <c r="O75" s="706"/>
      <c r="P75" s="706"/>
      <c r="Q75" s="706"/>
      <c r="R75" s="706"/>
      <c r="S75" s="706"/>
      <c r="T75" s="706"/>
      <c r="U75" s="706"/>
    </row>
    <row r="76" spans="1:21">
      <c r="L76" s="706"/>
      <c r="M76" s="706"/>
      <c r="N76" s="706"/>
      <c r="O76" s="706"/>
      <c r="P76" s="706"/>
      <c r="Q76" s="706"/>
      <c r="R76" s="706"/>
      <c r="S76" s="706"/>
      <c r="T76" s="706"/>
      <c r="U76" s="706"/>
    </row>
    <row r="77" spans="1:21" ht="15">
      <c r="L77" s="802"/>
      <c r="M77" s="706"/>
      <c r="N77" s="706"/>
      <c r="O77" s="706"/>
      <c r="P77" s="706"/>
      <c r="Q77" s="706"/>
      <c r="R77" s="706"/>
      <c r="S77" s="706"/>
      <c r="T77" s="706"/>
      <c r="U77" s="706"/>
    </row>
    <row r="78" spans="1:21">
      <c r="J78" s="706"/>
      <c r="L78" s="732"/>
      <c r="M78" s="1141"/>
      <c r="N78" s="1142"/>
      <c r="O78" s="706"/>
      <c r="P78" s="706"/>
      <c r="Q78" s="706"/>
      <c r="R78" s="706"/>
      <c r="S78" s="706"/>
      <c r="T78" s="706"/>
      <c r="U78" s="706"/>
    </row>
    <row r="79" spans="1:21">
      <c r="J79" s="706"/>
      <c r="L79" s="732"/>
      <c r="M79" s="804"/>
      <c r="N79" s="756"/>
      <c r="O79" s="756"/>
      <c r="P79" s="756"/>
      <c r="Q79" s="756"/>
      <c r="R79" s="756"/>
      <c r="S79" s="732"/>
      <c r="T79" s="805"/>
      <c r="U79" s="706"/>
    </row>
    <row r="80" spans="1:21" ht="8" customHeight="1">
      <c r="J80" s="706"/>
      <c r="L80" s="804"/>
      <c r="M80" s="756"/>
      <c r="N80" s="756"/>
      <c r="O80" s="756"/>
      <c r="P80" s="756"/>
      <c r="Q80" s="756"/>
      <c r="R80" s="756"/>
      <c r="S80" s="756"/>
      <c r="T80" s="756"/>
      <c r="U80" s="706"/>
    </row>
    <row r="81" spans="1:21">
      <c r="J81" s="755"/>
      <c r="L81" s="732"/>
      <c r="M81" s="806"/>
      <c r="N81" s="806"/>
      <c r="O81" s="756"/>
      <c r="P81" s="756"/>
      <c r="Q81" s="756"/>
      <c r="R81" s="756"/>
      <c r="S81" s="732"/>
      <c r="T81" s="803"/>
      <c r="U81" s="706"/>
    </row>
    <row r="82" spans="1:21" ht="6" customHeight="1">
      <c r="J82" s="755"/>
      <c r="L82" s="804"/>
      <c r="M82" s="756"/>
      <c r="N82" s="756"/>
      <c r="O82" s="756"/>
      <c r="P82" s="756"/>
      <c r="Q82" s="756"/>
      <c r="R82" s="756"/>
      <c r="S82" s="732"/>
      <c r="T82" s="803"/>
      <c r="U82" s="706"/>
    </row>
    <row r="83" spans="1:21">
      <c r="J83" s="69"/>
      <c r="L83" s="732"/>
      <c r="M83" s="807"/>
      <c r="N83" s="756"/>
      <c r="O83" s="756"/>
      <c r="P83" s="756"/>
      <c r="Q83" s="756"/>
      <c r="R83" s="756"/>
      <c r="S83" s="732"/>
      <c r="T83" s="803"/>
      <c r="U83" s="706"/>
    </row>
    <row r="84" spans="1:21" ht="6" customHeight="1">
      <c r="J84" s="755"/>
      <c r="L84" s="804"/>
      <c r="M84" s="756"/>
      <c r="N84" s="756"/>
      <c r="O84" s="756"/>
      <c r="P84" s="756"/>
      <c r="Q84" s="756"/>
      <c r="R84" s="756"/>
      <c r="S84" s="756"/>
      <c r="T84" s="756"/>
      <c r="U84" s="706"/>
    </row>
    <row r="85" spans="1:21">
      <c r="J85" s="755"/>
      <c r="L85" s="732"/>
      <c r="M85" s="756"/>
      <c r="N85" s="756"/>
      <c r="O85" s="756"/>
      <c r="P85" s="756"/>
      <c r="Q85" s="756"/>
      <c r="R85" s="756"/>
      <c r="S85" s="732"/>
      <c r="T85" s="809"/>
      <c r="U85" s="720"/>
    </row>
    <row r="86" spans="1:21" ht="6" customHeight="1">
      <c r="A86" s="808"/>
      <c r="B86" s="755"/>
      <c r="C86" s="755"/>
      <c r="D86" s="755"/>
      <c r="E86" s="755"/>
      <c r="F86" s="755"/>
      <c r="G86" s="755"/>
      <c r="H86" s="755"/>
      <c r="I86" s="755"/>
      <c r="J86" s="755"/>
      <c r="L86" s="732"/>
      <c r="M86" s="756"/>
      <c r="N86" s="756"/>
      <c r="O86" s="756"/>
      <c r="P86" s="756"/>
      <c r="Q86" s="756"/>
      <c r="R86" s="756"/>
      <c r="S86" s="756"/>
      <c r="T86" s="809"/>
      <c r="U86" s="720"/>
    </row>
    <row r="87" spans="1:21">
      <c r="L87" s="756"/>
      <c r="M87" s="756"/>
      <c r="N87" s="756"/>
      <c r="O87" s="756"/>
      <c r="P87" s="756"/>
      <c r="Q87" s="756"/>
      <c r="R87" s="756"/>
      <c r="S87" s="732"/>
      <c r="T87" s="809"/>
      <c r="U87" s="720"/>
    </row>
    <row r="88" spans="1:21" ht="7" customHeight="1">
      <c r="L88" s="756"/>
      <c r="M88" s="756"/>
      <c r="N88" s="756"/>
      <c r="O88" s="756"/>
      <c r="P88" s="756"/>
      <c r="Q88" s="756"/>
      <c r="R88" s="756"/>
      <c r="S88" s="756"/>
      <c r="T88" s="756"/>
      <c r="U88" s="706"/>
    </row>
    <row r="89" spans="1:21">
      <c r="L89" s="756"/>
      <c r="M89" s="756"/>
      <c r="N89" s="756"/>
      <c r="O89" s="756"/>
      <c r="P89" s="756"/>
      <c r="Q89" s="756"/>
      <c r="R89" s="756"/>
      <c r="S89" s="732"/>
      <c r="T89" s="803"/>
      <c r="U89" s="1143"/>
    </row>
    <row r="90" spans="1:21">
      <c r="L90" s="730"/>
      <c r="M90" s="756"/>
      <c r="N90" s="756"/>
      <c r="O90" s="731"/>
      <c r="P90" s="731"/>
      <c r="Q90" s="732"/>
      <c r="R90" s="731"/>
      <c r="S90" s="731"/>
      <c r="T90" s="731"/>
      <c r="U90" s="1144"/>
    </row>
    <row r="91" spans="1:21">
      <c r="L91" s="732"/>
      <c r="M91" s="810"/>
      <c r="N91" s="706"/>
      <c r="O91" s="706"/>
      <c r="P91" s="706"/>
      <c r="Q91" s="732"/>
      <c r="R91" s="810"/>
      <c r="S91" s="735"/>
      <c r="T91" s="810"/>
      <c r="U91" s="811"/>
    </row>
    <row r="92" spans="1:21">
      <c r="L92" s="732"/>
      <c r="M92" s="811"/>
      <c r="N92" s="706"/>
      <c r="O92" s="706"/>
      <c r="P92" s="732"/>
      <c r="Q92" s="732"/>
      <c r="R92" s="812"/>
      <c r="S92" s="738"/>
      <c r="T92" s="812"/>
      <c r="U92" s="811"/>
    </row>
    <row r="93" spans="1:21">
      <c r="L93" s="732"/>
      <c r="M93" s="743"/>
      <c r="N93" s="706"/>
      <c r="O93" s="813"/>
      <c r="P93" s="813"/>
      <c r="Q93" s="732"/>
      <c r="R93" s="812"/>
      <c r="S93" s="738"/>
      <c r="T93" s="812"/>
      <c r="U93" s="811"/>
    </row>
    <row r="94" spans="1:21">
      <c r="L94" s="732"/>
      <c r="M94" s="810"/>
      <c r="N94" s="743"/>
      <c r="O94" s="1145"/>
      <c r="P94" s="1125"/>
      <c r="Q94" s="1125"/>
      <c r="R94" s="812"/>
      <c r="S94" s="738"/>
      <c r="T94" s="706"/>
      <c r="U94" s="811"/>
    </row>
    <row r="95" spans="1:21" ht="11" customHeight="1">
      <c r="L95" s="1146"/>
      <c r="M95" s="1110"/>
      <c r="N95" s="756"/>
      <c r="O95" s="1125"/>
      <c r="P95" s="1125"/>
      <c r="Q95" s="1125"/>
      <c r="R95" s="706"/>
      <c r="S95" s="706"/>
      <c r="T95" s="812"/>
      <c r="U95" s="811"/>
    </row>
    <row r="96" spans="1:21">
      <c r="L96" s="1110"/>
      <c r="M96" s="1110"/>
      <c r="N96" s="813"/>
      <c r="O96" s="706"/>
      <c r="P96" s="813"/>
      <c r="Q96" s="732"/>
      <c r="R96" s="812"/>
      <c r="S96" s="738"/>
      <c r="T96" s="814"/>
      <c r="U96" s="811"/>
    </row>
    <row r="97" spans="12:21">
      <c r="L97" s="732"/>
      <c r="M97" s="813"/>
      <c r="N97" s="813"/>
      <c r="O97" s="706"/>
      <c r="P97" s="706"/>
      <c r="Q97" s="706"/>
      <c r="R97" s="706"/>
      <c r="S97" s="706"/>
      <c r="T97" s="706"/>
      <c r="U97" s="706"/>
    </row>
    <row r="98" spans="12:21">
      <c r="L98" s="1149"/>
      <c r="M98" s="1149"/>
      <c r="N98" s="1150"/>
      <c r="O98" s="706"/>
      <c r="P98" s="706"/>
      <c r="Q98" s="706"/>
      <c r="R98" s="706"/>
      <c r="S98" s="706"/>
      <c r="T98" s="706"/>
      <c r="U98" s="731"/>
    </row>
    <row r="99" spans="12:21" ht="18" customHeight="1">
      <c r="L99" s="1149"/>
      <c r="M99" s="1149"/>
      <c r="N99" s="1150"/>
      <c r="O99" s="706"/>
      <c r="P99" s="706"/>
      <c r="Q99" s="732"/>
      <c r="R99" s="706"/>
      <c r="S99" s="706"/>
      <c r="T99" s="706"/>
      <c r="U99" s="731"/>
    </row>
    <row r="100" spans="12:21" ht="3" customHeight="1">
      <c r="L100" s="754"/>
      <c r="M100" s="731"/>
      <c r="N100" s="731"/>
      <c r="O100" s="756"/>
      <c r="P100" s="756"/>
      <c r="Q100" s="706"/>
      <c r="R100" s="706"/>
      <c r="S100" s="706"/>
      <c r="T100" s="706"/>
      <c r="U100" s="731"/>
    </row>
    <row r="101" spans="12:21">
      <c r="L101" s="730"/>
      <c r="M101" s="706"/>
      <c r="N101" s="706"/>
      <c r="O101" s="706"/>
      <c r="P101" s="706"/>
      <c r="Q101" s="706"/>
      <c r="R101" s="706"/>
      <c r="S101" s="706"/>
      <c r="T101" s="706"/>
      <c r="U101" s="731"/>
    </row>
    <row r="102" spans="12:21">
      <c r="L102" s="1126"/>
      <c r="M102" s="1138"/>
      <c r="N102" s="1138"/>
      <c r="O102" s="1138"/>
      <c r="P102" s="1138"/>
      <c r="Q102" s="1138"/>
      <c r="R102" s="1138"/>
      <c r="S102" s="1138"/>
      <c r="T102" s="1138"/>
      <c r="U102" s="1138"/>
    </row>
    <row r="103" spans="12:21">
      <c r="L103" s="1138"/>
      <c r="M103" s="1138"/>
      <c r="N103" s="1138"/>
      <c r="O103" s="1138"/>
      <c r="P103" s="1138"/>
      <c r="Q103" s="1138"/>
      <c r="R103" s="1138"/>
      <c r="S103" s="1138"/>
      <c r="T103" s="1138"/>
      <c r="U103" s="1138"/>
    </row>
    <row r="104" spans="12:21">
      <c r="L104" s="1138"/>
      <c r="M104" s="1138"/>
      <c r="N104" s="1138"/>
      <c r="O104" s="1138"/>
      <c r="P104" s="1138"/>
      <c r="Q104" s="1138"/>
      <c r="R104" s="1138"/>
      <c r="S104" s="1138"/>
      <c r="T104" s="1138"/>
      <c r="U104" s="1138"/>
    </row>
    <row r="105" spans="12:21">
      <c r="L105" s="1139"/>
      <c r="M105" s="1140"/>
      <c r="N105" s="1140"/>
      <c r="O105" s="1140"/>
      <c r="P105" s="1140"/>
      <c r="Q105" s="1140"/>
      <c r="R105" s="1140"/>
      <c r="S105" s="1140"/>
      <c r="T105" s="1140"/>
      <c r="U105" s="1140"/>
    </row>
    <row r="106" spans="12:21">
      <c r="L106" s="1140"/>
      <c r="M106" s="1140"/>
      <c r="N106" s="1140"/>
      <c r="O106" s="1140"/>
      <c r="P106" s="1140"/>
      <c r="Q106" s="1140"/>
      <c r="R106" s="1140"/>
      <c r="S106" s="1140"/>
      <c r="T106" s="1140"/>
      <c r="U106" s="1140"/>
    </row>
    <row r="107" spans="12:21">
      <c r="L107" s="1126"/>
      <c r="M107" s="1138"/>
      <c r="N107" s="1138"/>
      <c r="O107" s="1138"/>
      <c r="P107" s="1138"/>
      <c r="Q107" s="1138"/>
      <c r="R107" s="1138"/>
      <c r="S107" s="1138"/>
      <c r="T107" s="1138"/>
      <c r="U107" s="1138"/>
    </row>
    <row r="108" spans="12:21">
      <c r="L108" s="1138"/>
      <c r="M108" s="1138"/>
      <c r="N108" s="1138"/>
      <c r="O108" s="1138"/>
      <c r="P108" s="1138"/>
      <c r="Q108" s="1138"/>
      <c r="R108" s="1138"/>
      <c r="S108" s="1138"/>
      <c r="T108" s="1138"/>
      <c r="U108" s="1138"/>
    </row>
    <row r="109" spans="12:21">
      <c r="L109" s="1138"/>
      <c r="M109" s="1138"/>
      <c r="N109" s="1138"/>
      <c r="O109" s="1138"/>
      <c r="P109" s="1138"/>
      <c r="Q109" s="1138"/>
      <c r="R109" s="1138"/>
      <c r="S109" s="1138"/>
      <c r="T109" s="1138"/>
      <c r="U109" s="1138"/>
    </row>
    <row r="110" spans="12:21" ht="18" customHeight="1">
      <c r="L110" s="1138"/>
      <c r="M110" s="1138"/>
      <c r="N110" s="1138"/>
      <c r="O110" s="1138"/>
      <c r="P110" s="1138"/>
      <c r="Q110" s="1138"/>
      <c r="R110" s="1138"/>
      <c r="S110" s="1138"/>
      <c r="T110" s="1138"/>
      <c r="U110" s="1138"/>
    </row>
    <row r="111" spans="12:21">
      <c r="L111" s="730"/>
      <c r="M111" s="706"/>
      <c r="N111" s="706"/>
      <c r="O111" s="756"/>
      <c r="P111" s="756"/>
      <c r="Q111" s="756"/>
      <c r="R111" s="756"/>
      <c r="S111" s="756"/>
      <c r="T111" s="732"/>
      <c r="U111" s="706"/>
    </row>
    <row r="112" spans="12:21" ht="14" customHeight="1">
      <c r="L112" s="1126"/>
      <c r="M112" s="1138"/>
      <c r="N112" s="1138"/>
      <c r="O112" s="1138"/>
      <c r="P112" s="1138"/>
      <c r="Q112" s="1138"/>
      <c r="R112" s="1138"/>
      <c r="S112" s="1138"/>
      <c r="T112" s="1138"/>
      <c r="U112" s="1138"/>
    </row>
    <row r="113" spans="12:21" ht="14" customHeight="1">
      <c r="L113" s="1138"/>
      <c r="M113" s="1138"/>
      <c r="N113" s="1138"/>
      <c r="O113" s="1138"/>
      <c r="P113" s="1138"/>
      <c r="Q113" s="1138"/>
      <c r="R113" s="1138"/>
      <c r="S113" s="1138"/>
      <c r="T113" s="1138"/>
      <c r="U113" s="1138"/>
    </row>
    <row r="114" spans="12:21" ht="4" customHeight="1">
      <c r="L114" s="706"/>
      <c r="M114" s="706"/>
      <c r="N114" s="706"/>
      <c r="O114" s="706"/>
      <c r="P114" s="706"/>
      <c r="Q114" s="706"/>
      <c r="R114" s="706"/>
      <c r="S114" s="706"/>
      <c r="T114" s="706"/>
      <c r="U114" s="706"/>
    </row>
    <row r="115" spans="12:21">
      <c r="L115" s="1126"/>
      <c r="M115" s="1138"/>
      <c r="N115" s="1138"/>
      <c r="O115" s="1138"/>
      <c r="P115" s="1138"/>
      <c r="Q115" s="1138"/>
      <c r="R115" s="1138"/>
      <c r="S115" s="1138"/>
      <c r="T115" s="1138"/>
      <c r="U115" s="1138"/>
    </row>
    <row r="116" spans="12:21">
      <c r="L116" s="1138"/>
      <c r="M116" s="1138"/>
      <c r="N116" s="1138"/>
      <c r="O116" s="1138"/>
      <c r="P116" s="1138"/>
      <c r="Q116" s="1138"/>
      <c r="R116" s="1138"/>
      <c r="S116" s="1138"/>
      <c r="T116" s="1138"/>
      <c r="U116" s="1138"/>
    </row>
    <row r="117" spans="12:21" ht="18" customHeight="1">
      <c r="L117" s="1138"/>
      <c r="M117" s="1138"/>
      <c r="N117" s="1138"/>
      <c r="O117" s="1138"/>
      <c r="P117" s="1138"/>
      <c r="Q117" s="1138"/>
      <c r="R117" s="1138"/>
      <c r="S117" s="1138"/>
      <c r="T117" s="1138"/>
      <c r="U117" s="1138"/>
    </row>
    <row r="118" spans="12:21" ht="21" customHeight="1">
      <c r="L118" s="1138"/>
      <c r="M118" s="1138"/>
      <c r="N118" s="1138"/>
      <c r="O118" s="1138"/>
      <c r="P118" s="1138"/>
      <c r="Q118" s="1138"/>
      <c r="R118" s="1138"/>
      <c r="S118" s="1138"/>
      <c r="T118" s="1138"/>
      <c r="U118" s="1138"/>
    </row>
    <row r="119" spans="12:21" ht="4" customHeight="1">
      <c r="L119" s="754"/>
      <c r="M119" s="815"/>
      <c r="N119" s="815"/>
      <c r="O119" s="706"/>
      <c r="P119" s="706"/>
      <c r="Q119" s="706"/>
      <c r="R119" s="706"/>
      <c r="S119" s="706"/>
      <c r="T119" s="706"/>
      <c r="U119" s="731"/>
    </row>
    <row r="120" spans="12:21">
      <c r="L120" s="1126"/>
      <c r="M120" s="1138"/>
      <c r="N120" s="1138"/>
      <c r="O120" s="1138"/>
      <c r="P120" s="1138"/>
      <c r="Q120" s="1138"/>
      <c r="R120" s="1138"/>
      <c r="S120" s="1138"/>
      <c r="T120" s="1138"/>
      <c r="U120" s="1138"/>
    </row>
    <row r="121" spans="12:21">
      <c r="L121" s="1138"/>
      <c r="M121" s="1138"/>
      <c r="N121" s="1138"/>
      <c r="O121" s="1138"/>
      <c r="P121" s="1138"/>
      <c r="Q121" s="1138"/>
      <c r="R121" s="1138"/>
      <c r="S121" s="1138"/>
      <c r="T121" s="1138"/>
      <c r="U121" s="1138"/>
    </row>
    <row r="122" spans="12:21" ht="19" customHeight="1">
      <c r="L122" s="1138"/>
      <c r="M122" s="1138"/>
      <c r="N122" s="1138"/>
      <c r="O122" s="1138"/>
      <c r="P122" s="1138"/>
      <c r="Q122" s="1138"/>
      <c r="R122" s="1138"/>
      <c r="S122" s="1138"/>
      <c r="T122" s="1138"/>
      <c r="U122" s="1138"/>
    </row>
    <row r="123" spans="12:21">
      <c r="L123" s="1138"/>
      <c r="M123" s="1138"/>
      <c r="N123" s="1138"/>
      <c r="O123" s="1138"/>
      <c r="P123" s="1138"/>
      <c r="Q123" s="1138"/>
      <c r="R123" s="1138"/>
      <c r="S123" s="1138"/>
      <c r="T123" s="1138"/>
      <c r="U123" s="1138"/>
    </row>
    <row r="124" spans="12:21" ht="3" customHeight="1">
      <c r="L124" s="706"/>
      <c r="M124" s="706"/>
      <c r="N124" s="815"/>
      <c r="O124" s="706"/>
      <c r="P124" s="772"/>
      <c r="Q124" s="706"/>
      <c r="R124" s="706"/>
      <c r="S124" s="706"/>
      <c r="T124" s="706"/>
      <c r="U124" s="731"/>
    </row>
    <row r="125" spans="12:21">
      <c r="L125" s="730"/>
      <c r="M125" s="706"/>
      <c r="N125" s="815"/>
      <c r="O125" s="706"/>
      <c r="P125" s="772"/>
      <c r="Q125" s="706"/>
      <c r="R125" s="706"/>
      <c r="S125" s="706"/>
      <c r="T125" s="706"/>
      <c r="U125" s="731"/>
    </row>
    <row r="126" spans="12:21">
      <c r="L126" s="1139"/>
      <c r="M126" s="1140"/>
      <c r="N126" s="1140"/>
      <c r="O126" s="1140"/>
      <c r="P126" s="1140"/>
      <c r="Q126" s="1140"/>
      <c r="R126" s="1140"/>
      <c r="S126" s="1140"/>
      <c r="T126" s="1140"/>
      <c r="U126" s="1140"/>
    </row>
    <row r="127" spans="12:21">
      <c r="L127" s="1140"/>
      <c r="M127" s="1140"/>
      <c r="N127" s="1140"/>
      <c r="O127" s="1140"/>
      <c r="P127" s="1140"/>
      <c r="Q127" s="1140"/>
      <c r="R127" s="1140"/>
      <c r="S127" s="1140"/>
      <c r="T127" s="1140"/>
      <c r="U127" s="1140"/>
    </row>
    <row r="128" spans="12:21">
      <c r="L128" s="1140"/>
      <c r="M128" s="1140"/>
      <c r="N128" s="1140"/>
      <c r="O128" s="1140"/>
      <c r="P128" s="1140"/>
      <c r="Q128" s="1140"/>
      <c r="R128" s="1140"/>
      <c r="S128" s="1140"/>
      <c r="T128" s="1140"/>
      <c r="U128" s="1140"/>
    </row>
    <row r="129" spans="12:21">
      <c r="L129" s="1140"/>
      <c r="M129" s="1140"/>
      <c r="N129" s="1140"/>
      <c r="O129" s="1140"/>
      <c r="P129" s="1140"/>
      <c r="Q129" s="1140"/>
      <c r="R129" s="1140"/>
      <c r="S129" s="1140"/>
      <c r="T129" s="1140"/>
      <c r="U129" s="1140"/>
    </row>
    <row r="130" spans="12:21" ht="17" customHeight="1">
      <c r="L130" s="1140"/>
      <c r="M130" s="1140"/>
      <c r="N130" s="1140"/>
      <c r="O130" s="1140"/>
      <c r="P130" s="1140"/>
      <c r="Q130" s="1140"/>
      <c r="R130" s="1140"/>
      <c r="S130" s="1140"/>
      <c r="T130" s="1140"/>
      <c r="U130" s="1140"/>
    </row>
    <row r="131" spans="12:21">
      <c r="L131" s="1140"/>
      <c r="M131" s="1140"/>
      <c r="N131" s="1140"/>
      <c r="O131" s="1140"/>
      <c r="P131" s="1140"/>
      <c r="Q131" s="1140"/>
      <c r="R131" s="1140"/>
      <c r="S131" s="1140"/>
      <c r="T131" s="1140"/>
      <c r="U131" s="1140"/>
    </row>
    <row r="132" spans="12:21">
      <c r="L132" s="1140"/>
      <c r="M132" s="1140"/>
      <c r="N132" s="1140"/>
      <c r="O132" s="1140"/>
      <c r="P132" s="1140"/>
      <c r="Q132" s="1140"/>
      <c r="R132" s="1140"/>
      <c r="S132" s="1140"/>
      <c r="T132" s="1140"/>
      <c r="U132" s="1140"/>
    </row>
    <row r="133" spans="12:21">
      <c r="L133" s="1140"/>
      <c r="M133" s="1140"/>
      <c r="N133" s="1140"/>
      <c r="O133" s="1140"/>
      <c r="P133" s="1140"/>
      <c r="Q133" s="1140"/>
      <c r="R133" s="1140"/>
      <c r="S133" s="1140"/>
      <c r="T133" s="1140"/>
      <c r="U133" s="1140"/>
    </row>
    <row r="134" spans="12:21">
      <c r="L134" s="1140"/>
      <c r="M134" s="1140"/>
      <c r="N134" s="1140"/>
      <c r="O134" s="1140"/>
      <c r="P134" s="1140"/>
      <c r="Q134" s="1140"/>
      <c r="R134" s="1140"/>
      <c r="S134" s="1140"/>
      <c r="T134" s="1140"/>
      <c r="U134" s="1140"/>
    </row>
    <row r="135" spans="12:21">
      <c r="L135" s="1140"/>
      <c r="M135" s="1140"/>
      <c r="N135" s="1140"/>
      <c r="O135" s="1140"/>
      <c r="P135" s="1140"/>
      <c r="Q135" s="1140"/>
      <c r="R135" s="1140"/>
      <c r="S135" s="1140"/>
      <c r="T135" s="1140"/>
      <c r="U135" s="1140"/>
    </row>
    <row r="136" spans="12:21">
      <c r="L136" s="1140"/>
      <c r="M136" s="1140"/>
      <c r="N136" s="1140"/>
      <c r="O136" s="1140"/>
      <c r="P136" s="1140"/>
      <c r="Q136" s="1140"/>
      <c r="R136" s="1140"/>
      <c r="S136" s="1140"/>
      <c r="T136" s="1140"/>
      <c r="U136" s="1140"/>
    </row>
    <row r="137" spans="12:21" ht="2" customHeight="1">
      <c r="L137" s="760"/>
      <c r="M137" s="760"/>
      <c r="N137" s="760"/>
      <c r="O137" s="760"/>
      <c r="P137" s="760"/>
      <c r="Q137" s="760"/>
      <c r="R137" s="760"/>
      <c r="S137" s="760"/>
      <c r="T137" s="760"/>
      <c r="U137" s="706"/>
    </row>
    <row r="138" spans="12:21">
      <c r="L138" s="730"/>
      <c r="M138" s="706"/>
      <c r="N138" s="706"/>
      <c r="O138" s="706"/>
      <c r="P138" s="706"/>
      <c r="Q138" s="706"/>
      <c r="R138" s="706"/>
      <c r="S138" s="706"/>
      <c r="T138" s="706"/>
      <c r="U138" s="706"/>
    </row>
    <row r="139" spans="12:21">
      <c r="L139" s="1126"/>
      <c r="M139" s="1138"/>
      <c r="N139" s="1138"/>
      <c r="O139" s="1138"/>
      <c r="P139" s="1138"/>
      <c r="Q139" s="1138"/>
      <c r="R139" s="1138"/>
      <c r="S139" s="1138"/>
      <c r="T139" s="1138"/>
      <c r="U139" s="1138"/>
    </row>
    <row r="140" spans="12:21" ht="10" customHeight="1">
      <c r="L140" s="1138"/>
      <c r="M140" s="1138"/>
      <c r="N140" s="1138"/>
      <c r="O140" s="1138"/>
      <c r="P140" s="1138"/>
      <c r="Q140" s="1138"/>
      <c r="R140" s="1138"/>
      <c r="S140" s="1138"/>
      <c r="T140" s="1138"/>
      <c r="U140" s="1138"/>
    </row>
    <row r="141" spans="12:21" ht="3" customHeight="1">
      <c r="L141" s="756"/>
      <c r="M141" s="756"/>
      <c r="N141" s="756"/>
      <c r="O141" s="756"/>
      <c r="P141" s="756"/>
      <c r="Q141" s="756"/>
      <c r="R141" s="756"/>
      <c r="S141" s="756"/>
      <c r="T141" s="756"/>
      <c r="U141" s="706"/>
    </row>
    <row r="142" spans="12:21">
      <c r="L142" s="1126"/>
      <c r="M142" s="1138"/>
      <c r="N142" s="1138"/>
      <c r="O142" s="1138"/>
      <c r="P142" s="1138"/>
      <c r="Q142" s="1138"/>
      <c r="R142" s="1138"/>
      <c r="S142" s="1138"/>
      <c r="T142" s="1138"/>
      <c r="U142" s="1138"/>
    </row>
    <row r="143" spans="12:21">
      <c r="L143" s="1138"/>
      <c r="M143" s="1138"/>
      <c r="N143" s="1138"/>
      <c r="O143" s="1138"/>
      <c r="P143" s="1138"/>
      <c r="Q143" s="1138"/>
      <c r="R143" s="1138"/>
      <c r="S143" s="1138"/>
      <c r="T143" s="1138"/>
      <c r="U143" s="1138"/>
    </row>
    <row r="144" spans="12:21">
      <c r="L144" s="1138"/>
      <c r="M144" s="1138"/>
      <c r="N144" s="1138"/>
      <c r="O144" s="1138"/>
      <c r="P144" s="1138"/>
      <c r="Q144" s="1138"/>
      <c r="R144" s="1138"/>
      <c r="S144" s="1138"/>
      <c r="T144" s="1138"/>
      <c r="U144" s="1138"/>
    </row>
    <row r="145" spans="12:21" ht="3" customHeight="1">
      <c r="L145" s="706"/>
      <c r="M145" s="706"/>
      <c r="N145" s="706"/>
      <c r="O145" s="706"/>
      <c r="P145" s="706"/>
      <c r="Q145" s="706"/>
      <c r="R145" s="706"/>
      <c r="S145" s="706"/>
      <c r="T145" s="706"/>
      <c r="U145" s="706"/>
    </row>
    <row r="146" spans="12:21">
      <c r="L146" s="730"/>
      <c r="M146" s="760"/>
      <c r="N146" s="760"/>
      <c r="O146" s="760"/>
      <c r="P146" s="760"/>
      <c r="Q146" s="760"/>
      <c r="R146" s="760"/>
      <c r="S146" s="760"/>
      <c r="T146" s="760"/>
      <c r="U146" s="706"/>
    </row>
    <row r="147" spans="12:21">
      <c r="L147" s="730"/>
      <c r="M147" s="816"/>
      <c r="N147" s="817"/>
      <c r="O147" s="730"/>
      <c r="P147" s="760"/>
      <c r="Q147" s="760"/>
      <c r="R147" s="756"/>
      <c r="S147" s="760"/>
      <c r="T147" s="760"/>
      <c r="U147" s="706"/>
    </row>
    <row r="148" spans="12:21">
      <c r="L148" s="818"/>
      <c r="M148" s="819"/>
      <c r="N148" s="820"/>
      <c r="O148" s="706"/>
      <c r="P148" s="706"/>
      <c r="Q148" s="706"/>
      <c r="R148" s="821"/>
      <c r="S148" s="706"/>
      <c r="T148" s="706"/>
      <c r="U148" s="820"/>
    </row>
    <row r="149" spans="12:21">
      <c r="L149" s="806"/>
      <c r="M149" s="706"/>
      <c r="N149" s="804"/>
      <c r="O149" s="803"/>
      <c r="P149" s="756"/>
      <c r="Q149" s="756"/>
      <c r="R149" s="756"/>
      <c r="S149" s="756"/>
      <c r="T149" s="706"/>
      <c r="U149" s="804"/>
    </row>
    <row r="150" spans="12:21">
      <c r="L150" s="706"/>
      <c r="M150" s="706"/>
      <c r="N150" s="706"/>
      <c r="O150" s="706"/>
      <c r="P150" s="706"/>
      <c r="Q150" s="706"/>
      <c r="R150" s="706"/>
      <c r="S150" s="706"/>
      <c r="T150" s="706"/>
      <c r="U150" s="706"/>
    </row>
    <row r="151" spans="12:21">
      <c r="L151" s="697"/>
      <c r="M151" s="697"/>
      <c r="N151" s="697"/>
      <c r="O151" s="697"/>
      <c r="P151" s="697"/>
      <c r="Q151" s="697"/>
      <c r="R151" s="697"/>
      <c r="S151" s="697"/>
      <c r="T151" s="697"/>
      <c r="U151" s="697"/>
    </row>
    <row r="152" spans="12:21">
      <c r="L152" s="697"/>
      <c r="M152" s="697"/>
      <c r="N152" s="697"/>
      <c r="O152" s="697"/>
      <c r="P152" s="697"/>
      <c r="Q152" s="697"/>
      <c r="R152" s="697"/>
      <c r="S152" s="697"/>
      <c r="T152" s="697"/>
      <c r="U152" s="697"/>
    </row>
  </sheetData>
  <mergeCells count="45">
    <mergeCell ref="O94:Q95"/>
    <mergeCell ref="L95:M96"/>
    <mergeCell ref="L120:U123"/>
    <mergeCell ref="L126:U136"/>
    <mergeCell ref="L139:U140"/>
    <mergeCell ref="L142:U144"/>
    <mergeCell ref="L98:N99"/>
    <mergeCell ref="L102:U104"/>
    <mergeCell ref="L105:U106"/>
    <mergeCell ref="L107:U110"/>
    <mergeCell ref="L112:U113"/>
    <mergeCell ref="L115:U118"/>
    <mergeCell ref="B64:C64"/>
    <mergeCell ref="U89:U90"/>
    <mergeCell ref="L39:U44"/>
    <mergeCell ref="A42:J45"/>
    <mergeCell ref="L45:U48"/>
    <mergeCell ref="L50:U62"/>
    <mergeCell ref="B53:H54"/>
    <mergeCell ref="L64:U65"/>
    <mergeCell ref="L67:U70"/>
    <mergeCell ref="M78:N78"/>
    <mergeCell ref="L30:U32"/>
    <mergeCell ref="B33:J33"/>
    <mergeCell ref="L33:U35"/>
    <mergeCell ref="B34:J34"/>
    <mergeCell ref="A37:I38"/>
    <mergeCell ref="L37:U38"/>
    <mergeCell ref="M3:N3"/>
    <mergeCell ref="B4:C4"/>
    <mergeCell ref="U14:U15"/>
    <mergeCell ref="P15:R15"/>
    <mergeCell ref="P16:R16"/>
    <mergeCell ref="A26:J27"/>
    <mergeCell ref="O17:R17"/>
    <mergeCell ref="N18:R18"/>
    <mergeCell ref="A19:I22"/>
    <mergeCell ref="P19:R20"/>
    <mergeCell ref="L20:M21"/>
    <mergeCell ref="O21:R21"/>
    <mergeCell ref="L27:U29"/>
    <mergeCell ref="A28:J29"/>
    <mergeCell ref="E23:H23"/>
    <mergeCell ref="L23:O24"/>
    <mergeCell ref="S23:T23"/>
  </mergeCells>
  <phoneticPr fontId="31" type="noConversion"/>
  <printOptions horizontalCentered="1" verticalCentered="1"/>
  <pageMargins left="0.5" right="0.5" top="0.5" bottom="0.5" header="0.5" footer="0.5"/>
  <pageSetup scale="78" fitToWidth="2" pageOrder="overThenDown" orientation="portrait" horizontalDpi="300" verticalDpi="300"/>
  <colBreaks count="1" manualBreakCount="1">
    <brk id="11" max="1048575" man="1"/>
  </colBreaks>
  <drawing r:id="rId1"/>
  <extLst>
    <ext xmlns:mx="http://schemas.microsoft.com/office/mac/excel/2008/main" uri="{64002731-A6B0-56B0-2670-7721B7C09600}">
      <mx:PLV Mode="1"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enableFormatConditionsCalculation="0">
    <tabColor rgb="FFFFFF00"/>
    <pageSetUpPr fitToPage="1"/>
  </sheetPr>
  <dimension ref="B1:AS676"/>
  <sheetViews>
    <sheetView showGridLines="0" tabSelected="1" zoomScale="125" zoomScaleNormal="125" zoomScaleSheetLayoutView="70" zoomScalePageLayoutView="125" workbookViewId="0">
      <selection activeCell="I32" sqref="I32"/>
    </sheetView>
  </sheetViews>
  <sheetFormatPr baseColWidth="10" defaultColWidth="7.5703125" defaultRowHeight="14" x14ac:dyDescent="0"/>
  <cols>
    <col min="1" max="1" width="1.42578125" style="135" customWidth="1"/>
    <col min="2" max="3" width="0.7109375" style="135" customWidth="1"/>
    <col min="4" max="4" width="12.42578125" style="135" customWidth="1"/>
    <col min="5" max="5" width="13.42578125" style="135" customWidth="1"/>
    <col min="6" max="7" width="11.7109375" style="135" customWidth="1"/>
    <col min="8" max="8" width="13.5703125" style="135" customWidth="1"/>
    <col min="9" max="9" width="16.85546875" style="135" customWidth="1"/>
    <col min="10" max="11" width="10.85546875" style="135" customWidth="1"/>
    <col min="12" max="14" width="9.140625" style="135" customWidth="1"/>
    <col min="15" max="16" width="2.28515625" style="135" customWidth="1"/>
    <col min="17" max="25" width="9.140625" style="135" customWidth="1"/>
    <col min="26" max="26" width="1.42578125" style="135" customWidth="1"/>
    <col min="27" max="27" width="9.140625" style="135" customWidth="1"/>
    <col min="28" max="28" width="10.42578125" style="135" customWidth="1"/>
    <col min="29" max="29" width="9.140625" style="135" customWidth="1"/>
    <col min="30" max="30" width="7.5703125" style="135"/>
    <col min="31" max="31" width="10" style="135" bestFit="1" customWidth="1"/>
    <col min="32" max="33" width="13" style="135" bestFit="1" customWidth="1"/>
    <col min="34" max="34" width="14.42578125" style="135" bestFit="1" customWidth="1"/>
    <col min="35" max="35" width="1.28515625" style="135" customWidth="1"/>
    <col min="36" max="38" width="13" style="135" bestFit="1" customWidth="1"/>
    <col min="39" max="39" width="9.85546875" style="135" bestFit="1" customWidth="1"/>
    <col min="40" max="40" width="9.85546875" style="135" customWidth="1"/>
    <col min="41" max="41" width="7.5703125" style="135"/>
    <col min="42" max="43" width="10.42578125" style="135" bestFit="1" customWidth="1"/>
    <col min="44" max="45" width="8.7109375" style="135" bestFit="1" customWidth="1"/>
    <col min="46" max="16384" width="7.5703125" style="135"/>
  </cols>
  <sheetData>
    <row r="1" spans="2:38" ht="12.75" customHeight="1"/>
    <row r="2" spans="2:38" ht="3" customHeight="1"/>
    <row r="3" spans="2:38" s="140" customFormat="1" ht="19" customHeight="1">
      <c r="B3" s="136"/>
      <c r="C3" s="136"/>
      <c r="D3" s="137" t="s">
        <v>508</v>
      </c>
      <c r="E3" s="138"/>
      <c r="F3" s="138"/>
      <c r="G3" s="138"/>
      <c r="H3" s="138"/>
      <c r="I3" s="138"/>
      <c r="J3" s="138"/>
      <c r="K3" s="138"/>
      <c r="L3" s="138"/>
      <c r="M3" s="139"/>
      <c r="N3" s="136"/>
      <c r="O3" s="136"/>
      <c r="P3" s="136"/>
      <c r="Q3" s="136"/>
      <c r="R3" s="136"/>
      <c r="S3" s="136"/>
      <c r="T3" s="136"/>
      <c r="U3" s="136"/>
      <c r="V3" s="136"/>
      <c r="W3" s="136"/>
      <c r="X3" s="136"/>
      <c r="Y3" s="136"/>
      <c r="Z3" s="136"/>
      <c r="AB3" s="141"/>
      <c r="AC3" s="141"/>
    </row>
    <row r="4" spans="2:38" s="140" customFormat="1" ht="16" customHeight="1">
      <c r="B4" s="136"/>
      <c r="C4" s="136"/>
      <c r="D4" s="142" t="s">
        <v>509</v>
      </c>
      <c r="E4" s="138"/>
      <c r="F4" s="138"/>
      <c r="G4" s="138"/>
      <c r="H4" s="138"/>
      <c r="I4" s="138"/>
      <c r="J4" s="138"/>
      <c r="K4" s="138"/>
      <c r="L4" s="138"/>
      <c r="M4" s="139"/>
      <c r="N4" s="136"/>
      <c r="O4" s="136"/>
      <c r="P4" s="136"/>
      <c r="Q4" s="136"/>
      <c r="R4" s="136"/>
      <c r="S4" s="136"/>
      <c r="T4" s="136"/>
      <c r="U4" s="136"/>
      <c r="V4" s="136"/>
      <c r="W4" s="136"/>
      <c r="X4" s="136"/>
      <c r="Y4" s="136"/>
      <c r="Z4" s="136"/>
      <c r="AB4" s="141"/>
      <c r="AC4" s="141"/>
    </row>
    <row r="5" spans="2:38" ht="6" customHeight="1"/>
    <row r="6" spans="2:38" ht="15" customHeight="1">
      <c r="D6" s="143" t="s">
        <v>510</v>
      </c>
      <c r="E6" s="144"/>
      <c r="F6" s="144"/>
      <c r="G6" s="144"/>
      <c r="AB6" s="141"/>
      <c r="AC6" s="141"/>
    </row>
    <row r="7" spans="2:38" ht="15" customHeight="1">
      <c r="D7" s="145" t="s">
        <v>511</v>
      </c>
      <c r="AB7" s="146"/>
      <c r="AC7" s="146"/>
    </row>
    <row r="8" spans="2:38" ht="15" customHeight="1">
      <c r="D8" s="145" t="s">
        <v>512</v>
      </c>
    </row>
    <row r="9" spans="2:38" ht="15" customHeight="1">
      <c r="D9" s="145" t="s">
        <v>513</v>
      </c>
    </row>
    <row r="10" spans="2:38" ht="12" customHeight="1"/>
    <row r="11" spans="2:38" ht="6" customHeight="1">
      <c r="C11" s="147"/>
      <c r="D11" s="148"/>
      <c r="E11" s="148"/>
      <c r="F11" s="148"/>
      <c r="G11" s="148"/>
      <c r="H11" s="148"/>
      <c r="I11" s="148"/>
      <c r="J11" s="148"/>
      <c r="K11" s="148"/>
      <c r="L11" s="148"/>
      <c r="M11" s="148"/>
      <c r="N11" s="148"/>
      <c r="O11" s="148"/>
      <c r="P11" s="148"/>
      <c r="Q11" s="148"/>
      <c r="R11" s="148"/>
      <c r="S11" s="148"/>
      <c r="T11" s="148"/>
      <c r="U11" s="148"/>
      <c r="V11" s="148"/>
      <c r="W11" s="148"/>
      <c r="X11" s="148"/>
      <c r="Y11" s="148"/>
      <c r="Z11" s="149"/>
    </row>
    <row r="12" spans="2:38" ht="15" customHeight="1" thickBot="1">
      <c r="C12" s="150"/>
      <c r="D12" s="151" t="s">
        <v>514</v>
      </c>
      <c r="E12" s="152"/>
      <c r="F12" s="152"/>
      <c r="G12" s="152"/>
      <c r="H12" s="152"/>
      <c r="I12" s="152"/>
      <c r="J12" s="152"/>
      <c r="K12" s="153"/>
      <c r="L12" s="153"/>
      <c r="M12" s="153"/>
      <c r="N12" s="153"/>
      <c r="O12" s="153"/>
      <c r="P12" s="153"/>
      <c r="Q12" s="153"/>
      <c r="R12" s="153"/>
      <c r="S12" s="153"/>
      <c r="T12" s="153"/>
      <c r="U12" s="153"/>
      <c r="V12" s="153"/>
      <c r="W12" s="153"/>
      <c r="X12" s="153"/>
      <c r="Y12" s="153"/>
      <c r="Z12" s="154"/>
      <c r="AD12" s="155" t="s">
        <v>515</v>
      </c>
      <c r="AF12" s="156" t="s">
        <v>516</v>
      </c>
      <c r="AG12" s="157"/>
      <c r="AH12" s="157"/>
      <c r="AJ12" s="158"/>
      <c r="AK12" s="159"/>
      <c r="AL12" s="159"/>
    </row>
    <row r="13" spans="2:38" ht="6" customHeight="1">
      <c r="C13" s="150"/>
      <c r="D13" s="160"/>
      <c r="E13" s="160"/>
      <c r="F13" s="160"/>
      <c r="G13" s="160"/>
      <c r="H13" s="160"/>
      <c r="I13" s="160"/>
      <c r="J13" s="160"/>
      <c r="K13" s="153"/>
      <c r="L13" s="153"/>
      <c r="M13" s="153"/>
      <c r="N13" s="153"/>
      <c r="O13" s="153"/>
      <c r="P13" s="153"/>
      <c r="Q13" s="153"/>
      <c r="R13" s="153"/>
      <c r="S13" s="153"/>
      <c r="T13" s="153"/>
      <c r="U13" s="153"/>
      <c r="V13" s="153"/>
      <c r="W13" s="153"/>
      <c r="X13" s="153"/>
      <c r="Y13" s="153"/>
      <c r="Z13" s="154"/>
      <c r="AJ13" s="153"/>
      <c r="AK13" s="153"/>
      <c r="AL13" s="153"/>
    </row>
    <row r="14" spans="2:38" ht="16" customHeight="1" thickBot="1">
      <c r="C14" s="150"/>
      <c r="D14" s="161" t="s">
        <v>517</v>
      </c>
      <c r="E14" s="162"/>
      <c r="F14" s="162"/>
      <c r="G14" s="160"/>
      <c r="H14" s="161" t="s">
        <v>518</v>
      </c>
      <c r="I14" s="161"/>
      <c r="J14" s="162"/>
      <c r="K14" s="163"/>
      <c r="L14" s="624"/>
      <c r="M14" s="153"/>
      <c r="N14" s="153"/>
      <c r="O14" s="153"/>
      <c r="P14" s="153"/>
      <c r="Q14" s="153"/>
      <c r="R14" s="153"/>
      <c r="S14" s="153"/>
      <c r="T14" s="153"/>
      <c r="U14" s="153"/>
      <c r="V14" s="153"/>
      <c r="W14" s="153"/>
      <c r="X14" s="153"/>
      <c r="Y14" s="153"/>
      <c r="Z14" s="154"/>
      <c r="AD14" s="155" t="s">
        <v>453</v>
      </c>
      <c r="AE14" s="164" t="s">
        <v>392</v>
      </c>
      <c r="AF14" s="164" t="s">
        <v>519</v>
      </c>
      <c r="AG14" s="164" t="s">
        <v>520</v>
      </c>
      <c r="AH14" s="164" t="s">
        <v>521</v>
      </c>
      <c r="AJ14" s="163"/>
      <c r="AK14" s="163"/>
      <c r="AL14" s="163"/>
    </row>
    <row r="15" spans="2:38" ht="16" customHeight="1">
      <c r="C15" s="150"/>
      <c r="D15" s="165" t="s">
        <v>522</v>
      </c>
      <c r="E15" s="166"/>
      <c r="F15" s="167">
        <f>'4 Dividend Financed Bid'!G11*1000</f>
        <v>6000</v>
      </c>
      <c r="G15" s="160"/>
      <c r="H15" s="168" t="s">
        <v>523</v>
      </c>
      <c r="I15" s="168"/>
      <c r="J15" s="169">
        <f>'4 Dividend Financed Bid'!Y9/12</f>
        <v>105</v>
      </c>
      <c r="K15" s="163"/>
      <c r="L15" s="153"/>
      <c r="M15" s="153"/>
      <c r="N15" s="153"/>
      <c r="O15" s="153"/>
      <c r="P15" s="153"/>
      <c r="Q15" s="153"/>
      <c r="R15" s="153"/>
      <c r="S15" s="153"/>
      <c r="T15" s="153"/>
      <c r="U15" s="153"/>
      <c r="V15" s="153"/>
      <c r="W15" s="153"/>
      <c r="X15" s="153"/>
      <c r="Y15" s="153"/>
      <c r="Z15" s="154"/>
      <c r="AD15" s="170"/>
      <c r="AE15" s="163"/>
      <c r="AF15" s="163"/>
      <c r="AG15" s="163"/>
      <c r="AH15" s="163"/>
      <c r="AJ15" s="163"/>
      <c r="AK15" s="163"/>
      <c r="AL15" s="163"/>
    </row>
    <row r="16" spans="2:38" ht="16" customHeight="1">
      <c r="C16" s="150"/>
      <c r="D16" s="165" t="s">
        <v>410</v>
      </c>
      <c r="E16" s="166"/>
      <c r="F16" s="169">
        <f>F17/F15</f>
        <v>2.8546399999999998</v>
      </c>
      <c r="G16" s="160"/>
      <c r="H16" s="165" t="s">
        <v>411</v>
      </c>
      <c r="I16" s="165"/>
      <c r="J16" s="171">
        <f>PV_Production_Factor/1000</f>
        <v>1.4530000000000001</v>
      </c>
      <c r="K16" s="163"/>
      <c r="L16" s="153"/>
      <c r="M16" s="153"/>
      <c r="N16" s="153"/>
      <c r="O16" s="153"/>
      <c r="P16" s="153"/>
      <c r="Q16" s="153"/>
      <c r="R16" s="153"/>
      <c r="S16" s="153"/>
      <c r="T16" s="153"/>
      <c r="U16" s="153"/>
      <c r="V16" s="153"/>
      <c r="W16" s="153"/>
      <c r="X16" s="153"/>
      <c r="Y16" s="153"/>
      <c r="Z16" s="154"/>
      <c r="AD16" s="170"/>
      <c r="AE16" s="163"/>
      <c r="AF16" s="163"/>
      <c r="AG16" s="163"/>
      <c r="AH16" s="163"/>
      <c r="AJ16" s="163"/>
      <c r="AK16" s="163"/>
      <c r="AL16" s="163"/>
    </row>
    <row r="17" spans="3:41" ht="16" customHeight="1">
      <c r="C17" s="150"/>
      <c r="D17" s="168" t="s">
        <v>412</v>
      </c>
      <c r="E17" s="160"/>
      <c r="F17" s="172">
        <f>'4 Dividend Financed Bid'!G43</f>
        <v>17127.84</v>
      </c>
      <c r="G17" s="160"/>
      <c r="H17" s="135" t="s">
        <v>413</v>
      </c>
      <c r="J17" s="173">
        <f>'4 Dividend Financed Bid'!V9</f>
        <v>0.105</v>
      </c>
      <c r="K17" s="153"/>
      <c r="L17" s="153"/>
      <c r="M17" s="153"/>
      <c r="N17" s="153"/>
      <c r="O17" s="153"/>
      <c r="P17" s="153"/>
      <c r="Q17" s="153"/>
      <c r="R17" s="153"/>
      <c r="S17" s="153"/>
      <c r="T17" s="153"/>
      <c r="U17" s="153"/>
      <c r="V17" s="153"/>
      <c r="W17" s="153"/>
      <c r="X17" s="153"/>
      <c r="Y17" s="153"/>
      <c r="Z17" s="154"/>
      <c r="AB17" s="174"/>
      <c r="AC17" s="174"/>
      <c r="AD17" s="175">
        <v>1</v>
      </c>
      <c r="AE17" s="176">
        <f>IF(ISERROR(J33),"NA",J33)</f>
        <v>0</v>
      </c>
      <c r="AF17" s="177">
        <f t="shared" ref="AF17:AF26" si="0">IF(AD17&lt;=$J$32,AE17/1000,0)</f>
        <v>0</v>
      </c>
      <c r="AG17" s="178">
        <f t="shared" ref="AG17:AG26" si="1">AF17*$J$31</f>
        <v>0</v>
      </c>
      <c r="AH17" s="178">
        <f>AG17</f>
        <v>0</v>
      </c>
      <c r="AJ17" s="179"/>
      <c r="AK17" s="180"/>
      <c r="AL17" s="180"/>
    </row>
    <row r="18" spans="3:41" ht="16" customHeight="1">
      <c r="C18" s="150"/>
      <c r="D18" s="168" t="s">
        <v>414</v>
      </c>
      <c r="E18" s="160"/>
      <c r="F18" s="181">
        <f>-'4 Dividend Financed Bid'!G44</f>
        <v>0</v>
      </c>
      <c r="G18" s="160"/>
      <c r="H18" s="135" t="s">
        <v>415</v>
      </c>
      <c r="J18" s="182">
        <f>(F15*J16)/12*J17</f>
        <v>76.282499999999999</v>
      </c>
      <c r="K18" s="153"/>
      <c r="L18" s="153"/>
      <c r="M18" s="153"/>
      <c r="N18" s="153"/>
      <c r="O18" s="153"/>
      <c r="P18" s="153"/>
      <c r="Q18" s="153"/>
      <c r="R18" s="153"/>
      <c r="S18" s="153"/>
      <c r="T18" s="153"/>
      <c r="U18" s="153"/>
      <c r="V18" s="153"/>
      <c r="W18" s="153"/>
      <c r="X18" s="153"/>
      <c r="Y18" s="153"/>
      <c r="Z18" s="154"/>
      <c r="AB18" s="174"/>
      <c r="AC18" s="174"/>
      <c r="AD18" s="175">
        <f>AD17+1</f>
        <v>2</v>
      </c>
      <c r="AE18" s="176">
        <f t="shared" ref="AE18:AE26" si="2">IF(ISERROR(AE17*(1-$J$22)),"NA",AE17*(1-$J$22))</f>
        <v>0</v>
      </c>
      <c r="AF18" s="177">
        <f t="shared" si="0"/>
        <v>0</v>
      </c>
      <c r="AG18" s="178">
        <f t="shared" si="1"/>
        <v>0</v>
      </c>
      <c r="AH18" s="178">
        <f>AG18+AH17</f>
        <v>0</v>
      </c>
      <c r="AJ18" s="179"/>
      <c r="AK18" s="180"/>
      <c r="AL18" s="180"/>
    </row>
    <row r="19" spans="3:41" ht="16" customHeight="1">
      <c r="C19" s="150"/>
      <c r="D19" s="183" t="s">
        <v>416</v>
      </c>
      <c r="E19" s="184"/>
      <c r="F19" s="185">
        <f>SUM(F17:F18)</f>
        <v>17127.84</v>
      </c>
      <c r="G19" s="160"/>
      <c r="H19" s="168" t="s">
        <v>417</v>
      </c>
      <c r="I19" s="168"/>
      <c r="J19" s="186">
        <f>J15-J18</f>
        <v>28.717500000000001</v>
      </c>
      <c r="K19" s="153"/>
      <c r="L19" s="153"/>
      <c r="M19" s="153"/>
      <c r="N19" s="153"/>
      <c r="O19" s="153"/>
      <c r="P19" s="153"/>
      <c r="Q19" s="153"/>
      <c r="R19" s="153"/>
      <c r="S19" s="153"/>
      <c r="T19" s="153"/>
      <c r="U19" s="153"/>
      <c r="V19" s="153"/>
      <c r="W19" s="153"/>
      <c r="X19" s="153"/>
      <c r="Y19" s="153"/>
      <c r="Z19" s="154"/>
      <c r="AB19" s="174"/>
      <c r="AC19" s="174"/>
      <c r="AD19" s="175">
        <f t="shared" ref="AD19:AD26" si="3">AD18+1</f>
        <v>3</v>
      </c>
      <c r="AE19" s="176">
        <f t="shared" si="2"/>
        <v>0</v>
      </c>
      <c r="AF19" s="177">
        <f t="shared" si="0"/>
        <v>0</v>
      </c>
      <c r="AG19" s="178">
        <f t="shared" si="1"/>
        <v>0</v>
      </c>
      <c r="AH19" s="178">
        <f t="shared" ref="AH19:AH26" si="4">AG19+AH18</f>
        <v>0</v>
      </c>
      <c r="AJ19" s="179"/>
      <c r="AK19" s="180"/>
      <c r="AL19" s="180"/>
    </row>
    <row r="20" spans="3:41" ht="16" customHeight="1">
      <c r="C20" s="150"/>
      <c r="D20" s="168" t="s">
        <v>418</v>
      </c>
      <c r="E20" s="160"/>
      <c r="F20" s="187">
        <v>20</v>
      </c>
      <c r="G20" s="160"/>
      <c r="H20" s="183" t="s">
        <v>419</v>
      </c>
      <c r="I20" s="188"/>
      <c r="J20" s="189">
        <f>+J15-J19</f>
        <v>76.282499999999999</v>
      </c>
      <c r="K20" s="153"/>
      <c r="L20" s="153"/>
      <c r="M20" s="153"/>
      <c r="N20" s="153"/>
      <c r="O20" s="153"/>
      <c r="P20" s="153"/>
      <c r="Q20" s="153"/>
      <c r="R20" s="153"/>
      <c r="S20" s="153"/>
      <c r="T20" s="153"/>
      <c r="U20" s="153"/>
      <c r="V20" s="153"/>
      <c r="W20" s="153"/>
      <c r="X20" s="153"/>
      <c r="Y20" s="153"/>
      <c r="Z20" s="154"/>
      <c r="AD20" s="175">
        <f t="shared" si="3"/>
        <v>4</v>
      </c>
      <c r="AE20" s="176">
        <f t="shared" si="2"/>
        <v>0</v>
      </c>
      <c r="AF20" s="177">
        <f t="shared" si="0"/>
        <v>0</v>
      </c>
      <c r="AG20" s="178">
        <f t="shared" si="1"/>
        <v>0</v>
      </c>
      <c r="AH20" s="178">
        <f t="shared" si="4"/>
        <v>0</v>
      </c>
      <c r="AJ20" s="179"/>
      <c r="AK20" s="180"/>
      <c r="AL20" s="180"/>
    </row>
    <row r="21" spans="3:41" ht="16" customHeight="1">
      <c r="C21" s="150"/>
      <c r="D21" s="168" t="s">
        <v>420</v>
      </c>
      <c r="E21" s="160"/>
      <c r="F21" s="190">
        <v>12</v>
      </c>
      <c r="G21" s="160"/>
      <c r="H21" s="160" t="s">
        <v>421</v>
      </c>
      <c r="I21" s="160"/>
      <c r="J21" s="191">
        <f>'4 Dividend Financed Bid'!M57</f>
        <v>3.5000000000000003E-2</v>
      </c>
      <c r="K21" s="192"/>
      <c r="L21" s="153"/>
      <c r="M21" s="153"/>
      <c r="N21" s="153"/>
      <c r="O21" s="153"/>
      <c r="P21" s="153"/>
      <c r="Q21" s="153"/>
      <c r="R21" s="153"/>
      <c r="S21" s="153"/>
      <c r="T21" s="153"/>
      <c r="U21" s="153"/>
      <c r="V21" s="153"/>
      <c r="W21" s="153"/>
      <c r="X21" s="153"/>
      <c r="Y21" s="153"/>
      <c r="Z21" s="154"/>
      <c r="AD21" s="175">
        <f t="shared" si="3"/>
        <v>5</v>
      </c>
      <c r="AE21" s="176">
        <f t="shared" si="2"/>
        <v>0</v>
      </c>
      <c r="AF21" s="177">
        <f t="shared" si="0"/>
        <v>0</v>
      </c>
      <c r="AG21" s="178">
        <f t="shared" si="1"/>
        <v>0</v>
      </c>
      <c r="AH21" s="178">
        <f t="shared" si="4"/>
        <v>0</v>
      </c>
      <c r="AJ21" s="179"/>
      <c r="AK21" s="180"/>
      <c r="AL21" s="180"/>
      <c r="AM21" s="193"/>
      <c r="AN21" s="193"/>
      <c r="AO21" s="194"/>
    </row>
    <row r="22" spans="3:41" ht="16" customHeight="1">
      <c r="C22" s="150"/>
      <c r="D22" s="168" t="s">
        <v>422</v>
      </c>
      <c r="E22" s="160"/>
      <c r="F22" s="195">
        <f>+F21*term</f>
        <v>240</v>
      </c>
      <c r="G22" s="160"/>
      <c r="H22" s="160" t="s">
        <v>423</v>
      </c>
      <c r="I22" s="160"/>
      <c r="J22" s="196">
        <v>5.0000000000000001E-3</v>
      </c>
      <c r="K22" s="153"/>
      <c r="L22" s="153"/>
      <c r="M22" s="153"/>
      <c r="N22" s="153"/>
      <c r="O22" s="153"/>
      <c r="P22" s="153"/>
      <c r="Q22" s="153"/>
      <c r="R22" s="153"/>
      <c r="S22" s="153"/>
      <c r="T22" s="153"/>
      <c r="U22" s="153"/>
      <c r="V22" s="153"/>
      <c r="W22" s="153"/>
      <c r="X22" s="153"/>
      <c r="Y22" s="153"/>
      <c r="Z22" s="154"/>
      <c r="AD22" s="175">
        <f t="shared" si="3"/>
        <v>6</v>
      </c>
      <c r="AE22" s="176">
        <f t="shared" si="2"/>
        <v>0</v>
      </c>
      <c r="AF22" s="177">
        <f t="shared" si="0"/>
        <v>0</v>
      </c>
      <c r="AG22" s="178">
        <f t="shared" si="1"/>
        <v>0</v>
      </c>
      <c r="AH22" s="178">
        <f t="shared" si="4"/>
        <v>0</v>
      </c>
      <c r="AJ22" s="179"/>
      <c r="AK22" s="180"/>
      <c r="AL22" s="180"/>
      <c r="AM22" s="193"/>
      <c r="AN22" s="193"/>
      <c r="AO22" s="194"/>
    </row>
    <row r="23" spans="3:41" ht="16" customHeight="1">
      <c r="C23" s="150"/>
      <c r="D23" s="168" t="s">
        <v>424</v>
      </c>
      <c r="E23" s="160"/>
      <c r="F23" s="197">
        <v>6.4899999999999999E-2</v>
      </c>
      <c r="G23" s="160"/>
      <c r="H23" s="160" t="s">
        <v>425</v>
      </c>
      <c r="I23" s="160"/>
      <c r="J23" s="198">
        <v>0</v>
      </c>
      <c r="K23" s="153"/>
      <c r="L23" s="153"/>
      <c r="M23" s="153"/>
      <c r="N23" s="153"/>
      <c r="O23" s="153"/>
      <c r="P23" s="153"/>
      <c r="Q23" s="153"/>
      <c r="R23" s="153"/>
      <c r="S23" s="153"/>
      <c r="T23" s="153"/>
      <c r="U23" s="153"/>
      <c r="V23" s="153"/>
      <c r="W23" s="153"/>
      <c r="X23" s="153"/>
      <c r="Y23" s="153"/>
      <c r="Z23" s="154"/>
      <c r="AD23" s="175">
        <f t="shared" si="3"/>
        <v>7</v>
      </c>
      <c r="AE23" s="176">
        <f t="shared" si="2"/>
        <v>0</v>
      </c>
      <c r="AF23" s="177">
        <f t="shared" si="0"/>
        <v>0</v>
      </c>
      <c r="AG23" s="178">
        <f t="shared" si="1"/>
        <v>0</v>
      </c>
      <c r="AH23" s="178">
        <f t="shared" si="4"/>
        <v>0</v>
      </c>
      <c r="AJ23" s="179"/>
      <c r="AK23" s="180"/>
      <c r="AL23" s="180"/>
      <c r="AM23" s="193"/>
      <c r="AN23" s="193"/>
    </row>
    <row r="24" spans="3:41" ht="16" customHeight="1" thickBot="1">
      <c r="C24" s="150"/>
      <c r="D24" s="168" t="s">
        <v>426</v>
      </c>
      <c r="E24" s="160"/>
      <c r="F24" s="199">
        <v>42064</v>
      </c>
      <c r="G24" s="160"/>
      <c r="H24" s="161" t="s">
        <v>427</v>
      </c>
      <c r="I24" s="162"/>
      <c r="J24" s="162"/>
      <c r="K24" s="153"/>
      <c r="L24" s="153"/>
      <c r="M24" s="153"/>
      <c r="N24" s="153"/>
      <c r="O24" s="153"/>
      <c r="P24" s="153"/>
      <c r="Q24" s="153"/>
      <c r="R24" s="153"/>
      <c r="S24" s="153"/>
      <c r="T24" s="153"/>
      <c r="U24" s="153"/>
      <c r="V24" s="153"/>
      <c r="W24" s="153"/>
      <c r="X24" s="153"/>
      <c r="Y24" s="153"/>
      <c r="Z24" s="154"/>
      <c r="AD24" s="175">
        <f t="shared" si="3"/>
        <v>8</v>
      </c>
      <c r="AE24" s="176">
        <f t="shared" si="2"/>
        <v>0</v>
      </c>
      <c r="AF24" s="177">
        <f t="shared" si="0"/>
        <v>0</v>
      </c>
      <c r="AG24" s="178">
        <f t="shared" si="1"/>
        <v>0</v>
      </c>
      <c r="AH24" s="178">
        <f t="shared" si="4"/>
        <v>0</v>
      </c>
      <c r="AJ24" s="179"/>
      <c r="AK24" s="180"/>
      <c r="AL24" s="180"/>
      <c r="AM24" s="193"/>
      <c r="AN24" s="193"/>
    </row>
    <row r="25" spans="3:41" ht="16" customHeight="1">
      <c r="C25" s="150"/>
      <c r="D25" s="200" t="s">
        <v>428</v>
      </c>
      <c r="E25" s="201"/>
      <c r="F25" s="202">
        <f>-PMT(F23/12,(F22-F29),F19-SUM($H$46:$H$61),0)</f>
        <v>92.465809775686495</v>
      </c>
      <c r="G25" s="160"/>
      <c r="H25" s="160" t="s">
        <v>429</v>
      </c>
      <c r="I25" s="160"/>
      <c r="J25" s="203">
        <f>+COUNTIF(N45:N285,"&lt;="&amp;$F$19-1)</f>
        <v>240</v>
      </c>
      <c r="K25" s="153"/>
      <c r="L25" s="153"/>
      <c r="M25" s="153"/>
      <c r="N25" s="153"/>
      <c r="O25" s="153"/>
      <c r="P25" s="153"/>
      <c r="Q25" s="153"/>
      <c r="R25" s="153"/>
      <c r="S25" s="153"/>
      <c r="T25" s="153"/>
      <c r="U25" s="153"/>
      <c r="V25" s="153"/>
      <c r="W25" s="153"/>
      <c r="X25" s="153"/>
      <c r="Y25" s="153"/>
      <c r="Z25" s="154"/>
      <c r="AD25" s="175">
        <f t="shared" si="3"/>
        <v>9</v>
      </c>
      <c r="AE25" s="176">
        <f t="shared" si="2"/>
        <v>0</v>
      </c>
      <c r="AF25" s="177">
        <f t="shared" si="0"/>
        <v>0</v>
      </c>
      <c r="AG25" s="178">
        <f t="shared" si="1"/>
        <v>0</v>
      </c>
      <c r="AH25" s="178">
        <f t="shared" si="4"/>
        <v>0</v>
      </c>
      <c r="AJ25" s="179"/>
      <c r="AK25" s="180"/>
      <c r="AL25" s="180"/>
      <c r="AM25" s="193"/>
      <c r="AN25" s="193"/>
    </row>
    <row r="26" spans="3:41" ht="16" customHeight="1">
      <c r="C26" s="150"/>
      <c r="D26" s="200"/>
      <c r="E26" s="201"/>
      <c r="F26" s="200"/>
      <c r="G26" s="160"/>
      <c r="H26" s="204" t="s">
        <v>430</v>
      </c>
      <c r="I26" s="204"/>
      <c r="J26" s="205">
        <f>+J25/12</f>
        <v>20</v>
      </c>
      <c r="K26" s="206"/>
      <c r="L26" s="153"/>
      <c r="M26" s="153"/>
      <c r="N26" s="153"/>
      <c r="O26" s="153"/>
      <c r="P26" s="153"/>
      <c r="Q26" s="153"/>
      <c r="R26" s="153"/>
      <c r="S26" s="153"/>
      <c r="T26" s="153"/>
      <c r="U26" s="153"/>
      <c r="V26" s="153"/>
      <c r="W26" s="153"/>
      <c r="X26" s="153"/>
      <c r="Y26" s="153"/>
      <c r="Z26" s="154"/>
      <c r="AD26" s="207">
        <f t="shared" si="3"/>
        <v>10</v>
      </c>
      <c r="AE26" s="208">
        <f t="shared" si="2"/>
        <v>0</v>
      </c>
      <c r="AF26" s="209">
        <f t="shared" si="0"/>
        <v>0</v>
      </c>
      <c r="AG26" s="210">
        <f t="shared" si="1"/>
        <v>0</v>
      </c>
      <c r="AH26" s="210">
        <f t="shared" si="4"/>
        <v>0</v>
      </c>
      <c r="AJ26" s="179"/>
      <c r="AK26" s="180"/>
      <c r="AL26" s="180"/>
      <c r="AM26" s="193"/>
      <c r="AN26" s="193"/>
    </row>
    <row r="27" spans="3:41" ht="16" customHeight="1" thickBot="1">
      <c r="C27" s="150"/>
      <c r="D27" s="161" t="s">
        <v>431</v>
      </c>
      <c r="E27" s="162"/>
      <c r="F27" s="162"/>
      <c r="G27" s="160"/>
      <c r="H27" s="160" t="s">
        <v>432</v>
      </c>
      <c r="I27" s="160"/>
      <c r="J27" s="206">
        <f>+SUM(G46:G285)</f>
        <v>10204.984651999994</v>
      </c>
      <c r="K27" s="153"/>
      <c r="L27" s="153"/>
      <c r="M27" s="153"/>
      <c r="N27" s="153"/>
      <c r="O27" s="153"/>
      <c r="P27" s="153"/>
      <c r="Q27" s="153"/>
      <c r="R27" s="153"/>
      <c r="S27" s="153"/>
      <c r="T27" s="153"/>
      <c r="U27" s="153"/>
      <c r="V27" s="153"/>
      <c r="W27" s="153"/>
      <c r="X27" s="153"/>
      <c r="Y27" s="153"/>
      <c r="Z27" s="154"/>
      <c r="AD27" s="211" t="s">
        <v>391</v>
      </c>
      <c r="AG27" s="212">
        <f>SUM(AG17:AG26)</f>
        <v>0</v>
      </c>
      <c r="AM27" s="193"/>
      <c r="AN27" s="193"/>
    </row>
    <row r="28" spans="3:41" ht="16" customHeight="1">
      <c r="C28" s="150"/>
      <c r="D28" s="168" t="s">
        <v>433</v>
      </c>
      <c r="E28" s="200"/>
      <c r="F28" s="213">
        <v>16</v>
      </c>
      <c r="G28" s="160"/>
      <c r="H28" s="204" t="s">
        <v>434</v>
      </c>
      <c r="J28" s="214">
        <f>+X345</f>
        <v>11103.394750356791</v>
      </c>
      <c r="K28" s="153"/>
      <c r="L28" s="153"/>
      <c r="M28" s="153"/>
      <c r="N28" s="153"/>
      <c r="O28" s="153"/>
      <c r="P28" s="153"/>
      <c r="Q28" s="153"/>
      <c r="R28" s="153"/>
      <c r="S28" s="153"/>
      <c r="T28" s="153"/>
      <c r="U28" s="153"/>
      <c r="V28" s="153"/>
      <c r="W28" s="153"/>
      <c r="X28" s="153"/>
      <c r="Y28" s="153"/>
      <c r="Z28" s="154"/>
      <c r="AM28" s="193"/>
      <c r="AN28" s="193"/>
    </row>
    <row r="29" spans="3:41" ht="16" customHeight="1">
      <c r="C29" s="150"/>
      <c r="D29" s="168" t="s">
        <v>435</v>
      </c>
      <c r="E29" s="200"/>
      <c r="F29" s="213">
        <v>16</v>
      </c>
      <c r="G29" s="206"/>
      <c r="K29" s="153"/>
      <c r="L29" s="153"/>
      <c r="M29" s="153"/>
      <c r="N29" s="153"/>
      <c r="O29" s="153"/>
      <c r="P29" s="153"/>
      <c r="Q29" s="153"/>
      <c r="R29" s="153"/>
      <c r="S29" s="153"/>
      <c r="T29" s="153"/>
      <c r="U29" s="153"/>
      <c r="V29" s="153"/>
      <c r="W29" s="153"/>
      <c r="X29" s="153"/>
      <c r="Y29" s="153"/>
      <c r="Z29" s="154"/>
      <c r="AE29" s="215"/>
      <c r="AF29" s="215"/>
    </row>
    <row r="30" spans="3:41" ht="16" customHeight="1" thickBot="1">
      <c r="C30" s="150"/>
      <c r="D30" s="168" t="s">
        <v>436</v>
      </c>
      <c r="E30" s="200"/>
      <c r="F30" s="213">
        <v>16</v>
      </c>
      <c r="G30" s="160"/>
      <c r="H30" s="161" t="s">
        <v>437</v>
      </c>
      <c r="I30" s="162"/>
      <c r="J30" s="162"/>
      <c r="K30" s="153"/>
      <c r="L30" s="153"/>
      <c r="M30" s="153"/>
      <c r="N30" s="153"/>
      <c r="O30" s="153"/>
      <c r="P30" s="153"/>
      <c r="Q30" s="153"/>
      <c r="R30" s="153"/>
      <c r="S30" s="153"/>
      <c r="T30" s="153"/>
      <c r="U30" s="153"/>
      <c r="V30" s="153"/>
      <c r="W30" s="153"/>
      <c r="X30" s="153"/>
      <c r="Y30" s="153"/>
      <c r="Z30" s="154"/>
    </row>
    <row r="31" spans="3:41" ht="16" customHeight="1">
      <c r="C31" s="150"/>
      <c r="D31" s="168" t="s">
        <v>438</v>
      </c>
      <c r="E31" s="200"/>
      <c r="F31" s="216">
        <v>0.3</v>
      </c>
      <c r="G31" s="160"/>
      <c r="H31" s="160" t="s">
        <v>439</v>
      </c>
      <c r="I31" s="160"/>
      <c r="J31" s="186">
        <v>0</v>
      </c>
      <c r="K31" s="153"/>
      <c r="L31" s="153"/>
      <c r="M31" s="153"/>
      <c r="N31" s="153"/>
      <c r="O31" s="153"/>
      <c r="P31" s="153"/>
      <c r="Q31" s="153"/>
      <c r="R31" s="153"/>
      <c r="S31" s="153"/>
      <c r="T31" s="153"/>
      <c r="U31" s="153"/>
      <c r="V31" s="153"/>
      <c r="W31" s="153"/>
      <c r="X31" s="153"/>
      <c r="Y31" s="153"/>
      <c r="Z31" s="154"/>
    </row>
    <row r="32" spans="3:41" ht="16" customHeight="1">
      <c r="C32" s="150"/>
      <c r="D32" s="183" t="s">
        <v>440</v>
      </c>
      <c r="E32" s="217"/>
      <c r="F32" s="218">
        <f>+F31*F17</f>
        <v>5138.3519999999999</v>
      </c>
      <c r="G32" s="160"/>
      <c r="H32" s="160" t="s">
        <v>441</v>
      </c>
      <c r="I32" s="160"/>
      <c r="J32" s="187">
        <v>10</v>
      </c>
      <c r="K32" s="153"/>
      <c r="L32" s="153"/>
      <c r="M32" s="153"/>
      <c r="N32" s="153"/>
      <c r="O32" s="153"/>
      <c r="P32" s="153"/>
      <c r="Q32" s="153"/>
      <c r="R32" s="153"/>
      <c r="S32" s="153"/>
      <c r="T32" s="153"/>
      <c r="U32" s="153"/>
      <c r="V32" s="153"/>
      <c r="W32" s="153"/>
      <c r="X32" s="153"/>
      <c r="Y32" s="153"/>
      <c r="Z32" s="154"/>
    </row>
    <row r="33" spans="2:45" ht="16" customHeight="1">
      <c r="C33" s="150"/>
      <c r="D33" s="168" t="s">
        <v>442</v>
      </c>
      <c r="E33" s="160"/>
      <c r="F33" s="219">
        <v>0</v>
      </c>
      <c r="G33" s="160"/>
      <c r="H33" s="160" t="s">
        <v>544</v>
      </c>
      <c r="I33" s="160"/>
      <c r="J33" s="220">
        <v>0</v>
      </c>
      <c r="K33" s="163"/>
      <c r="L33" s="153"/>
      <c r="M33" s="153"/>
      <c r="N33" s="153"/>
      <c r="O33" s="153"/>
      <c r="P33" s="153"/>
      <c r="Q33" s="153"/>
      <c r="R33" s="153"/>
      <c r="S33" s="153"/>
      <c r="T33" s="153"/>
      <c r="U33" s="153"/>
      <c r="V33" s="153"/>
      <c r="W33" s="153"/>
      <c r="X33" s="153"/>
      <c r="Y33" s="153"/>
      <c r="Z33" s="154"/>
    </row>
    <row r="34" spans="2:45" ht="16" customHeight="1">
      <c r="C34" s="150"/>
      <c r="D34" s="168" t="s">
        <v>545</v>
      </c>
      <c r="E34" s="200"/>
      <c r="F34" s="221">
        <v>0</v>
      </c>
      <c r="G34" s="160"/>
      <c r="H34" s="160" t="s">
        <v>546</v>
      </c>
      <c r="I34" s="160"/>
      <c r="J34" s="222">
        <f>IF(ISERROR(AG27),"NM",AG27)</f>
        <v>0</v>
      </c>
      <c r="K34" s="223"/>
      <c r="L34" s="153"/>
      <c r="M34" s="153"/>
      <c r="N34" s="153"/>
      <c r="O34" s="224"/>
      <c r="P34" s="224"/>
      <c r="Q34" s="153"/>
      <c r="R34" s="153"/>
      <c r="S34" s="153"/>
      <c r="T34" s="153"/>
      <c r="U34" s="153"/>
      <c r="V34" s="153"/>
      <c r="W34" s="153"/>
      <c r="X34" s="153"/>
      <c r="Y34" s="153"/>
      <c r="Z34" s="154"/>
      <c r="AE34" s="225"/>
      <c r="AF34" s="225"/>
      <c r="AG34" s="225"/>
      <c r="AH34" s="225"/>
      <c r="AI34" s="225"/>
      <c r="AJ34" s="225"/>
      <c r="AK34" s="225"/>
      <c r="AL34" s="225"/>
      <c r="AM34" s="225"/>
      <c r="AN34" s="225"/>
      <c r="AO34" s="225"/>
    </row>
    <row r="35" spans="2:45" ht="16" customHeight="1">
      <c r="C35" s="150"/>
      <c r="D35" s="168" t="s">
        <v>547</v>
      </c>
      <c r="E35" s="160"/>
      <c r="F35" s="219">
        <v>0</v>
      </c>
      <c r="G35" s="160"/>
      <c r="K35" s="223"/>
      <c r="L35" s="153"/>
      <c r="M35" s="153"/>
      <c r="N35" s="153"/>
      <c r="O35" s="224"/>
      <c r="P35" s="224"/>
      <c r="Q35" s="153"/>
      <c r="R35" s="153"/>
      <c r="S35" s="153"/>
      <c r="T35" s="153"/>
      <c r="U35" s="153"/>
      <c r="V35" s="153"/>
      <c r="W35" s="153"/>
      <c r="X35" s="153"/>
      <c r="Y35" s="153"/>
      <c r="Z35" s="154"/>
    </row>
    <row r="36" spans="2:45" ht="16" customHeight="1" thickBot="1">
      <c r="C36" s="150"/>
      <c r="D36" s="168" t="s">
        <v>548</v>
      </c>
      <c r="E36" s="200"/>
      <c r="F36" s="226">
        <f>($F$17-SUM(F33:F35))*F31</f>
        <v>5138.3519999999999</v>
      </c>
      <c r="G36" s="227"/>
      <c r="H36" s="161" t="s">
        <v>549</v>
      </c>
      <c r="I36" s="162"/>
      <c r="J36" s="162"/>
      <c r="K36" s="223"/>
      <c r="L36" s="153"/>
      <c r="M36" s="153"/>
      <c r="N36" s="153"/>
      <c r="O36" s="224"/>
      <c r="P36" s="224"/>
      <c r="Q36" s="153"/>
      <c r="R36" s="153"/>
      <c r="S36" s="153"/>
      <c r="T36" s="153"/>
      <c r="U36" s="153"/>
      <c r="V36" s="153"/>
      <c r="W36" s="153"/>
      <c r="X36" s="153"/>
      <c r="Y36" s="153"/>
      <c r="Z36" s="154"/>
      <c r="AB36" s="146"/>
      <c r="AC36" s="146"/>
    </row>
    <row r="37" spans="2:45" ht="16" customHeight="1">
      <c r="C37" s="150"/>
      <c r="D37" s="183" t="s">
        <v>550</v>
      </c>
      <c r="E37" s="217"/>
      <c r="F37" s="228">
        <f>+F36+SUM(F33:F35)</f>
        <v>5138.3519999999999</v>
      </c>
      <c r="G37" s="227"/>
      <c r="H37" s="160" t="s">
        <v>551</v>
      </c>
      <c r="I37" s="160"/>
      <c r="J37" s="229">
        <v>5.0000000000000001E-3</v>
      </c>
      <c r="K37" s="223"/>
      <c r="L37" s="153"/>
      <c r="M37" s="153"/>
      <c r="N37" s="153"/>
      <c r="O37" s="224"/>
      <c r="P37" s="224"/>
      <c r="Q37" s="153"/>
      <c r="R37" s="153"/>
      <c r="S37" s="153"/>
      <c r="T37" s="153"/>
      <c r="U37" s="153"/>
      <c r="V37" s="153"/>
      <c r="W37" s="153"/>
      <c r="X37" s="153"/>
      <c r="Y37" s="153"/>
      <c r="Z37" s="154"/>
      <c r="AB37" s="146"/>
      <c r="AC37" s="146"/>
    </row>
    <row r="38" spans="2:45" ht="16" customHeight="1">
      <c r="C38" s="150"/>
      <c r="D38" s="168" t="s">
        <v>552</v>
      </c>
      <c r="E38" s="200"/>
      <c r="F38" s="230">
        <f>F32-SUM(F33:F35)</f>
        <v>5138.3519999999999</v>
      </c>
      <c r="G38" s="231"/>
      <c r="H38" s="160" t="s">
        <v>553</v>
      </c>
      <c r="J38" s="187">
        <v>15</v>
      </c>
      <c r="K38" s="223"/>
      <c r="L38" s="153"/>
      <c r="M38" s="153"/>
      <c r="N38" s="153"/>
      <c r="O38" s="224"/>
      <c r="P38" s="224"/>
      <c r="Q38" s="153"/>
      <c r="R38" s="153"/>
      <c r="S38" s="153"/>
      <c r="T38" s="153"/>
      <c r="U38" s="153"/>
      <c r="V38" s="153"/>
      <c r="W38" s="153"/>
      <c r="X38" s="153"/>
      <c r="Y38" s="153"/>
      <c r="Z38" s="154"/>
    </row>
    <row r="39" spans="2:45" ht="16" customHeight="1">
      <c r="C39" s="150"/>
      <c r="D39" s="168" t="s">
        <v>554</v>
      </c>
      <c r="E39" s="160"/>
      <c r="F39" s="230">
        <f>F37-F32</f>
        <v>0</v>
      </c>
      <c r="G39" s="231"/>
      <c r="H39" s="204" t="s">
        <v>555</v>
      </c>
      <c r="I39" s="160"/>
      <c r="J39" s="232">
        <f>+SUM(Y46:Y225)</f>
        <v>717.78914505623447</v>
      </c>
      <c r="K39" s="223"/>
      <c r="L39" s="153"/>
      <c r="M39" s="153"/>
      <c r="N39" s="153"/>
      <c r="O39" s="224"/>
      <c r="P39" s="224"/>
      <c r="Q39" s="153"/>
      <c r="R39" s="153"/>
      <c r="S39" s="153"/>
      <c r="T39" s="153"/>
      <c r="U39" s="153"/>
      <c r="V39" s="153"/>
      <c r="W39" s="153"/>
      <c r="X39" s="153"/>
      <c r="Y39" s="153"/>
      <c r="Z39" s="154"/>
    </row>
    <row r="40" spans="2:45" ht="6" customHeight="1">
      <c r="B40" s="233"/>
      <c r="C40" s="234"/>
      <c r="D40" s="235"/>
      <c r="E40" s="236"/>
      <c r="F40" s="237"/>
      <c r="G40" s="238"/>
      <c r="H40" s="239"/>
      <c r="I40" s="239"/>
      <c r="J40" s="237"/>
      <c r="K40" s="240"/>
      <c r="L40" s="237"/>
      <c r="M40" s="237"/>
      <c r="N40" s="237"/>
      <c r="O40" s="237"/>
      <c r="P40" s="237"/>
      <c r="Q40" s="237"/>
      <c r="R40" s="237"/>
      <c r="S40" s="237"/>
      <c r="T40" s="237"/>
      <c r="U40" s="237"/>
      <c r="V40" s="237"/>
      <c r="W40" s="237"/>
      <c r="X40" s="237"/>
      <c r="Y40" s="237"/>
      <c r="Z40" s="241"/>
    </row>
    <row r="41" spans="2:45" ht="6" customHeight="1">
      <c r="J41" s="146"/>
      <c r="AE41" s="242"/>
      <c r="AF41" s="242"/>
    </row>
    <row r="42" spans="2:45" ht="16.5" customHeight="1" thickBot="1">
      <c r="D42" s="243" t="s">
        <v>556</v>
      </c>
      <c r="E42" s="244"/>
      <c r="F42" s="244"/>
      <c r="G42" s="244"/>
      <c r="H42" s="244"/>
      <c r="I42" s="244"/>
      <c r="J42" s="244"/>
      <c r="K42" s="244"/>
      <c r="L42" s="244"/>
      <c r="M42" s="244"/>
      <c r="N42" s="244"/>
      <c r="P42" s="245"/>
    </row>
    <row r="43" spans="2:45" ht="16.5" customHeight="1">
      <c r="D43" s="246"/>
      <c r="E43" s="246"/>
      <c r="F43" s="247"/>
      <c r="G43" s="248" t="s">
        <v>557</v>
      </c>
      <c r="H43" s="249"/>
      <c r="I43" s="249"/>
      <c r="J43" s="249"/>
      <c r="K43" s="249"/>
      <c r="L43" s="246"/>
      <c r="M43" s="246"/>
      <c r="N43" s="250"/>
      <c r="P43" s="245"/>
      <c r="Q43" s="251" t="s">
        <v>558</v>
      </c>
      <c r="R43" s="252"/>
      <c r="S43" s="252"/>
      <c r="T43" s="252"/>
      <c r="U43" s="252"/>
      <c r="V43" s="252"/>
      <c r="W43" s="252"/>
      <c r="X43" s="252"/>
      <c r="Y43" s="252"/>
    </row>
    <row r="44" spans="2:45" ht="40" customHeight="1" thickBot="1">
      <c r="D44" s="253" t="s">
        <v>365</v>
      </c>
      <c r="E44" s="254" t="s">
        <v>559</v>
      </c>
      <c r="F44" s="254" t="s">
        <v>560</v>
      </c>
      <c r="G44" s="254" t="s">
        <v>561</v>
      </c>
      <c r="H44" s="254" t="s">
        <v>562</v>
      </c>
      <c r="I44" s="254" t="s">
        <v>563</v>
      </c>
      <c r="J44" s="254" t="s">
        <v>564</v>
      </c>
      <c r="K44" s="255" t="s">
        <v>565</v>
      </c>
      <c r="L44" s="254" t="s">
        <v>566</v>
      </c>
      <c r="M44" s="254" t="s">
        <v>432</v>
      </c>
      <c r="N44" s="254" t="s">
        <v>567</v>
      </c>
      <c r="O44" s="256"/>
      <c r="P44" s="257"/>
      <c r="Q44" s="254" t="s">
        <v>568</v>
      </c>
      <c r="R44" s="254" t="s">
        <v>569</v>
      </c>
      <c r="S44" s="254" t="s">
        <v>570</v>
      </c>
      <c r="T44" s="254" t="s">
        <v>571</v>
      </c>
      <c r="U44" s="254" t="s">
        <v>572</v>
      </c>
      <c r="V44" s="254" t="s">
        <v>573</v>
      </c>
      <c r="W44" s="254" t="s">
        <v>574</v>
      </c>
      <c r="X44" s="254" t="s">
        <v>465</v>
      </c>
      <c r="Y44" s="254" t="s">
        <v>575</v>
      </c>
      <c r="AA44" s="258"/>
      <c r="AB44" s="258"/>
      <c r="AC44" s="258"/>
    </row>
    <row r="45" spans="2:45">
      <c r="D45" s="259">
        <v>0</v>
      </c>
      <c r="E45" s="260"/>
      <c r="F45" s="260"/>
      <c r="G45" s="261"/>
      <c r="H45" s="261"/>
      <c r="I45" s="262">
        <f>F18</f>
        <v>0</v>
      </c>
      <c r="J45" s="261"/>
      <c r="K45" s="263"/>
      <c r="L45" s="262">
        <f>$F$17+I45</f>
        <v>17127.84</v>
      </c>
      <c r="M45" s="264"/>
      <c r="N45" s="265">
        <v>0</v>
      </c>
      <c r="P45" s="245"/>
      <c r="AA45" s="153"/>
      <c r="AD45" s="146"/>
    </row>
    <row r="46" spans="2:45">
      <c r="B46" s="266">
        <v>1</v>
      </c>
      <c r="C46" s="266"/>
      <c r="D46" s="175">
        <f>IF(D45&gt;=nper,"",D45+1)</f>
        <v>1</v>
      </c>
      <c r="E46" s="267">
        <f t="shared" ref="E46:E109" si="5">IF(D46="","",DATE(YEAR(fpdate),MONTH(fpdate)+(D46-1),DAY(fpdate)))</f>
        <v>42064</v>
      </c>
      <c r="F46" s="268">
        <f>+$F$23</f>
        <v>6.4899999999999999E-2</v>
      </c>
      <c r="G46" s="269">
        <f t="shared" ref="G46:G59" si="6">IF(D46="","",F46/12*L45)</f>
        <v>92.633068000000009</v>
      </c>
      <c r="H46" s="269">
        <f t="shared" ref="H46:H109" si="7">+IF(AND(D46=$F$30,D46=$F$29,$J$23=1),SUM($F$33:$F$36),IF(AND(D46=$F$30,D46=$F$29,$J$23=0),SUM($F$33:$F$35,$F$38),IF(AND(D46=$F$29,D46&lt;&gt;$F$30),$F$38+IF($F$29=D46,$F$39*$J$23,0),IF(AND(D46=$F$30,D46&lt;&gt;$F$29),SUM($F$33:$F$35),0))))</f>
        <v>0</v>
      </c>
      <c r="I46" s="269">
        <f t="shared" ref="I46:I109" si="8">IF($J$23=1,IF(AND(V46&lt;0,L45+V46&gt;W46),W46,IF(AND(V46&lt;0,L45+V46&lt;W46),L45+V46+G46,0)),0)</f>
        <v>0</v>
      </c>
      <c r="J46" s="270">
        <f>IF(D46&lt;=$F$29,I46+H46,(K46-G46))</f>
        <v>0</v>
      </c>
      <c r="K46" s="271">
        <f t="shared" ref="K46:K109" si="9">IF(D46&lt;=$F$29,(L45*F46/12)+H46+(I46*$J$23),MIN($F$25+(I46*$J$23),L45+G46))</f>
        <v>92.633067999999994</v>
      </c>
      <c r="L46" s="270">
        <f t="shared" ref="L46:L109" si="10">IF(D46="","",L45-J46)</f>
        <v>17127.84</v>
      </c>
      <c r="M46" s="272">
        <f>IF(D46="","",SUM(G$46:G46))</f>
        <v>92.633068000000009</v>
      </c>
      <c r="N46" s="272">
        <f>IF(D46="","",SUM(J$46:J46))</f>
        <v>0</v>
      </c>
      <c r="P46" s="245"/>
      <c r="Q46" s="273">
        <f t="shared" ref="Q46:Q109" si="11">+IF(B46&gt;1,$J$15*((1+$J$21)^(B46-1)),$J$15)</f>
        <v>105</v>
      </c>
      <c r="R46" s="273">
        <f t="shared" ref="R46:R57" si="12">+IF(B46&gt;1,$J$19*((1+$J$21)^(B46-1)),$J$19)</f>
        <v>28.717500000000001</v>
      </c>
      <c r="S46" s="178">
        <f>Q46-R46</f>
        <v>76.282499999999999</v>
      </c>
      <c r="T46" s="273">
        <f>IFERROR(VLOOKUP(B46,$AD$17:$AH$26,4,FALSE)/12,0)</f>
        <v>0</v>
      </c>
      <c r="U46" s="273">
        <f>S46+T46</f>
        <v>76.282499999999999</v>
      </c>
      <c r="V46" s="273">
        <f>IF(D46&lt;=$F$29,-G46,IF(L45&gt;$F$25,-$F$25,-L45-G46))</f>
        <v>-92.633068000000009</v>
      </c>
      <c r="W46" s="273">
        <f>+IF(V46&gt;=0,U46+V46,IF(AND(U46&gt;-V46,L45&gt;U46),U46+V46,IF(AND(U46&gt;-V46,L45&lt;U46),(((U46+V46)-(L45+V46))),0)))</f>
        <v>0</v>
      </c>
      <c r="X46" s="273">
        <f>+SUM(U46:V46)+X45</f>
        <v>-16.35056800000001</v>
      </c>
      <c r="Y46" s="273">
        <f>IF(B46&lt;=$J$38,L46*$J$37/12,0)</f>
        <v>7.1366000000000005</v>
      </c>
      <c r="Z46" s="273"/>
      <c r="AA46" s="274">
        <f>FV(7%/12,240,V62)</f>
        <v>48167.905434509987</v>
      </c>
      <c r="AB46" s="273"/>
      <c r="AC46" s="275"/>
      <c r="AD46" s="276"/>
      <c r="AG46" s="242"/>
      <c r="AH46" s="174"/>
      <c r="AP46" s="272"/>
      <c r="AQ46" s="272"/>
      <c r="AR46" s="174"/>
      <c r="AS46" s="174"/>
    </row>
    <row r="47" spans="2:45">
      <c r="B47" s="266">
        <v>1</v>
      </c>
      <c r="C47" s="266"/>
      <c r="D47" s="175">
        <f t="shared" ref="D47:D109" si="13">IF(D46&gt;=nper,"",D46+1)</f>
        <v>2</v>
      </c>
      <c r="E47" s="267">
        <f t="shared" si="5"/>
        <v>42095</v>
      </c>
      <c r="F47" s="268">
        <f t="shared" ref="F47:F110" si="14">+$F$23</f>
        <v>6.4899999999999999E-2</v>
      </c>
      <c r="G47" s="270">
        <f t="shared" si="6"/>
        <v>92.633068000000009</v>
      </c>
      <c r="H47" s="270">
        <f t="shared" si="7"/>
        <v>0</v>
      </c>
      <c r="I47" s="270">
        <f t="shared" si="8"/>
        <v>0</v>
      </c>
      <c r="J47" s="270">
        <f t="shared" ref="J47:J110" si="15">IF(D47&lt;=$F$29,I47+H47,(K47-G47))</f>
        <v>0</v>
      </c>
      <c r="K47" s="271">
        <f t="shared" si="9"/>
        <v>92.633067999999994</v>
      </c>
      <c r="L47" s="270">
        <f t="shared" si="10"/>
        <v>17127.84</v>
      </c>
      <c r="M47" s="242">
        <f>IF(D47="","",SUM(G$46:G47))</f>
        <v>185.26613600000002</v>
      </c>
      <c r="N47" s="242">
        <f>IF(D47="","",SUM(J$46:J47))</f>
        <v>0</v>
      </c>
      <c r="P47" s="245"/>
      <c r="Q47" s="277">
        <f t="shared" si="11"/>
        <v>105</v>
      </c>
      <c r="R47" s="277">
        <f t="shared" si="12"/>
        <v>28.717500000000001</v>
      </c>
      <c r="S47" s="277">
        <f t="shared" ref="S47:S57" si="16">Q47-R47</f>
        <v>76.282499999999999</v>
      </c>
      <c r="T47" s="277">
        <f t="shared" ref="T47:T110" si="17">IFERROR(VLOOKUP(B47,$AD$17:$AH$26,4,FALSE)/12,0)</f>
        <v>0</v>
      </c>
      <c r="U47" s="277">
        <f>S47+T47</f>
        <v>76.282499999999999</v>
      </c>
      <c r="V47" s="277">
        <f t="shared" ref="V47:V110" si="18">IF(D47&lt;=$F$29,-G47,IF(L46&gt;$F$25,-$F$25,-L46-G47))</f>
        <v>-92.633068000000009</v>
      </c>
      <c r="W47" s="277">
        <f>+IF(V47&gt;=0,U47+V47,IF(AND(U47&gt;-V47,L46&gt;U47),U47+V47,IF(AND(U47&gt;-V47,L46&lt;U47),(((U47+V47)-(L46+V47))),0)))</f>
        <v>0</v>
      </c>
      <c r="X47" s="273">
        <f t="shared" ref="X47:X110" si="19">+SUM(U47:V47)+X46</f>
        <v>-32.70113600000002</v>
      </c>
      <c r="Y47" s="277">
        <f t="shared" ref="Y47:Y110" si="20">IF(B47&lt;=$J$38,L47*$J$37/12,0)</f>
        <v>7.1366000000000005</v>
      </c>
      <c r="Z47" s="277"/>
      <c r="AA47" s="278"/>
      <c r="AB47" s="277"/>
      <c r="AC47" s="272"/>
      <c r="AD47" s="276"/>
      <c r="AG47" s="242"/>
      <c r="AH47" s="174"/>
      <c r="AP47" s="272"/>
      <c r="AQ47" s="272"/>
      <c r="AR47" s="174"/>
      <c r="AS47" s="174"/>
    </row>
    <row r="48" spans="2:45">
      <c r="B48" s="266">
        <v>1</v>
      </c>
      <c r="C48" s="266"/>
      <c r="D48" s="175">
        <f t="shared" si="13"/>
        <v>3</v>
      </c>
      <c r="E48" s="267">
        <f t="shared" si="5"/>
        <v>42125</v>
      </c>
      <c r="F48" s="268">
        <f t="shared" si="14"/>
        <v>6.4899999999999999E-2</v>
      </c>
      <c r="G48" s="270">
        <f t="shared" si="6"/>
        <v>92.633068000000009</v>
      </c>
      <c r="H48" s="270">
        <f t="shared" si="7"/>
        <v>0</v>
      </c>
      <c r="I48" s="270">
        <f t="shared" si="8"/>
        <v>0</v>
      </c>
      <c r="J48" s="270">
        <f t="shared" si="15"/>
        <v>0</v>
      </c>
      <c r="K48" s="271">
        <f t="shared" si="9"/>
        <v>92.633067999999994</v>
      </c>
      <c r="L48" s="270">
        <f t="shared" si="10"/>
        <v>17127.84</v>
      </c>
      <c r="M48" s="242">
        <f>IF(D48="","",SUM(G$46:G48))</f>
        <v>277.89920400000005</v>
      </c>
      <c r="N48" s="242">
        <f>IF(D48="","",SUM(J$46:J48))</f>
        <v>0</v>
      </c>
      <c r="P48" s="245"/>
      <c r="Q48" s="277">
        <f t="shared" si="11"/>
        <v>105</v>
      </c>
      <c r="R48" s="277">
        <f t="shared" si="12"/>
        <v>28.717500000000001</v>
      </c>
      <c r="S48" s="277">
        <f t="shared" si="16"/>
        <v>76.282499999999999</v>
      </c>
      <c r="T48" s="277">
        <f t="shared" si="17"/>
        <v>0</v>
      </c>
      <c r="U48" s="277">
        <f t="shared" ref="U48:U111" si="21">S48+T48</f>
        <v>76.282499999999999</v>
      </c>
      <c r="V48" s="277">
        <f t="shared" si="18"/>
        <v>-92.633068000000009</v>
      </c>
      <c r="W48" s="277">
        <f t="shared" ref="W48:W111" si="22">+IF(V48&gt;=0,U48+V48,IF(AND(U48&gt;-V48,L47&gt;U48),U48+V48,IF(AND(U48&gt;-V48,L47&lt;U48),(((U48+V48)-(L47+V48))),0)))</f>
        <v>0</v>
      </c>
      <c r="X48" s="273">
        <f t="shared" si="19"/>
        <v>-49.051704000000029</v>
      </c>
      <c r="Y48" s="277">
        <f t="shared" si="20"/>
        <v>7.1366000000000005</v>
      </c>
      <c r="Z48" s="277"/>
      <c r="AA48" s="278"/>
      <c r="AB48" s="277"/>
      <c r="AC48" s="272"/>
      <c r="AD48" s="276"/>
      <c r="AG48" s="242"/>
      <c r="AH48" s="174"/>
      <c r="AP48" s="272"/>
      <c r="AQ48" s="272"/>
      <c r="AR48" s="174"/>
      <c r="AS48" s="174"/>
    </row>
    <row r="49" spans="2:45">
      <c r="B49" s="266">
        <v>1</v>
      </c>
      <c r="C49" s="266"/>
      <c r="D49" s="175">
        <f t="shared" si="13"/>
        <v>4</v>
      </c>
      <c r="E49" s="267">
        <f t="shared" si="5"/>
        <v>42156</v>
      </c>
      <c r="F49" s="268">
        <f t="shared" si="14"/>
        <v>6.4899999999999999E-2</v>
      </c>
      <c r="G49" s="270">
        <f t="shared" si="6"/>
        <v>92.633068000000009</v>
      </c>
      <c r="H49" s="270">
        <f t="shared" si="7"/>
        <v>0</v>
      </c>
      <c r="I49" s="270">
        <f t="shared" si="8"/>
        <v>0</v>
      </c>
      <c r="J49" s="270">
        <f t="shared" si="15"/>
        <v>0</v>
      </c>
      <c r="K49" s="271">
        <f t="shared" si="9"/>
        <v>92.633067999999994</v>
      </c>
      <c r="L49" s="270">
        <f t="shared" si="10"/>
        <v>17127.84</v>
      </c>
      <c r="M49" s="242">
        <f>IF(D49="","",SUM(G$46:G49))</f>
        <v>370.53227200000003</v>
      </c>
      <c r="N49" s="242">
        <f>IF(D49="","",SUM(J$46:J49))</f>
        <v>0</v>
      </c>
      <c r="P49" s="245"/>
      <c r="Q49" s="277">
        <f t="shared" si="11"/>
        <v>105</v>
      </c>
      <c r="R49" s="277">
        <f t="shared" si="12"/>
        <v>28.717500000000001</v>
      </c>
      <c r="S49" s="277">
        <f t="shared" si="16"/>
        <v>76.282499999999999</v>
      </c>
      <c r="T49" s="277">
        <f t="shared" si="17"/>
        <v>0</v>
      </c>
      <c r="U49" s="277">
        <f t="shared" si="21"/>
        <v>76.282499999999999</v>
      </c>
      <c r="V49" s="277">
        <f t="shared" si="18"/>
        <v>-92.633068000000009</v>
      </c>
      <c r="W49" s="277">
        <f t="shared" si="22"/>
        <v>0</v>
      </c>
      <c r="X49" s="273">
        <f t="shared" si="19"/>
        <v>-65.402272000000039</v>
      </c>
      <c r="Y49" s="277">
        <f t="shared" si="20"/>
        <v>7.1366000000000005</v>
      </c>
      <c r="Z49" s="277"/>
      <c r="AA49" s="278"/>
      <c r="AB49" s="277"/>
      <c r="AC49" s="272"/>
      <c r="AD49" s="276"/>
      <c r="AG49" s="242"/>
      <c r="AH49" s="174"/>
      <c r="AP49" s="272"/>
      <c r="AQ49" s="272"/>
      <c r="AR49" s="174"/>
      <c r="AS49" s="174"/>
    </row>
    <row r="50" spans="2:45">
      <c r="B50" s="266">
        <v>1</v>
      </c>
      <c r="C50" s="266"/>
      <c r="D50" s="175">
        <f t="shared" si="13"/>
        <v>5</v>
      </c>
      <c r="E50" s="267">
        <f t="shared" si="5"/>
        <v>42186</v>
      </c>
      <c r="F50" s="268">
        <f t="shared" si="14"/>
        <v>6.4899999999999999E-2</v>
      </c>
      <c r="G50" s="270">
        <f t="shared" si="6"/>
        <v>92.633068000000009</v>
      </c>
      <c r="H50" s="270">
        <f t="shared" si="7"/>
        <v>0</v>
      </c>
      <c r="I50" s="270">
        <f t="shared" si="8"/>
        <v>0</v>
      </c>
      <c r="J50" s="270">
        <f t="shared" si="15"/>
        <v>0</v>
      </c>
      <c r="K50" s="271">
        <f t="shared" si="9"/>
        <v>92.633067999999994</v>
      </c>
      <c r="L50" s="270">
        <f t="shared" si="10"/>
        <v>17127.84</v>
      </c>
      <c r="M50" s="242">
        <f>IF(D50="","",SUM(G$46:G50))</f>
        <v>463.16534000000001</v>
      </c>
      <c r="N50" s="242">
        <f>IF(D50="","",SUM(J$46:J50))</f>
        <v>0</v>
      </c>
      <c r="P50" s="245"/>
      <c r="Q50" s="277">
        <f t="shared" si="11"/>
        <v>105</v>
      </c>
      <c r="R50" s="277">
        <f t="shared" si="12"/>
        <v>28.717500000000001</v>
      </c>
      <c r="S50" s="277">
        <f t="shared" si="16"/>
        <v>76.282499999999999</v>
      </c>
      <c r="T50" s="277">
        <f t="shared" si="17"/>
        <v>0</v>
      </c>
      <c r="U50" s="277">
        <f t="shared" si="21"/>
        <v>76.282499999999999</v>
      </c>
      <c r="V50" s="277">
        <f t="shared" si="18"/>
        <v>-92.633068000000009</v>
      </c>
      <c r="W50" s="277">
        <f t="shared" si="22"/>
        <v>0</v>
      </c>
      <c r="X50" s="273">
        <f t="shared" si="19"/>
        <v>-81.752840000000049</v>
      </c>
      <c r="Y50" s="277">
        <f t="shared" si="20"/>
        <v>7.1366000000000005</v>
      </c>
      <c r="Z50" s="279"/>
      <c r="AA50" s="278"/>
      <c r="AB50" s="277"/>
      <c r="AC50" s="272"/>
      <c r="AD50" s="276"/>
      <c r="AG50" s="242"/>
      <c r="AH50" s="174"/>
      <c r="AP50" s="272"/>
      <c r="AQ50" s="272"/>
      <c r="AR50" s="174"/>
      <c r="AS50" s="174"/>
    </row>
    <row r="51" spans="2:45">
      <c r="B51" s="266">
        <v>1</v>
      </c>
      <c r="C51" s="266"/>
      <c r="D51" s="175">
        <f t="shared" si="13"/>
        <v>6</v>
      </c>
      <c r="E51" s="267">
        <f t="shared" si="5"/>
        <v>42217</v>
      </c>
      <c r="F51" s="268">
        <f t="shared" si="14"/>
        <v>6.4899999999999999E-2</v>
      </c>
      <c r="G51" s="270">
        <f t="shared" si="6"/>
        <v>92.633068000000009</v>
      </c>
      <c r="H51" s="270">
        <f t="shared" si="7"/>
        <v>0</v>
      </c>
      <c r="I51" s="270">
        <f t="shared" si="8"/>
        <v>0</v>
      </c>
      <c r="J51" s="270">
        <f t="shared" si="15"/>
        <v>0</v>
      </c>
      <c r="K51" s="271">
        <f t="shared" si="9"/>
        <v>92.633067999999994</v>
      </c>
      <c r="L51" s="270">
        <f t="shared" si="10"/>
        <v>17127.84</v>
      </c>
      <c r="M51" s="242">
        <f>IF(D51="","",SUM(G$46:G51))</f>
        <v>555.79840799999999</v>
      </c>
      <c r="N51" s="242">
        <f>IF(D51="","",SUM(J$46:J51))</f>
        <v>0</v>
      </c>
      <c r="P51" s="245"/>
      <c r="Q51" s="277">
        <f t="shared" si="11"/>
        <v>105</v>
      </c>
      <c r="R51" s="277">
        <f t="shared" si="12"/>
        <v>28.717500000000001</v>
      </c>
      <c r="S51" s="277">
        <f t="shared" si="16"/>
        <v>76.282499999999999</v>
      </c>
      <c r="T51" s="277">
        <f t="shared" si="17"/>
        <v>0</v>
      </c>
      <c r="U51" s="277">
        <f t="shared" si="21"/>
        <v>76.282499999999999</v>
      </c>
      <c r="V51" s="277">
        <f t="shared" si="18"/>
        <v>-92.633068000000009</v>
      </c>
      <c r="W51" s="277">
        <f t="shared" si="22"/>
        <v>0</v>
      </c>
      <c r="X51" s="273">
        <f t="shared" si="19"/>
        <v>-98.103408000000059</v>
      </c>
      <c r="Y51" s="277">
        <f t="shared" si="20"/>
        <v>7.1366000000000005</v>
      </c>
      <c r="AA51" s="278"/>
      <c r="AB51" s="277"/>
      <c r="AC51" s="272"/>
      <c r="AD51" s="276"/>
      <c r="AG51" s="242"/>
      <c r="AH51" s="174"/>
      <c r="AP51" s="272"/>
      <c r="AQ51" s="272"/>
      <c r="AR51" s="174"/>
      <c r="AS51" s="174"/>
    </row>
    <row r="52" spans="2:45">
      <c r="B52" s="266">
        <v>1</v>
      </c>
      <c r="C52" s="266"/>
      <c r="D52" s="175">
        <f t="shared" si="13"/>
        <v>7</v>
      </c>
      <c r="E52" s="267">
        <f t="shared" si="5"/>
        <v>42248</v>
      </c>
      <c r="F52" s="268">
        <f t="shared" si="14"/>
        <v>6.4899999999999999E-2</v>
      </c>
      <c r="G52" s="270">
        <f t="shared" si="6"/>
        <v>92.633068000000009</v>
      </c>
      <c r="H52" s="270">
        <f t="shared" si="7"/>
        <v>0</v>
      </c>
      <c r="I52" s="270">
        <f t="shared" si="8"/>
        <v>0</v>
      </c>
      <c r="J52" s="270">
        <f t="shared" si="15"/>
        <v>0</v>
      </c>
      <c r="K52" s="271">
        <f t="shared" si="9"/>
        <v>92.633067999999994</v>
      </c>
      <c r="L52" s="270">
        <f t="shared" si="10"/>
        <v>17127.84</v>
      </c>
      <c r="M52" s="242">
        <f>IF(D52="","",SUM(G$46:G52))</f>
        <v>648.43147599999998</v>
      </c>
      <c r="N52" s="242">
        <f>IF(D52="","",SUM(J$46:J52))</f>
        <v>0</v>
      </c>
      <c r="P52" s="245"/>
      <c r="Q52" s="277">
        <f t="shared" si="11"/>
        <v>105</v>
      </c>
      <c r="R52" s="277">
        <f t="shared" si="12"/>
        <v>28.717500000000001</v>
      </c>
      <c r="S52" s="277">
        <f t="shared" si="16"/>
        <v>76.282499999999999</v>
      </c>
      <c r="T52" s="277">
        <f t="shared" si="17"/>
        <v>0</v>
      </c>
      <c r="U52" s="277">
        <f t="shared" si="21"/>
        <v>76.282499999999999</v>
      </c>
      <c r="V52" s="277">
        <f t="shared" si="18"/>
        <v>-92.633068000000009</v>
      </c>
      <c r="W52" s="277">
        <f t="shared" si="22"/>
        <v>0</v>
      </c>
      <c r="X52" s="273">
        <f t="shared" si="19"/>
        <v>-114.45397600000007</v>
      </c>
      <c r="Y52" s="277">
        <f t="shared" si="20"/>
        <v>7.1366000000000005</v>
      </c>
      <c r="AA52" s="278"/>
      <c r="AB52" s="277"/>
      <c r="AC52" s="272"/>
      <c r="AD52" s="276"/>
      <c r="AG52" s="242"/>
      <c r="AH52" s="174"/>
      <c r="AP52" s="272"/>
      <c r="AQ52" s="272"/>
      <c r="AR52" s="174"/>
      <c r="AS52" s="174"/>
    </row>
    <row r="53" spans="2:45">
      <c r="B53" s="266">
        <v>1</v>
      </c>
      <c r="C53" s="266"/>
      <c r="D53" s="175">
        <f t="shared" si="13"/>
        <v>8</v>
      </c>
      <c r="E53" s="267">
        <f t="shared" si="5"/>
        <v>42278</v>
      </c>
      <c r="F53" s="268">
        <f t="shared" si="14"/>
        <v>6.4899999999999999E-2</v>
      </c>
      <c r="G53" s="270">
        <f t="shared" si="6"/>
        <v>92.633068000000009</v>
      </c>
      <c r="H53" s="270">
        <f t="shared" si="7"/>
        <v>0</v>
      </c>
      <c r="I53" s="270">
        <f t="shared" si="8"/>
        <v>0</v>
      </c>
      <c r="J53" s="270">
        <f t="shared" si="15"/>
        <v>0</v>
      </c>
      <c r="K53" s="271">
        <f t="shared" si="9"/>
        <v>92.633067999999994</v>
      </c>
      <c r="L53" s="270">
        <f t="shared" si="10"/>
        <v>17127.84</v>
      </c>
      <c r="M53" s="242">
        <f>IF(D53="","",SUM(G$46:G53))</f>
        <v>741.06454399999996</v>
      </c>
      <c r="N53" s="242">
        <f>IF(D53="","",SUM(J$46:J53))</f>
        <v>0</v>
      </c>
      <c r="P53" s="245"/>
      <c r="Q53" s="277">
        <f t="shared" si="11"/>
        <v>105</v>
      </c>
      <c r="R53" s="277">
        <f t="shared" si="12"/>
        <v>28.717500000000001</v>
      </c>
      <c r="S53" s="277">
        <f t="shared" si="16"/>
        <v>76.282499999999999</v>
      </c>
      <c r="T53" s="277">
        <f t="shared" si="17"/>
        <v>0</v>
      </c>
      <c r="U53" s="277">
        <f t="shared" si="21"/>
        <v>76.282499999999999</v>
      </c>
      <c r="V53" s="277">
        <f t="shared" si="18"/>
        <v>-92.633068000000009</v>
      </c>
      <c r="W53" s="277">
        <f t="shared" si="22"/>
        <v>0</v>
      </c>
      <c r="X53" s="273">
        <f t="shared" si="19"/>
        <v>-130.80454400000008</v>
      </c>
      <c r="Y53" s="277">
        <f t="shared" si="20"/>
        <v>7.1366000000000005</v>
      </c>
      <c r="AA53" s="278"/>
      <c r="AB53" s="277"/>
      <c r="AC53" s="272"/>
      <c r="AD53" s="276"/>
      <c r="AG53" s="242"/>
      <c r="AH53" s="174"/>
      <c r="AP53" s="272"/>
      <c r="AQ53" s="272"/>
      <c r="AR53" s="174"/>
      <c r="AS53" s="174"/>
    </row>
    <row r="54" spans="2:45">
      <c r="B54" s="266">
        <v>1</v>
      </c>
      <c r="C54" s="266"/>
      <c r="D54" s="175">
        <f t="shared" si="13"/>
        <v>9</v>
      </c>
      <c r="E54" s="267">
        <f t="shared" si="5"/>
        <v>42309</v>
      </c>
      <c r="F54" s="268">
        <f t="shared" si="14"/>
        <v>6.4899999999999999E-2</v>
      </c>
      <c r="G54" s="270">
        <f t="shared" si="6"/>
        <v>92.633068000000009</v>
      </c>
      <c r="H54" s="270">
        <f t="shared" si="7"/>
        <v>0</v>
      </c>
      <c r="I54" s="270">
        <f t="shared" si="8"/>
        <v>0</v>
      </c>
      <c r="J54" s="270">
        <f t="shared" si="15"/>
        <v>0</v>
      </c>
      <c r="K54" s="271">
        <f t="shared" si="9"/>
        <v>92.633067999999994</v>
      </c>
      <c r="L54" s="270">
        <f t="shared" si="10"/>
        <v>17127.84</v>
      </c>
      <c r="M54" s="242">
        <f>IF(D54="","",SUM(G$46:G54))</f>
        <v>833.69761199999994</v>
      </c>
      <c r="N54" s="242">
        <f>IF(D54="","",SUM(J$46:J54))</f>
        <v>0</v>
      </c>
      <c r="P54" s="245"/>
      <c r="Q54" s="277">
        <f t="shared" si="11"/>
        <v>105</v>
      </c>
      <c r="R54" s="277">
        <f t="shared" si="12"/>
        <v>28.717500000000001</v>
      </c>
      <c r="S54" s="277">
        <f t="shared" si="16"/>
        <v>76.282499999999999</v>
      </c>
      <c r="T54" s="277">
        <f t="shared" si="17"/>
        <v>0</v>
      </c>
      <c r="U54" s="277">
        <f t="shared" si="21"/>
        <v>76.282499999999999</v>
      </c>
      <c r="V54" s="277">
        <f t="shared" si="18"/>
        <v>-92.633068000000009</v>
      </c>
      <c r="W54" s="277">
        <f t="shared" si="22"/>
        <v>0</v>
      </c>
      <c r="X54" s="273">
        <f t="shared" si="19"/>
        <v>-147.15511200000009</v>
      </c>
      <c r="Y54" s="277">
        <f t="shared" si="20"/>
        <v>7.1366000000000005</v>
      </c>
      <c r="AA54" s="278"/>
      <c r="AB54" s="277"/>
      <c r="AC54" s="272"/>
      <c r="AD54" s="276"/>
      <c r="AG54" s="242"/>
      <c r="AH54" s="174"/>
      <c r="AP54" s="272"/>
      <c r="AQ54" s="272"/>
      <c r="AR54" s="174"/>
      <c r="AS54" s="174"/>
    </row>
    <row r="55" spans="2:45">
      <c r="B55" s="266">
        <v>1</v>
      </c>
      <c r="C55" s="266"/>
      <c r="D55" s="175">
        <f t="shared" si="13"/>
        <v>10</v>
      </c>
      <c r="E55" s="267">
        <f t="shared" si="5"/>
        <v>42339</v>
      </c>
      <c r="F55" s="268">
        <f t="shared" si="14"/>
        <v>6.4899999999999999E-2</v>
      </c>
      <c r="G55" s="270">
        <f t="shared" si="6"/>
        <v>92.633068000000009</v>
      </c>
      <c r="H55" s="270">
        <f t="shared" si="7"/>
        <v>0</v>
      </c>
      <c r="I55" s="270">
        <f t="shared" si="8"/>
        <v>0</v>
      </c>
      <c r="J55" s="270">
        <f t="shared" si="15"/>
        <v>0</v>
      </c>
      <c r="K55" s="271">
        <f t="shared" si="9"/>
        <v>92.633067999999994</v>
      </c>
      <c r="L55" s="270">
        <f t="shared" si="10"/>
        <v>17127.84</v>
      </c>
      <c r="M55" s="242">
        <f>IF(D55="","",SUM(G$46:G55))</f>
        <v>926.33067999999992</v>
      </c>
      <c r="N55" s="242">
        <f>IF(D55="","",SUM(J$46:J55))</f>
        <v>0</v>
      </c>
      <c r="P55" s="245"/>
      <c r="Q55" s="277">
        <f t="shared" si="11"/>
        <v>105</v>
      </c>
      <c r="R55" s="277">
        <f t="shared" si="12"/>
        <v>28.717500000000001</v>
      </c>
      <c r="S55" s="277">
        <f t="shared" si="16"/>
        <v>76.282499999999999</v>
      </c>
      <c r="T55" s="277">
        <f t="shared" si="17"/>
        <v>0</v>
      </c>
      <c r="U55" s="277">
        <f t="shared" si="21"/>
        <v>76.282499999999999</v>
      </c>
      <c r="V55" s="277">
        <f t="shared" si="18"/>
        <v>-92.633068000000009</v>
      </c>
      <c r="W55" s="277">
        <f t="shared" si="22"/>
        <v>0</v>
      </c>
      <c r="X55" s="273">
        <f t="shared" si="19"/>
        <v>-163.5056800000001</v>
      </c>
      <c r="Y55" s="277">
        <f t="shared" si="20"/>
        <v>7.1366000000000005</v>
      </c>
      <c r="AA55" s="278"/>
      <c r="AB55" s="277"/>
      <c r="AC55" s="272"/>
      <c r="AD55" s="276"/>
      <c r="AG55" s="242"/>
      <c r="AH55" s="174"/>
      <c r="AP55" s="272"/>
      <c r="AQ55" s="272"/>
      <c r="AR55" s="174"/>
      <c r="AS55" s="174"/>
    </row>
    <row r="56" spans="2:45">
      <c r="B56" s="266">
        <v>1</v>
      </c>
      <c r="C56" s="266"/>
      <c r="D56" s="175">
        <f t="shared" si="13"/>
        <v>11</v>
      </c>
      <c r="E56" s="267">
        <f t="shared" si="5"/>
        <v>42370</v>
      </c>
      <c r="F56" s="268">
        <f t="shared" si="14"/>
        <v>6.4899999999999999E-2</v>
      </c>
      <c r="G56" s="270">
        <f t="shared" si="6"/>
        <v>92.633068000000009</v>
      </c>
      <c r="H56" s="270">
        <f t="shared" si="7"/>
        <v>0</v>
      </c>
      <c r="I56" s="270">
        <f t="shared" si="8"/>
        <v>0</v>
      </c>
      <c r="J56" s="270">
        <f t="shared" si="15"/>
        <v>0</v>
      </c>
      <c r="K56" s="271">
        <f t="shared" si="9"/>
        <v>92.633067999999994</v>
      </c>
      <c r="L56" s="270">
        <f t="shared" si="10"/>
        <v>17127.84</v>
      </c>
      <c r="M56" s="242">
        <f>IF(D56="","",SUM(G$46:G56))</f>
        <v>1018.9637479999999</v>
      </c>
      <c r="N56" s="242">
        <f>IF(D56="","",SUM(J$46:J56))</f>
        <v>0</v>
      </c>
      <c r="P56" s="245"/>
      <c r="Q56" s="277">
        <f t="shared" si="11"/>
        <v>105</v>
      </c>
      <c r="R56" s="277">
        <f t="shared" si="12"/>
        <v>28.717500000000001</v>
      </c>
      <c r="S56" s="277">
        <f t="shared" si="16"/>
        <v>76.282499999999999</v>
      </c>
      <c r="T56" s="277">
        <f t="shared" si="17"/>
        <v>0</v>
      </c>
      <c r="U56" s="277">
        <f t="shared" si="21"/>
        <v>76.282499999999999</v>
      </c>
      <c r="V56" s="277">
        <f t="shared" si="18"/>
        <v>-92.633068000000009</v>
      </c>
      <c r="W56" s="277">
        <f t="shared" si="22"/>
        <v>0</v>
      </c>
      <c r="X56" s="273">
        <f t="shared" si="19"/>
        <v>-179.85624800000011</v>
      </c>
      <c r="Y56" s="277">
        <f t="shared" si="20"/>
        <v>7.1366000000000005</v>
      </c>
      <c r="AA56" s="278"/>
      <c r="AB56" s="277"/>
      <c r="AC56" s="272"/>
      <c r="AD56" s="276"/>
      <c r="AG56" s="242"/>
      <c r="AH56" s="174"/>
      <c r="AP56" s="272"/>
      <c r="AQ56" s="272"/>
      <c r="AR56" s="174"/>
      <c r="AS56" s="174"/>
    </row>
    <row r="57" spans="2:45">
      <c r="B57" s="266">
        <v>1</v>
      </c>
      <c r="C57" s="266"/>
      <c r="D57" s="175">
        <f t="shared" si="13"/>
        <v>12</v>
      </c>
      <c r="E57" s="267">
        <f t="shared" si="5"/>
        <v>42401</v>
      </c>
      <c r="F57" s="268">
        <f t="shared" si="14"/>
        <v>6.4899999999999999E-2</v>
      </c>
      <c r="G57" s="270">
        <f t="shared" si="6"/>
        <v>92.633068000000009</v>
      </c>
      <c r="H57" s="270">
        <f t="shared" si="7"/>
        <v>0</v>
      </c>
      <c r="I57" s="270">
        <f t="shared" si="8"/>
        <v>0</v>
      </c>
      <c r="J57" s="270">
        <f t="shared" si="15"/>
        <v>0</v>
      </c>
      <c r="K57" s="271">
        <f t="shared" si="9"/>
        <v>92.633067999999994</v>
      </c>
      <c r="L57" s="270">
        <f t="shared" si="10"/>
        <v>17127.84</v>
      </c>
      <c r="M57" s="242">
        <f>IF(D57="","",SUM(G$46:G57))</f>
        <v>1111.596816</v>
      </c>
      <c r="N57" s="242">
        <f>IF(D57="","",SUM(J$46:J57))</f>
        <v>0</v>
      </c>
      <c r="P57" s="245"/>
      <c r="Q57" s="277">
        <f t="shared" si="11"/>
        <v>105</v>
      </c>
      <c r="R57" s="277">
        <f t="shared" si="12"/>
        <v>28.717500000000001</v>
      </c>
      <c r="S57" s="277">
        <f t="shared" si="16"/>
        <v>76.282499999999999</v>
      </c>
      <c r="T57" s="277">
        <f t="shared" si="17"/>
        <v>0</v>
      </c>
      <c r="U57" s="277">
        <f t="shared" si="21"/>
        <v>76.282499999999999</v>
      </c>
      <c r="V57" s="277">
        <f t="shared" si="18"/>
        <v>-92.633068000000009</v>
      </c>
      <c r="W57" s="277">
        <f t="shared" si="22"/>
        <v>0</v>
      </c>
      <c r="X57" s="273">
        <f t="shared" si="19"/>
        <v>-196.20681600000012</v>
      </c>
      <c r="Y57" s="277">
        <f t="shared" si="20"/>
        <v>7.1366000000000005</v>
      </c>
      <c r="AA57" s="278"/>
      <c r="AB57" s="277"/>
      <c r="AC57" s="272"/>
      <c r="AD57" s="276"/>
      <c r="AG57" s="242"/>
      <c r="AH57" s="174"/>
      <c r="AP57" s="272"/>
      <c r="AQ57" s="272"/>
    </row>
    <row r="58" spans="2:45">
      <c r="B58" s="266">
        <f>B46+1</f>
        <v>2</v>
      </c>
      <c r="C58" s="266"/>
      <c r="D58" s="175">
        <f t="shared" si="13"/>
        <v>13</v>
      </c>
      <c r="E58" s="267">
        <f t="shared" si="5"/>
        <v>42430</v>
      </c>
      <c r="F58" s="268">
        <f t="shared" si="14"/>
        <v>6.4899999999999999E-2</v>
      </c>
      <c r="G58" s="270">
        <f t="shared" si="6"/>
        <v>92.633068000000009</v>
      </c>
      <c r="H58" s="270">
        <f t="shared" si="7"/>
        <v>0</v>
      </c>
      <c r="I58" s="270">
        <f t="shared" si="8"/>
        <v>0</v>
      </c>
      <c r="J58" s="270">
        <f t="shared" si="15"/>
        <v>0</v>
      </c>
      <c r="K58" s="271">
        <f t="shared" si="9"/>
        <v>92.633067999999994</v>
      </c>
      <c r="L58" s="270">
        <f t="shared" si="10"/>
        <v>17127.84</v>
      </c>
      <c r="M58" s="242">
        <f>IF(D58="","",SUM(G$46:G58))</f>
        <v>1204.2298840000001</v>
      </c>
      <c r="N58" s="242">
        <f>IF(D58="","",SUM(J$46:J58))</f>
        <v>0</v>
      </c>
      <c r="P58" s="245"/>
      <c r="Q58" s="277">
        <f t="shared" si="11"/>
        <v>108.675</v>
      </c>
      <c r="R58" s="277">
        <f>Q58-S58</f>
        <v>30.117374437500018</v>
      </c>
      <c r="S58" s="277">
        <f t="shared" ref="S58:S121" si="23">IF(B58=1,$J$20,((S46*(1+$J$21)*(1-$J$22))))</f>
        <v>78.557625562499979</v>
      </c>
      <c r="T58" s="277">
        <f t="shared" si="17"/>
        <v>0</v>
      </c>
      <c r="U58" s="277">
        <f t="shared" si="21"/>
        <v>78.557625562499979</v>
      </c>
      <c r="V58" s="277">
        <f t="shared" si="18"/>
        <v>-92.633068000000009</v>
      </c>
      <c r="W58" s="277">
        <f t="shared" si="22"/>
        <v>0</v>
      </c>
      <c r="X58" s="273">
        <f t="shared" si="19"/>
        <v>-210.28225843750016</v>
      </c>
      <c r="Y58" s="277">
        <f t="shared" si="20"/>
        <v>7.1366000000000005</v>
      </c>
      <c r="AA58" s="278"/>
      <c r="AB58" s="277"/>
      <c r="AC58" s="272"/>
      <c r="AD58" s="276"/>
      <c r="AG58" s="242"/>
      <c r="AH58" s="174"/>
      <c r="AP58" s="272"/>
      <c r="AQ58" s="272"/>
    </row>
    <row r="59" spans="2:45">
      <c r="B59" s="266">
        <f t="shared" ref="B59:B122" si="24">B47+1</f>
        <v>2</v>
      </c>
      <c r="C59" s="266"/>
      <c r="D59" s="175">
        <f t="shared" si="13"/>
        <v>14</v>
      </c>
      <c r="E59" s="267">
        <f t="shared" si="5"/>
        <v>42461</v>
      </c>
      <c r="F59" s="268">
        <f t="shared" si="14"/>
        <v>6.4899999999999999E-2</v>
      </c>
      <c r="G59" s="270">
        <f t="shared" si="6"/>
        <v>92.633068000000009</v>
      </c>
      <c r="H59" s="270">
        <f t="shared" si="7"/>
        <v>0</v>
      </c>
      <c r="I59" s="270">
        <f t="shared" si="8"/>
        <v>0</v>
      </c>
      <c r="J59" s="270">
        <f t="shared" si="15"/>
        <v>0</v>
      </c>
      <c r="K59" s="271">
        <f t="shared" si="9"/>
        <v>92.633067999999994</v>
      </c>
      <c r="L59" s="270">
        <f t="shared" si="10"/>
        <v>17127.84</v>
      </c>
      <c r="M59" s="242">
        <f>IF(D59="","",SUM(G$46:G59))</f>
        <v>1296.8629520000002</v>
      </c>
      <c r="N59" s="242">
        <f>IF(D59="","",SUM(J$46:J59))</f>
        <v>0</v>
      </c>
      <c r="P59" s="245"/>
      <c r="Q59" s="277">
        <f t="shared" si="11"/>
        <v>108.675</v>
      </c>
      <c r="R59" s="277">
        <f t="shared" ref="R59:R122" si="25">Q59-S59</f>
        <v>30.117374437500018</v>
      </c>
      <c r="S59" s="277">
        <f t="shared" si="23"/>
        <v>78.557625562499979</v>
      </c>
      <c r="T59" s="277">
        <f t="shared" si="17"/>
        <v>0</v>
      </c>
      <c r="U59" s="277">
        <f t="shared" si="21"/>
        <v>78.557625562499979</v>
      </c>
      <c r="V59" s="277">
        <f t="shared" si="18"/>
        <v>-92.633068000000009</v>
      </c>
      <c r="W59" s="277">
        <f t="shared" si="22"/>
        <v>0</v>
      </c>
      <c r="X59" s="273">
        <f t="shared" si="19"/>
        <v>-224.35770087500021</v>
      </c>
      <c r="Y59" s="277">
        <f t="shared" si="20"/>
        <v>7.1366000000000005</v>
      </c>
      <c r="AA59" s="278"/>
      <c r="AB59" s="277"/>
      <c r="AC59" s="272"/>
      <c r="AD59" s="276"/>
      <c r="AG59" s="242"/>
      <c r="AH59" s="174"/>
    </row>
    <row r="60" spans="2:45">
      <c r="B60" s="266">
        <f t="shared" si="24"/>
        <v>2</v>
      </c>
      <c r="C60" s="266"/>
      <c r="D60" s="175">
        <f t="shared" si="13"/>
        <v>15</v>
      </c>
      <c r="E60" s="267">
        <f t="shared" si="5"/>
        <v>42491</v>
      </c>
      <c r="F60" s="268">
        <f t="shared" si="14"/>
        <v>6.4899999999999999E-2</v>
      </c>
      <c r="G60" s="270">
        <f>IF(D60="","",ROUND(F60/12*L59,4))</f>
        <v>92.633099999999999</v>
      </c>
      <c r="H60" s="270">
        <f t="shared" si="7"/>
        <v>0</v>
      </c>
      <c r="I60" s="270">
        <f t="shared" si="8"/>
        <v>0</v>
      </c>
      <c r="J60" s="270">
        <f t="shared" si="15"/>
        <v>0</v>
      </c>
      <c r="K60" s="271">
        <f t="shared" si="9"/>
        <v>92.633067999999994</v>
      </c>
      <c r="L60" s="270">
        <f t="shared" si="10"/>
        <v>17127.84</v>
      </c>
      <c r="M60" s="242">
        <f>IF(D60="","",SUM(G$46:G60))</f>
        <v>1389.4960520000002</v>
      </c>
      <c r="N60" s="242">
        <f>IF(D60="","",SUM(J$46:J60))</f>
        <v>0</v>
      </c>
      <c r="P60" s="245"/>
      <c r="Q60" s="277">
        <f t="shared" si="11"/>
        <v>108.675</v>
      </c>
      <c r="R60" s="277">
        <f t="shared" si="25"/>
        <v>30.117374437500018</v>
      </c>
      <c r="S60" s="277">
        <f t="shared" si="23"/>
        <v>78.557625562499979</v>
      </c>
      <c r="T60" s="277">
        <f t="shared" si="17"/>
        <v>0</v>
      </c>
      <c r="U60" s="277">
        <f t="shared" si="21"/>
        <v>78.557625562499979</v>
      </c>
      <c r="V60" s="277">
        <f t="shared" si="18"/>
        <v>-92.633099999999999</v>
      </c>
      <c r="W60" s="277">
        <f t="shared" si="22"/>
        <v>0</v>
      </c>
      <c r="X60" s="273">
        <f t="shared" si="19"/>
        <v>-238.43317531250023</v>
      </c>
      <c r="Y60" s="277">
        <f t="shared" si="20"/>
        <v>7.1366000000000005</v>
      </c>
      <c r="AA60" s="278"/>
      <c r="AB60" s="277"/>
      <c r="AC60" s="272"/>
      <c r="AD60" s="276"/>
      <c r="AG60" s="242"/>
      <c r="AH60" s="174"/>
    </row>
    <row r="61" spans="2:45">
      <c r="B61" s="266">
        <f t="shared" si="24"/>
        <v>2</v>
      </c>
      <c r="C61" s="266"/>
      <c r="D61" s="175">
        <f t="shared" si="13"/>
        <v>16</v>
      </c>
      <c r="E61" s="267">
        <f t="shared" si="5"/>
        <v>42522</v>
      </c>
      <c r="F61" s="268">
        <f t="shared" si="14"/>
        <v>6.4899999999999999E-2</v>
      </c>
      <c r="G61" s="270">
        <f t="shared" ref="G61:G124" si="26">IF(D61="","",ROUND(F61/12*L60,4))</f>
        <v>92.633099999999999</v>
      </c>
      <c r="H61" s="270">
        <f t="shared" si="7"/>
        <v>5138.3519999999999</v>
      </c>
      <c r="I61" s="270">
        <f t="shared" si="8"/>
        <v>0</v>
      </c>
      <c r="J61" s="270">
        <f t="shared" si="15"/>
        <v>5138.3519999999999</v>
      </c>
      <c r="K61" s="271">
        <f t="shared" si="9"/>
        <v>5230.985068</v>
      </c>
      <c r="L61" s="270">
        <f t="shared" si="10"/>
        <v>11989.488000000001</v>
      </c>
      <c r="M61" s="242">
        <f>IF(D61="","",SUM(G$46:G61))</f>
        <v>1482.1291520000002</v>
      </c>
      <c r="N61" s="242">
        <f>IF(D61="","",SUM(J$46:J61))</f>
        <v>5138.3519999999999</v>
      </c>
      <c r="P61" s="245"/>
      <c r="Q61" s="277">
        <f t="shared" si="11"/>
        <v>108.675</v>
      </c>
      <c r="R61" s="277">
        <f t="shared" si="25"/>
        <v>30.117374437500018</v>
      </c>
      <c r="S61" s="277">
        <f t="shared" si="23"/>
        <v>78.557625562499979</v>
      </c>
      <c r="T61" s="277">
        <f t="shared" si="17"/>
        <v>0</v>
      </c>
      <c r="U61" s="277">
        <f t="shared" si="21"/>
        <v>78.557625562499979</v>
      </c>
      <c r="V61" s="277">
        <f t="shared" si="18"/>
        <v>-92.633099999999999</v>
      </c>
      <c r="W61" s="277">
        <f t="shared" si="22"/>
        <v>0</v>
      </c>
      <c r="X61" s="273">
        <f t="shared" si="19"/>
        <v>-252.50864975000025</v>
      </c>
      <c r="Y61" s="277">
        <f t="shared" si="20"/>
        <v>4.9956200000000006</v>
      </c>
      <c r="AA61" s="278"/>
      <c r="AB61" s="277"/>
      <c r="AC61" s="272"/>
      <c r="AD61" s="276"/>
      <c r="AG61" s="242"/>
      <c r="AH61" s="174"/>
    </row>
    <row r="62" spans="2:45">
      <c r="B62" s="266">
        <f t="shared" si="24"/>
        <v>2</v>
      </c>
      <c r="C62" s="266"/>
      <c r="D62" s="175">
        <f t="shared" si="13"/>
        <v>17</v>
      </c>
      <c r="E62" s="267">
        <f t="shared" si="5"/>
        <v>42552</v>
      </c>
      <c r="F62" s="268">
        <f t="shared" si="14"/>
        <v>6.4899999999999999E-2</v>
      </c>
      <c r="G62" s="270">
        <f t="shared" si="26"/>
        <v>64.843100000000007</v>
      </c>
      <c r="H62" s="270">
        <f t="shared" si="7"/>
        <v>0</v>
      </c>
      <c r="I62" s="270">
        <f t="shared" si="8"/>
        <v>0</v>
      </c>
      <c r="J62" s="270">
        <f t="shared" si="15"/>
        <v>27.622709775686488</v>
      </c>
      <c r="K62" s="271">
        <f t="shared" si="9"/>
        <v>92.465809775686495</v>
      </c>
      <c r="L62" s="270">
        <f t="shared" si="10"/>
        <v>11961.865290224314</v>
      </c>
      <c r="M62" s="242">
        <f>IF(D62="","",SUM(G$46:G62))</f>
        <v>1546.9722520000003</v>
      </c>
      <c r="N62" s="242">
        <f>IF(D62="","",SUM(J$46:J62))</f>
        <v>5165.9747097756863</v>
      </c>
      <c r="P62" s="245"/>
      <c r="Q62" s="277">
        <f t="shared" si="11"/>
        <v>108.675</v>
      </c>
      <c r="R62" s="277">
        <f t="shared" si="25"/>
        <v>30.117374437500018</v>
      </c>
      <c r="S62" s="277">
        <f t="shared" si="23"/>
        <v>78.557625562499979</v>
      </c>
      <c r="T62" s="277">
        <f t="shared" si="17"/>
        <v>0</v>
      </c>
      <c r="U62" s="277">
        <f t="shared" si="21"/>
        <v>78.557625562499979</v>
      </c>
      <c r="V62" s="277">
        <f t="shared" si="18"/>
        <v>-92.465809775686495</v>
      </c>
      <c r="W62" s="277">
        <f t="shared" si="22"/>
        <v>0</v>
      </c>
      <c r="X62" s="273">
        <f t="shared" si="19"/>
        <v>-266.41683396318678</v>
      </c>
      <c r="Y62" s="277">
        <f t="shared" si="20"/>
        <v>4.9841105375934642</v>
      </c>
      <c r="AA62" s="278"/>
      <c r="AB62" s="277"/>
      <c r="AC62" s="272"/>
      <c r="AD62" s="276"/>
      <c r="AG62" s="242"/>
      <c r="AH62" s="174"/>
    </row>
    <row r="63" spans="2:45">
      <c r="B63" s="266">
        <f t="shared" si="24"/>
        <v>2</v>
      </c>
      <c r="C63" s="266"/>
      <c r="D63" s="175">
        <f t="shared" si="13"/>
        <v>18</v>
      </c>
      <c r="E63" s="267">
        <f t="shared" si="5"/>
        <v>42583</v>
      </c>
      <c r="F63" s="268">
        <f t="shared" si="14"/>
        <v>6.4899999999999999E-2</v>
      </c>
      <c r="G63" s="270">
        <f t="shared" si="26"/>
        <v>64.693799999999996</v>
      </c>
      <c r="H63" s="270">
        <f t="shared" si="7"/>
        <v>0</v>
      </c>
      <c r="I63" s="270">
        <f t="shared" si="8"/>
        <v>0</v>
      </c>
      <c r="J63" s="270">
        <f t="shared" si="15"/>
        <v>27.772009775686499</v>
      </c>
      <c r="K63" s="271">
        <f t="shared" si="9"/>
        <v>92.465809775686495</v>
      </c>
      <c r="L63" s="270">
        <f t="shared" si="10"/>
        <v>11934.093280448627</v>
      </c>
      <c r="M63" s="242">
        <f>IF(D63="","",SUM(G$46:G63))</f>
        <v>1611.6660520000003</v>
      </c>
      <c r="N63" s="242">
        <f>IF(D63="","",SUM(J$46:J63))</f>
        <v>5193.7467195513727</v>
      </c>
      <c r="P63" s="245"/>
      <c r="Q63" s="277">
        <f t="shared" si="11"/>
        <v>108.675</v>
      </c>
      <c r="R63" s="277">
        <f t="shared" si="25"/>
        <v>30.117374437500018</v>
      </c>
      <c r="S63" s="277">
        <f t="shared" si="23"/>
        <v>78.557625562499979</v>
      </c>
      <c r="T63" s="277">
        <f t="shared" si="17"/>
        <v>0</v>
      </c>
      <c r="U63" s="277">
        <f t="shared" si="21"/>
        <v>78.557625562499979</v>
      </c>
      <c r="V63" s="277">
        <f t="shared" si="18"/>
        <v>-92.465809775686495</v>
      </c>
      <c r="W63" s="277">
        <f t="shared" si="22"/>
        <v>0</v>
      </c>
      <c r="X63" s="273">
        <f t="shared" si="19"/>
        <v>-280.32501817637331</v>
      </c>
      <c r="Y63" s="277">
        <f t="shared" si="20"/>
        <v>4.9725388668535944</v>
      </c>
      <c r="AA63" s="278"/>
      <c r="AB63" s="277"/>
      <c r="AC63" s="272"/>
      <c r="AD63" s="276"/>
      <c r="AG63" s="242"/>
      <c r="AH63" s="174"/>
    </row>
    <row r="64" spans="2:45">
      <c r="B64" s="266">
        <f t="shared" si="24"/>
        <v>2</v>
      </c>
      <c r="C64" s="266"/>
      <c r="D64" s="175">
        <f t="shared" si="13"/>
        <v>19</v>
      </c>
      <c r="E64" s="267">
        <f t="shared" si="5"/>
        <v>42614</v>
      </c>
      <c r="F64" s="268">
        <f t="shared" si="14"/>
        <v>6.4899999999999999E-2</v>
      </c>
      <c r="G64" s="270">
        <f t="shared" si="26"/>
        <v>64.543599999999998</v>
      </c>
      <c r="H64" s="270">
        <f t="shared" si="7"/>
        <v>0</v>
      </c>
      <c r="I64" s="270">
        <f t="shared" si="8"/>
        <v>0</v>
      </c>
      <c r="J64" s="270">
        <f t="shared" si="15"/>
        <v>27.922209775686497</v>
      </c>
      <c r="K64" s="271">
        <f t="shared" si="9"/>
        <v>92.465809775686495</v>
      </c>
      <c r="L64" s="270">
        <f t="shared" si="10"/>
        <v>11906.171070672941</v>
      </c>
      <c r="M64" s="242">
        <f>IF(D64="","",SUM(G$46:G64))</f>
        <v>1676.2096520000002</v>
      </c>
      <c r="N64" s="242">
        <f>IF(D64="","",SUM(J$46:J64))</f>
        <v>5221.6689293270592</v>
      </c>
      <c r="P64" s="245"/>
      <c r="Q64" s="277">
        <f t="shared" si="11"/>
        <v>108.675</v>
      </c>
      <c r="R64" s="277">
        <f t="shared" si="25"/>
        <v>30.117374437500018</v>
      </c>
      <c r="S64" s="277">
        <f t="shared" si="23"/>
        <v>78.557625562499979</v>
      </c>
      <c r="T64" s="277">
        <f t="shared" si="17"/>
        <v>0</v>
      </c>
      <c r="U64" s="277">
        <f t="shared" si="21"/>
        <v>78.557625562499979</v>
      </c>
      <c r="V64" s="277">
        <f t="shared" si="18"/>
        <v>-92.465809775686495</v>
      </c>
      <c r="W64" s="277">
        <f t="shared" si="22"/>
        <v>0</v>
      </c>
      <c r="X64" s="273">
        <f t="shared" si="19"/>
        <v>-294.23320238955984</v>
      </c>
      <c r="Y64" s="277">
        <f t="shared" si="20"/>
        <v>4.960904612780392</v>
      </c>
      <c r="AA64" s="278"/>
      <c r="AB64" s="277"/>
      <c r="AC64" s="272"/>
      <c r="AD64" s="276"/>
      <c r="AG64" s="242"/>
      <c r="AH64" s="174"/>
    </row>
    <row r="65" spans="2:34">
      <c r="B65" s="266">
        <f t="shared" si="24"/>
        <v>2</v>
      </c>
      <c r="C65" s="266"/>
      <c r="D65" s="175">
        <f t="shared" si="13"/>
        <v>20</v>
      </c>
      <c r="E65" s="267">
        <f t="shared" si="5"/>
        <v>42644</v>
      </c>
      <c r="F65" s="268">
        <f t="shared" si="14"/>
        <v>6.4899999999999999E-2</v>
      </c>
      <c r="G65" s="270">
        <f t="shared" si="26"/>
        <v>64.392499999999998</v>
      </c>
      <c r="H65" s="270">
        <f t="shared" si="7"/>
        <v>0</v>
      </c>
      <c r="I65" s="270">
        <f t="shared" si="8"/>
        <v>0</v>
      </c>
      <c r="J65" s="270">
        <f t="shared" si="15"/>
        <v>28.073309775686496</v>
      </c>
      <c r="K65" s="271">
        <f t="shared" si="9"/>
        <v>92.465809775686495</v>
      </c>
      <c r="L65" s="270">
        <f t="shared" si="10"/>
        <v>11878.097760897255</v>
      </c>
      <c r="M65" s="242">
        <f>IF(D65="","",SUM(G$46:G65))</f>
        <v>1740.6021520000002</v>
      </c>
      <c r="N65" s="242">
        <f>IF(D65="","",SUM(J$46:J65))</f>
        <v>5249.7422391027458</v>
      </c>
      <c r="P65" s="245"/>
      <c r="Q65" s="277">
        <f t="shared" si="11"/>
        <v>108.675</v>
      </c>
      <c r="R65" s="277">
        <f t="shared" si="25"/>
        <v>30.117374437500018</v>
      </c>
      <c r="S65" s="277">
        <f t="shared" si="23"/>
        <v>78.557625562499979</v>
      </c>
      <c r="T65" s="277">
        <f t="shared" si="17"/>
        <v>0</v>
      </c>
      <c r="U65" s="277">
        <f t="shared" si="21"/>
        <v>78.557625562499979</v>
      </c>
      <c r="V65" s="277">
        <f t="shared" si="18"/>
        <v>-92.465809775686495</v>
      </c>
      <c r="W65" s="277">
        <f t="shared" si="22"/>
        <v>0</v>
      </c>
      <c r="X65" s="273">
        <f t="shared" si="19"/>
        <v>-308.14138660274637</v>
      </c>
      <c r="Y65" s="277">
        <f t="shared" si="20"/>
        <v>4.9492074003738562</v>
      </c>
      <c r="AA65" s="278"/>
      <c r="AB65" s="277"/>
      <c r="AC65" s="272"/>
      <c r="AD65" s="276"/>
      <c r="AG65" s="242"/>
      <c r="AH65" s="174"/>
    </row>
    <row r="66" spans="2:34">
      <c r="B66" s="266">
        <f t="shared" si="24"/>
        <v>2</v>
      </c>
      <c r="C66" s="266"/>
      <c r="D66" s="175">
        <f t="shared" si="13"/>
        <v>21</v>
      </c>
      <c r="E66" s="267">
        <f t="shared" si="5"/>
        <v>42675</v>
      </c>
      <c r="F66" s="268">
        <f t="shared" si="14"/>
        <v>6.4899999999999999E-2</v>
      </c>
      <c r="G66" s="270">
        <f t="shared" si="26"/>
        <v>64.240700000000004</v>
      </c>
      <c r="H66" s="270">
        <f t="shared" si="7"/>
        <v>0</v>
      </c>
      <c r="I66" s="270">
        <f t="shared" si="8"/>
        <v>0</v>
      </c>
      <c r="J66" s="270">
        <f t="shared" si="15"/>
        <v>28.225109775686491</v>
      </c>
      <c r="K66" s="271">
        <f t="shared" si="9"/>
        <v>92.465809775686495</v>
      </c>
      <c r="L66" s="270">
        <f t="shared" si="10"/>
        <v>11849.872651121568</v>
      </c>
      <c r="M66" s="242">
        <f>IF(D66="","",SUM(G$46:G66))</f>
        <v>1804.8428520000002</v>
      </c>
      <c r="N66" s="242">
        <f>IF(D66="","",SUM(J$46:J66))</f>
        <v>5277.9673488784319</v>
      </c>
      <c r="P66" s="245"/>
      <c r="Q66" s="277">
        <f t="shared" si="11"/>
        <v>108.675</v>
      </c>
      <c r="R66" s="277">
        <f t="shared" si="25"/>
        <v>30.117374437500018</v>
      </c>
      <c r="S66" s="277">
        <f t="shared" si="23"/>
        <v>78.557625562499979</v>
      </c>
      <c r="T66" s="277">
        <f t="shared" si="17"/>
        <v>0</v>
      </c>
      <c r="U66" s="277">
        <f t="shared" si="21"/>
        <v>78.557625562499979</v>
      </c>
      <c r="V66" s="277">
        <f t="shared" si="18"/>
        <v>-92.465809775686495</v>
      </c>
      <c r="W66" s="277">
        <f t="shared" si="22"/>
        <v>0</v>
      </c>
      <c r="X66" s="273">
        <f t="shared" si="19"/>
        <v>-322.0495708159329</v>
      </c>
      <c r="Y66" s="277">
        <f t="shared" si="20"/>
        <v>4.9374469379673203</v>
      </c>
      <c r="AA66" s="278"/>
      <c r="AB66" s="277"/>
      <c r="AC66" s="272"/>
      <c r="AD66" s="276"/>
      <c r="AG66" s="242"/>
      <c r="AH66" s="174"/>
    </row>
    <row r="67" spans="2:34">
      <c r="B67" s="266">
        <f t="shared" si="24"/>
        <v>2</v>
      </c>
      <c r="C67" s="266"/>
      <c r="D67" s="175">
        <f t="shared" si="13"/>
        <v>22</v>
      </c>
      <c r="E67" s="267">
        <f t="shared" si="5"/>
        <v>42705</v>
      </c>
      <c r="F67" s="268">
        <f t="shared" si="14"/>
        <v>6.4899999999999999E-2</v>
      </c>
      <c r="G67" s="270">
        <f t="shared" si="26"/>
        <v>64.088099999999997</v>
      </c>
      <c r="H67" s="270">
        <f t="shared" si="7"/>
        <v>0</v>
      </c>
      <c r="I67" s="270">
        <f t="shared" si="8"/>
        <v>0</v>
      </c>
      <c r="J67" s="270">
        <f t="shared" si="15"/>
        <v>28.377709775686498</v>
      </c>
      <c r="K67" s="271">
        <f t="shared" si="9"/>
        <v>92.465809775686495</v>
      </c>
      <c r="L67" s="270">
        <f t="shared" si="10"/>
        <v>11821.494941345882</v>
      </c>
      <c r="M67" s="242">
        <f>IF(D67="","",SUM(G$46:G67))</f>
        <v>1868.9309520000002</v>
      </c>
      <c r="N67" s="242">
        <f>IF(D67="","",SUM(J$46:J67))</f>
        <v>5306.3450586541185</v>
      </c>
      <c r="P67" s="245"/>
      <c r="Q67" s="277">
        <f t="shared" si="11"/>
        <v>108.675</v>
      </c>
      <c r="R67" s="277">
        <f t="shared" si="25"/>
        <v>30.117374437500018</v>
      </c>
      <c r="S67" s="277">
        <f t="shared" si="23"/>
        <v>78.557625562499979</v>
      </c>
      <c r="T67" s="277">
        <f t="shared" si="17"/>
        <v>0</v>
      </c>
      <c r="U67" s="277">
        <f t="shared" si="21"/>
        <v>78.557625562499979</v>
      </c>
      <c r="V67" s="277">
        <f t="shared" si="18"/>
        <v>-92.465809775686495</v>
      </c>
      <c r="W67" s="277">
        <f t="shared" si="22"/>
        <v>0</v>
      </c>
      <c r="X67" s="273">
        <f t="shared" si="19"/>
        <v>-335.95775502911943</v>
      </c>
      <c r="Y67" s="277">
        <f t="shared" si="20"/>
        <v>4.9256228922274508</v>
      </c>
      <c r="AA67" s="278"/>
      <c r="AB67" s="277"/>
      <c r="AC67" s="272"/>
      <c r="AD67" s="276"/>
      <c r="AG67" s="242"/>
      <c r="AH67" s="174"/>
    </row>
    <row r="68" spans="2:34">
      <c r="B68" s="266">
        <f t="shared" si="24"/>
        <v>2</v>
      </c>
      <c r="C68" s="266"/>
      <c r="D68" s="175">
        <f t="shared" si="13"/>
        <v>23</v>
      </c>
      <c r="E68" s="267">
        <f t="shared" si="5"/>
        <v>42736</v>
      </c>
      <c r="F68" s="268">
        <f t="shared" si="14"/>
        <v>6.4899999999999999E-2</v>
      </c>
      <c r="G68" s="270">
        <f t="shared" si="26"/>
        <v>63.934600000000003</v>
      </c>
      <c r="H68" s="270">
        <f t="shared" si="7"/>
        <v>0</v>
      </c>
      <c r="I68" s="270">
        <f t="shared" si="8"/>
        <v>0</v>
      </c>
      <c r="J68" s="270">
        <f t="shared" si="15"/>
        <v>28.531209775686492</v>
      </c>
      <c r="K68" s="271">
        <f t="shared" si="9"/>
        <v>92.465809775686495</v>
      </c>
      <c r="L68" s="270">
        <f t="shared" si="10"/>
        <v>11792.963731570195</v>
      </c>
      <c r="M68" s="242">
        <f>IF(D68="","",SUM(G$46:G68))</f>
        <v>1932.8655520000002</v>
      </c>
      <c r="N68" s="242">
        <f>IF(D68="","",SUM(J$46:J68))</f>
        <v>5334.8762684298054</v>
      </c>
      <c r="P68" s="245"/>
      <c r="Q68" s="277">
        <f t="shared" si="11"/>
        <v>108.675</v>
      </c>
      <c r="R68" s="277">
        <f t="shared" si="25"/>
        <v>30.117374437500018</v>
      </c>
      <c r="S68" s="277">
        <f t="shared" si="23"/>
        <v>78.557625562499979</v>
      </c>
      <c r="T68" s="277">
        <f t="shared" si="17"/>
        <v>0</v>
      </c>
      <c r="U68" s="277">
        <f t="shared" si="21"/>
        <v>78.557625562499979</v>
      </c>
      <c r="V68" s="277">
        <f t="shared" si="18"/>
        <v>-92.465809775686495</v>
      </c>
      <c r="W68" s="277">
        <f t="shared" si="22"/>
        <v>0</v>
      </c>
      <c r="X68" s="273">
        <f t="shared" si="19"/>
        <v>-349.86593924230596</v>
      </c>
      <c r="Y68" s="277">
        <f t="shared" si="20"/>
        <v>4.9137348881542477</v>
      </c>
      <c r="AA68" s="278"/>
      <c r="AB68" s="277"/>
      <c r="AC68" s="272"/>
      <c r="AD68" s="276"/>
      <c r="AG68" s="242"/>
      <c r="AH68" s="174"/>
    </row>
    <row r="69" spans="2:34" s="958" customFormat="1">
      <c r="B69" s="951">
        <f t="shared" si="24"/>
        <v>2</v>
      </c>
      <c r="C69" s="951"/>
      <c r="D69" s="952">
        <f t="shared" si="13"/>
        <v>24</v>
      </c>
      <c r="E69" s="953">
        <f t="shared" si="5"/>
        <v>42767</v>
      </c>
      <c r="F69" s="954">
        <f t="shared" si="14"/>
        <v>6.4899999999999999E-2</v>
      </c>
      <c r="G69" s="955">
        <f t="shared" si="26"/>
        <v>63.780299999999997</v>
      </c>
      <c r="H69" s="955">
        <f t="shared" si="7"/>
        <v>0</v>
      </c>
      <c r="I69" s="955">
        <f t="shared" si="8"/>
        <v>0</v>
      </c>
      <c r="J69" s="955">
        <f t="shared" si="15"/>
        <v>28.685509775686498</v>
      </c>
      <c r="K69" s="956">
        <f t="shared" si="9"/>
        <v>92.465809775686495</v>
      </c>
      <c r="L69" s="955">
        <f t="shared" si="10"/>
        <v>11764.278221794508</v>
      </c>
      <c r="M69" s="957">
        <f>IF(D69="","",SUM(G$46:G69))</f>
        <v>1996.6458520000001</v>
      </c>
      <c r="N69" s="957">
        <f>IF(D69="","",SUM(J$46:J69))</f>
        <v>5363.5617782054915</v>
      </c>
      <c r="P69" s="959"/>
      <c r="Q69" s="960">
        <f t="shared" si="11"/>
        <v>108.675</v>
      </c>
      <c r="R69" s="960">
        <f t="shared" si="25"/>
        <v>30.117374437500018</v>
      </c>
      <c r="S69" s="960">
        <f t="shared" si="23"/>
        <v>78.557625562499979</v>
      </c>
      <c r="T69" s="960">
        <f t="shared" si="17"/>
        <v>0</v>
      </c>
      <c r="U69" s="960">
        <f t="shared" si="21"/>
        <v>78.557625562499979</v>
      </c>
      <c r="V69" s="960">
        <f t="shared" si="18"/>
        <v>-92.465809775686495</v>
      </c>
      <c r="W69" s="960">
        <f t="shared" si="22"/>
        <v>0</v>
      </c>
      <c r="X69" s="961">
        <f t="shared" si="19"/>
        <v>-363.77412345549249</v>
      </c>
      <c r="Y69" s="960">
        <f t="shared" si="20"/>
        <v>4.9017825924143787</v>
      </c>
      <c r="AA69" s="962"/>
      <c r="AB69" s="960"/>
      <c r="AC69" s="963"/>
      <c r="AD69" s="964"/>
      <c r="AG69" s="957"/>
      <c r="AH69" s="965"/>
    </row>
    <row r="70" spans="2:34">
      <c r="B70" s="266">
        <f t="shared" si="24"/>
        <v>3</v>
      </c>
      <c r="C70" s="266"/>
      <c r="D70" s="175">
        <f t="shared" si="13"/>
        <v>25</v>
      </c>
      <c r="E70" s="267">
        <f t="shared" si="5"/>
        <v>42795</v>
      </c>
      <c r="F70" s="268">
        <f t="shared" si="14"/>
        <v>6.4899999999999999E-2</v>
      </c>
      <c r="G70" s="270">
        <f t="shared" si="26"/>
        <v>63.625100000000003</v>
      </c>
      <c r="H70" s="270">
        <f t="shared" si="7"/>
        <v>0</v>
      </c>
      <c r="I70" s="270">
        <f t="shared" si="8"/>
        <v>0</v>
      </c>
      <c r="J70" s="270">
        <f t="shared" si="15"/>
        <v>28.840709775686491</v>
      </c>
      <c r="K70" s="271">
        <f t="shared" si="9"/>
        <v>92.465809775686495</v>
      </c>
      <c r="L70" s="270">
        <f t="shared" si="10"/>
        <v>11735.437512018822</v>
      </c>
      <c r="M70" s="242">
        <f>IF(D70="","",SUM(G$46:G70))</f>
        <v>2060.2709520000003</v>
      </c>
      <c r="N70" s="242">
        <f>IF(D70="","",SUM(J$46:J70))</f>
        <v>5392.4024879811777</v>
      </c>
      <c r="P70" s="245"/>
      <c r="Q70" s="277">
        <f t="shared" si="11"/>
        <v>112.47862499999998</v>
      </c>
      <c r="R70" s="277">
        <f>Q70-S70</f>
        <v>31.578018255098456</v>
      </c>
      <c r="S70" s="277">
        <f t="shared" si="23"/>
        <v>80.900606744901523</v>
      </c>
      <c r="T70" s="277">
        <f t="shared" si="17"/>
        <v>0</v>
      </c>
      <c r="U70" s="277">
        <f t="shared" si="21"/>
        <v>80.900606744901523</v>
      </c>
      <c r="V70" s="277">
        <f t="shared" si="18"/>
        <v>-92.465809775686495</v>
      </c>
      <c r="W70" s="277">
        <f t="shared" si="22"/>
        <v>0</v>
      </c>
      <c r="X70" s="273">
        <f t="shared" si="19"/>
        <v>-375.33932648627746</v>
      </c>
      <c r="Y70" s="277">
        <f t="shared" si="20"/>
        <v>4.8897656300078429</v>
      </c>
      <c r="AA70" s="278"/>
      <c r="AB70" s="277"/>
      <c r="AC70" s="272"/>
      <c r="AD70" s="276"/>
      <c r="AG70" s="242"/>
      <c r="AH70" s="174"/>
    </row>
    <row r="71" spans="2:34">
      <c r="B71" s="266">
        <f t="shared" si="24"/>
        <v>3</v>
      </c>
      <c r="C71" s="266"/>
      <c r="D71" s="175">
        <f t="shared" si="13"/>
        <v>26</v>
      </c>
      <c r="E71" s="267">
        <f t="shared" si="5"/>
        <v>42826</v>
      </c>
      <c r="F71" s="268">
        <f t="shared" si="14"/>
        <v>6.4899999999999999E-2</v>
      </c>
      <c r="G71" s="270">
        <f t="shared" si="26"/>
        <v>63.469200000000001</v>
      </c>
      <c r="H71" s="270">
        <f t="shared" si="7"/>
        <v>0</v>
      </c>
      <c r="I71" s="270">
        <f t="shared" si="8"/>
        <v>0</v>
      </c>
      <c r="J71" s="270">
        <f t="shared" si="15"/>
        <v>28.996609775686494</v>
      </c>
      <c r="K71" s="271">
        <f t="shared" si="9"/>
        <v>92.465809775686495</v>
      </c>
      <c r="L71" s="270">
        <f t="shared" si="10"/>
        <v>11706.440902243135</v>
      </c>
      <c r="M71" s="242">
        <f>IF(D71="","",SUM(G$46:G71))</f>
        <v>2123.7401520000003</v>
      </c>
      <c r="N71" s="242">
        <f>IF(D71="","",SUM(J$46:J71))</f>
        <v>5421.3990977568646</v>
      </c>
      <c r="P71" s="245"/>
      <c r="Q71" s="277">
        <f t="shared" si="11"/>
        <v>112.47862499999998</v>
      </c>
      <c r="R71" s="277">
        <f t="shared" si="25"/>
        <v>31.578018255098456</v>
      </c>
      <c r="S71" s="277">
        <f t="shared" si="23"/>
        <v>80.900606744901523</v>
      </c>
      <c r="T71" s="277">
        <f t="shared" si="17"/>
        <v>0</v>
      </c>
      <c r="U71" s="277">
        <f t="shared" si="21"/>
        <v>80.900606744901523</v>
      </c>
      <c r="V71" s="277">
        <f t="shared" si="18"/>
        <v>-92.465809775686495</v>
      </c>
      <c r="W71" s="277">
        <f t="shared" si="22"/>
        <v>0</v>
      </c>
      <c r="X71" s="273">
        <f t="shared" si="19"/>
        <v>-386.90452951706243</v>
      </c>
      <c r="Y71" s="277">
        <f t="shared" si="20"/>
        <v>4.8776837092679735</v>
      </c>
      <c r="AA71" s="278"/>
      <c r="AB71" s="277"/>
      <c r="AC71" s="272"/>
      <c r="AD71" s="276"/>
      <c r="AG71" s="242"/>
      <c r="AH71" s="174"/>
    </row>
    <row r="72" spans="2:34">
      <c r="B72" s="266">
        <f t="shared" si="24"/>
        <v>3</v>
      </c>
      <c r="C72" s="266"/>
      <c r="D72" s="175">
        <f t="shared" si="13"/>
        <v>27</v>
      </c>
      <c r="E72" s="267">
        <f t="shared" si="5"/>
        <v>42856</v>
      </c>
      <c r="F72" s="268">
        <f t="shared" si="14"/>
        <v>6.4899999999999999E-2</v>
      </c>
      <c r="G72" s="270">
        <f t="shared" si="26"/>
        <v>63.3123</v>
      </c>
      <c r="H72" s="270">
        <f t="shared" si="7"/>
        <v>0</v>
      </c>
      <c r="I72" s="270">
        <f t="shared" si="8"/>
        <v>0</v>
      </c>
      <c r="J72" s="270">
        <f t="shared" si="15"/>
        <v>29.153509775686494</v>
      </c>
      <c r="K72" s="271">
        <f t="shared" si="9"/>
        <v>92.465809775686495</v>
      </c>
      <c r="L72" s="270">
        <f t="shared" si="10"/>
        <v>11677.28739246745</v>
      </c>
      <c r="M72" s="242">
        <f>IF(D72="","",SUM(G$46:G72))</f>
        <v>2187.0524520000004</v>
      </c>
      <c r="N72" s="242">
        <f>IF(D72="","",SUM(J$46:J72))</f>
        <v>5450.5526075325515</v>
      </c>
      <c r="P72" s="245"/>
      <c r="Q72" s="277">
        <f t="shared" si="11"/>
        <v>112.47862499999998</v>
      </c>
      <c r="R72" s="277">
        <f t="shared" si="25"/>
        <v>31.578018255098456</v>
      </c>
      <c r="S72" s="277">
        <f t="shared" si="23"/>
        <v>80.900606744901523</v>
      </c>
      <c r="T72" s="277">
        <f t="shared" si="17"/>
        <v>0</v>
      </c>
      <c r="U72" s="277">
        <f t="shared" si="21"/>
        <v>80.900606744901523</v>
      </c>
      <c r="V72" s="277">
        <f t="shared" si="18"/>
        <v>-92.465809775686495</v>
      </c>
      <c r="W72" s="277">
        <f t="shared" si="22"/>
        <v>0</v>
      </c>
      <c r="X72" s="273">
        <f t="shared" si="19"/>
        <v>-398.4697325478474</v>
      </c>
      <c r="Y72" s="277">
        <f t="shared" si="20"/>
        <v>4.8655364135281038</v>
      </c>
      <c r="AA72" s="278"/>
      <c r="AB72" s="277"/>
      <c r="AC72" s="272"/>
      <c r="AG72" s="242"/>
      <c r="AH72" s="174"/>
    </row>
    <row r="73" spans="2:34">
      <c r="B73" s="266">
        <f t="shared" si="24"/>
        <v>3</v>
      </c>
      <c r="C73" s="266"/>
      <c r="D73" s="175">
        <f t="shared" si="13"/>
        <v>28</v>
      </c>
      <c r="E73" s="267">
        <f t="shared" si="5"/>
        <v>42887</v>
      </c>
      <c r="F73" s="268">
        <f t="shared" si="14"/>
        <v>6.4899999999999999E-2</v>
      </c>
      <c r="G73" s="270">
        <f t="shared" si="26"/>
        <v>63.154699999999998</v>
      </c>
      <c r="H73" s="270">
        <f t="shared" si="7"/>
        <v>0</v>
      </c>
      <c r="I73" s="270">
        <f t="shared" si="8"/>
        <v>0</v>
      </c>
      <c r="J73" s="270">
        <f t="shared" si="15"/>
        <v>29.311109775686496</v>
      </c>
      <c r="K73" s="271">
        <f t="shared" si="9"/>
        <v>92.465809775686495</v>
      </c>
      <c r="L73" s="270">
        <f t="shared" si="10"/>
        <v>11647.976282691763</v>
      </c>
      <c r="M73" s="242">
        <f>IF(D73="","",SUM(G$46:G73))</f>
        <v>2250.2071520000004</v>
      </c>
      <c r="N73" s="242">
        <f>IF(D73="","",SUM(J$46:J73))</f>
        <v>5479.8637173082379</v>
      </c>
      <c r="P73" s="245"/>
      <c r="Q73" s="277">
        <f t="shared" si="11"/>
        <v>112.47862499999998</v>
      </c>
      <c r="R73" s="277">
        <f t="shared" si="25"/>
        <v>31.578018255098456</v>
      </c>
      <c r="S73" s="277">
        <f t="shared" si="23"/>
        <v>80.900606744901523</v>
      </c>
      <c r="T73" s="277">
        <f t="shared" si="17"/>
        <v>0</v>
      </c>
      <c r="U73" s="277">
        <f t="shared" si="21"/>
        <v>80.900606744901523</v>
      </c>
      <c r="V73" s="277">
        <f t="shared" si="18"/>
        <v>-92.465809775686495</v>
      </c>
      <c r="W73" s="277">
        <f t="shared" si="22"/>
        <v>0</v>
      </c>
      <c r="X73" s="273">
        <f t="shared" si="19"/>
        <v>-410.03493557863237</v>
      </c>
      <c r="Y73" s="277">
        <f t="shared" si="20"/>
        <v>4.8533234511215682</v>
      </c>
      <c r="AA73" s="278"/>
      <c r="AB73" s="277"/>
      <c r="AC73" s="272"/>
      <c r="AG73" s="242"/>
      <c r="AH73" s="174"/>
    </row>
    <row r="74" spans="2:34">
      <c r="B74" s="266">
        <f t="shared" si="24"/>
        <v>3</v>
      </c>
      <c r="C74" s="266"/>
      <c r="D74" s="175">
        <f t="shared" si="13"/>
        <v>29</v>
      </c>
      <c r="E74" s="267">
        <f t="shared" si="5"/>
        <v>42917</v>
      </c>
      <c r="F74" s="268">
        <f t="shared" si="14"/>
        <v>6.4899999999999999E-2</v>
      </c>
      <c r="G74" s="270">
        <f t="shared" si="26"/>
        <v>62.996099999999998</v>
      </c>
      <c r="H74" s="270">
        <f t="shared" si="7"/>
        <v>0</v>
      </c>
      <c r="I74" s="270">
        <f t="shared" si="8"/>
        <v>0</v>
      </c>
      <c r="J74" s="270">
        <f t="shared" si="15"/>
        <v>29.469709775686496</v>
      </c>
      <c r="K74" s="271">
        <f t="shared" si="9"/>
        <v>92.465809775686495</v>
      </c>
      <c r="L74" s="270">
        <f t="shared" si="10"/>
        <v>11618.506572916076</v>
      </c>
      <c r="M74" s="242">
        <f>IF(D74="","",SUM(G$46:G74))</f>
        <v>2313.2032520000002</v>
      </c>
      <c r="N74" s="242">
        <f>IF(D74="","",SUM(J$46:J74))</f>
        <v>5509.3334270839241</v>
      </c>
      <c r="P74" s="245"/>
      <c r="Q74" s="277">
        <f t="shared" si="11"/>
        <v>112.47862499999998</v>
      </c>
      <c r="R74" s="277">
        <f t="shared" si="25"/>
        <v>31.578018255098456</v>
      </c>
      <c r="S74" s="277">
        <f t="shared" si="23"/>
        <v>80.900606744901523</v>
      </c>
      <c r="T74" s="277">
        <f t="shared" si="17"/>
        <v>0</v>
      </c>
      <c r="U74" s="277">
        <f t="shared" si="21"/>
        <v>80.900606744901523</v>
      </c>
      <c r="V74" s="277">
        <f t="shared" si="18"/>
        <v>-92.465809775686495</v>
      </c>
      <c r="W74" s="277">
        <f t="shared" si="22"/>
        <v>0</v>
      </c>
      <c r="X74" s="273">
        <f t="shared" si="19"/>
        <v>-421.60013860941734</v>
      </c>
      <c r="Y74" s="277">
        <f t="shared" si="20"/>
        <v>4.841044405381699</v>
      </c>
      <c r="AA74" s="278"/>
      <c r="AB74" s="277"/>
      <c r="AC74" s="272"/>
      <c r="AG74" s="242"/>
      <c r="AH74" s="174"/>
    </row>
    <row r="75" spans="2:34">
      <c r="B75" s="266">
        <f t="shared" si="24"/>
        <v>3</v>
      </c>
      <c r="C75" s="266"/>
      <c r="D75" s="175">
        <f t="shared" si="13"/>
        <v>30</v>
      </c>
      <c r="E75" s="267">
        <f t="shared" si="5"/>
        <v>42948</v>
      </c>
      <c r="F75" s="268">
        <f t="shared" si="14"/>
        <v>6.4899999999999999E-2</v>
      </c>
      <c r="G75" s="270">
        <f t="shared" si="26"/>
        <v>62.836799999999997</v>
      </c>
      <c r="H75" s="270">
        <f t="shared" si="7"/>
        <v>0</v>
      </c>
      <c r="I75" s="270">
        <f t="shared" si="8"/>
        <v>0</v>
      </c>
      <c r="J75" s="270">
        <f t="shared" si="15"/>
        <v>29.629009775686498</v>
      </c>
      <c r="K75" s="271">
        <f t="shared" si="9"/>
        <v>92.465809775686495</v>
      </c>
      <c r="L75" s="270">
        <f t="shared" si="10"/>
        <v>11588.87756314039</v>
      </c>
      <c r="M75" s="242">
        <f>IF(D75="","",SUM(G$46:G75))</f>
        <v>2376.0400520000003</v>
      </c>
      <c r="N75" s="242">
        <f>IF(D75="","",SUM(J$46:J75))</f>
        <v>5538.9624368596105</v>
      </c>
      <c r="P75" s="245"/>
      <c r="Q75" s="277">
        <f t="shared" si="11"/>
        <v>112.47862499999998</v>
      </c>
      <c r="R75" s="277">
        <f t="shared" si="25"/>
        <v>31.578018255098456</v>
      </c>
      <c r="S75" s="277">
        <f t="shared" si="23"/>
        <v>80.900606744901523</v>
      </c>
      <c r="T75" s="277">
        <f t="shared" si="17"/>
        <v>0</v>
      </c>
      <c r="U75" s="277">
        <f t="shared" si="21"/>
        <v>80.900606744901523</v>
      </c>
      <c r="V75" s="277">
        <f t="shared" si="18"/>
        <v>-92.465809775686495</v>
      </c>
      <c r="W75" s="277">
        <f t="shared" si="22"/>
        <v>0</v>
      </c>
      <c r="X75" s="273">
        <f t="shared" si="19"/>
        <v>-433.16534164020231</v>
      </c>
      <c r="Y75" s="277">
        <f t="shared" si="20"/>
        <v>4.8286989846418296</v>
      </c>
      <c r="AA75" s="278"/>
      <c r="AB75" s="277"/>
      <c r="AC75" s="272"/>
      <c r="AG75" s="242"/>
      <c r="AH75" s="174"/>
    </row>
    <row r="76" spans="2:34">
      <c r="B76" s="266">
        <f t="shared" si="24"/>
        <v>3</v>
      </c>
      <c r="C76" s="266"/>
      <c r="D76" s="175">
        <f t="shared" si="13"/>
        <v>31</v>
      </c>
      <c r="E76" s="267">
        <f t="shared" si="5"/>
        <v>42979</v>
      </c>
      <c r="F76" s="268">
        <f t="shared" si="14"/>
        <v>6.4899999999999999E-2</v>
      </c>
      <c r="G76" s="270">
        <f t="shared" si="26"/>
        <v>62.676499999999997</v>
      </c>
      <c r="H76" s="270">
        <f t="shared" si="7"/>
        <v>0</v>
      </c>
      <c r="I76" s="270">
        <f t="shared" si="8"/>
        <v>0</v>
      </c>
      <c r="J76" s="270">
        <f t="shared" si="15"/>
        <v>29.789309775686498</v>
      </c>
      <c r="K76" s="271">
        <f t="shared" si="9"/>
        <v>92.465809775686495</v>
      </c>
      <c r="L76" s="270">
        <f t="shared" si="10"/>
        <v>11559.088253364704</v>
      </c>
      <c r="M76" s="242">
        <f>IF(D76="","",SUM(G$46:G76))</f>
        <v>2438.7165520000003</v>
      </c>
      <c r="N76" s="242">
        <f>IF(D76="","",SUM(J$46:J76))</f>
        <v>5568.7517466352974</v>
      </c>
      <c r="P76" s="245"/>
      <c r="Q76" s="277">
        <f t="shared" si="11"/>
        <v>112.47862499999998</v>
      </c>
      <c r="R76" s="277">
        <f t="shared" si="25"/>
        <v>31.578018255098456</v>
      </c>
      <c r="S76" s="277">
        <f t="shared" si="23"/>
        <v>80.900606744901523</v>
      </c>
      <c r="T76" s="277">
        <f t="shared" si="17"/>
        <v>0</v>
      </c>
      <c r="U76" s="277">
        <f t="shared" si="21"/>
        <v>80.900606744901523</v>
      </c>
      <c r="V76" s="277">
        <f t="shared" si="18"/>
        <v>-92.465809775686495</v>
      </c>
      <c r="W76" s="277">
        <f t="shared" si="22"/>
        <v>0</v>
      </c>
      <c r="X76" s="273">
        <f t="shared" si="19"/>
        <v>-444.73054467098729</v>
      </c>
      <c r="Y76" s="277">
        <f t="shared" si="20"/>
        <v>4.8162867722352933</v>
      </c>
      <c r="AA76" s="278"/>
      <c r="AB76" s="277"/>
      <c r="AC76" s="272"/>
      <c r="AG76" s="242"/>
      <c r="AH76" s="174"/>
    </row>
    <row r="77" spans="2:34">
      <c r="B77" s="266">
        <f t="shared" si="24"/>
        <v>3</v>
      </c>
      <c r="C77" s="266"/>
      <c r="D77" s="175">
        <f t="shared" si="13"/>
        <v>32</v>
      </c>
      <c r="E77" s="267">
        <f t="shared" si="5"/>
        <v>43009</v>
      </c>
      <c r="F77" s="268">
        <f t="shared" si="14"/>
        <v>6.4899999999999999E-2</v>
      </c>
      <c r="G77" s="270">
        <f t="shared" si="26"/>
        <v>62.5154</v>
      </c>
      <c r="H77" s="270">
        <f t="shared" si="7"/>
        <v>0</v>
      </c>
      <c r="I77" s="270">
        <f t="shared" si="8"/>
        <v>0</v>
      </c>
      <c r="J77" s="270">
        <f t="shared" si="15"/>
        <v>29.950409775686495</v>
      </c>
      <c r="K77" s="271">
        <f t="shared" si="9"/>
        <v>92.465809775686495</v>
      </c>
      <c r="L77" s="270">
        <f t="shared" si="10"/>
        <v>11529.137843589016</v>
      </c>
      <c r="M77" s="242">
        <f>IF(D77="","",SUM(G$46:G77))</f>
        <v>2501.2319520000001</v>
      </c>
      <c r="N77" s="242">
        <f>IF(D77="","",SUM(J$46:J77))</f>
        <v>5598.7021564109837</v>
      </c>
      <c r="P77" s="245"/>
      <c r="Q77" s="277">
        <f t="shared" si="11"/>
        <v>112.47862499999998</v>
      </c>
      <c r="R77" s="277">
        <f t="shared" si="25"/>
        <v>31.578018255098456</v>
      </c>
      <c r="S77" s="277">
        <f t="shared" si="23"/>
        <v>80.900606744901523</v>
      </c>
      <c r="T77" s="277">
        <f t="shared" si="17"/>
        <v>0</v>
      </c>
      <c r="U77" s="277">
        <f t="shared" si="21"/>
        <v>80.900606744901523</v>
      </c>
      <c r="V77" s="277">
        <f t="shared" si="18"/>
        <v>-92.465809775686495</v>
      </c>
      <c r="W77" s="277">
        <f t="shared" si="22"/>
        <v>0</v>
      </c>
      <c r="X77" s="273">
        <f t="shared" si="19"/>
        <v>-456.29574770177226</v>
      </c>
      <c r="Y77" s="277">
        <f t="shared" si="20"/>
        <v>4.8038074348287569</v>
      </c>
      <c r="AA77" s="278"/>
      <c r="AB77" s="277"/>
      <c r="AG77" s="242"/>
      <c r="AH77" s="174"/>
    </row>
    <row r="78" spans="2:34">
      <c r="B78" s="266">
        <f t="shared" si="24"/>
        <v>3</v>
      </c>
      <c r="C78" s="266"/>
      <c r="D78" s="175">
        <f t="shared" si="13"/>
        <v>33</v>
      </c>
      <c r="E78" s="267">
        <f t="shared" si="5"/>
        <v>43040</v>
      </c>
      <c r="F78" s="268">
        <f t="shared" si="14"/>
        <v>6.4899999999999999E-2</v>
      </c>
      <c r="G78" s="270">
        <f t="shared" si="26"/>
        <v>62.353400000000001</v>
      </c>
      <c r="H78" s="270">
        <f t="shared" si="7"/>
        <v>0</v>
      </c>
      <c r="I78" s="270">
        <f t="shared" si="8"/>
        <v>0</v>
      </c>
      <c r="J78" s="270">
        <f t="shared" si="15"/>
        <v>30.112409775686494</v>
      </c>
      <c r="K78" s="271">
        <f t="shared" si="9"/>
        <v>92.465809775686495</v>
      </c>
      <c r="L78" s="270">
        <f t="shared" si="10"/>
        <v>11499.025433813331</v>
      </c>
      <c r="M78" s="242">
        <f>IF(D78="","",SUM(G$46:G78))</f>
        <v>2563.5853520000001</v>
      </c>
      <c r="N78" s="242">
        <f>IF(D78="","",SUM(J$46:J78))</f>
        <v>5628.8145661866702</v>
      </c>
      <c r="P78" s="245"/>
      <c r="Q78" s="277">
        <f t="shared" si="11"/>
        <v>112.47862499999998</v>
      </c>
      <c r="R78" s="277">
        <f t="shared" si="25"/>
        <v>31.578018255098456</v>
      </c>
      <c r="S78" s="277">
        <f t="shared" si="23"/>
        <v>80.900606744901523</v>
      </c>
      <c r="T78" s="277">
        <f t="shared" si="17"/>
        <v>0</v>
      </c>
      <c r="U78" s="277">
        <f t="shared" si="21"/>
        <v>80.900606744901523</v>
      </c>
      <c r="V78" s="277">
        <f t="shared" si="18"/>
        <v>-92.465809775686495</v>
      </c>
      <c r="W78" s="277">
        <f t="shared" si="22"/>
        <v>0</v>
      </c>
      <c r="X78" s="273">
        <f t="shared" si="19"/>
        <v>-467.86095073255723</v>
      </c>
      <c r="Y78" s="277">
        <f t="shared" si="20"/>
        <v>4.7912605974222213</v>
      </c>
      <c r="AA78" s="278"/>
      <c r="AB78" s="277"/>
      <c r="AG78" s="242"/>
      <c r="AH78" s="174"/>
    </row>
    <row r="79" spans="2:34">
      <c r="B79" s="266">
        <f t="shared" si="24"/>
        <v>3</v>
      </c>
      <c r="C79" s="266"/>
      <c r="D79" s="175">
        <f t="shared" si="13"/>
        <v>34</v>
      </c>
      <c r="E79" s="267">
        <f t="shared" si="5"/>
        <v>43070</v>
      </c>
      <c r="F79" s="268">
        <f t="shared" si="14"/>
        <v>6.4899999999999999E-2</v>
      </c>
      <c r="G79" s="270">
        <f t="shared" si="26"/>
        <v>62.190600000000003</v>
      </c>
      <c r="H79" s="270">
        <f t="shared" si="7"/>
        <v>0</v>
      </c>
      <c r="I79" s="270">
        <f t="shared" si="8"/>
        <v>0</v>
      </c>
      <c r="J79" s="270">
        <f t="shared" si="15"/>
        <v>30.275209775686491</v>
      </c>
      <c r="K79" s="271">
        <f t="shared" si="9"/>
        <v>92.465809775686495</v>
      </c>
      <c r="L79" s="270">
        <f t="shared" si="10"/>
        <v>11468.750224037645</v>
      </c>
      <c r="M79" s="242">
        <f>IF(D79="","",SUM(G$46:G79))</f>
        <v>2625.775952</v>
      </c>
      <c r="N79" s="242">
        <f>IF(D79="","",SUM(J$46:J79))</f>
        <v>5659.0897759623567</v>
      </c>
      <c r="P79" s="245"/>
      <c r="Q79" s="277">
        <f t="shared" si="11"/>
        <v>112.47862499999998</v>
      </c>
      <c r="R79" s="277">
        <f t="shared" si="25"/>
        <v>31.578018255098456</v>
      </c>
      <c r="S79" s="277">
        <f t="shared" si="23"/>
        <v>80.900606744901523</v>
      </c>
      <c r="T79" s="277">
        <f t="shared" si="17"/>
        <v>0</v>
      </c>
      <c r="U79" s="277">
        <f t="shared" si="21"/>
        <v>80.900606744901523</v>
      </c>
      <c r="V79" s="277">
        <f t="shared" si="18"/>
        <v>-92.465809775686495</v>
      </c>
      <c r="W79" s="277">
        <f t="shared" si="22"/>
        <v>0</v>
      </c>
      <c r="X79" s="273">
        <f t="shared" si="19"/>
        <v>-479.4261537633422</v>
      </c>
      <c r="Y79" s="277">
        <f t="shared" si="20"/>
        <v>4.7786459266823522</v>
      </c>
      <c r="AA79" s="278"/>
      <c r="AB79" s="277"/>
      <c r="AG79" s="242"/>
      <c r="AH79" s="174"/>
    </row>
    <row r="80" spans="2:34">
      <c r="B80" s="266">
        <f t="shared" si="24"/>
        <v>3</v>
      </c>
      <c r="C80" s="266"/>
      <c r="D80" s="175">
        <f t="shared" si="13"/>
        <v>35</v>
      </c>
      <c r="E80" s="267">
        <f t="shared" si="5"/>
        <v>43101</v>
      </c>
      <c r="F80" s="268">
        <f t="shared" si="14"/>
        <v>6.4899999999999999E-2</v>
      </c>
      <c r="G80" s="270">
        <f t="shared" si="26"/>
        <v>62.026800000000001</v>
      </c>
      <c r="H80" s="270">
        <f t="shared" si="7"/>
        <v>0</v>
      </c>
      <c r="I80" s="270">
        <f t="shared" si="8"/>
        <v>0</v>
      </c>
      <c r="J80" s="270">
        <f t="shared" si="15"/>
        <v>30.439009775686493</v>
      </c>
      <c r="K80" s="271">
        <f t="shared" si="9"/>
        <v>92.465809775686495</v>
      </c>
      <c r="L80" s="270">
        <f t="shared" si="10"/>
        <v>11438.311214261959</v>
      </c>
      <c r="M80" s="242">
        <f>IF(D80="","",SUM(G$46:G80))</f>
        <v>2687.8027520000001</v>
      </c>
      <c r="N80" s="242">
        <f>IF(D80="","",SUM(J$46:J80))</f>
        <v>5689.5287857380436</v>
      </c>
      <c r="P80" s="245"/>
      <c r="Q80" s="277">
        <f t="shared" si="11"/>
        <v>112.47862499999998</v>
      </c>
      <c r="R80" s="277">
        <f t="shared" si="25"/>
        <v>31.578018255098456</v>
      </c>
      <c r="S80" s="277">
        <f t="shared" si="23"/>
        <v>80.900606744901523</v>
      </c>
      <c r="T80" s="277">
        <f t="shared" si="17"/>
        <v>0</v>
      </c>
      <c r="U80" s="277">
        <f t="shared" si="21"/>
        <v>80.900606744901523</v>
      </c>
      <c r="V80" s="277">
        <f t="shared" si="18"/>
        <v>-92.465809775686495</v>
      </c>
      <c r="W80" s="277">
        <f t="shared" si="22"/>
        <v>0</v>
      </c>
      <c r="X80" s="273">
        <f t="shared" si="19"/>
        <v>-490.99135679412717</v>
      </c>
      <c r="Y80" s="277">
        <f t="shared" si="20"/>
        <v>4.7659630059424831</v>
      </c>
      <c r="AA80" s="278"/>
      <c r="AB80" s="277"/>
      <c r="AG80" s="242"/>
      <c r="AH80" s="174"/>
    </row>
    <row r="81" spans="2:34">
      <c r="B81" s="266">
        <f t="shared" si="24"/>
        <v>3</v>
      </c>
      <c r="C81" s="266"/>
      <c r="D81" s="175">
        <f t="shared" si="13"/>
        <v>36</v>
      </c>
      <c r="E81" s="267">
        <f t="shared" si="5"/>
        <v>43132</v>
      </c>
      <c r="F81" s="268">
        <f t="shared" si="14"/>
        <v>6.4899999999999999E-2</v>
      </c>
      <c r="G81" s="270">
        <f t="shared" si="26"/>
        <v>61.862200000000001</v>
      </c>
      <c r="H81" s="270">
        <f t="shared" si="7"/>
        <v>0</v>
      </c>
      <c r="I81" s="270">
        <f t="shared" si="8"/>
        <v>0</v>
      </c>
      <c r="J81" s="270">
        <f t="shared" si="15"/>
        <v>30.603609775686493</v>
      </c>
      <c r="K81" s="271">
        <f t="shared" si="9"/>
        <v>92.465809775686495</v>
      </c>
      <c r="L81" s="270">
        <f t="shared" si="10"/>
        <v>11407.707604486273</v>
      </c>
      <c r="M81" s="242">
        <f>IF(D81="","",SUM(G$46:G81))</f>
        <v>2749.6649520000001</v>
      </c>
      <c r="N81" s="242">
        <f>IF(D81="","",SUM(J$46:J81))</f>
        <v>5720.1323955137304</v>
      </c>
      <c r="P81" s="245"/>
      <c r="Q81" s="277">
        <f t="shared" si="11"/>
        <v>112.47862499999998</v>
      </c>
      <c r="R81" s="277">
        <f t="shared" si="25"/>
        <v>31.578018255098456</v>
      </c>
      <c r="S81" s="277">
        <f t="shared" si="23"/>
        <v>80.900606744901523</v>
      </c>
      <c r="T81" s="277">
        <f t="shared" si="17"/>
        <v>0</v>
      </c>
      <c r="U81" s="277">
        <f t="shared" si="21"/>
        <v>80.900606744901523</v>
      </c>
      <c r="V81" s="277">
        <f t="shared" si="18"/>
        <v>-92.465809775686495</v>
      </c>
      <c r="W81" s="277">
        <f t="shared" si="22"/>
        <v>0</v>
      </c>
      <c r="X81" s="273">
        <f t="shared" si="19"/>
        <v>-502.55655982491214</v>
      </c>
      <c r="Y81" s="277">
        <f t="shared" si="20"/>
        <v>4.7532115018692807</v>
      </c>
      <c r="AA81" s="278"/>
      <c r="AB81" s="277"/>
      <c r="AG81" s="242"/>
      <c r="AH81" s="174"/>
    </row>
    <row r="82" spans="2:34">
      <c r="B82" s="266">
        <f t="shared" si="24"/>
        <v>4</v>
      </c>
      <c r="C82" s="266"/>
      <c r="D82" s="175">
        <f t="shared" si="13"/>
        <v>37</v>
      </c>
      <c r="E82" s="267">
        <f t="shared" si="5"/>
        <v>43160</v>
      </c>
      <c r="F82" s="268">
        <f t="shared" si="14"/>
        <v>6.4899999999999999E-2</v>
      </c>
      <c r="G82" s="270">
        <f t="shared" si="26"/>
        <v>61.6967</v>
      </c>
      <c r="H82" s="270">
        <f t="shared" si="7"/>
        <v>0</v>
      </c>
      <c r="I82" s="270">
        <f t="shared" si="8"/>
        <v>0</v>
      </c>
      <c r="J82" s="270">
        <f t="shared" si="15"/>
        <v>30.769109775686495</v>
      </c>
      <c r="K82" s="271">
        <f t="shared" si="9"/>
        <v>92.465809775686495</v>
      </c>
      <c r="L82" s="270">
        <f t="shared" si="10"/>
        <v>11376.938494710586</v>
      </c>
      <c r="M82" s="242">
        <f>IF(D82="","",SUM(G$46:G82))</f>
        <v>2811.361652</v>
      </c>
      <c r="N82" s="242">
        <f>IF(D82="","",SUM(J$46:J82))</f>
        <v>5750.9015052894165</v>
      </c>
      <c r="P82" s="245"/>
      <c r="Q82" s="277">
        <f t="shared" si="11"/>
        <v>116.41537687499998</v>
      </c>
      <c r="R82" s="277">
        <f>Q82-S82</f>
        <v>33.101909533931774</v>
      </c>
      <c r="S82" s="277">
        <f t="shared" si="23"/>
        <v>83.313467341068204</v>
      </c>
      <c r="T82" s="277">
        <f t="shared" si="17"/>
        <v>0</v>
      </c>
      <c r="U82" s="277">
        <f t="shared" si="21"/>
        <v>83.313467341068204</v>
      </c>
      <c r="V82" s="277">
        <f t="shared" si="18"/>
        <v>-92.465809775686495</v>
      </c>
      <c r="W82" s="277">
        <f t="shared" si="22"/>
        <v>0</v>
      </c>
      <c r="X82" s="273">
        <f t="shared" si="19"/>
        <v>-511.70890225953042</v>
      </c>
      <c r="Y82" s="277">
        <f t="shared" si="20"/>
        <v>4.740391039462744</v>
      </c>
      <c r="AA82" s="278"/>
      <c r="AB82" s="277"/>
      <c r="AG82" s="242"/>
      <c r="AH82" s="174"/>
    </row>
    <row r="83" spans="2:34">
      <c r="B83" s="266">
        <f t="shared" si="24"/>
        <v>4</v>
      </c>
      <c r="C83" s="266"/>
      <c r="D83" s="175">
        <f t="shared" si="13"/>
        <v>38</v>
      </c>
      <c r="E83" s="267">
        <f t="shared" si="5"/>
        <v>43191</v>
      </c>
      <c r="F83" s="268">
        <f t="shared" si="14"/>
        <v>6.4899999999999999E-2</v>
      </c>
      <c r="G83" s="270">
        <f t="shared" si="26"/>
        <v>61.530299999999997</v>
      </c>
      <c r="H83" s="270">
        <f t="shared" si="7"/>
        <v>0</v>
      </c>
      <c r="I83" s="270">
        <f t="shared" si="8"/>
        <v>0</v>
      </c>
      <c r="J83" s="270">
        <f t="shared" si="15"/>
        <v>30.935509775686498</v>
      </c>
      <c r="K83" s="271">
        <f t="shared" si="9"/>
        <v>92.465809775686495</v>
      </c>
      <c r="L83" s="270">
        <f t="shared" si="10"/>
        <v>11346.002984934899</v>
      </c>
      <c r="M83" s="242">
        <f>IF(D83="","",SUM(G$46:G83))</f>
        <v>2872.8919519999999</v>
      </c>
      <c r="N83" s="242">
        <f>IF(D83="","",SUM(J$46:J83))</f>
        <v>5781.8370150651026</v>
      </c>
      <c r="P83" s="245"/>
      <c r="Q83" s="277">
        <f t="shared" si="11"/>
        <v>116.41537687499998</v>
      </c>
      <c r="R83" s="277">
        <f t="shared" si="25"/>
        <v>33.101909533931774</v>
      </c>
      <c r="S83" s="277">
        <f t="shared" si="23"/>
        <v>83.313467341068204</v>
      </c>
      <c r="T83" s="277">
        <f t="shared" si="17"/>
        <v>0</v>
      </c>
      <c r="U83" s="277">
        <f t="shared" si="21"/>
        <v>83.313467341068204</v>
      </c>
      <c r="V83" s="277">
        <f t="shared" si="18"/>
        <v>-92.465809775686495</v>
      </c>
      <c r="W83" s="277">
        <f t="shared" si="22"/>
        <v>0</v>
      </c>
      <c r="X83" s="273">
        <f t="shared" si="19"/>
        <v>-520.8612446941487</v>
      </c>
      <c r="Y83" s="277">
        <f t="shared" si="20"/>
        <v>4.7275012437228749</v>
      </c>
      <c r="AA83" s="278"/>
      <c r="AB83" s="277"/>
      <c r="AG83" s="242"/>
      <c r="AH83" s="174"/>
    </row>
    <row r="84" spans="2:34">
      <c r="B84" s="266">
        <f t="shared" si="24"/>
        <v>4</v>
      </c>
      <c r="C84" s="266"/>
      <c r="D84" s="175">
        <f t="shared" si="13"/>
        <v>39</v>
      </c>
      <c r="E84" s="267">
        <f t="shared" si="5"/>
        <v>43221</v>
      </c>
      <c r="F84" s="268">
        <f t="shared" si="14"/>
        <v>6.4899999999999999E-2</v>
      </c>
      <c r="G84" s="270">
        <f t="shared" si="26"/>
        <v>61.363</v>
      </c>
      <c r="H84" s="270">
        <f t="shared" si="7"/>
        <v>0</v>
      </c>
      <c r="I84" s="270">
        <f t="shared" si="8"/>
        <v>0</v>
      </c>
      <c r="J84" s="270">
        <f t="shared" si="15"/>
        <v>31.102809775686495</v>
      </c>
      <c r="K84" s="271">
        <f t="shared" si="9"/>
        <v>92.465809775686495</v>
      </c>
      <c r="L84" s="270">
        <f t="shared" si="10"/>
        <v>11314.900175159213</v>
      </c>
      <c r="M84" s="242">
        <f>IF(D84="","",SUM(G$46:G84))</f>
        <v>2934.2549519999998</v>
      </c>
      <c r="N84" s="242">
        <f>IF(D84="","",SUM(J$46:J84))</f>
        <v>5812.9398248407888</v>
      </c>
      <c r="P84" s="245"/>
      <c r="Q84" s="277">
        <f t="shared" si="11"/>
        <v>116.41537687499998</v>
      </c>
      <c r="R84" s="277">
        <f t="shared" si="25"/>
        <v>33.101909533931774</v>
      </c>
      <c r="S84" s="277">
        <f t="shared" si="23"/>
        <v>83.313467341068204</v>
      </c>
      <c r="T84" s="277">
        <f t="shared" si="17"/>
        <v>0</v>
      </c>
      <c r="U84" s="277">
        <f t="shared" si="21"/>
        <v>83.313467341068204</v>
      </c>
      <c r="V84" s="277">
        <f t="shared" si="18"/>
        <v>-92.465809775686495</v>
      </c>
      <c r="W84" s="277">
        <f t="shared" si="22"/>
        <v>0</v>
      </c>
      <c r="X84" s="273">
        <f t="shared" si="19"/>
        <v>-530.01358712876697</v>
      </c>
      <c r="Y84" s="277">
        <f t="shared" si="20"/>
        <v>4.7145417396496727</v>
      </c>
      <c r="AA84" s="278"/>
      <c r="AB84" s="277"/>
      <c r="AG84" s="242"/>
      <c r="AH84" s="174"/>
    </row>
    <row r="85" spans="2:34">
      <c r="B85" s="266">
        <f t="shared" si="24"/>
        <v>4</v>
      </c>
      <c r="C85" s="266"/>
      <c r="D85" s="175">
        <f t="shared" si="13"/>
        <v>40</v>
      </c>
      <c r="E85" s="267">
        <f t="shared" si="5"/>
        <v>43252</v>
      </c>
      <c r="F85" s="268">
        <f t="shared" si="14"/>
        <v>6.4899999999999999E-2</v>
      </c>
      <c r="G85" s="270">
        <f t="shared" si="26"/>
        <v>61.194800000000001</v>
      </c>
      <c r="H85" s="270">
        <f t="shared" si="7"/>
        <v>0</v>
      </c>
      <c r="I85" s="270">
        <f t="shared" si="8"/>
        <v>0</v>
      </c>
      <c r="J85" s="270">
        <f t="shared" si="15"/>
        <v>31.271009775686494</v>
      </c>
      <c r="K85" s="271">
        <f t="shared" si="9"/>
        <v>92.465809775686495</v>
      </c>
      <c r="L85" s="270">
        <f t="shared" si="10"/>
        <v>11283.629165383527</v>
      </c>
      <c r="M85" s="242">
        <f>IF(D85="","",SUM(G$46:G85))</f>
        <v>2995.449752</v>
      </c>
      <c r="N85" s="242">
        <f>IF(D85="","",SUM(J$46:J85))</f>
        <v>5844.210834616475</v>
      </c>
      <c r="P85" s="245"/>
      <c r="Q85" s="277">
        <f t="shared" si="11"/>
        <v>116.41537687499998</v>
      </c>
      <c r="R85" s="277">
        <f t="shared" si="25"/>
        <v>33.101909533931774</v>
      </c>
      <c r="S85" s="277">
        <f t="shared" si="23"/>
        <v>83.313467341068204</v>
      </c>
      <c r="T85" s="277">
        <f t="shared" si="17"/>
        <v>0</v>
      </c>
      <c r="U85" s="277">
        <f t="shared" si="21"/>
        <v>83.313467341068204</v>
      </c>
      <c r="V85" s="277">
        <f t="shared" si="18"/>
        <v>-92.465809775686495</v>
      </c>
      <c r="W85" s="277">
        <f t="shared" si="22"/>
        <v>0</v>
      </c>
      <c r="X85" s="273">
        <f t="shared" si="19"/>
        <v>-539.16592956338525</v>
      </c>
      <c r="Y85" s="277">
        <f t="shared" si="20"/>
        <v>4.7015121522431365</v>
      </c>
      <c r="AA85" s="278"/>
      <c r="AB85" s="277"/>
      <c r="AG85" s="242"/>
      <c r="AH85" s="174"/>
    </row>
    <row r="86" spans="2:34">
      <c r="B86" s="266">
        <f t="shared" si="24"/>
        <v>4</v>
      </c>
      <c r="C86" s="266"/>
      <c r="D86" s="175">
        <f t="shared" si="13"/>
        <v>41</v>
      </c>
      <c r="E86" s="267">
        <f t="shared" si="5"/>
        <v>43282</v>
      </c>
      <c r="F86" s="268">
        <f t="shared" si="14"/>
        <v>6.4899999999999999E-2</v>
      </c>
      <c r="G86" s="270">
        <f t="shared" si="26"/>
        <v>61.025599999999997</v>
      </c>
      <c r="H86" s="270">
        <f t="shared" si="7"/>
        <v>0</v>
      </c>
      <c r="I86" s="270">
        <f t="shared" si="8"/>
        <v>0</v>
      </c>
      <c r="J86" s="270">
        <f t="shared" si="15"/>
        <v>31.440209775686498</v>
      </c>
      <c r="K86" s="271">
        <f t="shared" si="9"/>
        <v>92.465809775686495</v>
      </c>
      <c r="L86" s="270">
        <f t="shared" si="10"/>
        <v>11252.18895560784</v>
      </c>
      <c r="M86" s="242">
        <f>IF(D86="","",SUM(G$46:G86))</f>
        <v>3056.4753519999999</v>
      </c>
      <c r="N86" s="242">
        <f>IF(D86="","",SUM(J$46:J86))</f>
        <v>5875.6510443921616</v>
      </c>
      <c r="P86" s="245"/>
      <c r="Q86" s="277">
        <f t="shared" si="11"/>
        <v>116.41537687499998</v>
      </c>
      <c r="R86" s="277">
        <f t="shared" si="25"/>
        <v>33.101909533931774</v>
      </c>
      <c r="S86" s="277">
        <f t="shared" si="23"/>
        <v>83.313467341068204</v>
      </c>
      <c r="T86" s="277">
        <f t="shared" si="17"/>
        <v>0</v>
      </c>
      <c r="U86" s="277">
        <f t="shared" si="21"/>
        <v>83.313467341068204</v>
      </c>
      <c r="V86" s="277">
        <f t="shared" si="18"/>
        <v>-92.465809775686495</v>
      </c>
      <c r="W86" s="277">
        <f t="shared" si="22"/>
        <v>0</v>
      </c>
      <c r="X86" s="273">
        <f t="shared" si="19"/>
        <v>-548.31827199800352</v>
      </c>
      <c r="Y86" s="277">
        <f t="shared" si="20"/>
        <v>4.6884120648366006</v>
      </c>
      <c r="AA86" s="278"/>
      <c r="AB86" s="277"/>
      <c r="AG86" s="242"/>
      <c r="AH86" s="174"/>
    </row>
    <row r="87" spans="2:34">
      <c r="B87" s="266">
        <f t="shared" si="24"/>
        <v>4</v>
      </c>
      <c r="C87" s="266"/>
      <c r="D87" s="175">
        <f t="shared" si="13"/>
        <v>42</v>
      </c>
      <c r="E87" s="267">
        <f t="shared" si="5"/>
        <v>43313</v>
      </c>
      <c r="F87" s="268">
        <f t="shared" si="14"/>
        <v>6.4899999999999999E-2</v>
      </c>
      <c r="G87" s="270">
        <f t="shared" si="26"/>
        <v>60.855600000000003</v>
      </c>
      <c r="H87" s="270">
        <f t="shared" si="7"/>
        <v>0</v>
      </c>
      <c r="I87" s="270">
        <f t="shared" si="8"/>
        <v>0</v>
      </c>
      <c r="J87" s="270">
        <f t="shared" si="15"/>
        <v>31.610209775686492</v>
      </c>
      <c r="K87" s="271">
        <f t="shared" si="9"/>
        <v>92.465809775686495</v>
      </c>
      <c r="L87" s="270">
        <f t="shared" si="10"/>
        <v>11220.578745832154</v>
      </c>
      <c r="M87" s="242">
        <f>IF(D87="","",SUM(G$46:G87))</f>
        <v>3117.3309519999998</v>
      </c>
      <c r="N87" s="242">
        <f>IF(D87="","",SUM(J$46:J87))</f>
        <v>5907.2612541678482</v>
      </c>
      <c r="P87" s="245"/>
      <c r="Q87" s="277">
        <f t="shared" si="11"/>
        <v>116.41537687499998</v>
      </c>
      <c r="R87" s="277">
        <f t="shared" si="25"/>
        <v>33.101909533931774</v>
      </c>
      <c r="S87" s="277">
        <f t="shared" si="23"/>
        <v>83.313467341068204</v>
      </c>
      <c r="T87" s="277">
        <f t="shared" si="17"/>
        <v>0</v>
      </c>
      <c r="U87" s="277">
        <f t="shared" si="21"/>
        <v>83.313467341068204</v>
      </c>
      <c r="V87" s="277">
        <f t="shared" si="18"/>
        <v>-92.465809775686495</v>
      </c>
      <c r="W87" s="277">
        <f t="shared" si="22"/>
        <v>0</v>
      </c>
      <c r="X87" s="273">
        <f t="shared" si="19"/>
        <v>-557.4706144326218</v>
      </c>
      <c r="Y87" s="277">
        <f t="shared" si="20"/>
        <v>4.6752411440967307</v>
      </c>
      <c r="AA87" s="278"/>
      <c r="AB87" s="277"/>
      <c r="AG87" s="242"/>
      <c r="AH87" s="174"/>
    </row>
    <row r="88" spans="2:34">
      <c r="B88" s="266">
        <f t="shared" si="24"/>
        <v>4</v>
      </c>
      <c r="C88" s="266"/>
      <c r="D88" s="175">
        <f t="shared" si="13"/>
        <v>43</v>
      </c>
      <c r="E88" s="267">
        <f t="shared" si="5"/>
        <v>43344</v>
      </c>
      <c r="F88" s="268">
        <f t="shared" si="14"/>
        <v>6.4899999999999999E-2</v>
      </c>
      <c r="G88" s="270">
        <f t="shared" si="26"/>
        <v>60.684600000000003</v>
      </c>
      <c r="H88" s="270">
        <f t="shared" si="7"/>
        <v>0</v>
      </c>
      <c r="I88" s="270">
        <f t="shared" si="8"/>
        <v>0</v>
      </c>
      <c r="J88" s="270">
        <f t="shared" si="15"/>
        <v>31.781209775686492</v>
      </c>
      <c r="K88" s="271">
        <f t="shared" si="9"/>
        <v>92.465809775686495</v>
      </c>
      <c r="L88" s="270">
        <f t="shared" si="10"/>
        <v>11188.797536056467</v>
      </c>
      <c r="M88" s="242">
        <f>IF(D88="","",SUM(G$46:G88))</f>
        <v>3178.0155519999998</v>
      </c>
      <c r="N88" s="242">
        <f>IF(D88="","",SUM(J$46:J88))</f>
        <v>5939.042463943535</v>
      </c>
      <c r="P88" s="245"/>
      <c r="Q88" s="277">
        <f t="shared" si="11"/>
        <v>116.41537687499998</v>
      </c>
      <c r="R88" s="277">
        <f t="shared" si="25"/>
        <v>33.101909533931774</v>
      </c>
      <c r="S88" s="277">
        <f t="shared" si="23"/>
        <v>83.313467341068204</v>
      </c>
      <c r="T88" s="277">
        <f t="shared" si="17"/>
        <v>0</v>
      </c>
      <c r="U88" s="277">
        <f t="shared" si="21"/>
        <v>83.313467341068204</v>
      </c>
      <c r="V88" s="277">
        <f t="shared" si="18"/>
        <v>-92.465809775686495</v>
      </c>
      <c r="W88" s="277">
        <f t="shared" si="22"/>
        <v>0</v>
      </c>
      <c r="X88" s="273">
        <f t="shared" si="19"/>
        <v>-566.62295686724008</v>
      </c>
      <c r="Y88" s="277">
        <f t="shared" si="20"/>
        <v>4.6619989733568614</v>
      </c>
      <c r="AA88" s="278"/>
      <c r="AB88" s="277"/>
      <c r="AG88" s="242"/>
      <c r="AH88" s="174"/>
    </row>
    <row r="89" spans="2:34">
      <c r="B89" s="266">
        <f t="shared" si="24"/>
        <v>4</v>
      </c>
      <c r="C89" s="266"/>
      <c r="D89" s="175">
        <f t="shared" si="13"/>
        <v>44</v>
      </c>
      <c r="E89" s="267">
        <f t="shared" si="5"/>
        <v>43374</v>
      </c>
      <c r="F89" s="268">
        <f t="shared" si="14"/>
        <v>6.4899999999999999E-2</v>
      </c>
      <c r="G89" s="270">
        <f t="shared" si="26"/>
        <v>60.512700000000002</v>
      </c>
      <c r="H89" s="270">
        <f t="shared" si="7"/>
        <v>0</v>
      </c>
      <c r="I89" s="270">
        <f t="shared" si="8"/>
        <v>0</v>
      </c>
      <c r="J89" s="270">
        <f t="shared" si="15"/>
        <v>31.953109775686492</v>
      </c>
      <c r="K89" s="271">
        <f t="shared" si="9"/>
        <v>92.465809775686495</v>
      </c>
      <c r="L89" s="270">
        <f t="shared" si="10"/>
        <v>11156.844426280781</v>
      </c>
      <c r="M89" s="242">
        <f>IF(D89="","",SUM(G$46:G89))</f>
        <v>3238.5282520000001</v>
      </c>
      <c r="N89" s="242">
        <f>IF(D89="","",SUM(J$46:J89))</f>
        <v>5970.9955737192213</v>
      </c>
      <c r="P89" s="245"/>
      <c r="Q89" s="277">
        <f t="shared" si="11"/>
        <v>116.41537687499998</v>
      </c>
      <c r="R89" s="277">
        <f t="shared" si="25"/>
        <v>33.101909533931774</v>
      </c>
      <c r="S89" s="277">
        <f t="shared" si="23"/>
        <v>83.313467341068204</v>
      </c>
      <c r="T89" s="277">
        <f t="shared" si="17"/>
        <v>0</v>
      </c>
      <c r="U89" s="277">
        <f t="shared" si="21"/>
        <v>83.313467341068204</v>
      </c>
      <c r="V89" s="277">
        <f t="shared" si="18"/>
        <v>-92.465809775686495</v>
      </c>
      <c r="W89" s="277">
        <f t="shared" si="22"/>
        <v>0</v>
      </c>
      <c r="X89" s="273">
        <f t="shared" si="19"/>
        <v>-575.77529930185835</v>
      </c>
      <c r="Y89" s="277">
        <f t="shared" si="20"/>
        <v>4.6486851776169926</v>
      </c>
      <c r="AA89" s="278"/>
      <c r="AB89" s="277"/>
      <c r="AG89" s="242"/>
      <c r="AH89" s="174"/>
    </row>
    <row r="90" spans="2:34">
      <c r="B90" s="266">
        <f t="shared" si="24"/>
        <v>4</v>
      </c>
      <c r="C90" s="266"/>
      <c r="D90" s="175">
        <f t="shared" si="13"/>
        <v>45</v>
      </c>
      <c r="E90" s="267">
        <f t="shared" si="5"/>
        <v>43405</v>
      </c>
      <c r="F90" s="268">
        <f t="shared" si="14"/>
        <v>6.4899999999999999E-2</v>
      </c>
      <c r="G90" s="270">
        <f t="shared" si="26"/>
        <v>60.3399</v>
      </c>
      <c r="H90" s="270">
        <f t="shared" si="7"/>
        <v>0</v>
      </c>
      <c r="I90" s="270">
        <f t="shared" si="8"/>
        <v>0</v>
      </c>
      <c r="J90" s="270">
        <f t="shared" si="15"/>
        <v>32.125909775686495</v>
      </c>
      <c r="K90" s="271">
        <f t="shared" si="9"/>
        <v>92.465809775686495</v>
      </c>
      <c r="L90" s="270">
        <f t="shared" si="10"/>
        <v>11124.718516505094</v>
      </c>
      <c r="M90" s="242">
        <f>IF(D90="","",SUM(G$46:G90))</f>
        <v>3298.868152</v>
      </c>
      <c r="N90" s="242">
        <f>IF(D90="","",SUM(J$46:J90))</f>
        <v>6003.1214834949078</v>
      </c>
      <c r="P90" s="245"/>
      <c r="Q90" s="277">
        <f t="shared" si="11"/>
        <v>116.41537687499998</v>
      </c>
      <c r="R90" s="277">
        <f t="shared" si="25"/>
        <v>33.101909533931774</v>
      </c>
      <c r="S90" s="277">
        <f t="shared" si="23"/>
        <v>83.313467341068204</v>
      </c>
      <c r="T90" s="277">
        <f t="shared" si="17"/>
        <v>0</v>
      </c>
      <c r="U90" s="277">
        <f t="shared" si="21"/>
        <v>83.313467341068204</v>
      </c>
      <c r="V90" s="277">
        <f t="shared" si="18"/>
        <v>-92.465809775686495</v>
      </c>
      <c r="W90" s="277">
        <f t="shared" si="22"/>
        <v>0</v>
      </c>
      <c r="X90" s="273">
        <f t="shared" si="19"/>
        <v>-584.92764173647663</v>
      </c>
      <c r="Y90" s="277">
        <f t="shared" si="20"/>
        <v>4.6352993818771226</v>
      </c>
      <c r="AA90" s="278"/>
      <c r="AB90" s="277"/>
      <c r="AG90" s="242"/>
      <c r="AH90" s="174"/>
    </row>
    <row r="91" spans="2:34">
      <c r="B91" s="266">
        <f t="shared" si="24"/>
        <v>4</v>
      </c>
      <c r="C91" s="266"/>
      <c r="D91" s="175">
        <f t="shared" si="13"/>
        <v>46</v>
      </c>
      <c r="E91" s="267">
        <f t="shared" si="5"/>
        <v>43435</v>
      </c>
      <c r="F91" s="268">
        <f t="shared" si="14"/>
        <v>6.4899999999999999E-2</v>
      </c>
      <c r="G91" s="270">
        <f t="shared" si="26"/>
        <v>60.166200000000003</v>
      </c>
      <c r="H91" s="270">
        <f t="shared" si="7"/>
        <v>0</v>
      </c>
      <c r="I91" s="270">
        <f t="shared" si="8"/>
        <v>0</v>
      </c>
      <c r="J91" s="270">
        <f t="shared" si="15"/>
        <v>32.299609775686491</v>
      </c>
      <c r="K91" s="271">
        <f t="shared" si="9"/>
        <v>92.465809775686495</v>
      </c>
      <c r="L91" s="270">
        <f t="shared" si="10"/>
        <v>11092.418906729408</v>
      </c>
      <c r="M91" s="242">
        <f>IF(D91="","",SUM(G$46:G91))</f>
        <v>3359.0343520000001</v>
      </c>
      <c r="N91" s="242">
        <f>IF(D91="","",SUM(J$46:J91))</f>
        <v>6035.4210932705946</v>
      </c>
      <c r="P91" s="245"/>
      <c r="Q91" s="277">
        <f t="shared" si="11"/>
        <v>116.41537687499998</v>
      </c>
      <c r="R91" s="277">
        <f t="shared" si="25"/>
        <v>33.101909533931774</v>
      </c>
      <c r="S91" s="277">
        <f t="shared" si="23"/>
        <v>83.313467341068204</v>
      </c>
      <c r="T91" s="277">
        <f t="shared" si="17"/>
        <v>0</v>
      </c>
      <c r="U91" s="277">
        <f t="shared" si="21"/>
        <v>83.313467341068204</v>
      </c>
      <c r="V91" s="277">
        <f t="shared" si="18"/>
        <v>-92.465809775686495</v>
      </c>
      <c r="W91" s="277">
        <f t="shared" si="22"/>
        <v>0</v>
      </c>
      <c r="X91" s="273">
        <f t="shared" si="19"/>
        <v>-594.07998417109491</v>
      </c>
      <c r="Y91" s="277">
        <f t="shared" si="20"/>
        <v>4.6218412111372533</v>
      </c>
      <c r="AA91" s="278"/>
      <c r="AB91" s="277"/>
      <c r="AG91" s="242"/>
      <c r="AH91" s="174"/>
    </row>
    <row r="92" spans="2:34">
      <c r="B92" s="266">
        <f t="shared" si="24"/>
        <v>4</v>
      </c>
      <c r="C92" s="266"/>
      <c r="D92" s="175">
        <f t="shared" si="13"/>
        <v>47</v>
      </c>
      <c r="E92" s="267">
        <f t="shared" si="5"/>
        <v>43466</v>
      </c>
      <c r="F92" s="268">
        <f t="shared" si="14"/>
        <v>6.4899999999999999E-2</v>
      </c>
      <c r="G92" s="270">
        <f t="shared" si="26"/>
        <v>59.991500000000002</v>
      </c>
      <c r="H92" s="270">
        <f t="shared" si="7"/>
        <v>0</v>
      </c>
      <c r="I92" s="270">
        <f t="shared" si="8"/>
        <v>0</v>
      </c>
      <c r="J92" s="270">
        <f t="shared" si="15"/>
        <v>32.474309775686493</v>
      </c>
      <c r="K92" s="271">
        <f t="shared" si="9"/>
        <v>92.465809775686495</v>
      </c>
      <c r="L92" s="270">
        <f t="shared" si="10"/>
        <v>11059.944596953721</v>
      </c>
      <c r="M92" s="242">
        <f>IF(D92="","",SUM(G$46:G92))</f>
        <v>3419.0258520000002</v>
      </c>
      <c r="N92" s="242">
        <f>IF(D92="","",SUM(J$46:J92))</f>
        <v>6067.895403046281</v>
      </c>
      <c r="P92" s="245"/>
      <c r="Q92" s="277">
        <f t="shared" si="11"/>
        <v>116.41537687499998</v>
      </c>
      <c r="R92" s="277">
        <f t="shared" si="25"/>
        <v>33.101909533931774</v>
      </c>
      <c r="S92" s="277">
        <f t="shared" si="23"/>
        <v>83.313467341068204</v>
      </c>
      <c r="T92" s="277">
        <f t="shared" si="17"/>
        <v>0</v>
      </c>
      <c r="U92" s="277">
        <f t="shared" si="21"/>
        <v>83.313467341068204</v>
      </c>
      <c r="V92" s="277">
        <f t="shared" si="18"/>
        <v>-92.465809775686495</v>
      </c>
      <c r="W92" s="277">
        <f t="shared" si="22"/>
        <v>0</v>
      </c>
      <c r="X92" s="273">
        <f t="shared" si="19"/>
        <v>-603.23232660571318</v>
      </c>
      <c r="Y92" s="277">
        <f t="shared" si="20"/>
        <v>4.6083102487307173</v>
      </c>
      <c r="AA92" s="278"/>
      <c r="AB92" s="277"/>
      <c r="AG92" s="242"/>
      <c r="AH92" s="174"/>
    </row>
    <row r="93" spans="2:34">
      <c r="B93" s="266">
        <f t="shared" si="24"/>
        <v>4</v>
      </c>
      <c r="C93" s="266"/>
      <c r="D93" s="175">
        <f t="shared" si="13"/>
        <v>48</v>
      </c>
      <c r="E93" s="267">
        <f t="shared" si="5"/>
        <v>43497</v>
      </c>
      <c r="F93" s="268">
        <f t="shared" si="14"/>
        <v>6.4899999999999999E-2</v>
      </c>
      <c r="G93" s="270">
        <f t="shared" si="26"/>
        <v>59.815899999999999</v>
      </c>
      <c r="H93" s="270">
        <f t="shared" si="7"/>
        <v>0</v>
      </c>
      <c r="I93" s="270">
        <f t="shared" si="8"/>
        <v>0</v>
      </c>
      <c r="J93" s="270">
        <f t="shared" si="15"/>
        <v>32.649909775686496</v>
      </c>
      <c r="K93" s="271">
        <f t="shared" si="9"/>
        <v>92.465809775686495</v>
      </c>
      <c r="L93" s="270">
        <f t="shared" si="10"/>
        <v>11027.294687178035</v>
      </c>
      <c r="M93" s="242">
        <f>IF(D93="","",SUM(G$46:G93))</f>
        <v>3478.8417520000003</v>
      </c>
      <c r="N93" s="242">
        <f>IF(D93="","",SUM(J$46:J93))</f>
        <v>6100.5453128219679</v>
      </c>
      <c r="P93" s="245"/>
      <c r="Q93" s="277">
        <f t="shared" si="11"/>
        <v>116.41537687499998</v>
      </c>
      <c r="R93" s="277">
        <f t="shared" si="25"/>
        <v>33.101909533931774</v>
      </c>
      <c r="S93" s="277">
        <f t="shared" si="23"/>
        <v>83.313467341068204</v>
      </c>
      <c r="T93" s="277">
        <f t="shared" si="17"/>
        <v>0</v>
      </c>
      <c r="U93" s="277">
        <f t="shared" si="21"/>
        <v>83.313467341068204</v>
      </c>
      <c r="V93" s="277">
        <f t="shared" si="18"/>
        <v>-92.465809775686495</v>
      </c>
      <c r="W93" s="277">
        <f t="shared" si="22"/>
        <v>0</v>
      </c>
      <c r="X93" s="273">
        <f t="shared" si="19"/>
        <v>-612.38466904033146</v>
      </c>
      <c r="Y93" s="277">
        <f t="shared" si="20"/>
        <v>4.5947061196575145</v>
      </c>
      <c r="AA93" s="278"/>
      <c r="AB93" s="277"/>
      <c r="AG93" s="242"/>
      <c r="AH93" s="174"/>
    </row>
    <row r="94" spans="2:34">
      <c r="B94" s="266">
        <f t="shared" si="24"/>
        <v>5</v>
      </c>
      <c r="C94" s="266"/>
      <c r="D94" s="175">
        <f t="shared" si="13"/>
        <v>49</v>
      </c>
      <c r="E94" s="267">
        <f t="shared" si="5"/>
        <v>43525</v>
      </c>
      <c r="F94" s="268">
        <f t="shared" si="14"/>
        <v>6.4899999999999999E-2</v>
      </c>
      <c r="G94" s="270">
        <f t="shared" si="26"/>
        <v>59.639299999999999</v>
      </c>
      <c r="H94" s="270">
        <f t="shared" si="7"/>
        <v>0</v>
      </c>
      <c r="I94" s="270">
        <f t="shared" si="8"/>
        <v>0</v>
      </c>
      <c r="J94" s="270">
        <f t="shared" si="15"/>
        <v>32.826509775686496</v>
      </c>
      <c r="K94" s="271">
        <f t="shared" si="9"/>
        <v>92.465809775686495</v>
      </c>
      <c r="L94" s="270">
        <f t="shared" si="10"/>
        <v>10994.468177402348</v>
      </c>
      <c r="M94" s="242">
        <f>IF(D94="","",SUM(G$46:G94))</f>
        <v>3538.4810520000001</v>
      </c>
      <c r="N94" s="242">
        <f>IF(D94="","",SUM(J$46:J94))</f>
        <v>6133.3718225976545</v>
      </c>
      <c r="P94" s="245"/>
      <c r="Q94" s="277">
        <f t="shared" si="11"/>
        <v>120.48991506562497</v>
      </c>
      <c r="R94" s="277">
        <f>Q94-S94</f>
        <v>34.691623561109424</v>
      </c>
      <c r="S94" s="277">
        <f t="shared" si="23"/>
        <v>85.798291504515547</v>
      </c>
      <c r="T94" s="277">
        <f t="shared" si="17"/>
        <v>0</v>
      </c>
      <c r="U94" s="277">
        <f t="shared" si="21"/>
        <v>85.798291504515547</v>
      </c>
      <c r="V94" s="277">
        <f t="shared" si="18"/>
        <v>-92.465809775686495</v>
      </c>
      <c r="W94" s="277">
        <f t="shared" si="22"/>
        <v>0</v>
      </c>
      <c r="X94" s="273">
        <f t="shared" si="19"/>
        <v>-619.05218731150239</v>
      </c>
      <c r="Y94" s="277">
        <f t="shared" si="20"/>
        <v>4.5810284072509786</v>
      </c>
      <c r="AA94" s="278"/>
      <c r="AB94" s="277"/>
      <c r="AG94" s="242"/>
      <c r="AH94" s="174"/>
    </row>
    <row r="95" spans="2:34">
      <c r="B95" s="266">
        <f t="shared" si="24"/>
        <v>5</v>
      </c>
      <c r="C95" s="266"/>
      <c r="D95" s="175">
        <f t="shared" si="13"/>
        <v>50</v>
      </c>
      <c r="E95" s="267">
        <f t="shared" si="5"/>
        <v>43556</v>
      </c>
      <c r="F95" s="268">
        <f t="shared" si="14"/>
        <v>6.4899999999999999E-2</v>
      </c>
      <c r="G95" s="270">
        <f t="shared" si="26"/>
        <v>59.4617</v>
      </c>
      <c r="H95" s="270">
        <f t="shared" si="7"/>
        <v>0</v>
      </c>
      <c r="I95" s="270">
        <f t="shared" si="8"/>
        <v>0</v>
      </c>
      <c r="J95" s="270">
        <f t="shared" si="15"/>
        <v>33.004109775686494</v>
      </c>
      <c r="K95" s="271">
        <f t="shared" si="9"/>
        <v>92.465809775686495</v>
      </c>
      <c r="L95" s="270">
        <f t="shared" si="10"/>
        <v>10961.464067626663</v>
      </c>
      <c r="M95" s="242">
        <f>IF(D95="","",SUM(G$46:G95))</f>
        <v>3597.9427519999999</v>
      </c>
      <c r="N95" s="242">
        <f>IF(D95="","",SUM(J$46:J95))</f>
        <v>6166.3759323733411</v>
      </c>
      <c r="P95" s="245"/>
      <c r="Q95" s="277">
        <f t="shared" si="11"/>
        <v>120.48991506562497</v>
      </c>
      <c r="R95" s="277">
        <f t="shared" si="25"/>
        <v>34.691623561109424</v>
      </c>
      <c r="S95" s="277">
        <f t="shared" si="23"/>
        <v>85.798291504515547</v>
      </c>
      <c r="T95" s="277">
        <f t="shared" si="17"/>
        <v>0</v>
      </c>
      <c r="U95" s="277">
        <f t="shared" si="21"/>
        <v>85.798291504515547</v>
      </c>
      <c r="V95" s="277">
        <f t="shared" si="18"/>
        <v>-92.465809775686495</v>
      </c>
      <c r="W95" s="277">
        <f t="shared" si="22"/>
        <v>0</v>
      </c>
      <c r="X95" s="273">
        <f t="shared" si="19"/>
        <v>-625.71970558267333</v>
      </c>
      <c r="Y95" s="277">
        <f t="shared" si="20"/>
        <v>4.567276694844443</v>
      </c>
      <c r="AA95" s="278"/>
      <c r="AB95" s="277"/>
      <c r="AG95" s="242"/>
      <c r="AH95" s="174"/>
    </row>
    <row r="96" spans="2:34">
      <c r="B96" s="266">
        <f t="shared" si="24"/>
        <v>5</v>
      </c>
      <c r="C96" s="266"/>
      <c r="D96" s="175">
        <f t="shared" si="13"/>
        <v>51</v>
      </c>
      <c r="E96" s="267">
        <f t="shared" si="5"/>
        <v>43586</v>
      </c>
      <c r="F96" s="268">
        <f t="shared" si="14"/>
        <v>6.4899999999999999E-2</v>
      </c>
      <c r="G96" s="270">
        <f t="shared" si="26"/>
        <v>59.283299999999997</v>
      </c>
      <c r="H96" s="270">
        <f t="shared" si="7"/>
        <v>0</v>
      </c>
      <c r="I96" s="270">
        <f t="shared" si="8"/>
        <v>0</v>
      </c>
      <c r="J96" s="270">
        <f t="shared" si="15"/>
        <v>33.182509775686498</v>
      </c>
      <c r="K96" s="271">
        <f t="shared" si="9"/>
        <v>92.465809775686495</v>
      </c>
      <c r="L96" s="270">
        <f t="shared" si="10"/>
        <v>10928.281557850976</v>
      </c>
      <c r="M96" s="242">
        <f>IF(D96="","",SUM(G$46:G96))</f>
        <v>3657.226052</v>
      </c>
      <c r="N96" s="242">
        <f>IF(D96="","",SUM(J$46:J96))</f>
        <v>6199.5584421490275</v>
      </c>
      <c r="P96" s="245"/>
      <c r="Q96" s="277">
        <f t="shared" si="11"/>
        <v>120.48991506562497</v>
      </c>
      <c r="R96" s="277">
        <f t="shared" si="25"/>
        <v>34.691623561109424</v>
      </c>
      <c r="S96" s="277">
        <f t="shared" si="23"/>
        <v>85.798291504515547</v>
      </c>
      <c r="T96" s="277">
        <f t="shared" si="17"/>
        <v>0</v>
      </c>
      <c r="U96" s="277">
        <f t="shared" si="21"/>
        <v>85.798291504515547</v>
      </c>
      <c r="V96" s="277">
        <f t="shared" si="18"/>
        <v>-92.465809775686495</v>
      </c>
      <c r="W96" s="277">
        <f t="shared" si="22"/>
        <v>0</v>
      </c>
      <c r="X96" s="273">
        <f t="shared" si="19"/>
        <v>-632.38722385384426</v>
      </c>
      <c r="Y96" s="277">
        <f t="shared" si="20"/>
        <v>4.5534506491045734</v>
      </c>
      <c r="AA96" s="278"/>
      <c r="AB96" s="277"/>
      <c r="AG96" s="242"/>
      <c r="AH96" s="174"/>
    </row>
    <row r="97" spans="2:34">
      <c r="B97" s="266">
        <f t="shared" si="24"/>
        <v>5</v>
      </c>
      <c r="C97" s="266"/>
      <c r="D97" s="175">
        <f t="shared" si="13"/>
        <v>52</v>
      </c>
      <c r="E97" s="267">
        <f t="shared" si="5"/>
        <v>43617</v>
      </c>
      <c r="F97" s="268">
        <f t="shared" si="14"/>
        <v>6.4899999999999999E-2</v>
      </c>
      <c r="G97" s="270">
        <f t="shared" si="26"/>
        <v>59.1038</v>
      </c>
      <c r="H97" s="270">
        <f t="shared" si="7"/>
        <v>0</v>
      </c>
      <c r="I97" s="270">
        <f t="shared" si="8"/>
        <v>0</v>
      </c>
      <c r="J97" s="270">
        <f t="shared" si="15"/>
        <v>33.362009775686495</v>
      </c>
      <c r="K97" s="271">
        <f t="shared" si="9"/>
        <v>92.465809775686495</v>
      </c>
      <c r="L97" s="270">
        <f t="shared" si="10"/>
        <v>10894.91954807529</v>
      </c>
      <c r="M97" s="242">
        <f>IF(D97="","",SUM(G$46:G97))</f>
        <v>3716.3298519999998</v>
      </c>
      <c r="N97" s="242">
        <f>IF(D97="","",SUM(J$46:J97))</f>
        <v>6232.9204519247141</v>
      </c>
      <c r="P97" s="245"/>
      <c r="Q97" s="277">
        <f t="shared" si="11"/>
        <v>120.48991506562497</v>
      </c>
      <c r="R97" s="277">
        <f t="shared" si="25"/>
        <v>34.691623561109424</v>
      </c>
      <c r="S97" s="277">
        <f t="shared" si="23"/>
        <v>85.798291504515547</v>
      </c>
      <c r="T97" s="277">
        <f t="shared" si="17"/>
        <v>0</v>
      </c>
      <c r="U97" s="277">
        <f t="shared" si="21"/>
        <v>85.798291504515547</v>
      </c>
      <c r="V97" s="277">
        <f t="shared" si="18"/>
        <v>-92.465809775686495</v>
      </c>
      <c r="W97" s="277">
        <f t="shared" si="22"/>
        <v>0</v>
      </c>
      <c r="X97" s="273">
        <f t="shared" si="19"/>
        <v>-639.0547421250152</v>
      </c>
      <c r="Y97" s="277">
        <f t="shared" si="20"/>
        <v>4.5395498116980377</v>
      </c>
      <c r="AA97" s="278"/>
      <c r="AB97" s="277"/>
      <c r="AG97" s="242"/>
      <c r="AH97" s="174"/>
    </row>
    <row r="98" spans="2:34">
      <c r="B98" s="266">
        <f t="shared" si="24"/>
        <v>5</v>
      </c>
      <c r="C98" s="266"/>
      <c r="D98" s="175">
        <f t="shared" si="13"/>
        <v>53</v>
      </c>
      <c r="E98" s="267">
        <f t="shared" si="5"/>
        <v>43647</v>
      </c>
      <c r="F98" s="268">
        <f t="shared" si="14"/>
        <v>6.4899999999999999E-2</v>
      </c>
      <c r="G98" s="270">
        <f t="shared" si="26"/>
        <v>58.923400000000001</v>
      </c>
      <c r="H98" s="270">
        <f t="shared" si="7"/>
        <v>0</v>
      </c>
      <c r="I98" s="270">
        <f t="shared" si="8"/>
        <v>0</v>
      </c>
      <c r="J98" s="270">
        <f t="shared" si="15"/>
        <v>33.542409775686494</v>
      </c>
      <c r="K98" s="271">
        <f t="shared" si="9"/>
        <v>92.465809775686495</v>
      </c>
      <c r="L98" s="270">
        <f t="shared" si="10"/>
        <v>10861.377138299604</v>
      </c>
      <c r="M98" s="242">
        <f>IF(D98="","",SUM(G$46:G98))</f>
        <v>3775.253252</v>
      </c>
      <c r="N98" s="242">
        <f>IF(D98="","",SUM(J$46:J98))</f>
        <v>6266.4628617004009</v>
      </c>
      <c r="P98" s="245"/>
      <c r="Q98" s="277">
        <f t="shared" si="11"/>
        <v>120.48991506562497</v>
      </c>
      <c r="R98" s="277">
        <f t="shared" si="25"/>
        <v>34.691623561109424</v>
      </c>
      <c r="S98" s="277">
        <f t="shared" si="23"/>
        <v>85.798291504515547</v>
      </c>
      <c r="T98" s="277">
        <f t="shared" si="17"/>
        <v>0</v>
      </c>
      <c r="U98" s="277">
        <f t="shared" si="21"/>
        <v>85.798291504515547</v>
      </c>
      <c r="V98" s="277">
        <f t="shared" si="18"/>
        <v>-92.465809775686495</v>
      </c>
      <c r="W98" s="277">
        <f t="shared" si="22"/>
        <v>0</v>
      </c>
      <c r="X98" s="273">
        <f t="shared" si="19"/>
        <v>-645.72226039618613</v>
      </c>
      <c r="Y98" s="277">
        <f t="shared" si="20"/>
        <v>4.5255738076248351</v>
      </c>
      <c r="AA98" s="278"/>
      <c r="AB98" s="277"/>
      <c r="AG98" s="242"/>
      <c r="AH98" s="174"/>
    </row>
    <row r="99" spans="2:34">
      <c r="B99" s="266">
        <f t="shared" si="24"/>
        <v>5</v>
      </c>
      <c r="C99" s="266"/>
      <c r="D99" s="175">
        <f t="shared" si="13"/>
        <v>54</v>
      </c>
      <c r="E99" s="267">
        <f t="shared" si="5"/>
        <v>43678</v>
      </c>
      <c r="F99" s="268">
        <f t="shared" si="14"/>
        <v>6.4899999999999999E-2</v>
      </c>
      <c r="G99" s="270">
        <f t="shared" si="26"/>
        <v>58.741900000000001</v>
      </c>
      <c r="H99" s="270">
        <f t="shared" si="7"/>
        <v>0</v>
      </c>
      <c r="I99" s="270">
        <f t="shared" si="8"/>
        <v>0</v>
      </c>
      <c r="J99" s="270">
        <f t="shared" si="15"/>
        <v>33.723909775686494</v>
      </c>
      <c r="K99" s="271">
        <f t="shared" si="9"/>
        <v>92.465809775686495</v>
      </c>
      <c r="L99" s="270">
        <f t="shared" si="10"/>
        <v>10827.653228523917</v>
      </c>
      <c r="M99" s="242">
        <f>IF(D99="","",SUM(G$46:G99))</f>
        <v>3833.995152</v>
      </c>
      <c r="N99" s="242">
        <f>IF(D99="","",SUM(J$46:J99))</f>
        <v>6300.1867714760874</v>
      </c>
      <c r="P99" s="245"/>
      <c r="Q99" s="277">
        <f t="shared" si="11"/>
        <v>120.48991506562497</v>
      </c>
      <c r="R99" s="277">
        <f t="shared" si="25"/>
        <v>34.691623561109424</v>
      </c>
      <c r="S99" s="277">
        <f t="shared" si="23"/>
        <v>85.798291504515547</v>
      </c>
      <c r="T99" s="277">
        <f t="shared" si="17"/>
        <v>0</v>
      </c>
      <c r="U99" s="277">
        <f t="shared" si="21"/>
        <v>85.798291504515547</v>
      </c>
      <c r="V99" s="277">
        <f t="shared" si="18"/>
        <v>-92.465809775686495</v>
      </c>
      <c r="W99" s="277">
        <f t="shared" si="22"/>
        <v>0</v>
      </c>
      <c r="X99" s="273">
        <f t="shared" si="19"/>
        <v>-652.38977866735706</v>
      </c>
      <c r="Y99" s="277">
        <f t="shared" si="20"/>
        <v>4.5115221785516324</v>
      </c>
      <c r="AA99" s="278"/>
      <c r="AB99" s="277"/>
      <c r="AG99" s="242"/>
      <c r="AH99" s="174"/>
    </row>
    <row r="100" spans="2:34">
      <c r="B100" s="266">
        <f t="shared" si="24"/>
        <v>5</v>
      </c>
      <c r="C100" s="266"/>
      <c r="D100" s="175">
        <f t="shared" si="13"/>
        <v>55</v>
      </c>
      <c r="E100" s="267">
        <f t="shared" si="5"/>
        <v>43709</v>
      </c>
      <c r="F100" s="268">
        <f t="shared" si="14"/>
        <v>6.4899999999999999E-2</v>
      </c>
      <c r="G100" s="270">
        <f t="shared" si="26"/>
        <v>58.559600000000003</v>
      </c>
      <c r="H100" s="270">
        <f t="shared" si="7"/>
        <v>0</v>
      </c>
      <c r="I100" s="270">
        <f t="shared" si="8"/>
        <v>0</v>
      </c>
      <c r="J100" s="270">
        <f t="shared" si="15"/>
        <v>33.906209775686492</v>
      </c>
      <c r="K100" s="271">
        <f t="shared" si="9"/>
        <v>92.465809775686495</v>
      </c>
      <c r="L100" s="270">
        <f t="shared" si="10"/>
        <v>10793.74701874823</v>
      </c>
      <c r="M100" s="242">
        <f>IF(D100="","",SUM(G$46:G100))</f>
        <v>3892.554752</v>
      </c>
      <c r="N100" s="242">
        <f>IF(D100="","",SUM(J$46:J100))</f>
        <v>6334.0929812517743</v>
      </c>
      <c r="P100" s="245"/>
      <c r="Q100" s="277">
        <f t="shared" si="11"/>
        <v>120.48991506562497</v>
      </c>
      <c r="R100" s="277">
        <f t="shared" si="25"/>
        <v>34.691623561109424</v>
      </c>
      <c r="S100" s="277">
        <f t="shared" si="23"/>
        <v>85.798291504515547</v>
      </c>
      <c r="T100" s="277">
        <f t="shared" si="17"/>
        <v>0</v>
      </c>
      <c r="U100" s="277">
        <f t="shared" si="21"/>
        <v>85.798291504515547</v>
      </c>
      <c r="V100" s="277">
        <f t="shared" si="18"/>
        <v>-92.465809775686495</v>
      </c>
      <c r="W100" s="277">
        <f t="shared" si="22"/>
        <v>0</v>
      </c>
      <c r="X100" s="273">
        <f t="shared" si="19"/>
        <v>-659.057296938528</v>
      </c>
      <c r="Y100" s="277">
        <f t="shared" si="20"/>
        <v>4.4973945911450963</v>
      </c>
      <c r="AA100" s="278"/>
      <c r="AB100" s="277"/>
      <c r="AG100" s="242"/>
      <c r="AH100" s="174"/>
    </row>
    <row r="101" spans="2:34">
      <c r="B101" s="266">
        <f t="shared" si="24"/>
        <v>5</v>
      </c>
      <c r="C101" s="266"/>
      <c r="D101" s="175">
        <f t="shared" si="13"/>
        <v>56</v>
      </c>
      <c r="E101" s="267">
        <f t="shared" si="5"/>
        <v>43739</v>
      </c>
      <c r="F101" s="268">
        <f t="shared" si="14"/>
        <v>6.4899999999999999E-2</v>
      </c>
      <c r="G101" s="270">
        <f t="shared" si="26"/>
        <v>58.376199999999997</v>
      </c>
      <c r="H101" s="270">
        <f t="shared" si="7"/>
        <v>0</v>
      </c>
      <c r="I101" s="270">
        <f t="shared" si="8"/>
        <v>0</v>
      </c>
      <c r="J101" s="270">
        <f t="shared" si="15"/>
        <v>34.089609775686498</v>
      </c>
      <c r="K101" s="271">
        <f t="shared" si="9"/>
        <v>92.465809775686495</v>
      </c>
      <c r="L101" s="270">
        <f t="shared" si="10"/>
        <v>10759.657408972544</v>
      </c>
      <c r="M101" s="242">
        <f>IF(D101="","",SUM(G$46:G101))</f>
        <v>3950.9309520000002</v>
      </c>
      <c r="N101" s="242">
        <f>IF(D101="","",SUM(J$46:J101))</f>
        <v>6368.1825910274611</v>
      </c>
      <c r="P101" s="245"/>
      <c r="Q101" s="277">
        <f t="shared" si="11"/>
        <v>120.48991506562497</v>
      </c>
      <c r="R101" s="277">
        <f t="shared" si="25"/>
        <v>34.691623561109424</v>
      </c>
      <c r="S101" s="277">
        <f t="shared" si="23"/>
        <v>85.798291504515547</v>
      </c>
      <c r="T101" s="277">
        <f t="shared" si="17"/>
        <v>0</v>
      </c>
      <c r="U101" s="277">
        <f t="shared" si="21"/>
        <v>85.798291504515547</v>
      </c>
      <c r="V101" s="277">
        <f t="shared" si="18"/>
        <v>-92.465809775686495</v>
      </c>
      <c r="W101" s="277">
        <f t="shared" si="22"/>
        <v>0</v>
      </c>
      <c r="X101" s="273">
        <f t="shared" si="19"/>
        <v>-665.72481520969893</v>
      </c>
      <c r="Y101" s="277">
        <f t="shared" si="20"/>
        <v>4.4831905870718929</v>
      </c>
      <c r="AA101" s="278"/>
      <c r="AB101" s="277"/>
      <c r="AG101" s="242"/>
      <c r="AH101" s="174"/>
    </row>
    <row r="102" spans="2:34">
      <c r="B102" s="266">
        <f t="shared" si="24"/>
        <v>5</v>
      </c>
      <c r="C102" s="266"/>
      <c r="D102" s="175">
        <f t="shared" si="13"/>
        <v>57</v>
      </c>
      <c r="E102" s="267">
        <f t="shared" si="5"/>
        <v>43770</v>
      </c>
      <c r="F102" s="268">
        <f t="shared" si="14"/>
        <v>6.4899999999999999E-2</v>
      </c>
      <c r="G102" s="270">
        <f t="shared" si="26"/>
        <v>58.191800000000001</v>
      </c>
      <c r="H102" s="270">
        <f t="shared" si="7"/>
        <v>0</v>
      </c>
      <c r="I102" s="270">
        <f t="shared" si="8"/>
        <v>0</v>
      </c>
      <c r="J102" s="270">
        <f t="shared" si="15"/>
        <v>34.274009775686494</v>
      </c>
      <c r="K102" s="271">
        <f t="shared" si="9"/>
        <v>92.465809775686495</v>
      </c>
      <c r="L102" s="270">
        <f t="shared" si="10"/>
        <v>10725.383399196857</v>
      </c>
      <c r="M102" s="242">
        <f>IF(D102="","",SUM(G$46:G102))</f>
        <v>4009.1227520000002</v>
      </c>
      <c r="N102" s="242">
        <f>IF(D102="","",SUM(J$46:J102))</f>
        <v>6402.4566008031479</v>
      </c>
      <c r="P102" s="245"/>
      <c r="Q102" s="277">
        <f t="shared" si="11"/>
        <v>120.48991506562497</v>
      </c>
      <c r="R102" s="277">
        <f t="shared" si="25"/>
        <v>34.691623561109424</v>
      </c>
      <c r="S102" s="277">
        <f t="shared" si="23"/>
        <v>85.798291504515547</v>
      </c>
      <c r="T102" s="277">
        <f t="shared" si="17"/>
        <v>0</v>
      </c>
      <c r="U102" s="277">
        <f t="shared" si="21"/>
        <v>85.798291504515547</v>
      </c>
      <c r="V102" s="277">
        <f t="shared" si="18"/>
        <v>-92.465809775686495</v>
      </c>
      <c r="W102" s="277">
        <f t="shared" si="22"/>
        <v>0</v>
      </c>
      <c r="X102" s="273">
        <f t="shared" si="19"/>
        <v>-672.39233348086987</v>
      </c>
      <c r="Y102" s="277">
        <f t="shared" si="20"/>
        <v>4.4689097496653574</v>
      </c>
      <c r="AA102" s="278"/>
      <c r="AB102" s="277"/>
      <c r="AG102" s="242"/>
      <c r="AH102" s="174"/>
    </row>
    <row r="103" spans="2:34">
      <c r="B103" s="266">
        <f t="shared" si="24"/>
        <v>5</v>
      </c>
      <c r="C103" s="266"/>
      <c r="D103" s="175">
        <f t="shared" si="13"/>
        <v>58</v>
      </c>
      <c r="E103" s="267">
        <f t="shared" si="5"/>
        <v>43800</v>
      </c>
      <c r="F103" s="268">
        <f t="shared" si="14"/>
        <v>6.4899999999999999E-2</v>
      </c>
      <c r="G103" s="270">
        <f t="shared" si="26"/>
        <v>58.006399999999999</v>
      </c>
      <c r="H103" s="270">
        <f t="shared" si="7"/>
        <v>0</v>
      </c>
      <c r="I103" s="270">
        <f t="shared" si="8"/>
        <v>0</v>
      </c>
      <c r="J103" s="270">
        <f t="shared" si="15"/>
        <v>34.459409775686495</v>
      </c>
      <c r="K103" s="271">
        <f t="shared" si="9"/>
        <v>92.465809775686495</v>
      </c>
      <c r="L103" s="270">
        <f t="shared" si="10"/>
        <v>10690.92398942117</v>
      </c>
      <c r="M103" s="242">
        <f>IF(D103="","",SUM(G$46:G103))</f>
        <v>4067.1291520000004</v>
      </c>
      <c r="N103" s="242">
        <f>IF(D103="","",SUM(J$46:J103))</f>
        <v>6436.9160105788342</v>
      </c>
      <c r="P103" s="245"/>
      <c r="Q103" s="277">
        <f t="shared" si="11"/>
        <v>120.48991506562497</v>
      </c>
      <c r="R103" s="277">
        <f t="shared" si="25"/>
        <v>34.691623561109424</v>
      </c>
      <c r="S103" s="277">
        <f t="shared" si="23"/>
        <v>85.798291504515547</v>
      </c>
      <c r="T103" s="277">
        <f t="shared" si="17"/>
        <v>0</v>
      </c>
      <c r="U103" s="277">
        <f t="shared" si="21"/>
        <v>85.798291504515547</v>
      </c>
      <c r="V103" s="277">
        <f t="shared" si="18"/>
        <v>-92.465809775686495</v>
      </c>
      <c r="W103" s="277">
        <f t="shared" si="22"/>
        <v>0</v>
      </c>
      <c r="X103" s="273">
        <f t="shared" si="19"/>
        <v>-679.0598517520408</v>
      </c>
      <c r="Y103" s="277">
        <f t="shared" si="20"/>
        <v>4.4545516622588206</v>
      </c>
      <c r="AA103" s="278"/>
      <c r="AB103" s="277"/>
      <c r="AG103" s="242"/>
      <c r="AH103" s="174"/>
    </row>
    <row r="104" spans="2:34">
      <c r="B104" s="266">
        <f t="shared" si="24"/>
        <v>5</v>
      </c>
      <c r="C104" s="266"/>
      <c r="D104" s="175">
        <f t="shared" si="13"/>
        <v>59</v>
      </c>
      <c r="E104" s="267">
        <f t="shared" si="5"/>
        <v>43831</v>
      </c>
      <c r="F104" s="268">
        <f t="shared" si="14"/>
        <v>6.4899999999999999E-2</v>
      </c>
      <c r="G104" s="270">
        <f t="shared" si="26"/>
        <v>57.820099999999996</v>
      </c>
      <c r="H104" s="270">
        <f t="shared" si="7"/>
        <v>0</v>
      </c>
      <c r="I104" s="270">
        <f t="shared" si="8"/>
        <v>0</v>
      </c>
      <c r="J104" s="270">
        <f t="shared" si="15"/>
        <v>34.645709775686498</v>
      </c>
      <c r="K104" s="271">
        <f t="shared" si="9"/>
        <v>92.465809775686495</v>
      </c>
      <c r="L104" s="270">
        <f t="shared" si="10"/>
        <v>10656.278279645483</v>
      </c>
      <c r="M104" s="242">
        <f>IF(D104="","",SUM(G$46:G104))</f>
        <v>4124.9492520000003</v>
      </c>
      <c r="N104" s="242">
        <f>IF(D104="","",SUM(J$46:J104))</f>
        <v>6471.5617203545207</v>
      </c>
      <c r="P104" s="245"/>
      <c r="Q104" s="277">
        <f t="shared" si="11"/>
        <v>120.48991506562497</v>
      </c>
      <c r="R104" s="277">
        <f t="shared" si="25"/>
        <v>34.691623561109424</v>
      </c>
      <c r="S104" s="277">
        <f t="shared" si="23"/>
        <v>85.798291504515547</v>
      </c>
      <c r="T104" s="277">
        <f t="shared" si="17"/>
        <v>0</v>
      </c>
      <c r="U104" s="277">
        <f t="shared" si="21"/>
        <v>85.798291504515547</v>
      </c>
      <c r="V104" s="277">
        <f t="shared" si="18"/>
        <v>-92.465809775686495</v>
      </c>
      <c r="W104" s="277">
        <f t="shared" si="22"/>
        <v>0</v>
      </c>
      <c r="X104" s="273">
        <f t="shared" si="19"/>
        <v>-685.72737002321173</v>
      </c>
      <c r="Y104" s="277">
        <f t="shared" si="20"/>
        <v>4.4401159498522844</v>
      </c>
      <c r="AA104" s="278"/>
      <c r="AB104" s="277"/>
      <c r="AG104" s="242"/>
      <c r="AH104" s="174"/>
    </row>
    <row r="105" spans="2:34">
      <c r="B105" s="266">
        <f t="shared" si="24"/>
        <v>5</v>
      </c>
      <c r="C105" s="266"/>
      <c r="D105" s="175">
        <f t="shared" si="13"/>
        <v>60</v>
      </c>
      <c r="E105" s="267">
        <f t="shared" si="5"/>
        <v>43862</v>
      </c>
      <c r="F105" s="268">
        <f t="shared" si="14"/>
        <v>6.4899999999999999E-2</v>
      </c>
      <c r="G105" s="270">
        <f t="shared" si="26"/>
        <v>57.6327</v>
      </c>
      <c r="H105" s="270">
        <f t="shared" si="7"/>
        <v>0</v>
      </c>
      <c r="I105" s="270">
        <f t="shared" si="8"/>
        <v>0</v>
      </c>
      <c r="J105" s="270">
        <f t="shared" si="15"/>
        <v>34.833109775686495</v>
      </c>
      <c r="K105" s="271">
        <f t="shared" si="9"/>
        <v>92.465809775686495</v>
      </c>
      <c r="L105" s="270">
        <f t="shared" si="10"/>
        <v>10621.445169869796</v>
      </c>
      <c r="M105" s="242">
        <f>IF(D105="","",SUM(G$46:G105))</f>
        <v>4182.5819520000005</v>
      </c>
      <c r="N105" s="242">
        <f>IF(D105="","",SUM(J$46:J105))</f>
        <v>6506.3948301302071</v>
      </c>
      <c r="P105" s="245"/>
      <c r="Q105" s="277">
        <f t="shared" si="11"/>
        <v>120.48991506562497</v>
      </c>
      <c r="R105" s="277">
        <f t="shared" si="25"/>
        <v>34.691623561109424</v>
      </c>
      <c r="S105" s="277">
        <f t="shared" si="23"/>
        <v>85.798291504515547</v>
      </c>
      <c r="T105" s="277">
        <f t="shared" si="17"/>
        <v>0</v>
      </c>
      <c r="U105" s="277">
        <f t="shared" si="21"/>
        <v>85.798291504515547</v>
      </c>
      <c r="V105" s="277">
        <f t="shared" si="18"/>
        <v>-92.465809775686495</v>
      </c>
      <c r="W105" s="277">
        <f t="shared" si="22"/>
        <v>0</v>
      </c>
      <c r="X105" s="273">
        <f t="shared" si="19"/>
        <v>-692.39488829438267</v>
      </c>
      <c r="Y105" s="277">
        <f t="shared" si="20"/>
        <v>4.4256021541124149</v>
      </c>
      <c r="AA105" s="278"/>
      <c r="AB105" s="277"/>
      <c r="AG105" s="242"/>
      <c r="AH105" s="174"/>
    </row>
    <row r="106" spans="2:34">
      <c r="B106" s="266">
        <f t="shared" si="24"/>
        <v>6</v>
      </c>
      <c r="C106" s="266"/>
      <c r="D106" s="175">
        <f t="shared" si="13"/>
        <v>61</v>
      </c>
      <c r="E106" s="267">
        <f t="shared" si="5"/>
        <v>43891</v>
      </c>
      <c r="F106" s="268">
        <f t="shared" si="14"/>
        <v>6.4899999999999999E-2</v>
      </c>
      <c r="G106" s="270">
        <f t="shared" si="26"/>
        <v>57.444299999999998</v>
      </c>
      <c r="H106" s="270">
        <f t="shared" si="7"/>
        <v>0</v>
      </c>
      <c r="I106" s="270">
        <f t="shared" si="8"/>
        <v>0</v>
      </c>
      <c r="J106" s="270">
        <f t="shared" si="15"/>
        <v>35.021509775686496</v>
      </c>
      <c r="K106" s="271">
        <f t="shared" si="9"/>
        <v>92.465809775686495</v>
      </c>
      <c r="L106" s="270">
        <f t="shared" si="10"/>
        <v>10586.423660094109</v>
      </c>
      <c r="M106" s="242">
        <f>IF(D106="","",SUM(G$46:G106))</f>
        <v>4240.0262520000006</v>
      </c>
      <c r="N106" s="242">
        <f>IF(D106="","",SUM(J$46:J106))</f>
        <v>6541.4163399058934</v>
      </c>
      <c r="P106" s="245"/>
      <c r="Q106" s="277">
        <f t="shared" si="11"/>
        <v>124.70706209292182</v>
      </c>
      <c r="R106" s="277">
        <f>Q106-S106</f>
        <v>36.349836544284102</v>
      </c>
      <c r="S106" s="277">
        <f t="shared" si="23"/>
        <v>88.357225548637714</v>
      </c>
      <c r="T106" s="277">
        <f t="shared" si="17"/>
        <v>0</v>
      </c>
      <c r="U106" s="277">
        <f t="shared" si="21"/>
        <v>88.357225548637714</v>
      </c>
      <c r="V106" s="277">
        <f t="shared" si="18"/>
        <v>-92.465809775686495</v>
      </c>
      <c r="W106" s="277">
        <f t="shared" si="22"/>
        <v>0</v>
      </c>
      <c r="X106" s="273">
        <f t="shared" si="19"/>
        <v>-696.50347252143149</v>
      </c>
      <c r="Y106" s="277">
        <f t="shared" si="20"/>
        <v>4.4110098583725454</v>
      </c>
      <c r="AA106" s="278"/>
      <c r="AB106" s="277"/>
      <c r="AG106" s="242"/>
      <c r="AH106" s="174"/>
    </row>
    <row r="107" spans="2:34">
      <c r="B107" s="266">
        <f t="shared" si="24"/>
        <v>6</v>
      </c>
      <c r="C107" s="266"/>
      <c r="D107" s="175">
        <f t="shared" si="13"/>
        <v>62</v>
      </c>
      <c r="E107" s="267">
        <f t="shared" si="5"/>
        <v>43922</v>
      </c>
      <c r="F107" s="268">
        <f t="shared" si="14"/>
        <v>6.4899999999999999E-2</v>
      </c>
      <c r="G107" s="270">
        <f t="shared" si="26"/>
        <v>57.254899999999999</v>
      </c>
      <c r="H107" s="270">
        <f t="shared" si="7"/>
        <v>0</v>
      </c>
      <c r="I107" s="270">
        <f t="shared" si="8"/>
        <v>0</v>
      </c>
      <c r="J107" s="270">
        <f t="shared" si="15"/>
        <v>35.210909775686495</v>
      </c>
      <c r="K107" s="271">
        <f t="shared" si="9"/>
        <v>92.465809775686495</v>
      </c>
      <c r="L107" s="270">
        <f t="shared" si="10"/>
        <v>10551.212750318424</v>
      </c>
      <c r="M107" s="242">
        <f>IF(D107="","",SUM(G$46:G107))</f>
        <v>4297.2811520000005</v>
      </c>
      <c r="N107" s="242">
        <f>IF(D107="","",SUM(J$46:J107))</f>
        <v>6576.62724968158</v>
      </c>
      <c r="P107" s="245"/>
      <c r="Q107" s="277">
        <f t="shared" si="11"/>
        <v>124.70706209292182</v>
      </c>
      <c r="R107" s="277">
        <f t="shared" si="25"/>
        <v>36.349836544284102</v>
      </c>
      <c r="S107" s="277">
        <f t="shared" si="23"/>
        <v>88.357225548637714</v>
      </c>
      <c r="T107" s="277">
        <f t="shared" si="17"/>
        <v>0</v>
      </c>
      <c r="U107" s="277">
        <f t="shared" si="21"/>
        <v>88.357225548637714</v>
      </c>
      <c r="V107" s="277">
        <f t="shared" si="18"/>
        <v>-92.465809775686495</v>
      </c>
      <c r="W107" s="277">
        <f t="shared" si="22"/>
        <v>0</v>
      </c>
      <c r="X107" s="273">
        <f t="shared" si="19"/>
        <v>-700.61205674848031</v>
      </c>
      <c r="Y107" s="277">
        <f t="shared" si="20"/>
        <v>4.3963386459660105</v>
      </c>
      <c r="AA107" s="278"/>
      <c r="AB107" s="277"/>
      <c r="AG107" s="242"/>
      <c r="AH107" s="174"/>
    </row>
    <row r="108" spans="2:34">
      <c r="B108" s="266">
        <f t="shared" si="24"/>
        <v>6</v>
      </c>
      <c r="C108" s="266"/>
      <c r="D108" s="175">
        <f t="shared" si="13"/>
        <v>63</v>
      </c>
      <c r="E108" s="267">
        <f t="shared" si="5"/>
        <v>43952</v>
      </c>
      <c r="F108" s="268">
        <f t="shared" si="14"/>
        <v>6.4899999999999999E-2</v>
      </c>
      <c r="G108" s="270">
        <f t="shared" si="26"/>
        <v>57.064500000000002</v>
      </c>
      <c r="H108" s="270">
        <f t="shared" si="7"/>
        <v>0</v>
      </c>
      <c r="I108" s="270">
        <f t="shared" si="8"/>
        <v>0</v>
      </c>
      <c r="J108" s="270">
        <f t="shared" si="15"/>
        <v>35.401309775686492</v>
      </c>
      <c r="K108" s="271">
        <f t="shared" si="9"/>
        <v>92.465809775686495</v>
      </c>
      <c r="L108" s="270">
        <f t="shared" si="10"/>
        <v>10515.811440542737</v>
      </c>
      <c r="M108" s="242">
        <f>IF(D108="","",SUM(G$46:G108))</f>
        <v>4354.3456520000009</v>
      </c>
      <c r="N108" s="242">
        <f>IF(D108="","",SUM(J$46:J108))</f>
        <v>6612.0285594572661</v>
      </c>
      <c r="P108" s="245"/>
      <c r="Q108" s="277">
        <f t="shared" si="11"/>
        <v>124.70706209292182</v>
      </c>
      <c r="R108" s="277">
        <f t="shared" si="25"/>
        <v>36.349836544284102</v>
      </c>
      <c r="S108" s="277">
        <f t="shared" si="23"/>
        <v>88.357225548637714</v>
      </c>
      <c r="T108" s="277">
        <f t="shared" si="17"/>
        <v>0</v>
      </c>
      <c r="U108" s="277">
        <f t="shared" si="21"/>
        <v>88.357225548637714</v>
      </c>
      <c r="V108" s="277">
        <f t="shared" si="18"/>
        <v>-92.465809775686495</v>
      </c>
      <c r="W108" s="277">
        <f t="shared" si="22"/>
        <v>0</v>
      </c>
      <c r="X108" s="273">
        <f t="shared" si="19"/>
        <v>-704.72064097552914</v>
      </c>
      <c r="Y108" s="277">
        <f t="shared" si="20"/>
        <v>4.3815881002261401</v>
      </c>
      <c r="AA108" s="278"/>
      <c r="AB108" s="277"/>
      <c r="AG108" s="242"/>
      <c r="AH108" s="174"/>
    </row>
    <row r="109" spans="2:34">
      <c r="B109" s="266">
        <f t="shared" si="24"/>
        <v>6</v>
      </c>
      <c r="C109" s="266"/>
      <c r="D109" s="175">
        <f t="shared" si="13"/>
        <v>64</v>
      </c>
      <c r="E109" s="267">
        <f t="shared" si="5"/>
        <v>43983</v>
      </c>
      <c r="F109" s="268">
        <f t="shared" si="14"/>
        <v>6.4899999999999999E-2</v>
      </c>
      <c r="G109" s="270">
        <f t="shared" si="26"/>
        <v>56.872999999999998</v>
      </c>
      <c r="H109" s="270">
        <f t="shared" si="7"/>
        <v>0</v>
      </c>
      <c r="I109" s="270">
        <f t="shared" si="8"/>
        <v>0</v>
      </c>
      <c r="J109" s="270">
        <f t="shared" si="15"/>
        <v>35.592809775686497</v>
      </c>
      <c r="K109" s="271">
        <f t="shared" si="9"/>
        <v>92.465809775686495</v>
      </c>
      <c r="L109" s="270">
        <f t="shared" si="10"/>
        <v>10480.218630767051</v>
      </c>
      <c r="M109" s="242">
        <f>IF(D109="","",SUM(G$46:G109))</f>
        <v>4411.2186520000005</v>
      </c>
      <c r="N109" s="242">
        <f>IF(D109="","",SUM(J$46:J109))</f>
        <v>6647.6213692329529</v>
      </c>
      <c r="P109" s="245"/>
      <c r="Q109" s="277">
        <f t="shared" si="11"/>
        <v>124.70706209292182</v>
      </c>
      <c r="R109" s="277">
        <f t="shared" si="25"/>
        <v>36.349836544284102</v>
      </c>
      <c r="S109" s="277">
        <f t="shared" si="23"/>
        <v>88.357225548637714</v>
      </c>
      <c r="T109" s="277">
        <f t="shared" si="17"/>
        <v>0</v>
      </c>
      <c r="U109" s="277">
        <f t="shared" si="21"/>
        <v>88.357225548637714</v>
      </c>
      <c r="V109" s="277">
        <f t="shared" si="18"/>
        <v>-92.465809775686495</v>
      </c>
      <c r="W109" s="277">
        <f t="shared" si="22"/>
        <v>0</v>
      </c>
      <c r="X109" s="273">
        <f t="shared" si="19"/>
        <v>-708.82922520257796</v>
      </c>
      <c r="Y109" s="277">
        <f t="shared" si="20"/>
        <v>4.3667577628196046</v>
      </c>
      <c r="AA109" s="278"/>
      <c r="AB109" s="277"/>
      <c r="AG109" s="242"/>
      <c r="AH109" s="174"/>
    </row>
    <row r="110" spans="2:34">
      <c r="B110" s="266">
        <f t="shared" si="24"/>
        <v>6</v>
      </c>
      <c r="C110" s="266"/>
      <c r="D110" s="175">
        <f t="shared" ref="D110:D173" si="27">IF(D109&gt;=nper,"",D109+1)</f>
        <v>65</v>
      </c>
      <c r="E110" s="267">
        <f t="shared" ref="E110:E173" si="28">IF(D110="","",DATE(YEAR(fpdate),MONTH(fpdate)+(D110-1),DAY(fpdate)))</f>
        <v>44013</v>
      </c>
      <c r="F110" s="268">
        <f t="shared" si="14"/>
        <v>6.4899999999999999E-2</v>
      </c>
      <c r="G110" s="270">
        <f t="shared" si="26"/>
        <v>56.680500000000002</v>
      </c>
      <c r="H110" s="270">
        <f t="shared" ref="H110:H173" si="29">+IF(AND(D110=$F$30,D110=$F$29,$J$23=1),SUM($F$33:$F$36),IF(AND(D110=$F$30,D110=$F$29,$J$23=0),SUM($F$33:$F$35,$F$38),IF(AND(D110=$F$29,D110&lt;&gt;$F$30),$F$38+IF($F$29=D110,$F$39*$J$23,0),IF(AND(D110=$F$30,D110&lt;&gt;$F$29),SUM($F$33:$F$35),0))))</f>
        <v>0</v>
      </c>
      <c r="I110" s="270">
        <f t="shared" ref="I110:I173" si="30">IF($J$23=1,IF(AND(V110&lt;0,L109+V110&gt;W110),W110,IF(AND(V110&lt;0,L109+V110&lt;W110),L109+V110+G110,0)),0)</f>
        <v>0</v>
      </c>
      <c r="J110" s="270">
        <f t="shared" si="15"/>
        <v>35.785309775686493</v>
      </c>
      <c r="K110" s="271">
        <f t="shared" ref="K110:K173" si="31">IF(D110&lt;=$F$29,(L109*F110/12)+H110+(I110*$J$23),MIN($F$25+(I110*$J$23),L109+G110))</f>
        <v>92.465809775686495</v>
      </c>
      <c r="L110" s="270">
        <f t="shared" ref="L110:L173" si="32">IF(D110="","",L109-J110)</f>
        <v>10444.433320991364</v>
      </c>
      <c r="M110" s="242">
        <f>IF(D110="","",SUM(G$46:G110))</f>
        <v>4467.8991520000009</v>
      </c>
      <c r="N110" s="242">
        <f>IF(D110="","",SUM(J$46:J110))</f>
        <v>6683.406679008639</v>
      </c>
      <c r="P110" s="245"/>
      <c r="Q110" s="277">
        <f t="shared" ref="Q110:Q173" si="33">+IF(B110&gt;1,$J$15*((1+$J$21)^(B110-1)),$J$15)</f>
        <v>124.70706209292182</v>
      </c>
      <c r="R110" s="277">
        <f t="shared" si="25"/>
        <v>36.349836544284102</v>
      </c>
      <c r="S110" s="277">
        <f t="shared" si="23"/>
        <v>88.357225548637714</v>
      </c>
      <c r="T110" s="277">
        <f t="shared" si="17"/>
        <v>0</v>
      </c>
      <c r="U110" s="277">
        <f t="shared" si="21"/>
        <v>88.357225548637714</v>
      </c>
      <c r="V110" s="277">
        <f t="shared" si="18"/>
        <v>-92.465809775686495</v>
      </c>
      <c r="W110" s="277">
        <f t="shared" si="22"/>
        <v>0</v>
      </c>
      <c r="X110" s="273">
        <f t="shared" si="19"/>
        <v>-712.93780942962678</v>
      </c>
      <c r="Y110" s="277">
        <f t="shared" si="20"/>
        <v>4.3518472170797349</v>
      </c>
      <c r="AA110" s="278"/>
      <c r="AB110" s="277"/>
      <c r="AG110" s="242"/>
      <c r="AH110" s="174"/>
    </row>
    <row r="111" spans="2:34">
      <c r="B111" s="266">
        <f t="shared" si="24"/>
        <v>6</v>
      </c>
      <c r="C111" s="266"/>
      <c r="D111" s="175">
        <f t="shared" si="27"/>
        <v>66</v>
      </c>
      <c r="E111" s="267">
        <f t="shared" si="28"/>
        <v>44044</v>
      </c>
      <c r="F111" s="268">
        <f t="shared" ref="F111:F174" si="34">+$F$23</f>
        <v>6.4899999999999999E-2</v>
      </c>
      <c r="G111" s="270">
        <f t="shared" si="26"/>
        <v>56.487000000000002</v>
      </c>
      <c r="H111" s="270">
        <f t="shared" si="29"/>
        <v>0</v>
      </c>
      <c r="I111" s="270">
        <f t="shared" si="30"/>
        <v>0</v>
      </c>
      <c r="J111" s="270">
        <f t="shared" ref="J111:J174" si="35">IF(D111&lt;=$F$29,I111+H111,(K111-G111))</f>
        <v>35.978809775686493</v>
      </c>
      <c r="K111" s="271">
        <f t="shared" si="31"/>
        <v>92.465809775686495</v>
      </c>
      <c r="L111" s="270">
        <f t="shared" si="32"/>
        <v>10408.454511215677</v>
      </c>
      <c r="M111" s="242">
        <f>IF(D111="","",SUM(G$46:G111))</f>
        <v>4524.3861520000009</v>
      </c>
      <c r="N111" s="242">
        <f>IF(D111="","",SUM(J$46:J111))</f>
        <v>6719.3854887843254</v>
      </c>
      <c r="P111" s="245"/>
      <c r="Q111" s="277">
        <f t="shared" si="33"/>
        <v>124.70706209292182</v>
      </c>
      <c r="R111" s="277">
        <f t="shared" si="25"/>
        <v>36.349836544284102</v>
      </c>
      <c r="S111" s="277">
        <f t="shared" si="23"/>
        <v>88.357225548637714</v>
      </c>
      <c r="T111" s="277">
        <f t="shared" ref="T111:T174" si="36">IFERROR(VLOOKUP(B111,$AD$17:$AH$26,4,FALSE)/12,0)</f>
        <v>0</v>
      </c>
      <c r="U111" s="277">
        <f t="shared" si="21"/>
        <v>88.357225548637714</v>
      </c>
      <c r="V111" s="277">
        <f t="shared" ref="V111:V174" si="37">IF(D111&lt;=$F$29,-G111,IF(L110&gt;$F$25,-$F$25,-L110-G111))</f>
        <v>-92.465809775686495</v>
      </c>
      <c r="W111" s="277">
        <f t="shared" si="22"/>
        <v>0</v>
      </c>
      <c r="X111" s="273">
        <f t="shared" ref="X111:X174" si="38">+SUM(U111:V111)+X110</f>
        <v>-717.0463936566756</v>
      </c>
      <c r="Y111" s="277">
        <f t="shared" ref="Y111:Y174" si="39">IF(B111&lt;=$J$38,L111*$J$37/12,0)</f>
        <v>4.3368560463398653</v>
      </c>
      <c r="AA111" s="278"/>
      <c r="AB111" s="277"/>
      <c r="AG111" s="242"/>
      <c r="AH111" s="174"/>
    </row>
    <row r="112" spans="2:34">
      <c r="B112" s="266">
        <f t="shared" si="24"/>
        <v>6</v>
      </c>
      <c r="C112" s="266"/>
      <c r="D112" s="175">
        <f t="shared" si="27"/>
        <v>67</v>
      </c>
      <c r="E112" s="267">
        <f t="shared" si="28"/>
        <v>44075</v>
      </c>
      <c r="F112" s="268">
        <f t="shared" si="34"/>
        <v>6.4899999999999999E-2</v>
      </c>
      <c r="G112" s="270">
        <f t="shared" si="26"/>
        <v>56.292400000000001</v>
      </c>
      <c r="H112" s="270">
        <f t="shared" si="29"/>
        <v>0</v>
      </c>
      <c r="I112" s="270">
        <f t="shared" si="30"/>
        <v>0</v>
      </c>
      <c r="J112" s="270">
        <f t="shared" si="35"/>
        <v>36.173409775686494</v>
      </c>
      <c r="K112" s="271">
        <f t="shared" si="31"/>
        <v>92.465809775686495</v>
      </c>
      <c r="L112" s="270">
        <f t="shared" si="32"/>
        <v>10372.28110143999</v>
      </c>
      <c r="M112" s="242">
        <f>IF(D112="","",SUM(G$46:G112))</f>
        <v>4580.6785520000012</v>
      </c>
      <c r="N112" s="242">
        <f>IF(D112="","",SUM(J$46:J112))</f>
        <v>6755.5588985600116</v>
      </c>
      <c r="P112" s="245"/>
      <c r="Q112" s="277">
        <f t="shared" si="33"/>
        <v>124.70706209292182</v>
      </c>
      <c r="R112" s="277">
        <f t="shared" si="25"/>
        <v>36.349836544284102</v>
      </c>
      <c r="S112" s="277">
        <f t="shared" si="23"/>
        <v>88.357225548637714</v>
      </c>
      <c r="T112" s="277">
        <f t="shared" si="36"/>
        <v>0</v>
      </c>
      <c r="U112" s="277">
        <f t="shared" ref="U112:U175" si="40">S112+T112</f>
        <v>88.357225548637714</v>
      </c>
      <c r="V112" s="277">
        <f t="shared" si="37"/>
        <v>-92.465809775686495</v>
      </c>
      <c r="W112" s="277">
        <f t="shared" ref="W112:W175" si="41">+IF(V112&gt;=0,U112+V112,IF(AND(U112&gt;-V112,L111&gt;U112),U112+V112,IF(AND(U112&gt;-V112,L111&lt;U112),(((U112+V112)-(L111+V112))),0)))</f>
        <v>0</v>
      </c>
      <c r="X112" s="273">
        <f t="shared" si="38"/>
        <v>-721.15497788372443</v>
      </c>
      <c r="Y112" s="277">
        <f t="shared" si="39"/>
        <v>4.3217837922666629</v>
      </c>
      <c r="AA112" s="278"/>
      <c r="AB112" s="277"/>
      <c r="AG112" s="242"/>
      <c r="AH112" s="174"/>
    </row>
    <row r="113" spans="2:34">
      <c r="B113" s="266">
        <f t="shared" si="24"/>
        <v>6</v>
      </c>
      <c r="C113" s="266"/>
      <c r="D113" s="175">
        <f t="shared" si="27"/>
        <v>68</v>
      </c>
      <c r="E113" s="267">
        <f t="shared" si="28"/>
        <v>44105</v>
      </c>
      <c r="F113" s="268">
        <f t="shared" si="34"/>
        <v>6.4899999999999999E-2</v>
      </c>
      <c r="G113" s="270">
        <f t="shared" si="26"/>
        <v>56.096800000000002</v>
      </c>
      <c r="H113" s="270">
        <f t="shared" si="29"/>
        <v>0</v>
      </c>
      <c r="I113" s="270">
        <f t="shared" si="30"/>
        <v>0</v>
      </c>
      <c r="J113" s="270">
        <f t="shared" si="35"/>
        <v>36.369009775686493</v>
      </c>
      <c r="K113" s="271">
        <f t="shared" si="31"/>
        <v>92.465809775686495</v>
      </c>
      <c r="L113" s="270">
        <f t="shared" si="32"/>
        <v>10335.912091664304</v>
      </c>
      <c r="M113" s="242">
        <f>IF(D113="","",SUM(G$46:G113))</f>
        <v>4636.7753520000015</v>
      </c>
      <c r="N113" s="242">
        <f>IF(D113="","",SUM(J$46:J113))</f>
        <v>6791.9279083356978</v>
      </c>
      <c r="P113" s="245"/>
      <c r="Q113" s="277">
        <f t="shared" si="33"/>
        <v>124.70706209292182</v>
      </c>
      <c r="R113" s="277">
        <f t="shared" si="25"/>
        <v>36.349836544284102</v>
      </c>
      <c r="S113" s="277">
        <f t="shared" si="23"/>
        <v>88.357225548637714</v>
      </c>
      <c r="T113" s="277">
        <f t="shared" si="36"/>
        <v>0</v>
      </c>
      <c r="U113" s="277">
        <f t="shared" si="40"/>
        <v>88.357225548637714</v>
      </c>
      <c r="V113" s="277">
        <f t="shared" si="37"/>
        <v>-92.465809775686495</v>
      </c>
      <c r="W113" s="277">
        <f t="shared" si="41"/>
        <v>0</v>
      </c>
      <c r="X113" s="273">
        <f t="shared" si="38"/>
        <v>-725.26356211077325</v>
      </c>
      <c r="Y113" s="277">
        <f t="shared" si="39"/>
        <v>4.3066300381934601</v>
      </c>
      <c r="AA113" s="278"/>
      <c r="AB113" s="277"/>
      <c r="AG113" s="242"/>
      <c r="AH113" s="174"/>
    </row>
    <row r="114" spans="2:34">
      <c r="B114" s="266">
        <f t="shared" si="24"/>
        <v>6</v>
      </c>
      <c r="C114" s="266"/>
      <c r="D114" s="175">
        <f t="shared" si="27"/>
        <v>69</v>
      </c>
      <c r="E114" s="267">
        <f t="shared" si="28"/>
        <v>44136</v>
      </c>
      <c r="F114" s="268">
        <f t="shared" si="34"/>
        <v>6.4899999999999999E-2</v>
      </c>
      <c r="G114" s="270">
        <f t="shared" si="26"/>
        <v>55.900100000000002</v>
      </c>
      <c r="H114" s="270">
        <f t="shared" si="29"/>
        <v>0</v>
      </c>
      <c r="I114" s="270">
        <f t="shared" si="30"/>
        <v>0</v>
      </c>
      <c r="J114" s="270">
        <f t="shared" si="35"/>
        <v>36.565709775686493</v>
      </c>
      <c r="K114" s="271">
        <f t="shared" si="31"/>
        <v>92.465809775686495</v>
      </c>
      <c r="L114" s="270">
        <f t="shared" si="32"/>
        <v>10299.346381888618</v>
      </c>
      <c r="M114" s="242">
        <f>IF(D114="","",SUM(G$46:G114))</f>
        <v>4692.6754520000013</v>
      </c>
      <c r="N114" s="242">
        <f>IF(D114="","",SUM(J$46:J114))</f>
        <v>6828.4936181113844</v>
      </c>
      <c r="P114" s="245"/>
      <c r="Q114" s="277">
        <f t="shared" si="33"/>
        <v>124.70706209292182</v>
      </c>
      <c r="R114" s="277">
        <f t="shared" si="25"/>
        <v>36.349836544284102</v>
      </c>
      <c r="S114" s="277">
        <f t="shared" si="23"/>
        <v>88.357225548637714</v>
      </c>
      <c r="T114" s="277">
        <f t="shared" si="36"/>
        <v>0</v>
      </c>
      <c r="U114" s="277">
        <f t="shared" si="40"/>
        <v>88.357225548637714</v>
      </c>
      <c r="V114" s="277">
        <f t="shared" si="37"/>
        <v>-92.465809775686495</v>
      </c>
      <c r="W114" s="277">
        <f t="shared" si="41"/>
        <v>0</v>
      </c>
      <c r="X114" s="273">
        <f t="shared" si="38"/>
        <v>-729.37214633782207</v>
      </c>
      <c r="Y114" s="277">
        <f t="shared" si="39"/>
        <v>4.291394325786924</v>
      </c>
      <c r="AA114" s="278"/>
      <c r="AB114" s="277"/>
      <c r="AG114" s="242"/>
      <c r="AH114" s="174"/>
    </row>
    <row r="115" spans="2:34">
      <c r="B115" s="266">
        <f t="shared" si="24"/>
        <v>6</v>
      </c>
      <c r="C115" s="266"/>
      <c r="D115" s="175">
        <f t="shared" si="27"/>
        <v>70</v>
      </c>
      <c r="E115" s="267">
        <f t="shared" si="28"/>
        <v>44166</v>
      </c>
      <c r="F115" s="268">
        <f t="shared" si="34"/>
        <v>6.4899999999999999E-2</v>
      </c>
      <c r="G115" s="270">
        <f t="shared" si="26"/>
        <v>55.702300000000001</v>
      </c>
      <c r="H115" s="270">
        <f t="shared" si="29"/>
        <v>0</v>
      </c>
      <c r="I115" s="270">
        <f t="shared" si="30"/>
        <v>0</v>
      </c>
      <c r="J115" s="270">
        <f t="shared" si="35"/>
        <v>36.763509775686494</v>
      </c>
      <c r="K115" s="271">
        <f t="shared" si="31"/>
        <v>92.465809775686495</v>
      </c>
      <c r="L115" s="270">
        <f t="shared" si="32"/>
        <v>10262.582872112931</v>
      </c>
      <c r="M115" s="242">
        <f>IF(D115="","",SUM(G$46:G115))</f>
        <v>4748.3777520000012</v>
      </c>
      <c r="N115" s="242">
        <f>IF(D115="","",SUM(J$46:J115))</f>
        <v>6865.257127887071</v>
      </c>
      <c r="P115" s="245"/>
      <c r="Q115" s="277">
        <f t="shared" si="33"/>
        <v>124.70706209292182</v>
      </c>
      <c r="R115" s="277">
        <f t="shared" si="25"/>
        <v>36.349836544284102</v>
      </c>
      <c r="S115" s="277">
        <f t="shared" si="23"/>
        <v>88.357225548637714</v>
      </c>
      <c r="T115" s="277">
        <f t="shared" si="36"/>
        <v>0</v>
      </c>
      <c r="U115" s="277">
        <f t="shared" si="40"/>
        <v>88.357225548637714</v>
      </c>
      <c r="V115" s="277">
        <f t="shared" si="37"/>
        <v>-92.465809775686495</v>
      </c>
      <c r="W115" s="277">
        <f t="shared" si="41"/>
        <v>0</v>
      </c>
      <c r="X115" s="273">
        <f t="shared" si="38"/>
        <v>-733.4807305648709</v>
      </c>
      <c r="Y115" s="277">
        <f t="shared" si="39"/>
        <v>4.2760761967137215</v>
      </c>
      <c r="AA115" s="278"/>
      <c r="AB115" s="277"/>
      <c r="AG115" s="242"/>
      <c r="AH115" s="174"/>
    </row>
    <row r="116" spans="2:34">
      <c r="B116" s="266">
        <f t="shared" si="24"/>
        <v>6</v>
      </c>
      <c r="C116" s="266"/>
      <c r="D116" s="175">
        <f t="shared" si="27"/>
        <v>71</v>
      </c>
      <c r="E116" s="267">
        <f t="shared" si="28"/>
        <v>44197</v>
      </c>
      <c r="F116" s="268">
        <f t="shared" si="34"/>
        <v>6.4899999999999999E-2</v>
      </c>
      <c r="G116" s="270">
        <f t="shared" si="26"/>
        <v>55.503500000000003</v>
      </c>
      <c r="H116" s="270">
        <f t="shared" si="29"/>
        <v>0</v>
      </c>
      <c r="I116" s="270">
        <f t="shared" si="30"/>
        <v>0</v>
      </c>
      <c r="J116" s="270">
        <f t="shared" si="35"/>
        <v>36.962309775686492</v>
      </c>
      <c r="K116" s="271">
        <f t="shared" si="31"/>
        <v>92.465809775686495</v>
      </c>
      <c r="L116" s="270">
        <f t="shared" si="32"/>
        <v>10225.620562337244</v>
      </c>
      <c r="M116" s="242">
        <f>IF(D116="","",SUM(G$46:G116))</f>
        <v>4803.881252000001</v>
      </c>
      <c r="N116" s="242">
        <f>IF(D116="","",SUM(J$46:J116))</f>
        <v>6902.2194376627576</v>
      </c>
      <c r="P116" s="245"/>
      <c r="Q116" s="277">
        <f t="shared" si="33"/>
        <v>124.70706209292182</v>
      </c>
      <c r="R116" s="277">
        <f t="shared" si="25"/>
        <v>36.349836544284102</v>
      </c>
      <c r="S116" s="277">
        <f t="shared" si="23"/>
        <v>88.357225548637714</v>
      </c>
      <c r="T116" s="277">
        <f t="shared" si="36"/>
        <v>0</v>
      </c>
      <c r="U116" s="277">
        <f t="shared" si="40"/>
        <v>88.357225548637714</v>
      </c>
      <c r="V116" s="277">
        <f t="shared" si="37"/>
        <v>-92.465809775686495</v>
      </c>
      <c r="W116" s="277">
        <f t="shared" si="41"/>
        <v>0</v>
      </c>
      <c r="X116" s="273">
        <f t="shared" si="38"/>
        <v>-737.58931479191972</v>
      </c>
      <c r="Y116" s="277">
        <f t="shared" si="39"/>
        <v>4.2606752343071852</v>
      </c>
      <c r="AA116" s="278"/>
      <c r="AB116" s="277"/>
      <c r="AG116" s="242"/>
      <c r="AH116" s="174"/>
    </row>
    <row r="117" spans="2:34">
      <c r="B117" s="266">
        <f t="shared" si="24"/>
        <v>6</v>
      </c>
      <c r="C117" s="266"/>
      <c r="D117" s="175">
        <f t="shared" si="27"/>
        <v>72</v>
      </c>
      <c r="E117" s="267">
        <f t="shared" si="28"/>
        <v>44228</v>
      </c>
      <c r="F117" s="268">
        <f t="shared" si="34"/>
        <v>6.4899999999999999E-2</v>
      </c>
      <c r="G117" s="270">
        <f t="shared" si="26"/>
        <v>55.303600000000003</v>
      </c>
      <c r="H117" s="270">
        <f t="shared" si="29"/>
        <v>0</v>
      </c>
      <c r="I117" s="270">
        <f t="shared" si="30"/>
        <v>0</v>
      </c>
      <c r="J117" s="270">
        <f t="shared" si="35"/>
        <v>37.162209775686492</v>
      </c>
      <c r="K117" s="271">
        <f t="shared" si="31"/>
        <v>92.465809775686495</v>
      </c>
      <c r="L117" s="270">
        <f t="shared" si="32"/>
        <v>10188.458352561558</v>
      </c>
      <c r="M117" s="242">
        <f>IF(D117="","",SUM(G$46:G117))</f>
        <v>4859.1848520000012</v>
      </c>
      <c r="N117" s="242">
        <f>IF(D117="","",SUM(J$46:J117))</f>
        <v>6939.3816474384439</v>
      </c>
      <c r="P117" s="245"/>
      <c r="Q117" s="277">
        <f t="shared" si="33"/>
        <v>124.70706209292182</v>
      </c>
      <c r="R117" s="277">
        <f t="shared" si="25"/>
        <v>36.349836544284102</v>
      </c>
      <c r="S117" s="277">
        <f t="shared" si="23"/>
        <v>88.357225548637714</v>
      </c>
      <c r="T117" s="277">
        <f t="shared" si="36"/>
        <v>0</v>
      </c>
      <c r="U117" s="277">
        <f t="shared" si="40"/>
        <v>88.357225548637714</v>
      </c>
      <c r="V117" s="277">
        <f t="shared" si="37"/>
        <v>-92.465809775686495</v>
      </c>
      <c r="W117" s="277">
        <f t="shared" si="41"/>
        <v>0</v>
      </c>
      <c r="X117" s="273">
        <f t="shared" si="38"/>
        <v>-741.69789901896854</v>
      </c>
      <c r="Y117" s="277">
        <f t="shared" si="39"/>
        <v>4.2451909802339829</v>
      </c>
      <c r="AA117" s="278"/>
      <c r="AB117" s="277"/>
      <c r="AG117" s="242"/>
      <c r="AH117" s="174"/>
    </row>
    <row r="118" spans="2:34">
      <c r="B118" s="266">
        <f t="shared" si="24"/>
        <v>7</v>
      </c>
      <c r="C118" s="266"/>
      <c r="D118" s="175">
        <f t="shared" si="27"/>
        <v>73</v>
      </c>
      <c r="E118" s="267">
        <f t="shared" si="28"/>
        <v>44256</v>
      </c>
      <c r="F118" s="268">
        <f t="shared" si="34"/>
        <v>6.4899999999999999E-2</v>
      </c>
      <c r="G118" s="270">
        <f t="shared" si="26"/>
        <v>55.102600000000002</v>
      </c>
      <c r="H118" s="270">
        <f t="shared" si="29"/>
        <v>0</v>
      </c>
      <c r="I118" s="270">
        <f t="shared" si="30"/>
        <v>0</v>
      </c>
      <c r="J118" s="270">
        <f t="shared" si="35"/>
        <v>37.363209775686492</v>
      </c>
      <c r="K118" s="271">
        <f t="shared" si="31"/>
        <v>92.465809775686495</v>
      </c>
      <c r="L118" s="270">
        <f t="shared" si="32"/>
        <v>10151.095142785871</v>
      </c>
      <c r="M118" s="242">
        <f>IF(D118="","",SUM(G$46:G118))</f>
        <v>4914.2874520000014</v>
      </c>
      <c r="N118" s="242">
        <f>IF(D118="","",SUM(J$46:J118))</f>
        <v>6976.7448572141302</v>
      </c>
      <c r="P118" s="245"/>
      <c r="Q118" s="277">
        <f t="shared" si="33"/>
        <v>129.07180926617409</v>
      </c>
      <c r="R118" s="277">
        <f>Q118-S118</f>
        <v>38.079329465548255</v>
      </c>
      <c r="S118" s="277">
        <f t="shared" si="23"/>
        <v>90.99247980062583</v>
      </c>
      <c r="T118" s="277">
        <f t="shared" si="36"/>
        <v>0</v>
      </c>
      <c r="U118" s="277">
        <f t="shared" si="40"/>
        <v>90.99247980062583</v>
      </c>
      <c r="V118" s="277">
        <f t="shared" si="37"/>
        <v>-92.465809775686495</v>
      </c>
      <c r="W118" s="277">
        <f t="shared" si="41"/>
        <v>0</v>
      </c>
      <c r="X118" s="273">
        <f t="shared" si="38"/>
        <v>-743.17122899402921</v>
      </c>
      <c r="Y118" s="277">
        <f t="shared" si="39"/>
        <v>4.2296229761607798</v>
      </c>
      <c r="AA118" s="278"/>
      <c r="AB118" s="277"/>
      <c r="AG118" s="242"/>
      <c r="AH118" s="174"/>
    </row>
    <row r="119" spans="2:34">
      <c r="B119" s="266">
        <f t="shared" si="24"/>
        <v>7</v>
      </c>
      <c r="C119" s="266"/>
      <c r="D119" s="175">
        <f t="shared" si="27"/>
        <v>74</v>
      </c>
      <c r="E119" s="267">
        <f t="shared" si="28"/>
        <v>44287</v>
      </c>
      <c r="F119" s="268">
        <f t="shared" si="34"/>
        <v>6.4899999999999999E-2</v>
      </c>
      <c r="G119" s="270">
        <f t="shared" si="26"/>
        <v>54.900500000000001</v>
      </c>
      <c r="H119" s="270">
        <f t="shared" si="29"/>
        <v>0</v>
      </c>
      <c r="I119" s="270">
        <f t="shared" si="30"/>
        <v>0</v>
      </c>
      <c r="J119" s="270">
        <f t="shared" si="35"/>
        <v>37.565309775686494</v>
      </c>
      <c r="K119" s="271">
        <f t="shared" si="31"/>
        <v>92.465809775686495</v>
      </c>
      <c r="L119" s="270">
        <f t="shared" si="32"/>
        <v>10113.529833010185</v>
      </c>
      <c r="M119" s="242">
        <f>IF(D119="","",SUM(G$46:G119))</f>
        <v>4969.1879520000011</v>
      </c>
      <c r="N119" s="242">
        <f>IF(D119="","",SUM(J$46:J119))</f>
        <v>7014.3101669898169</v>
      </c>
      <c r="P119" s="245"/>
      <c r="Q119" s="277">
        <f t="shared" si="33"/>
        <v>129.07180926617409</v>
      </c>
      <c r="R119" s="277">
        <f t="shared" si="25"/>
        <v>38.079329465548255</v>
      </c>
      <c r="S119" s="277">
        <f t="shared" si="23"/>
        <v>90.99247980062583</v>
      </c>
      <c r="T119" s="277">
        <f t="shared" si="36"/>
        <v>0</v>
      </c>
      <c r="U119" s="277">
        <f t="shared" si="40"/>
        <v>90.99247980062583</v>
      </c>
      <c r="V119" s="277">
        <f t="shared" si="37"/>
        <v>-92.465809775686495</v>
      </c>
      <c r="W119" s="277">
        <f t="shared" si="41"/>
        <v>0</v>
      </c>
      <c r="X119" s="273">
        <f t="shared" si="38"/>
        <v>-744.64455896908987</v>
      </c>
      <c r="Y119" s="277">
        <f t="shared" si="39"/>
        <v>4.2139707637542436</v>
      </c>
      <c r="AA119" s="278"/>
      <c r="AB119" s="277"/>
      <c r="AG119" s="242"/>
      <c r="AH119" s="174"/>
    </row>
    <row r="120" spans="2:34">
      <c r="B120" s="266">
        <f t="shared" si="24"/>
        <v>7</v>
      </c>
      <c r="C120" s="266"/>
      <c r="D120" s="175">
        <f t="shared" si="27"/>
        <v>75</v>
      </c>
      <c r="E120" s="267">
        <f t="shared" si="28"/>
        <v>44317</v>
      </c>
      <c r="F120" s="268">
        <f t="shared" si="34"/>
        <v>6.4899999999999999E-2</v>
      </c>
      <c r="G120" s="270">
        <f t="shared" si="26"/>
        <v>54.697299999999998</v>
      </c>
      <c r="H120" s="270">
        <f t="shared" si="29"/>
        <v>0</v>
      </c>
      <c r="I120" s="270">
        <f t="shared" si="30"/>
        <v>0</v>
      </c>
      <c r="J120" s="270">
        <f t="shared" si="35"/>
        <v>37.768509775686496</v>
      </c>
      <c r="K120" s="271">
        <f t="shared" si="31"/>
        <v>92.465809775686495</v>
      </c>
      <c r="L120" s="270">
        <f t="shared" si="32"/>
        <v>10075.761323234499</v>
      </c>
      <c r="M120" s="242">
        <f>IF(D120="","",SUM(G$46:G120))</f>
        <v>5023.8852520000009</v>
      </c>
      <c r="N120" s="242">
        <f>IF(D120="","",SUM(J$46:J120))</f>
        <v>7052.0786767655036</v>
      </c>
      <c r="P120" s="245"/>
      <c r="Q120" s="277">
        <f t="shared" si="33"/>
        <v>129.07180926617409</v>
      </c>
      <c r="R120" s="277">
        <f t="shared" si="25"/>
        <v>38.079329465548255</v>
      </c>
      <c r="S120" s="277">
        <f t="shared" si="23"/>
        <v>90.99247980062583</v>
      </c>
      <c r="T120" s="277">
        <f t="shared" si="36"/>
        <v>0</v>
      </c>
      <c r="U120" s="277">
        <f t="shared" si="40"/>
        <v>90.99247980062583</v>
      </c>
      <c r="V120" s="277">
        <f t="shared" si="37"/>
        <v>-92.465809775686495</v>
      </c>
      <c r="W120" s="277">
        <f t="shared" si="41"/>
        <v>0</v>
      </c>
      <c r="X120" s="273">
        <f t="shared" si="38"/>
        <v>-746.11788894415054</v>
      </c>
      <c r="Y120" s="277">
        <f t="shared" si="39"/>
        <v>4.1982338846810414</v>
      </c>
      <c r="AA120" s="278"/>
      <c r="AB120" s="277"/>
      <c r="AG120" s="242"/>
      <c r="AH120" s="174"/>
    </row>
    <row r="121" spans="2:34">
      <c r="B121" s="266">
        <f t="shared" si="24"/>
        <v>7</v>
      </c>
      <c r="C121" s="266"/>
      <c r="D121" s="175">
        <f t="shared" si="27"/>
        <v>76</v>
      </c>
      <c r="E121" s="267">
        <f t="shared" si="28"/>
        <v>44348</v>
      </c>
      <c r="F121" s="268">
        <f t="shared" si="34"/>
        <v>6.4899999999999999E-2</v>
      </c>
      <c r="G121" s="270">
        <f t="shared" si="26"/>
        <v>54.493099999999998</v>
      </c>
      <c r="H121" s="270">
        <f t="shared" si="29"/>
        <v>0</v>
      </c>
      <c r="I121" s="270">
        <f t="shared" si="30"/>
        <v>0</v>
      </c>
      <c r="J121" s="270">
        <f t="shared" si="35"/>
        <v>37.972709775686496</v>
      </c>
      <c r="K121" s="271">
        <f t="shared" si="31"/>
        <v>92.465809775686495</v>
      </c>
      <c r="L121" s="270">
        <f t="shared" si="32"/>
        <v>10037.788613458813</v>
      </c>
      <c r="M121" s="242">
        <f>IF(D121="","",SUM(G$46:G121))</f>
        <v>5078.3783520000006</v>
      </c>
      <c r="N121" s="242">
        <f>IF(D121="","",SUM(J$46:J121))</f>
        <v>7090.0513865411904</v>
      </c>
      <c r="P121" s="245"/>
      <c r="Q121" s="277">
        <f t="shared" si="33"/>
        <v>129.07180926617409</v>
      </c>
      <c r="R121" s="277">
        <f t="shared" si="25"/>
        <v>38.079329465548255</v>
      </c>
      <c r="S121" s="277">
        <f t="shared" si="23"/>
        <v>90.99247980062583</v>
      </c>
      <c r="T121" s="277">
        <f t="shared" si="36"/>
        <v>0</v>
      </c>
      <c r="U121" s="277">
        <f t="shared" si="40"/>
        <v>90.99247980062583</v>
      </c>
      <c r="V121" s="277">
        <f t="shared" si="37"/>
        <v>-92.465809775686495</v>
      </c>
      <c r="W121" s="277">
        <f t="shared" si="41"/>
        <v>0</v>
      </c>
      <c r="X121" s="273">
        <f t="shared" si="38"/>
        <v>-747.5912189192112</v>
      </c>
      <c r="Y121" s="277">
        <f t="shared" si="39"/>
        <v>4.1824119222745058</v>
      </c>
      <c r="AA121" s="278"/>
      <c r="AB121" s="277"/>
      <c r="AG121" s="242"/>
      <c r="AH121" s="174"/>
    </row>
    <row r="122" spans="2:34">
      <c r="B122" s="266">
        <f t="shared" si="24"/>
        <v>7</v>
      </c>
      <c r="C122" s="266"/>
      <c r="D122" s="175">
        <f t="shared" si="27"/>
        <v>77</v>
      </c>
      <c r="E122" s="267">
        <f t="shared" si="28"/>
        <v>44378</v>
      </c>
      <c r="F122" s="268">
        <f t="shared" si="34"/>
        <v>6.4899999999999999E-2</v>
      </c>
      <c r="G122" s="270">
        <f t="shared" si="26"/>
        <v>54.287700000000001</v>
      </c>
      <c r="H122" s="270">
        <f t="shared" si="29"/>
        <v>0</v>
      </c>
      <c r="I122" s="270">
        <f t="shared" si="30"/>
        <v>0</v>
      </c>
      <c r="J122" s="270">
        <f t="shared" si="35"/>
        <v>38.178109775686494</v>
      </c>
      <c r="K122" s="271">
        <f t="shared" si="31"/>
        <v>92.465809775686495</v>
      </c>
      <c r="L122" s="270">
        <f t="shared" si="32"/>
        <v>9999.6105036831268</v>
      </c>
      <c r="M122" s="242">
        <f>IF(D122="","",SUM(G$46:G122))</f>
        <v>5132.6660520000005</v>
      </c>
      <c r="N122" s="242">
        <f>IF(D122="","",SUM(J$46:J122))</f>
        <v>7128.229496316877</v>
      </c>
      <c r="P122" s="245"/>
      <c r="Q122" s="277">
        <f t="shared" si="33"/>
        <v>129.07180926617409</v>
      </c>
      <c r="R122" s="277">
        <f t="shared" si="25"/>
        <v>38.079329465548255</v>
      </c>
      <c r="S122" s="277">
        <f t="shared" ref="S122:S185" si="42">IF(B122=1,$J$20,((S110*(1+$J$21)*(1-$J$22))))</f>
        <v>90.99247980062583</v>
      </c>
      <c r="T122" s="277">
        <f t="shared" si="36"/>
        <v>0</v>
      </c>
      <c r="U122" s="277">
        <f t="shared" si="40"/>
        <v>90.99247980062583</v>
      </c>
      <c r="V122" s="277">
        <f t="shared" si="37"/>
        <v>-92.465809775686495</v>
      </c>
      <c r="W122" s="277">
        <f t="shared" si="41"/>
        <v>0</v>
      </c>
      <c r="X122" s="273">
        <f t="shared" si="38"/>
        <v>-749.06454889427187</v>
      </c>
      <c r="Y122" s="277">
        <f t="shared" si="39"/>
        <v>4.1665043765346361</v>
      </c>
      <c r="AA122" s="278"/>
      <c r="AB122" s="277"/>
      <c r="AG122" s="242"/>
      <c r="AH122" s="174"/>
    </row>
    <row r="123" spans="2:34">
      <c r="B123" s="266">
        <f t="shared" ref="B123:B186" si="43">B111+1</f>
        <v>7</v>
      </c>
      <c r="C123" s="266"/>
      <c r="D123" s="175">
        <f t="shared" si="27"/>
        <v>78</v>
      </c>
      <c r="E123" s="267">
        <f t="shared" si="28"/>
        <v>44409</v>
      </c>
      <c r="F123" s="268">
        <f t="shared" si="34"/>
        <v>6.4899999999999999E-2</v>
      </c>
      <c r="G123" s="270">
        <f t="shared" si="26"/>
        <v>54.081200000000003</v>
      </c>
      <c r="H123" s="270">
        <f t="shared" si="29"/>
        <v>0</v>
      </c>
      <c r="I123" s="270">
        <f t="shared" si="30"/>
        <v>0</v>
      </c>
      <c r="J123" s="270">
        <f t="shared" si="35"/>
        <v>38.384609775686492</v>
      </c>
      <c r="K123" s="271">
        <f t="shared" si="31"/>
        <v>92.465809775686495</v>
      </c>
      <c r="L123" s="270">
        <f t="shared" si="32"/>
        <v>9961.22589390744</v>
      </c>
      <c r="M123" s="242">
        <f>IF(D123="","",SUM(G$46:G123))</f>
        <v>5186.7472520000001</v>
      </c>
      <c r="N123" s="242">
        <f>IF(D123="","",SUM(J$46:J123))</f>
        <v>7166.6141060925638</v>
      </c>
      <c r="P123" s="245"/>
      <c r="Q123" s="277">
        <f t="shared" si="33"/>
        <v>129.07180926617409</v>
      </c>
      <c r="R123" s="277">
        <f t="shared" ref="R123:R129" si="44">Q123-S123</f>
        <v>38.079329465548255</v>
      </c>
      <c r="S123" s="277">
        <f t="shared" si="42"/>
        <v>90.99247980062583</v>
      </c>
      <c r="T123" s="277">
        <f t="shared" si="36"/>
        <v>0</v>
      </c>
      <c r="U123" s="277">
        <f t="shared" si="40"/>
        <v>90.99247980062583</v>
      </c>
      <c r="V123" s="277">
        <f t="shared" si="37"/>
        <v>-92.465809775686495</v>
      </c>
      <c r="W123" s="277">
        <f t="shared" si="41"/>
        <v>0</v>
      </c>
      <c r="X123" s="273">
        <f t="shared" si="38"/>
        <v>-750.53787886933253</v>
      </c>
      <c r="Y123" s="277">
        <f t="shared" si="39"/>
        <v>4.1505107891281003</v>
      </c>
      <c r="AA123" s="278"/>
      <c r="AB123" s="277"/>
      <c r="AG123" s="242"/>
      <c r="AH123" s="174"/>
    </row>
    <row r="124" spans="2:34">
      <c r="B124" s="266">
        <f t="shared" si="43"/>
        <v>7</v>
      </c>
      <c r="C124" s="266"/>
      <c r="D124" s="175">
        <f t="shared" si="27"/>
        <v>79</v>
      </c>
      <c r="E124" s="267">
        <f t="shared" si="28"/>
        <v>44440</v>
      </c>
      <c r="F124" s="268">
        <f t="shared" si="34"/>
        <v>6.4899999999999999E-2</v>
      </c>
      <c r="G124" s="270">
        <f t="shared" si="26"/>
        <v>53.873600000000003</v>
      </c>
      <c r="H124" s="270">
        <f t="shared" si="29"/>
        <v>0</v>
      </c>
      <c r="I124" s="270">
        <f t="shared" si="30"/>
        <v>0</v>
      </c>
      <c r="J124" s="270">
        <f t="shared" si="35"/>
        <v>38.592209775686491</v>
      </c>
      <c r="K124" s="271">
        <f t="shared" si="31"/>
        <v>92.465809775686495</v>
      </c>
      <c r="L124" s="270">
        <f t="shared" si="32"/>
        <v>9922.6336841317534</v>
      </c>
      <c r="M124" s="242">
        <f>IF(D124="","",SUM(G$46:G124))</f>
        <v>5240.620852</v>
      </c>
      <c r="N124" s="242">
        <f>IF(D124="","",SUM(J$46:J124))</f>
        <v>7205.2063158682504</v>
      </c>
      <c r="P124" s="245"/>
      <c r="Q124" s="277">
        <f t="shared" si="33"/>
        <v>129.07180926617409</v>
      </c>
      <c r="R124" s="277">
        <f t="shared" si="44"/>
        <v>38.079329465548255</v>
      </c>
      <c r="S124" s="277">
        <f t="shared" si="42"/>
        <v>90.99247980062583</v>
      </c>
      <c r="T124" s="277">
        <f t="shared" si="36"/>
        <v>0</v>
      </c>
      <c r="U124" s="277">
        <f t="shared" si="40"/>
        <v>90.99247980062583</v>
      </c>
      <c r="V124" s="277">
        <f t="shared" si="37"/>
        <v>-92.465809775686495</v>
      </c>
      <c r="W124" s="277">
        <f t="shared" si="41"/>
        <v>0</v>
      </c>
      <c r="X124" s="273">
        <f t="shared" si="38"/>
        <v>-752.0112088443932</v>
      </c>
      <c r="Y124" s="277">
        <f t="shared" si="39"/>
        <v>4.1344307017215636</v>
      </c>
      <c r="AA124" s="278"/>
      <c r="AB124" s="277"/>
      <c r="AG124" s="242"/>
      <c r="AH124" s="174"/>
    </row>
    <row r="125" spans="2:34">
      <c r="B125" s="266">
        <f t="shared" si="43"/>
        <v>7</v>
      </c>
      <c r="C125" s="266"/>
      <c r="D125" s="175">
        <f t="shared" si="27"/>
        <v>80</v>
      </c>
      <c r="E125" s="267">
        <f t="shared" si="28"/>
        <v>44470</v>
      </c>
      <c r="F125" s="268">
        <f t="shared" si="34"/>
        <v>6.4899999999999999E-2</v>
      </c>
      <c r="G125" s="270">
        <f t="shared" ref="G125:G188" si="45">IF(D125="","",ROUND(F125/12*L124,4))</f>
        <v>53.664900000000003</v>
      </c>
      <c r="H125" s="270">
        <f t="shared" si="29"/>
        <v>0</v>
      </c>
      <c r="I125" s="270">
        <f t="shared" si="30"/>
        <v>0</v>
      </c>
      <c r="J125" s="270">
        <f t="shared" si="35"/>
        <v>38.800909775686492</v>
      </c>
      <c r="K125" s="271">
        <f t="shared" si="31"/>
        <v>92.465809775686495</v>
      </c>
      <c r="L125" s="270">
        <f t="shared" si="32"/>
        <v>9883.8327743560676</v>
      </c>
      <c r="M125" s="242">
        <f>IF(D125="","",SUM(G$46:G125))</f>
        <v>5294.2857519999998</v>
      </c>
      <c r="N125" s="242">
        <f>IF(D125="","",SUM(J$46:J125))</f>
        <v>7244.0072256439371</v>
      </c>
      <c r="P125" s="245"/>
      <c r="Q125" s="277">
        <f t="shared" si="33"/>
        <v>129.07180926617409</v>
      </c>
      <c r="R125" s="277">
        <f t="shared" si="44"/>
        <v>38.079329465548255</v>
      </c>
      <c r="S125" s="277">
        <f t="shared" si="42"/>
        <v>90.99247980062583</v>
      </c>
      <c r="T125" s="277">
        <f t="shared" si="36"/>
        <v>0</v>
      </c>
      <c r="U125" s="277">
        <f t="shared" si="40"/>
        <v>90.99247980062583</v>
      </c>
      <c r="V125" s="277">
        <f t="shared" si="37"/>
        <v>-92.465809775686495</v>
      </c>
      <c r="W125" s="277">
        <f t="shared" si="41"/>
        <v>0</v>
      </c>
      <c r="X125" s="273">
        <f t="shared" si="38"/>
        <v>-753.48453881945386</v>
      </c>
      <c r="Y125" s="277">
        <f t="shared" si="39"/>
        <v>4.1182636559816954</v>
      </c>
      <c r="AA125" s="278"/>
      <c r="AB125" s="277"/>
      <c r="AG125" s="242"/>
      <c r="AH125" s="174"/>
    </row>
    <row r="126" spans="2:34">
      <c r="B126" s="266">
        <f t="shared" si="43"/>
        <v>7</v>
      </c>
      <c r="C126" s="266"/>
      <c r="D126" s="175">
        <f t="shared" si="27"/>
        <v>81</v>
      </c>
      <c r="E126" s="267">
        <f t="shared" si="28"/>
        <v>44501</v>
      </c>
      <c r="F126" s="268">
        <f t="shared" si="34"/>
        <v>6.4899999999999999E-2</v>
      </c>
      <c r="G126" s="270">
        <f t="shared" si="45"/>
        <v>53.455100000000002</v>
      </c>
      <c r="H126" s="270">
        <f t="shared" si="29"/>
        <v>0</v>
      </c>
      <c r="I126" s="270">
        <f t="shared" si="30"/>
        <v>0</v>
      </c>
      <c r="J126" s="270">
        <f t="shared" si="35"/>
        <v>39.010709775686493</v>
      </c>
      <c r="K126" s="271">
        <f t="shared" si="31"/>
        <v>92.465809775686495</v>
      </c>
      <c r="L126" s="270">
        <f t="shared" si="32"/>
        <v>9844.8220645803813</v>
      </c>
      <c r="M126" s="242">
        <f>IF(D126="","",SUM(G$46:G126))</f>
        <v>5347.7408519999999</v>
      </c>
      <c r="N126" s="242">
        <f>IF(D126="","",SUM(J$46:J126))</f>
        <v>7283.0179354196234</v>
      </c>
      <c r="P126" s="245"/>
      <c r="Q126" s="277">
        <f t="shared" si="33"/>
        <v>129.07180926617409</v>
      </c>
      <c r="R126" s="277">
        <f t="shared" si="44"/>
        <v>38.079329465548255</v>
      </c>
      <c r="S126" s="277">
        <f t="shared" si="42"/>
        <v>90.99247980062583</v>
      </c>
      <c r="T126" s="277">
        <f t="shared" si="36"/>
        <v>0</v>
      </c>
      <c r="U126" s="277">
        <f t="shared" si="40"/>
        <v>90.99247980062583</v>
      </c>
      <c r="V126" s="277">
        <f t="shared" si="37"/>
        <v>-92.465809775686495</v>
      </c>
      <c r="W126" s="277">
        <f t="shared" si="41"/>
        <v>0</v>
      </c>
      <c r="X126" s="273">
        <f t="shared" si="38"/>
        <v>-754.95786879451452</v>
      </c>
      <c r="Y126" s="277">
        <f t="shared" si="39"/>
        <v>4.1020091935751593</v>
      </c>
      <c r="AA126" s="278"/>
      <c r="AB126" s="277"/>
      <c r="AG126" s="242"/>
      <c r="AH126" s="174"/>
    </row>
    <row r="127" spans="2:34">
      <c r="B127" s="266">
        <f t="shared" si="43"/>
        <v>7</v>
      </c>
      <c r="C127" s="266"/>
      <c r="D127" s="175">
        <f t="shared" si="27"/>
        <v>82</v>
      </c>
      <c r="E127" s="267">
        <f t="shared" si="28"/>
        <v>44531</v>
      </c>
      <c r="F127" s="268">
        <f t="shared" si="34"/>
        <v>6.4899999999999999E-2</v>
      </c>
      <c r="G127" s="270">
        <f t="shared" si="45"/>
        <v>53.244100000000003</v>
      </c>
      <c r="H127" s="270">
        <f t="shared" si="29"/>
        <v>0</v>
      </c>
      <c r="I127" s="270">
        <f t="shared" si="30"/>
        <v>0</v>
      </c>
      <c r="J127" s="270">
        <f t="shared" si="35"/>
        <v>39.221709775686492</v>
      </c>
      <c r="K127" s="271">
        <f t="shared" si="31"/>
        <v>92.465809775686495</v>
      </c>
      <c r="L127" s="270">
        <f t="shared" si="32"/>
        <v>9805.6003548046956</v>
      </c>
      <c r="M127" s="242">
        <f>IF(D127="","",SUM(G$46:G127))</f>
        <v>5400.9849519999998</v>
      </c>
      <c r="N127" s="242">
        <f>IF(D127="","",SUM(J$46:J127))</f>
        <v>7322.23964519531</v>
      </c>
      <c r="P127" s="245"/>
      <c r="Q127" s="277">
        <f t="shared" si="33"/>
        <v>129.07180926617409</v>
      </c>
      <c r="R127" s="277">
        <f t="shared" si="44"/>
        <v>38.079329465548255</v>
      </c>
      <c r="S127" s="277">
        <f t="shared" si="42"/>
        <v>90.99247980062583</v>
      </c>
      <c r="T127" s="277">
        <f t="shared" si="36"/>
        <v>0</v>
      </c>
      <c r="U127" s="277">
        <f t="shared" si="40"/>
        <v>90.99247980062583</v>
      </c>
      <c r="V127" s="277">
        <f t="shared" si="37"/>
        <v>-92.465809775686495</v>
      </c>
      <c r="W127" s="277">
        <f t="shared" si="41"/>
        <v>0</v>
      </c>
      <c r="X127" s="273">
        <f t="shared" si="38"/>
        <v>-756.43119876957519</v>
      </c>
      <c r="Y127" s="277">
        <f t="shared" si="39"/>
        <v>4.0856668145019563</v>
      </c>
      <c r="AA127" s="278"/>
      <c r="AB127" s="277"/>
      <c r="AG127" s="242"/>
      <c r="AH127" s="174"/>
    </row>
    <row r="128" spans="2:34">
      <c r="B128" s="266">
        <f t="shared" si="43"/>
        <v>7</v>
      </c>
      <c r="C128" s="266"/>
      <c r="D128" s="175">
        <f t="shared" si="27"/>
        <v>83</v>
      </c>
      <c r="E128" s="267">
        <f t="shared" si="28"/>
        <v>44562</v>
      </c>
      <c r="F128" s="268">
        <f t="shared" si="34"/>
        <v>6.4899999999999999E-2</v>
      </c>
      <c r="G128" s="270">
        <f t="shared" si="45"/>
        <v>53.031999999999996</v>
      </c>
      <c r="H128" s="270">
        <f t="shared" si="29"/>
        <v>0</v>
      </c>
      <c r="I128" s="270">
        <f t="shared" si="30"/>
        <v>0</v>
      </c>
      <c r="J128" s="270">
        <f t="shared" si="35"/>
        <v>39.433809775686498</v>
      </c>
      <c r="K128" s="271">
        <f t="shared" si="31"/>
        <v>92.465809775686495</v>
      </c>
      <c r="L128" s="270">
        <f t="shared" si="32"/>
        <v>9766.1665450290093</v>
      </c>
      <c r="M128" s="242">
        <f>IF(D128="","",SUM(G$46:G128))</f>
        <v>5454.0169519999999</v>
      </c>
      <c r="N128" s="242">
        <f>IF(D128="","",SUM(J$46:J128))</f>
        <v>7361.6734549709963</v>
      </c>
      <c r="P128" s="245"/>
      <c r="Q128" s="277">
        <f t="shared" si="33"/>
        <v>129.07180926617409</v>
      </c>
      <c r="R128" s="277">
        <f t="shared" si="44"/>
        <v>38.079329465548255</v>
      </c>
      <c r="S128" s="277">
        <f t="shared" si="42"/>
        <v>90.99247980062583</v>
      </c>
      <c r="T128" s="277">
        <f t="shared" si="36"/>
        <v>0</v>
      </c>
      <c r="U128" s="277">
        <f t="shared" si="40"/>
        <v>90.99247980062583</v>
      </c>
      <c r="V128" s="277">
        <f t="shared" si="37"/>
        <v>-92.465809775686495</v>
      </c>
      <c r="W128" s="277">
        <f t="shared" si="41"/>
        <v>0</v>
      </c>
      <c r="X128" s="273">
        <f t="shared" si="38"/>
        <v>-757.90452874463585</v>
      </c>
      <c r="Y128" s="277">
        <f t="shared" si="39"/>
        <v>4.0692360604287545</v>
      </c>
      <c r="AA128" s="278"/>
      <c r="AB128" s="277"/>
      <c r="AG128" s="242"/>
      <c r="AH128" s="174"/>
    </row>
    <row r="129" spans="2:34">
      <c r="B129" s="266">
        <f t="shared" si="43"/>
        <v>7</v>
      </c>
      <c r="C129" s="266"/>
      <c r="D129" s="175">
        <f t="shared" si="27"/>
        <v>84</v>
      </c>
      <c r="E129" s="267">
        <f t="shared" si="28"/>
        <v>44593</v>
      </c>
      <c r="F129" s="268">
        <f t="shared" si="34"/>
        <v>6.4899999999999999E-2</v>
      </c>
      <c r="G129" s="270">
        <f t="shared" si="45"/>
        <v>52.8187</v>
      </c>
      <c r="H129" s="270">
        <f t="shared" si="29"/>
        <v>0</v>
      </c>
      <c r="I129" s="270">
        <f t="shared" si="30"/>
        <v>0</v>
      </c>
      <c r="J129" s="270">
        <f t="shared" si="35"/>
        <v>39.647109775686495</v>
      </c>
      <c r="K129" s="271">
        <f t="shared" si="31"/>
        <v>92.465809775686495</v>
      </c>
      <c r="L129" s="270">
        <f t="shared" si="32"/>
        <v>9726.5194352533235</v>
      </c>
      <c r="M129" s="242">
        <f>IF(D129="","",SUM(G$46:G129))</f>
        <v>5506.8356519999998</v>
      </c>
      <c r="N129" s="242">
        <f>IF(D129="","",SUM(J$46:J129))</f>
        <v>7401.320564746683</v>
      </c>
      <c r="P129" s="245"/>
      <c r="Q129" s="277">
        <f t="shared" si="33"/>
        <v>129.07180926617409</v>
      </c>
      <c r="R129" s="277">
        <f t="shared" si="44"/>
        <v>38.079329465548255</v>
      </c>
      <c r="S129" s="277">
        <f t="shared" si="42"/>
        <v>90.99247980062583</v>
      </c>
      <c r="T129" s="277">
        <f t="shared" si="36"/>
        <v>0</v>
      </c>
      <c r="U129" s="277">
        <f t="shared" si="40"/>
        <v>90.99247980062583</v>
      </c>
      <c r="V129" s="277">
        <f t="shared" si="37"/>
        <v>-92.465809775686495</v>
      </c>
      <c r="W129" s="277">
        <f t="shared" si="41"/>
        <v>0</v>
      </c>
      <c r="X129" s="273">
        <f t="shared" si="38"/>
        <v>-759.37785871969652</v>
      </c>
      <c r="Y129" s="277">
        <f t="shared" si="39"/>
        <v>4.0527164313555515</v>
      </c>
      <c r="AA129" s="278"/>
      <c r="AB129" s="277"/>
      <c r="AG129" s="242"/>
      <c r="AH129" s="174"/>
    </row>
    <row r="130" spans="2:34">
      <c r="B130" s="266">
        <f t="shared" si="43"/>
        <v>8</v>
      </c>
      <c r="C130" s="266"/>
      <c r="D130" s="175">
        <f t="shared" si="27"/>
        <v>85</v>
      </c>
      <c r="E130" s="267">
        <f t="shared" si="28"/>
        <v>44621</v>
      </c>
      <c r="F130" s="268">
        <f t="shared" si="34"/>
        <v>6.4899999999999999E-2</v>
      </c>
      <c r="G130" s="270">
        <f t="shared" si="45"/>
        <v>52.604300000000002</v>
      </c>
      <c r="H130" s="270">
        <f t="shared" si="29"/>
        <v>0</v>
      </c>
      <c r="I130" s="270">
        <f t="shared" si="30"/>
        <v>0</v>
      </c>
      <c r="J130" s="270">
        <f t="shared" si="35"/>
        <v>39.861509775686493</v>
      </c>
      <c r="K130" s="271">
        <f t="shared" si="31"/>
        <v>92.465809775686495</v>
      </c>
      <c r="L130" s="270">
        <f t="shared" si="32"/>
        <v>9686.657925477637</v>
      </c>
      <c r="M130" s="242">
        <f>IF(D130="","",SUM(G$46:G130))</f>
        <v>5559.4399519999997</v>
      </c>
      <c r="N130" s="242">
        <f>IF(D130="","",SUM(J$46:J130))</f>
        <v>7441.1820745223695</v>
      </c>
      <c r="P130" s="245"/>
      <c r="Q130" s="277">
        <f t="shared" si="33"/>
        <v>133.58932259049018</v>
      </c>
      <c r="R130" s="277">
        <f>Q130-S130</f>
        <v>39.882992079810691</v>
      </c>
      <c r="S130" s="277">
        <f t="shared" si="42"/>
        <v>93.706330510679493</v>
      </c>
      <c r="T130" s="277">
        <f t="shared" si="36"/>
        <v>0</v>
      </c>
      <c r="U130" s="277">
        <f t="shared" si="40"/>
        <v>93.706330510679493</v>
      </c>
      <c r="V130" s="277">
        <f t="shared" si="37"/>
        <v>-92.465809775686495</v>
      </c>
      <c r="W130" s="277">
        <f t="shared" si="41"/>
        <v>1.2405207349929981</v>
      </c>
      <c r="X130" s="273">
        <f t="shared" si="38"/>
        <v>-758.13733798470355</v>
      </c>
      <c r="Y130" s="277">
        <f t="shared" si="39"/>
        <v>4.0361074689490151</v>
      </c>
      <c r="AA130" s="278"/>
      <c r="AB130" s="277"/>
      <c r="AG130" s="242"/>
      <c r="AH130" s="174"/>
    </row>
    <row r="131" spans="2:34">
      <c r="B131" s="266">
        <f t="shared" si="43"/>
        <v>8</v>
      </c>
      <c r="C131" s="266"/>
      <c r="D131" s="175">
        <f t="shared" si="27"/>
        <v>86</v>
      </c>
      <c r="E131" s="267">
        <f t="shared" si="28"/>
        <v>44652</v>
      </c>
      <c r="F131" s="268">
        <f t="shared" si="34"/>
        <v>6.4899999999999999E-2</v>
      </c>
      <c r="G131" s="270">
        <f t="shared" si="45"/>
        <v>52.3887</v>
      </c>
      <c r="H131" s="270">
        <f t="shared" si="29"/>
        <v>0</v>
      </c>
      <c r="I131" s="270">
        <f t="shared" si="30"/>
        <v>0</v>
      </c>
      <c r="J131" s="270">
        <f t="shared" si="35"/>
        <v>40.077109775686495</v>
      </c>
      <c r="K131" s="271">
        <f t="shared" si="31"/>
        <v>92.465809775686495</v>
      </c>
      <c r="L131" s="270">
        <f t="shared" si="32"/>
        <v>9646.580815701951</v>
      </c>
      <c r="M131" s="242">
        <f>IF(D131="","",SUM(G$46:G131))</f>
        <v>5611.8286520000001</v>
      </c>
      <c r="N131" s="242">
        <f>IF(D131="","",SUM(J$46:J131))</f>
        <v>7481.2591842980564</v>
      </c>
      <c r="P131" s="245"/>
      <c r="Q131" s="277">
        <f t="shared" si="33"/>
        <v>133.58932259049018</v>
      </c>
      <c r="R131" s="277">
        <f t="shared" ref="R131:R141" si="46">Q131-S131</f>
        <v>39.882992079810691</v>
      </c>
      <c r="S131" s="277">
        <f t="shared" si="42"/>
        <v>93.706330510679493</v>
      </c>
      <c r="T131" s="277">
        <f t="shared" si="36"/>
        <v>0</v>
      </c>
      <c r="U131" s="277">
        <f t="shared" si="40"/>
        <v>93.706330510679493</v>
      </c>
      <c r="V131" s="277">
        <f t="shared" si="37"/>
        <v>-92.465809775686495</v>
      </c>
      <c r="W131" s="277">
        <f t="shared" si="41"/>
        <v>1.2405207349929981</v>
      </c>
      <c r="X131" s="273">
        <f t="shared" si="38"/>
        <v>-756.89681724971058</v>
      </c>
      <c r="Y131" s="277">
        <f t="shared" si="39"/>
        <v>4.0194086732091465</v>
      </c>
      <c r="AA131" s="278"/>
      <c r="AB131" s="277"/>
      <c r="AG131" s="242"/>
      <c r="AH131" s="174"/>
    </row>
    <row r="132" spans="2:34">
      <c r="B132" s="266">
        <f t="shared" si="43"/>
        <v>8</v>
      </c>
      <c r="C132" s="266"/>
      <c r="D132" s="175">
        <f t="shared" si="27"/>
        <v>87</v>
      </c>
      <c r="E132" s="267">
        <f t="shared" si="28"/>
        <v>44682</v>
      </c>
      <c r="F132" s="268">
        <f t="shared" si="34"/>
        <v>6.4899999999999999E-2</v>
      </c>
      <c r="G132" s="270">
        <f t="shared" si="45"/>
        <v>52.171900000000001</v>
      </c>
      <c r="H132" s="270">
        <f t="shared" si="29"/>
        <v>0</v>
      </c>
      <c r="I132" s="270">
        <f t="shared" si="30"/>
        <v>0</v>
      </c>
      <c r="J132" s="270">
        <f t="shared" si="35"/>
        <v>40.293909775686494</v>
      </c>
      <c r="K132" s="271">
        <f t="shared" si="31"/>
        <v>92.465809775686495</v>
      </c>
      <c r="L132" s="270">
        <f t="shared" si="32"/>
        <v>9606.2869059262648</v>
      </c>
      <c r="M132" s="242">
        <f>IF(D132="","",SUM(G$46:G132))</f>
        <v>5664.0005520000004</v>
      </c>
      <c r="N132" s="242">
        <f>IF(D132="","",SUM(J$46:J132))</f>
        <v>7521.5530940737426</v>
      </c>
      <c r="P132" s="245"/>
      <c r="Q132" s="277">
        <f t="shared" si="33"/>
        <v>133.58932259049018</v>
      </c>
      <c r="R132" s="277">
        <f t="shared" si="46"/>
        <v>39.882992079810691</v>
      </c>
      <c r="S132" s="277">
        <f t="shared" si="42"/>
        <v>93.706330510679493</v>
      </c>
      <c r="T132" s="277">
        <f t="shared" si="36"/>
        <v>0</v>
      </c>
      <c r="U132" s="277">
        <f t="shared" si="40"/>
        <v>93.706330510679493</v>
      </c>
      <c r="V132" s="277">
        <f t="shared" si="37"/>
        <v>-92.465809775686495</v>
      </c>
      <c r="W132" s="277">
        <f t="shared" si="41"/>
        <v>1.2405207349929981</v>
      </c>
      <c r="X132" s="273">
        <f t="shared" si="38"/>
        <v>-755.65629651471761</v>
      </c>
      <c r="Y132" s="277">
        <f t="shared" si="39"/>
        <v>4.0026195441359436</v>
      </c>
      <c r="AA132" s="278"/>
      <c r="AB132" s="277"/>
      <c r="AG132" s="242"/>
      <c r="AH132" s="174"/>
    </row>
    <row r="133" spans="2:34">
      <c r="B133" s="266">
        <f t="shared" si="43"/>
        <v>8</v>
      </c>
      <c r="C133" s="266"/>
      <c r="D133" s="175">
        <f t="shared" si="27"/>
        <v>88</v>
      </c>
      <c r="E133" s="267">
        <f t="shared" si="28"/>
        <v>44713</v>
      </c>
      <c r="F133" s="268">
        <f t="shared" si="34"/>
        <v>6.4899999999999999E-2</v>
      </c>
      <c r="G133" s="270">
        <f t="shared" si="45"/>
        <v>51.954000000000001</v>
      </c>
      <c r="H133" s="270">
        <f t="shared" si="29"/>
        <v>0</v>
      </c>
      <c r="I133" s="270">
        <f t="shared" si="30"/>
        <v>0</v>
      </c>
      <c r="J133" s="270">
        <f t="shared" si="35"/>
        <v>40.511809775686494</v>
      </c>
      <c r="K133" s="271">
        <f t="shared" si="31"/>
        <v>92.465809775686495</v>
      </c>
      <c r="L133" s="270">
        <f t="shared" si="32"/>
        <v>9565.775096150579</v>
      </c>
      <c r="M133" s="242">
        <f>IF(D133="","",SUM(G$46:G133))</f>
        <v>5715.9545520000001</v>
      </c>
      <c r="N133" s="242">
        <f>IF(D133="","",SUM(J$46:J133))</f>
        <v>7562.0649038494294</v>
      </c>
      <c r="P133" s="245"/>
      <c r="Q133" s="277">
        <f t="shared" si="33"/>
        <v>133.58932259049018</v>
      </c>
      <c r="R133" s="277">
        <f t="shared" si="46"/>
        <v>39.882992079810691</v>
      </c>
      <c r="S133" s="277">
        <f t="shared" si="42"/>
        <v>93.706330510679493</v>
      </c>
      <c r="T133" s="277">
        <f t="shared" si="36"/>
        <v>0</v>
      </c>
      <c r="U133" s="277">
        <f t="shared" si="40"/>
        <v>93.706330510679493</v>
      </c>
      <c r="V133" s="277">
        <f t="shared" si="37"/>
        <v>-92.465809775686495</v>
      </c>
      <c r="W133" s="277">
        <f t="shared" si="41"/>
        <v>1.2405207349929981</v>
      </c>
      <c r="X133" s="273">
        <f t="shared" si="38"/>
        <v>-754.41577577972464</v>
      </c>
      <c r="Y133" s="277">
        <f t="shared" si="39"/>
        <v>3.9857396233960749</v>
      </c>
      <c r="AA133" s="278"/>
      <c r="AB133" s="277"/>
      <c r="AC133" s="280"/>
      <c r="AG133" s="242"/>
      <c r="AH133" s="174"/>
    </row>
    <row r="134" spans="2:34">
      <c r="B134" s="266">
        <f t="shared" si="43"/>
        <v>8</v>
      </c>
      <c r="C134" s="266"/>
      <c r="D134" s="175">
        <f t="shared" si="27"/>
        <v>89</v>
      </c>
      <c r="E134" s="267">
        <f t="shared" si="28"/>
        <v>44743</v>
      </c>
      <c r="F134" s="268">
        <f t="shared" si="34"/>
        <v>6.4899999999999999E-2</v>
      </c>
      <c r="G134" s="270">
        <f t="shared" si="45"/>
        <v>51.734900000000003</v>
      </c>
      <c r="H134" s="270">
        <f t="shared" si="29"/>
        <v>0</v>
      </c>
      <c r="I134" s="270">
        <f t="shared" si="30"/>
        <v>0</v>
      </c>
      <c r="J134" s="270">
        <f t="shared" si="35"/>
        <v>40.730909775686492</v>
      </c>
      <c r="K134" s="271">
        <f t="shared" si="31"/>
        <v>92.465809775686495</v>
      </c>
      <c r="L134" s="270">
        <f t="shared" si="32"/>
        <v>9525.0441863748929</v>
      </c>
      <c r="M134" s="242">
        <f>IF(D134="","",SUM(G$46:G134))</f>
        <v>5767.6894520000005</v>
      </c>
      <c r="N134" s="242">
        <f>IF(D134="","",SUM(J$46:J134))</f>
        <v>7602.7958136251154</v>
      </c>
      <c r="P134" s="245"/>
      <c r="Q134" s="277">
        <f t="shared" si="33"/>
        <v>133.58932259049018</v>
      </c>
      <c r="R134" s="277">
        <f t="shared" si="46"/>
        <v>39.882992079810691</v>
      </c>
      <c r="S134" s="277">
        <f t="shared" si="42"/>
        <v>93.706330510679493</v>
      </c>
      <c r="T134" s="277">
        <f t="shared" si="36"/>
        <v>0</v>
      </c>
      <c r="U134" s="277">
        <f t="shared" si="40"/>
        <v>93.706330510679493</v>
      </c>
      <c r="V134" s="277">
        <f t="shared" si="37"/>
        <v>-92.465809775686495</v>
      </c>
      <c r="W134" s="277">
        <f t="shared" si="41"/>
        <v>1.2405207349929981</v>
      </c>
      <c r="X134" s="273">
        <f t="shared" si="38"/>
        <v>-753.17525504473167</v>
      </c>
      <c r="Y134" s="277">
        <f t="shared" si="39"/>
        <v>3.9687684109895387</v>
      </c>
      <c r="AA134" s="278"/>
      <c r="AB134" s="277"/>
      <c r="AG134" s="242"/>
      <c r="AH134" s="174"/>
    </row>
    <row r="135" spans="2:34">
      <c r="B135" s="266">
        <f t="shared" si="43"/>
        <v>8</v>
      </c>
      <c r="C135" s="266"/>
      <c r="D135" s="175">
        <f t="shared" si="27"/>
        <v>90</v>
      </c>
      <c r="E135" s="267">
        <f t="shared" si="28"/>
        <v>44774</v>
      </c>
      <c r="F135" s="268">
        <f t="shared" si="34"/>
        <v>6.4899999999999999E-2</v>
      </c>
      <c r="G135" s="270">
        <f t="shared" si="45"/>
        <v>51.514600000000002</v>
      </c>
      <c r="H135" s="270">
        <f t="shared" si="29"/>
        <v>0</v>
      </c>
      <c r="I135" s="270">
        <f t="shared" si="30"/>
        <v>0</v>
      </c>
      <c r="J135" s="270">
        <f t="shared" si="35"/>
        <v>40.951209775686493</v>
      </c>
      <c r="K135" s="271">
        <f t="shared" si="31"/>
        <v>92.465809775686495</v>
      </c>
      <c r="L135" s="270">
        <f t="shared" si="32"/>
        <v>9484.0929765992059</v>
      </c>
      <c r="M135" s="242">
        <f>IF(D135="","",SUM(G$46:G135))</f>
        <v>5819.204052000001</v>
      </c>
      <c r="N135" s="242">
        <f>IF(D135="","",SUM(J$46:J135))</f>
        <v>7643.7470234008015</v>
      </c>
      <c r="P135" s="245"/>
      <c r="Q135" s="277">
        <f t="shared" si="33"/>
        <v>133.58932259049018</v>
      </c>
      <c r="R135" s="277">
        <f t="shared" si="46"/>
        <v>39.882992079810691</v>
      </c>
      <c r="S135" s="277">
        <f t="shared" si="42"/>
        <v>93.706330510679493</v>
      </c>
      <c r="T135" s="277">
        <f t="shared" si="36"/>
        <v>0</v>
      </c>
      <c r="U135" s="277">
        <f t="shared" si="40"/>
        <v>93.706330510679493</v>
      </c>
      <c r="V135" s="277">
        <f t="shared" si="37"/>
        <v>-92.465809775686495</v>
      </c>
      <c r="W135" s="277">
        <f t="shared" si="41"/>
        <v>1.2405207349929981</v>
      </c>
      <c r="X135" s="273">
        <f t="shared" si="38"/>
        <v>-751.9347343097387</v>
      </c>
      <c r="Y135" s="277">
        <f t="shared" si="39"/>
        <v>3.9517054069163358</v>
      </c>
      <c r="AA135" s="278"/>
      <c r="AB135" s="277"/>
      <c r="AG135" s="242"/>
      <c r="AH135" s="174"/>
    </row>
    <row r="136" spans="2:34">
      <c r="B136" s="266">
        <f t="shared" si="43"/>
        <v>8</v>
      </c>
      <c r="C136" s="266"/>
      <c r="D136" s="175">
        <f t="shared" si="27"/>
        <v>91</v>
      </c>
      <c r="E136" s="267">
        <f t="shared" si="28"/>
        <v>44805</v>
      </c>
      <c r="F136" s="268">
        <f t="shared" si="34"/>
        <v>6.4899999999999999E-2</v>
      </c>
      <c r="G136" s="270">
        <f t="shared" si="45"/>
        <v>51.293100000000003</v>
      </c>
      <c r="H136" s="270">
        <f t="shared" si="29"/>
        <v>0</v>
      </c>
      <c r="I136" s="270">
        <f t="shared" si="30"/>
        <v>0</v>
      </c>
      <c r="J136" s="270">
        <f t="shared" si="35"/>
        <v>41.172709775686492</v>
      </c>
      <c r="K136" s="271">
        <f t="shared" si="31"/>
        <v>92.465809775686495</v>
      </c>
      <c r="L136" s="270">
        <f t="shared" si="32"/>
        <v>9442.9202668235193</v>
      </c>
      <c r="M136" s="242">
        <f>IF(D136="","",SUM(G$46:G136))</f>
        <v>5870.4971520000008</v>
      </c>
      <c r="N136" s="242">
        <f>IF(D136="","",SUM(J$46:J136))</f>
        <v>7684.9197331764881</v>
      </c>
      <c r="P136" s="245"/>
      <c r="Q136" s="277">
        <f t="shared" si="33"/>
        <v>133.58932259049018</v>
      </c>
      <c r="R136" s="277">
        <f t="shared" si="46"/>
        <v>39.882992079810691</v>
      </c>
      <c r="S136" s="277">
        <f t="shared" si="42"/>
        <v>93.706330510679493</v>
      </c>
      <c r="T136" s="277">
        <f t="shared" si="36"/>
        <v>0</v>
      </c>
      <c r="U136" s="277">
        <f t="shared" si="40"/>
        <v>93.706330510679493</v>
      </c>
      <c r="V136" s="277">
        <f t="shared" si="37"/>
        <v>-92.465809775686495</v>
      </c>
      <c r="W136" s="277">
        <f t="shared" si="41"/>
        <v>1.2405207349929981</v>
      </c>
      <c r="X136" s="273">
        <f t="shared" si="38"/>
        <v>-750.69421357474573</v>
      </c>
      <c r="Y136" s="277">
        <f t="shared" si="39"/>
        <v>3.9345501111764665</v>
      </c>
      <c r="AA136" s="278"/>
      <c r="AB136" s="277"/>
      <c r="AG136" s="242"/>
      <c r="AH136" s="174"/>
    </row>
    <row r="137" spans="2:34">
      <c r="B137" s="266">
        <f t="shared" si="43"/>
        <v>8</v>
      </c>
      <c r="C137" s="266"/>
      <c r="D137" s="175">
        <f t="shared" si="27"/>
        <v>92</v>
      </c>
      <c r="E137" s="267">
        <f t="shared" si="28"/>
        <v>44835</v>
      </c>
      <c r="F137" s="268">
        <f t="shared" si="34"/>
        <v>6.4899999999999999E-2</v>
      </c>
      <c r="G137" s="270">
        <f t="shared" si="45"/>
        <v>51.070500000000003</v>
      </c>
      <c r="H137" s="270">
        <f t="shared" si="29"/>
        <v>0</v>
      </c>
      <c r="I137" s="270">
        <f t="shared" si="30"/>
        <v>0</v>
      </c>
      <c r="J137" s="270">
        <f t="shared" si="35"/>
        <v>41.395309775686492</v>
      </c>
      <c r="K137" s="271">
        <f t="shared" si="31"/>
        <v>92.465809775686495</v>
      </c>
      <c r="L137" s="270">
        <f t="shared" si="32"/>
        <v>9401.5249570478336</v>
      </c>
      <c r="M137" s="242">
        <f>IF(D137="","",SUM(G$46:G137))</f>
        <v>5921.5676520000006</v>
      </c>
      <c r="N137" s="242">
        <f>IF(D137="","",SUM(J$46:J137))</f>
        <v>7726.3150429521747</v>
      </c>
      <c r="P137" s="245"/>
      <c r="Q137" s="277">
        <f t="shared" si="33"/>
        <v>133.58932259049018</v>
      </c>
      <c r="R137" s="277">
        <f t="shared" si="46"/>
        <v>39.882992079810691</v>
      </c>
      <c r="S137" s="277">
        <f t="shared" si="42"/>
        <v>93.706330510679493</v>
      </c>
      <c r="T137" s="277">
        <f t="shared" si="36"/>
        <v>0</v>
      </c>
      <c r="U137" s="277">
        <f t="shared" si="40"/>
        <v>93.706330510679493</v>
      </c>
      <c r="V137" s="277">
        <f t="shared" si="37"/>
        <v>-92.465809775686495</v>
      </c>
      <c r="W137" s="277">
        <f t="shared" si="41"/>
        <v>1.2405207349929981</v>
      </c>
      <c r="X137" s="273">
        <f t="shared" si="38"/>
        <v>-749.45369283975276</v>
      </c>
      <c r="Y137" s="277">
        <f t="shared" si="39"/>
        <v>3.9173020654365973</v>
      </c>
      <c r="AA137" s="278"/>
      <c r="AB137" s="277"/>
      <c r="AG137" s="242"/>
      <c r="AH137" s="174"/>
    </row>
    <row r="138" spans="2:34">
      <c r="B138" s="266">
        <f t="shared" si="43"/>
        <v>8</v>
      </c>
      <c r="C138" s="266"/>
      <c r="D138" s="175">
        <f t="shared" si="27"/>
        <v>93</v>
      </c>
      <c r="E138" s="267">
        <f t="shared" si="28"/>
        <v>44866</v>
      </c>
      <c r="F138" s="268">
        <f t="shared" si="34"/>
        <v>6.4899999999999999E-2</v>
      </c>
      <c r="G138" s="270">
        <f t="shared" si="45"/>
        <v>50.846600000000002</v>
      </c>
      <c r="H138" s="270">
        <f t="shared" si="29"/>
        <v>0</v>
      </c>
      <c r="I138" s="270">
        <f t="shared" si="30"/>
        <v>0</v>
      </c>
      <c r="J138" s="270">
        <f t="shared" si="35"/>
        <v>41.619209775686492</v>
      </c>
      <c r="K138" s="271">
        <f t="shared" si="31"/>
        <v>92.465809775686495</v>
      </c>
      <c r="L138" s="270">
        <f t="shared" si="32"/>
        <v>9359.905747272147</v>
      </c>
      <c r="M138" s="242">
        <f>IF(D138="","",SUM(G$46:G138))</f>
        <v>5972.4142520000005</v>
      </c>
      <c r="N138" s="242">
        <f>IF(D138="","",SUM(J$46:J138))</f>
        <v>7767.9342527278613</v>
      </c>
      <c r="P138" s="245"/>
      <c r="Q138" s="277">
        <f t="shared" si="33"/>
        <v>133.58932259049018</v>
      </c>
      <c r="R138" s="277">
        <f t="shared" si="46"/>
        <v>39.882992079810691</v>
      </c>
      <c r="S138" s="277">
        <f t="shared" si="42"/>
        <v>93.706330510679493</v>
      </c>
      <c r="T138" s="277">
        <f t="shared" si="36"/>
        <v>0</v>
      </c>
      <c r="U138" s="277">
        <f t="shared" si="40"/>
        <v>93.706330510679493</v>
      </c>
      <c r="V138" s="277">
        <f t="shared" si="37"/>
        <v>-92.465809775686495</v>
      </c>
      <c r="W138" s="277">
        <f t="shared" si="41"/>
        <v>1.2405207349929981</v>
      </c>
      <c r="X138" s="273">
        <f t="shared" si="38"/>
        <v>-748.21317210475979</v>
      </c>
      <c r="Y138" s="277">
        <f t="shared" si="39"/>
        <v>3.8999607280300612</v>
      </c>
      <c r="AA138" s="278"/>
      <c r="AB138" s="277"/>
      <c r="AG138" s="242"/>
      <c r="AH138" s="174"/>
    </row>
    <row r="139" spans="2:34">
      <c r="B139" s="266">
        <f t="shared" si="43"/>
        <v>8</v>
      </c>
      <c r="C139" s="266"/>
      <c r="D139" s="175">
        <f t="shared" si="27"/>
        <v>94</v>
      </c>
      <c r="E139" s="267">
        <f t="shared" si="28"/>
        <v>44896</v>
      </c>
      <c r="F139" s="268">
        <f t="shared" si="34"/>
        <v>6.4899999999999999E-2</v>
      </c>
      <c r="G139" s="270">
        <f t="shared" si="45"/>
        <v>50.621499999999997</v>
      </c>
      <c r="H139" s="270">
        <f t="shared" si="29"/>
        <v>0</v>
      </c>
      <c r="I139" s="270">
        <f t="shared" si="30"/>
        <v>0</v>
      </c>
      <c r="J139" s="270">
        <f t="shared" si="35"/>
        <v>41.844309775686497</v>
      </c>
      <c r="K139" s="271">
        <f t="shared" si="31"/>
        <v>92.465809775686495</v>
      </c>
      <c r="L139" s="270">
        <f t="shared" si="32"/>
        <v>9318.0614374964607</v>
      </c>
      <c r="M139" s="242">
        <f>IF(D139="","",SUM(G$46:G139))</f>
        <v>6023.0357520000007</v>
      </c>
      <c r="N139" s="242">
        <f>IF(D139="","",SUM(J$46:J139))</f>
        <v>7809.7785625035476</v>
      </c>
      <c r="P139" s="245"/>
      <c r="Q139" s="277">
        <f t="shared" si="33"/>
        <v>133.58932259049018</v>
      </c>
      <c r="R139" s="277">
        <f t="shared" si="46"/>
        <v>39.882992079810691</v>
      </c>
      <c r="S139" s="277">
        <f t="shared" si="42"/>
        <v>93.706330510679493</v>
      </c>
      <c r="T139" s="277">
        <f t="shared" si="36"/>
        <v>0</v>
      </c>
      <c r="U139" s="277">
        <f t="shared" si="40"/>
        <v>93.706330510679493</v>
      </c>
      <c r="V139" s="277">
        <f t="shared" si="37"/>
        <v>-92.465809775686495</v>
      </c>
      <c r="W139" s="277">
        <f t="shared" si="41"/>
        <v>1.2405207349929981</v>
      </c>
      <c r="X139" s="273">
        <f t="shared" si="38"/>
        <v>-746.97265136976682</v>
      </c>
      <c r="Y139" s="277">
        <f t="shared" si="39"/>
        <v>3.8825255989568586</v>
      </c>
      <c r="AA139" s="278"/>
      <c r="AB139" s="277"/>
      <c r="AG139" s="242"/>
      <c r="AH139" s="174"/>
    </row>
    <row r="140" spans="2:34">
      <c r="B140" s="266">
        <f t="shared" si="43"/>
        <v>8</v>
      </c>
      <c r="C140" s="266"/>
      <c r="D140" s="175">
        <f t="shared" si="27"/>
        <v>95</v>
      </c>
      <c r="E140" s="267">
        <f t="shared" si="28"/>
        <v>44927</v>
      </c>
      <c r="F140" s="268">
        <f t="shared" si="34"/>
        <v>6.4899999999999999E-2</v>
      </c>
      <c r="G140" s="270">
        <f t="shared" si="45"/>
        <v>50.395200000000003</v>
      </c>
      <c r="H140" s="270">
        <f t="shared" si="29"/>
        <v>0</v>
      </c>
      <c r="I140" s="270">
        <f t="shared" si="30"/>
        <v>0</v>
      </c>
      <c r="J140" s="270">
        <f t="shared" si="35"/>
        <v>42.070609775686492</v>
      </c>
      <c r="K140" s="271">
        <f t="shared" si="31"/>
        <v>92.465809775686495</v>
      </c>
      <c r="L140" s="270">
        <f t="shared" si="32"/>
        <v>9275.9908277207742</v>
      </c>
      <c r="M140" s="242">
        <f>IF(D140="","",SUM(G$46:G140))</f>
        <v>6073.4309520000006</v>
      </c>
      <c r="N140" s="242">
        <f>IF(D140="","",SUM(J$46:J140))</f>
        <v>7851.8491722792342</v>
      </c>
      <c r="P140" s="245"/>
      <c r="Q140" s="277">
        <f t="shared" si="33"/>
        <v>133.58932259049018</v>
      </c>
      <c r="R140" s="277">
        <f t="shared" si="46"/>
        <v>39.882992079810691</v>
      </c>
      <c r="S140" s="277">
        <f t="shared" si="42"/>
        <v>93.706330510679493</v>
      </c>
      <c r="T140" s="277">
        <f t="shared" si="36"/>
        <v>0</v>
      </c>
      <c r="U140" s="277">
        <f t="shared" si="40"/>
        <v>93.706330510679493</v>
      </c>
      <c r="V140" s="277">
        <f t="shared" si="37"/>
        <v>-92.465809775686495</v>
      </c>
      <c r="W140" s="277">
        <f t="shared" si="41"/>
        <v>1.2405207349929981</v>
      </c>
      <c r="X140" s="273">
        <f t="shared" si="38"/>
        <v>-745.73213063477385</v>
      </c>
      <c r="Y140" s="277">
        <f t="shared" si="39"/>
        <v>3.8649961782169893</v>
      </c>
      <c r="AA140" s="278"/>
      <c r="AB140" s="277"/>
      <c r="AG140" s="242"/>
      <c r="AH140" s="174"/>
    </row>
    <row r="141" spans="2:34">
      <c r="B141" s="266">
        <f t="shared" si="43"/>
        <v>8</v>
      </c>
      <c r="C141" s="266"/>
      <c r="D141" s="175">
        <f t="shared" si="27"/>
        <v>96</v>
      </c>
      <c r="E141" s="267">
        <f t="shared" si="28"/>
        <v>44958</v>
      </c>
      <c r="F141" s="268">
        <f t="shared" si="34"/>
        <v>6.4899999999999999E-2</v>
      </c>
      <c r="G141" s="270">
        <f t="shared" si="45"/>
        <v>50.167700000000004</v>
      </c>
      <c r="H141" s="270">
        <f t="shared" si="29"/>
        <v>0</v>
      </c>
      <c r="I141" s="270">
        <f t="shared" si="30"/>
        <v>0</v>
      </c>
      <c r="J141" s="270">
        <f t="shared" si="35"/>
        <v>42.298109775686491</v>
      </c>
      <c r="K141" s="271">
        <f t="shared" si="31"/>
        <v>92.465809775686495</v>
      </c>
      <c r="L141" s="270">
        <f t="shared" si="32"/>
        <v>9233.6927179450886</v>
      </c>
      <c r="M141" s="242">
        <f>IF(D141="","",SUM(G$46:G141))</f>
        <v>6123.5986520000006</v>
      </c>
      <c r="N141" s="242">
        <f>IF(D141="","",SUM(J$46:J141))</f>
        <v>7894.1472820549207</v>
      </c>
      <c r="P141" s="245"/>
      <c r="Q141" s="277">
        <f t="shared" si="33"/>
        <v>133.58932259049018</v>
      </c>
      <c r="R141" s="277">
        <f t="shared" si="46"/>
        <v>39.882992079810691</v>
      </c>
      <c r="S141" s="277">
        <f t="shared" si="42"/>
        <v>93.706330510679493</v>
      </c>
      <c r="T141" s="277">
        <f t="shared" si="36"/>
        <v>0</v>
      </c>
      <c r="U141" s="277">
        <f t="shared" si="40"/>
        <v>93.706330510679493</v>
      </c>
      <c r="V141" s="277">
        <f t="shared" si="37"/>
        <v>-92.465809775686495</v>
      </c>
      <c r="W141" s="277">
        <f t="shared" si="41"/>
        <v>1.2405207349929981</v>
      </c>
      <c r="X141" s="273">
        <f t="shared" si="38"/>
        <v>-744.49160989978088</v>
      </c>
      <c r="Y141" s="277">
        <f t="shared" si="39"/>
        <v>3.8473719658104533</v>
      </c>
      <c r="AA141" s="278"/>
      <c r="AB141" s="277"/>
      <c r="AG141" s="242"/>
      <c r="AH141" s="174"/>
    </row>
    <row r="142" spans="2:34">
      <c r="B142" s="266">
        <f t="shared" si="43"/>
        <v>9</v>
      </c>
      <c r="C142" s="266"/>
      <c r="D142" s="175">
        <f t="shared" si="27"/>
        <v>97</v>
      </c>
      <c r="E142" s="267">
        <f t="shared" si="28"/>
        <v>44986</v>
      </c>
      <c r="F142" s="268">
        <f t="shared" si="34"/>
        <v>6.4899999999999999E-2</v>
      </c>
      <c r="G142" s="270">
        <f t="shared" si="45"/>
        <v>49.938899999999997</v>
      </c>
      <c r="H142" s="270">
        <f t="shared" si="29"/>
        <v>0</v>
      </c>
      <c r="I142" s="270">
        <f t="shared" si="30"/>
        <v>0</v>
      </c>
      <c r="J142" s="270">
        <f t="shared" si="35"/>
        <v>42.526909775686498</v>
      </c>
      <c r="K142" s="271">
        <f t="shared" si="31"/>
        <v>92.465809775686495</v>
      </c>
      <c r="L142" s="270">
        <f t="shared" si="32"/>
        <v>9191.1658081694022</v>
      </c>
      <c r="M142" s="242">
        <f>IF(D142="","",SUM(G$46:G142))</f>
        <v>6173.5375520000007</v>
      </c>
      <c r="N142" s="242">
        <f>IF(D142="","",SUM(J$46:J142))</f>
        <v>7936.674191830607</v>
      </c>
      <c r="P142" s="245"/>
      <c r="Q142" s="277">
        <f t="shared" si="33"/>
        <v>138.2649488811573</v>
      </c>
      <c r="R142" s="277">
        <f>Q142-S142</f>
        <v>41.763827062996796</v>
      </c>
      <c r="S142" s="277">
        <f t="shared" si="42"/>
        <v>96.501121818160499</v>
      </c>
      <c r="T142" s="277">
        <f t="shared" si="36"/>
        <v>0</v>
      </c>
      <c r="U142" s="277">
        <f t="shared" si="40"/>
        <v>96.501121818160499</v>
      </c>
      <c r="V142" s="277">
        <f t="shared" si="37"/>
        <v>-92.465809775686495</v>
      </c>
      <c r="W142" s="277">
        <f t="shared" si="41"/>
        <v>4.0353120424740041</v>
      </c>
      <c r="X142" s="273">
        <f t="shared" si="38"/>
        <v>-740.45629785730694</v>
      </c>
      <c r="Y142" s="277">
        <f t="shared" si="39"/>
        <v>3.8296524200705844</v>
      </c>
      <c r="AA142" s="278"/>
      <c r="AB142" s="277"/>
      <c r="AG142" s="242"/>
      <c r="AH142" s="174"/>
    </row>
    <row r="143" spans="2:34">
      <c r="B143" s="266">
        <f t="shared" si="43"/>
        <v>9</v>
      </c>
      <c r="C143" s="266"/>
      <c r="D143" s="175">
        <f t="shared" si="27"/>
        <v>98</v>
      </c>
      <c r="E143" s="267">
        <f t="shared" si="28"/>
        <v>45017</v>
      </c>
      <c r="F143" s="268">
        <f t="shared" si="34"/>
        <v>6.4899999999999999E-2</v>
      </c>
      <c r="G143" s="270">
        <f t="shared" si="45"/>
        <v>49.7089</v>
      </c>
      <c r="H143" s="270">
        <f t="shared" si="29"/>
        <v>0</v>
      </c>
      <c r="I143" s="270">
        <f t="shared" si="30"/>
        <v>0</v>
      </c>
      <c r="J143" s="270">
        <f t="shared" si="35"/>
        <v>42.756909775686495</v>
      </c>
      <c r="K143" s="271">
        <f t="shared" si="31"/>
        <v>92.465809775686495</v>
      </c>
      <c r="L143" s="270">
        <f t="shared" si="32"/>
        <v>9148.4088983937163</v>
      </c>
      <c r="M143" s="242">
        <f>IF(D143="","",SUM(G$46:G143))</f>
        <v>6223.2464520000003</v>
      </c>
      <c r="N143" s="242">
        <f>IF(D143="","",SUM(J$46:J143))</f>
        <v>7979.4311016062939</v>
      </c>
      <c r="P143" s="245"/>
      <c r="Q143" s="277">
        <f t="shared" si="33"/>
        <v>138.2649488811573</v>
      </c>
      <c r="R143" s="277">
        <f t="shared" ref="R143:R153" si="47">Q143-S143</f>
        <v>41.763827062996796</v>
      </c>
      <c r="S143" s="277">
        <f t="shared" si="42"/>
        <v>96.501121818160499</v>
      </c>
      <c r="T143" s="277">
        <f t="shared" si="36"/>
        <v>0</v>
      </c>
      <c r="U143" s="277">
        <f t="shared" si="40"/>
        <v>96.501121818160499</v>
      </c>
      <c r="V143" s="277">
        <f t="shared" si="37"/>
        <v>-92.465809775686495</v>
      </c>
      <c r="W143" s="277">
        <f t="shared" si="41"/>
        <v>4.0353120424740041</v>
      </c>
      <c r="X143" s="273">
        <f t="shared" si="38"/>
        <v>-736.42098581483287</v>
      </c>
      <c r="Y143" s="277">
        <f t="shared" si="39"/>
        <v>3.8118370409973821</v>
      </c>
      <c r="AA143" s="278"/>
      <c r="AB143" s="277"/>
      <c r="AG143" s="242"/>
      <c r="AH143" s="174"/>
    </row>
    <row r="144" spans="2:34">
      <c r="B144" s="266">
        <f t="shared" si="43"/>
        <v>9</v>
      </c>
      <c r="C144" s="266"/>
      <c r="D144" s="175">
        <f t="shared" si="27"/>
        <v>99</v>
      </c>
      <c r="E144" s="267">
        <f t="shared" si="28"/>
        <v>45047</v>
      </c>
      <c r="F144" s="268">
        <f t="shared" si="34"/>
        <v>6.4899999999999999E-2</v>
      </c>
      <c r="G144" s="270">
        <f t="shared" si="45"/>
        <v>49.477600000000002</v>
      </c>
      <c r="H144" s="270">
        <f t="shared" si="29"/>
        <v>0</v>
      </c>
      <c r="I144" s="270">
        <f t="shared" si="30"/>
        <v>0</v>
      </c>
      <c r="J144" s="270">
        <f t="shared" si="35"/>
        <v>42.988209775686492</v>
      </c>
      <c r="K144" s="271">
        <f t="shared" si="31"/>
        <v>92.465809775686495</v>
      </c>
      <c r="L144" s="270">
        <f t="shared" si="32"/>
        <v>9105.4206886180291</v>
      </c>
      <c r="M144" s="242">
        <f>IF(D144="","",SUM(G$46:G144))</f>
        <v>6272.7240520000005</v>
      </c>
      <c r="N144" s="242">
        <f>IF(D144="","",SUM(J$46:J144))</f>
        <v>8022.4193113819802</v>
      </c>
      <c r="P144" s="245"/>
      <c r="Q144" s="277">
        <f t="shared" si="33"/>
        <v>138.2649488811573</v>
      </c>
      <c r="R144" s="277">
        <f t="shared" si="47"/>
        <v>41.763827062996796</v>
      </c>
      <c r="S144" s="277">
        <f t="shared" si="42"/>
        <v>96.501121818160499</v>
      </c>
      <c r="T144" s="277">
        <f t="shared" si="36"/>
        <v>0</v>
      </c>
      <c r="U144" s="277">
        <f t="shared" si="40"/>
        <v>96.501121818160499</v>
      </c>
      <c r="V144" s="277">
        <f t="shared" si="37"/>
        <v>-92.465809775686495</v>
      </c>
      <c r="W144" s="277">
        <f t="shared" si="41"/>
        <v>4.0353120424740041</v>
      </c>
      <c r="X144" s="273">
        <f t="shared" si="38"/>
        <v>-732.38567377235881</v>
      </c>
      <c r="Y144" s="277">
        <f t="shared" si="39"/>
        <v>3.7939252869241789</v>
      </c>
      <c r="AA144" s="278"/>
      <c r="AB144" s="277"/>
      <c r="AG144" s="242"/>
      <c r="AH144" s="174"/>
    </row>
    <row r="145" spans="2:34">
      <c r="B145" s="266">
        <f t="shared" si="43"/>
        <v>9</v>
      </c>
      <c r="C145" s="266"/>
      <c r="D145" s="175">
        <f t="shared" si="27"/>
        <v>100</v>
      </c>
      <c r="E145" s="267">
        <f t="shared" si="28"/>
        <v>45078</v>
      </c>
      <c r="F145" s="268">
        <f t="shared" si="34"/>
        <v>6.4899999999999999E-2</v>
      </c>
      <c r="G145" s="270">
        <f t="shared" si="45"/>
        <v>49.245199999999997</v>
      </c>
      <c r="H145" s="270">
        <f t="shared" si="29"/>
        <v>0</v>
      </c>
      <c r="I145" s="270">
        <f t="shared" si="30"/>
        <v>0</v>
      </c>
      <c r="J145" s="270">
        <f t="shared" si="35"/>
        <v>43.220609775686498</v>
      </c>
      <c r="K145" s="271">
        <f t="shared" si="31"/>
        <v>92.465809775686495</v>
      </c>
      <c r="L145" s="270">
        <f t="shared" si="32"/>
        <v>9062.2000788423429</v>
      </c>
      <c r="M145" s="242">
        <f>IF(D145="","",SUM(G$46:G145))</f>
        <v>6321.9692520000008</v>
      </c>
      <c r="N145" s="242">
        <f>IF(D145="","",SUM(J$46:J145))</f>
        <v>8065.6399211576663</v>
      </c>
      <c r="P145" s="245"/>
      <c r="Q145" s="277">
        <f t="shared" si="33"/>
        <v>138.2649488811573</v>
      </c>
      <c r="R145" s="277">
        <f t="shared" si="47"/>
        <v>41.763827062996796</v>
      </c>
      <c r="S145" s="277">
        <f t="shared" si="42"/>
        <v>96.501121818160499</v>
      </c>
      <c r="T145" s="277">
        <f t="shared" si="36"/>
        <v>0</v>
      </c>
      <c r="U145" s="277">
        <f t="shared" si="40"/>
        <v>96.501121818160499</v>
      </c>
      <c r="V145" s="277">
        <f t="shared" si="37"/>
        <v>-92.465809775686495</v>
      </c>
      <c r="W145" s="277">
        <f t="shared" si="41"/>
        <v>4.0353120424740041</v>
      </c>
      <c r="X145" s="273">
        <f t="shared" si="38"/>
        <v>-728.35036172988475</v>
      </c>
      <c r="Y145" s="277">
        <f t="shared" si="39"/>
        <v>3.775916699517643</v>
      </c>
      <c r="AA145" s="278"/>
      <c r="AB145" s="277"/>
      <c r="AG145" s="242"/>
      <c r="AH145" s="174"/>
    </row>
    <row r="146" spans="2:34">
      <c r="B146" s="266">
        <f t="shared" si="43"/>
        <v>9</v>
      </c>
      <c r="C146" s="266"/>
      <c r="D146" s="175">
        <f t="shared" si="27"/>
        <v>101</v>
      </c>
      <c r="E146" s="267">
        <f t="shared" si="28"/>
        <v>45108</v>
      </c>
      <c r="F146" s="268">
        <f t="shared" si="34"/>
        <v>6.4899999999999999E-2</v>
      </c>
      <c r="G146" s="270">
        <f t="shared" si="45"/>
        <v>49.011400000000002</v>
      </c>
      <c r="H146" s="270">
        <f t="shared" si="29"/>
        <v>0</v>
      </c>
      <c r="I146" s="270">
        <f t="shared" si="30"/>
        <v>0</v>
      </c>
      <c r="J146" s="270">
        <f t="shared" si="35"/>
        <v>43.454409775686493</v>
      </c>
      <c r="K146" s="271">
        <f t="shared" si="31"/>
        <v>92.465809775686495</v>
      </c>
      <c r="L146" s="270">
        <f t="shared" si="32"/>
        <v>9018.7456690666568</v>
      </c>
      <c r="M146" s="242">
        <f>IF(D146="","",SUM(G$46:G146))</f>
        <v>6370.9806520000011</v>
      </c>
      <c r="N146" s="242">
        <f>IF(D146="","",SUM(J$46:J146))</f>
        <v>8109.0943309333525</v>
      </c>
      <c r="P146" s="245"/>
      <c r="Q146" s="277">
        <f t="shared" si="33"/>
        <v>138.2649488811573</v>
      </c>
      <c r="R146" s="277">
        <f t="shared" si="47"/>
        <v>41.763827062996796</v>
      </c>
      <c r="S146" s="277">
        <f t="shared" si="42"/>
        <v>96.501121818160499</v>
      </c>
      <c r="T146" s="277">
        <f t="shared" si="36"/>
        <v>0</v>
      </c>
      <c r="U146" s="277">
        <f t="shared" si="40"/>
        <v>96.501121818160499</v>
      </c>
      <c r="V146" s="277">
        <f t="shared" si="37"/>
        <v>-92.465809775686495</v>
      </c>
      <c r="W146" s="277">
        <f t="shared" si="41"/>
        <v>4.0353120424740041</v>
      </c>
      <c r="X146" s="273">
        <f t="shared" si="38"/>
        <v>-724.31504968741069</v>
      </c>
      <c r="Y146" s="277">
        <f t="shared" si="39"/>
        <v>3.7578106954444404</v>
      </c>
      <c r="AA146" s="278"/>
      <c r="AB146" s="277"/>
      <c r="AG146" s="242"/>
      <c r="AH146" s="174"/>
    </row>
    <row r="147" spans="2:34">
      <c r="B147" s="266">
        <f t="shared" si="43"/>
        <v>9</v>
      </c>
      <c r="C147" s="266"/>
      <c r="D147" s="175">
        <f t="shared" si="27"/>
        <v>102</v>
      </c>
      <c r="E147" s="267">
        <f t="shared" si="28"/>
        <v>45139</v>
      </c>
      <c r="F147" s="268">
        <f t="shared" si="34"/>
        <v>6.4899999999999999E-2</v>
      </c>
      <c r="G147" s="270">
        <f t="shared" si="45"/>
        <v>48.776400000000002</v>
      </c>
      <c r="H147" s="270">
        <f t="shared" si="29"/>
        <v>0</v>
      </c>
      <c r="I147" s="270">
        <f t="shared" si="30"/>
        <v>0</v>
      </c>
      <c r="J147" s="270">
        <f t="shared" si="35"/>
        <v>43.689409775686492</v>
      </c>
      <c r="K147" s="271">
        <f t="shared" si="31"/>
        <v>92.465809775686495</v>
      </c>
      <c r="L147" s="270">
        <f t="shared" si="32"/>
        <v>8975.05625929097</v>
      </c>
      <c r="M147" s="242">
        <f>IF(D147="","",SUM(G$46:G147))</f>
        <v>6419.7570520000008</v>
      </c>
      <c r="N147" s="242">
        <f>IF(D147="","",SUM(J$46:J147))</f>
        <v>8152.7837407090392</v>
      </c>
      <c r="P147" s="245"/>
      <c r="Q147" s="277">
        <f t="shared" si="33"/>
        <v>138.2649488811573</v>
      </c>
      <c r="R147" s="277">
        <f t="shared" si="47"/>
        <v>41.763827062996796</v>
      </c>
      <c r="S147" s="277">
        <f t="shared" si="42"/>
        <v>96.501121818160499</v>
      </c>
      <c r="T147" s="277">
        <f t="shared" si="36"/>
        <v>0</v>
      </c>
      <c r="U147" s="277">
        <f t="shared" si="40"/>
        <v>96.501121818160499</v>
      </c>
      <c r="V147" s="277">
        <f t="shared" si="37"/>
        <v>-92.465809775686495</v>
      </c>
      <c r="W147" s="277">
        <f t="shared" si="41"/>
        <v>4.0353120424740041</v>
      </c>
      <c r="X147" s="273">
        <f t="shared" si="38"/>
        <v>-720.27973764493663</v>
      </c>
      <c r="Y147" s="277">
        <f t="shared" si="39"/>
        <v>3.7396067747045709</v>
      </c>
      <c r="AA147" s="278"/>
      <c r="AB147" s="277"/>
      <c r="AG147" s="242"/>
      <c r="AH147" s="174"/>
    </row>
    <row r="148" spans="2:34">
      <c r="B148" s="266">
        <f t="shared" si="43"/>
        <v>9</v>
      </c>
      <c r="C148" s="266"/>
      <c r="D148" s="175">
        <f t="shared" si="27"/>
        <v>103</v>
      </c>
      <c r="E148" s="267">
        <f t="shared" si="28"/>
        <v>45170</v>
      </c>
      <c r="F148" s="268">
        <f t="shared" si="34"/>
        <v>6.4899999999999999E-2</v>
      </c>
      <c r="G148" s="270">
        <f t="shared" si="45"/>
        <v>48.540100000000002</v>
      </c>
      <c r="H148" s="270">
        <f t="shared" si="29"/>
        <v>0</v>
      </c>
      <c r="I148" s="270">
        <f t="shared" si="30"/>
        <v>0</v>
      </c>
      <c r="J148" s="270">
        <f t="shared" si="35"/>
        <v>43.925709775686492</v>
      </c>
      <c r="K148" s="271">
        <f t="shared" si="31"/>
        <v>92.465809775686495</v>
      </c>
      <c r="L148" s="270">
        <f t="shared" si="32"/>
        <v>8931.1305495152828</v>
      </c>
      <c r="M148" s="242">
        <f>IF(D148="","",SUM(G$46:G148))</f>
        <v>6468.297152000001</v>
      </c>
      <c r="N148" s="242">
        <f>IF(D148="","",SUM(J$46:J148))</f>
        <v>8196.7094504847264</v>
      </c>
      <c r="P148" s="245"/>
      <c r="Q148" s="277">
        <f t="shared" si="33"/>
        <v>138.2649488811573</v>
      </c>
      <c r="R148" s="277">
        <f t="shared" si="47"/>
        <v>41.763827062996796</v>
      </c>
      <c r="S148" s="277">
        <f t="shared" si="42"/>
        <v>96.501121818160499</v>
      </c>
      <c r="T148" s="277">
        <f t="shared" si="36"/>
        <v>0</v>
      </c>
      <c r="U148" s="277">
        <f t="shared" si="40"/>
        <v>96.501121818160499</v>
      </c>
      <c r="V148" s="277">
        <f t="shared" si="37"/>
        <v>-92.465809775686495</v>
      </c>
      <c r="W148" s="277">
        <f t="shared" si="41"/>
        <v>4.0353120424740041</v>
      </c>
      <c r="X148" s="273">
        <f t="shared" si="38"/>
        <v>-716.24442560246257</v>
      </c>
      <c r="Y148" s="277">
        <f t="shared" si="39"/>
        <v>3.7213043956313681</v>
      </c>
      <c r="AA148" s="278"/>
      <c r="AB148" s="277"/>
      <c r="AG148" s="242"/>
      <c r="AH148" s="174"/>
    </row>
    <row r="149" spans="2:34">
      <c r="B149" s="266">
        <f t="shared" si="43"/>
        <v>9</v>
      </c>
      <c r="C149" s="266"/>
      <c r="D149" s="175">
        <f t="shared" si="27"/>
        <v>104</v>
      </c>
      <c r="E149" s="267">
        <f t="shared" si="28"/>
        <v>45200</v>
      </c>
      <c r="F149" s="268">
        <f t="shared" si="34"/>
        <v>6.4899999999999999E-2</v>
      </c>
      <c r="G149" s="270">
        <f t="shared" si="45"/>
        <v>48.302500000000002</v>
      </c>
      <c r="H149" s="270">
        <f t="shared" si="29"/>
        <v>0</v>
      </c>
      <c r="I149" s="270">
        <f t="shared" si="30"/>
        <v>0</v>
      </c>
      <c r="J149" s="270">
        <f t="shared" si="35"/>
        <v>44.163309775686493</v>
      </c>
      <c r="K149" s="271">
        <f t="shared" si="31"/>
        <v>92.465809775686495</v>
      </c>
      <c r="L149" s="270">
        <f t="shared" si="32"/>
        <v>8886.9672397395971</v>
      </c>
      <c r="M149" s="242">
        <f>IF(D149="","",SUM(G$46:G149))</f>
        <v>6516.5996520000008</v>
      </c>
      <c r="N149" s="242">
        <f>IF(D149="","",SUM(J$46:J149))</f>
        <v>8240.8727602604122</v>
      </c>
      <c r="P149" s="245"/>
      <c r="Q149" s="277">
        <f t="shared" si="33"/>
        <v>138.2649488811573</v>
      </c>
      <c r="R149" s="277">
        <f t="shared" si="47"/>
        <v>41.763827062996796</v>
      </c>
      <c r="S149" s="277">
        <f t="shared" si="42"/>
        <v>96.501121818160499</v>
      </c>
      <c r="T149" s="277">
        <f t="shared" si="36"/>
        <v>0</v>
      </c>
      <c r="U149" s="277">
        <f t="shared" si="40"/>
        <v>96.501121818160499</v>
      </c>
      <c r="V149" s="277">
        <f t="shared" si="37"/>
        <v>-92.465809775686495</v>
      </c>
      <c r="W149" s="277">
        <f t="shared" si="41"/>
        <v>4.0353120424740041</v>
      </c>
      <c r="X149" s="273">
        <f t="shared" si="38"/>
        <v>-712.20911355998851</v>
      </c>
      <c r="Y149" s="277">
        <f t="shared" si="39"/>
        <v>3.7029030165581656</v>
      </c>
      <c r="AA149" s="278"/>
      <c r="AB149" s="277"/>
      <c r="AG149" s="242"/>
      <c r="AH149" s="174"/>
    </row>
    <row r="150" spans="2:34">
      <c r="B150" s="266">
        <f t="shared" si="43"/>
        <v>9</v>
      </c>
      <c r="C150" s="266"/>
      <c r="D150" s="175">
        <f t="shared" si="27"/>
        <v>105</v>
      </c>
      <c r="E150" s="267">
        <f t="shared" si="28"/>
        <v>45231</v>
      </c>
      <c r="F150" s="268">
        <f t="shared" si="34"/>
        <v>6.4899999999999999E-2</v>
      </c>
      <c r="G150" s="270">
        <f t="shared" si="45"/>
        <v>48.063699999999997</v>
      </c>
      <c r="H150" s="270">
        <f t="shared" si="29"/>
        <v>0</v>
      </c>
      <c r="I150" s="270">
        <f t="shared" si="30"/>
        <v>0</v>
      </c>
      <c r="J150" s="270">
        <f t="shared" si="35"/>
        <v>44.402109775686498</v>
      </c>
      <c r="K150" s="271">
        <f t="shared" si="31"/>
        <v>92.465809775686495</v>
      </c>
      <c r="L150" s="270">
        <f t="shared" si="32"/>
        <v>8842.5651299639103</v>
      </c>
      <c r="M150" s="242">
        <f>IF(D150="","",SUM(G$46:G150))</f>
        <v>6564.6633520000005</v>
      </c>
      <c r="N150" s="242">
        <f>IF(D150="","",SUM(J$46:J150))</f>
        <v>8285.2748700360989</v>
      </c>
      <c r="P150" s="245"/>
      <c r="Q150" s="277">
        <f t="shared" si="33"/>
        <v>138.2649488811573</v>
      </c>
      <c r="R150" s="277">
        <f t="shared" si="47"/>
        <v>41.763827062996796</v>
      </c>
      <c r="S150" s="277">
        <f t="shared" si="42"/>
        <v>96.501121818160499</v>
      </c>
      <c r="T150" s="277">
        <f t="shared" si="36"/>
        <v>0</v>
      </c>
      <c r="U150" s="277">
        <f t="shared" si="40"/>
        <v>96.501121818160499</v>
      </c>
      <c r="V150" s="277">
        <f t="shared" si="37"/>
        <v>-92.465809775686495</v>
      </c>
      <c r="W150" s="277">
        <f t="shared" si="41"/>
        <v>4.0353120424740041</v>
      </c>
      <c r="X150" s="273">
        <f t="shared" si="38"/>
        <v>-708.17380151751445</v>
      </c>
      <c r="Y150" s="277">
        <f t="shared" si="39"/>
        <v>3.6844021374849625</v>
      </c>
      <c r="AA150" s="278"/>
      <c r="AB150" s="277"/>
      <c r="AG150" s="242"/>
      <c r="AH150" s="174"/>
    </row>
    <row r="151" spans="2:34">
      <c r="B151" s="266">
        <f t="shared" si="43"/>
        <v>9</v>
      </c>
      <c r="C151" s="266"/>
      <c r="D151" s="175">
        <f t="shared" si="27"/>
        <v>106</v>
      </c>
      <c r="E151" s="267">
        <f t="shared" si="28"/>
        <v>45261</v>
      </c>
      <c r="F151" s="268">
        <f t="shared" si="34"/>
        <v>6.4899999999999999E-2</v>
      </c>
      <c r="G151" s="270">
        <f t="shared" si="45"/>
        <v>47.823500000000003</v>
      </c>
      <c r="H151" s="270">
        <f t="shared" si="29"/>
        <v>0</v>
      </c>
      <c r="I151" s="270">
        <f t="shared" si="30"/>
        <v>0</v>
      </c>
      <c r="J151" s="270">
        <f t="shared" si="35"/>
        <v>44.642309775686492</v>
      </c>
      <c r="K151" s="271">
        <f t="shared" si="31"/>
        <v>92.465809775686495</v>
      </c>
      <c r="L151" s="270">
        <f t="shared" si="32"/>
        <v>8797.9228201882233</v>
      </c>
      <c r="M151" s="242">
        <f>IF(D151="","",SUM(G$46:G151))</f>
        <v>6612.4868520000009</v>
      </c>
      <c r="N151" s="242">
        <f>IF(D151="","",SUM(J$46:J151))</f>
        <v>8329.9171798117859</v>
      </c>
      <c r="P151" s="245"/>
      <c r="Q151" s="277">
        <f t="shared" si="33"/>
        <v>138.2649488811573</v>
      </c>
      <c r="R151" s="277">
        <f t="shared" si="47"/>
        <v>41.763827062996796</v>
      </c>
      <c r="S151" s="277">
        <f t="shared" si="42"/>
        <v>96.501121818160499</v>
      </c>
      <c r="T151" s="277">
        <f t="shared" si="36"/>
        <v>0</v>
      </c>
      <c r="U151" s="277">
        <f t="shared" si="40"/>
        <v>96.501121818160499</v>
      </c>
      <c r="V151" s="277">
        <f t="shared" si="37"/>
        <v>-92.465809775686495</v>
      </c>
      <c r="W151" s="277">
        <f t="shared" si="41"/>
        <v>4.0353120424740041</v>
      </c>
      <c r="X151" s="273">
        <f t="shared" si="38"/>
        <v>-704.13848947504039</v>
      </c>
      <c r="Y151" s="277">
        <f t="shared" si="39"/>
        <v>3.6658011750784265</v>
      </c>
      <c r="AA151" s="278"/>
      <c r="AB151" s="277"/>
      <c r="AG151" s="242"/>
      <c r="AH151" s="174"/>
    </row>
    <row r="152" spans="2:34">
      <c r="B152" s="266">
        <f t="shared" si="43"/>
        <v>9</v>
      </c>
      <c r="C152" s="266"/>
      <c r="D152" s="175">
        <f t="shared" si="27"/>
        <v>107</v>
      </c>
      <c r="E152" s="267">
        <f t="shared" si="28"/>
        <v>45292</v>
      </c>
      <c r="F152" s="268">
        <f t="shared" si="34"/>
        <v>6.4899999999999999E-2</v>
      </c>
      <c r="G152" s="270">
        <f t="shared" si="45"/>
        <v>47.582099999999997</v>
      </c>
      <c r="H152" s="270">
        <f t="shared" si="29"/>
        <v>0</v>
      </c>
      <c r="I152" s="270">
        <f t="shared" si="30"/>
        <v>0</v>
      </c>
      <c r="J152" s="270">
        <f t="shared" si="35"/>
        <v>44.883709775686498</v>
      </c>
      <c r="K152" s="271">
        <f t="shared" si="31"/>
        <v>92.465809775686495</v>
      </c>
      <c r="L152" s="270">
        <f t="shared" si="32"/>
        <v>8753.0391104125374</v>
      </c>
      <c r="M152" s="242">
        <f>IF(D152="","",SUM(G$46:G152))</f>
        <v>6660.0689520000005</v>
      </c>
      <c r="N152" s="242">
        <f>IF(D152="","",SUM(J$46:J152))</f>
        <v>8374.8008895874718</v>
      </c>
      <c r="P152" s="245"/>
      <c r="Q152" s="277">
        <f t="shared" si="33"/>
        <v>138.2649488811573</v>
      </c>
      <c r="R152" s="277">
        <f t="shared" si="47"/>
        <v>41.763827062996796</v>
      </c>
      <c r="S152" s="277">
        <f t="shared" si="42"/>
        <v>96.501121818160499</v>
      </c>
      <c r="T152" s="277">
        <f t="shared" si="36"/>
        <v>0</v>
      </c>
      <c r="U152" s="277">
        <f t="shared" si="40"/>
        <v>96.501121818160499</v>
      </c>
      <c r="V152" s="277">
        <f t="shared" si="37"/>
        <v>-92.465809775686495</v>
      </c>
      <c r="W152" s="277">
        <f t="shared" si="41"/>
        <v>4.0353120424740041</v>
      </c>
      <c r="X152" s="273">
        <f t="shared" si="38"/>
        <v>-700.10317743256633</v>
      </c>
      <c r="Y152" s="277">
        <f t="shared" si="39"/>
        <v>3.6470996293385571</v>
      </c>
      <c r="AA152" s="278"/>
      <c r="AB152" s="277"/>
      <c r="AG152" s="242"/>
      <c r="AH152" s="174"/>
    </row>
    <row r="153" spans="2:34">
      <c r="B153" s="266">
        <f t="shared" si="43"/>
        <v>9</v>
      </c>
      <c r="C153" s="266"/>
      <c r="D153" s="175">
        <f t="shared" si="27"/>
        <v>108</v>
      </c>
      <c r="E153" s="267">
        <f t="shared" si="28"/>
        <v>45323</v>
      </c>
      <c r="F153" s="268">
        <f t="shared" si="34"/>
        <v>6.4899999999999999E-2</v>
      </c>
      <c r="G153" s="270">
        <f t="shared" si="45"/>
        <v>47.339399999999998</v>
      </c>
      <c r="H153" s="270">
        <f t="shared" si="29"/>
        <v>0</v>
      </c>
      <c r="I153" s="270">
        <f t="shared" si="30"/>
        <v>0</v>
      </c>
      <c r="J153" s="270">
        <f t="shared" si="35"/>
        <v>45.126409775686497</v>
      </c>
      <c r="K153" s="271">
        <f t="shared" si="31"/>
        <v>92.465809775686495</v>
      </c>
      <c r="L153" s="270">
        <f t="shared" si="32"/>
        <v>8707.9127006368508</v>
      </c>
      <c r="M153" s="242">
        <f>IF(D153="","",SUM(G$46:G153))</f>
        <v>6707.4083520000004</v>
      </c>
      <c r="N153" s="242">
        <f>IF(D153="","",SUM(J$46:J153))</f>
        <v>8419.9272993631585</v>
      </c>
      <c r="P153" s="245"/>
      <c r="Q153" s="277">
        <f t="shared" si="33"/>
        <v>138.2649488811573</v>
      </c>
      <c r="R153" s="277">
        <f t="shared" si="47"/>
        <v>41.763827062996796</v>
      </c>
      <c r="S153" s="277">
        <f t="shared" si="42"/>
        <v>96.501121818160499</v>
      </c>
      <c r="T153" s="277">
        <f t="shared" si="36"/>
        <v>0</v>
      </c>
      <c r="U153" s="277">
        <f t="shared" si="40"/>
        <v>96.501121818160499</v>
      </c>
      <c r="V153" s="277">
        <f t="shared" si="37"/>
        <v>-92.465809775686495</v>
      </c>
      <c r="W153" s="277">
        <f t="shared" si="41"/>
        <v>4.0353120424740041</v>
      </c>
      <c r="X153" s="273">
        <f t="shared" si="38"/>
        <v>-696.06786539009227</v>
      </c>
      <c r="Y153" s="277">
        <f t="shared" si="39"/>
        <v>3.6282969585986877</v>
      </c>
      <c r="AA153" s="278"/>
      <c r="AB153" s="277"/>
      <c r="AG153" s="242"/>
      <c r="AH153" s="174"/>
    </row>
    <row r="154" spans="2:34">
      <c r="B154" s="266">
        <f t="shared" si="43"/>
        <v>10</v>
      </c>
      <c r="C154" s="266"/>
      <c r="D154" s="175">
        <f t="shared" si="27"/>
        <v>109</v>
      </c>
      <c r="E154" s="267">
        <f t="shared" si="28"/>
        <v>45352</v>
      </c>
      <c r="F154" s="268">
        <f t="shared" si="34"/>
        <v>6.4899999999999999E-2</v>
      </c>
      <c r="G154" s="270">
        <f t="shared" si="45"/>
        <v>47.095300000000002</v>
      </c>
      <c r="H154" s="270">
        <f t="shared" si="29"/>
        <v>0</v>
      </c>
      <c r="I154" s="270">
        <f t="shared" si="30"/>
        <v>0</v>
      </c>
      <c r="J154" s="270">
        <f t="shared" si="35"/>
        <v>45.370509775686493</v>
      </c>
      <c r="K154" s="271">
        <f t="shared" si="31"/>
        <v>92.465809775686495</v>
      </c>
      <c r="L154" s="270">
        <f t="shared" si="32"/>
        <v>8662.5421908611643</v>
      </c>
      <c r="M154" s="242">
        <f>IF(D154="","",SUM(G$46:G154))</f>
        <v>6754.5036520000003</v>
      </c>
      <c r="N154" s="242">
        <f>IF(D154="","",SUM(J$46:J154))</f>
        <v>8465.297809138845</v>
      </c>
      <c r="P154" s="245"/>
      <c r="Q154" s="277">
        <f t="shared" si="33"/>
        <v>143.1042220919978</v>
      </c>
      <c r="R154" s="277">
        <f>Q154-S154</f>
        <v>43.724954315610674</v>
      </c>
      <c r="S154" s="277">
        <f t="shared" si="42"/>
        <v>99.379267776387124</v>
      </c>
      <c r="T154" s="277">
        <f t="shared" si="36"/>
        <v>0</v>
      </c>
      <c r="U154" s="277">
        <f t="shared" si="40"/>
        <v>99.379267776387124</v>
      </c>
      <c r="V154" s="277">
        <f t="shared" si="37"/>
        <v>-92.465809775686495</v>
      </c>
      <c r="W154" s="277">
        <f t="shared" si="41"/>
        <v>6.9134580007006292</v>
      </c>
      <c r="X154" s="273">
        <f t="shared" si="38"/>
        <v>-689.15440738939162</v>
      </c>
      <c r="Y154" s="277">
        <f t="shared" si="39"/>
        <v>3.6093925795254851</v>
      </c>
      <c r="AA154" s="278"/>
      <c r="AB154" s="277"/>
      <c r="AG154" s="242"/>
      <c r="AH154" s="174"/>
    </row>
    <row r="155" spans="2:34">
      <c r="B155" s="266">
        <f t="shared" si="43"/>
        <v>10</v>
      </c>
      <c r="C155" s="266"/>
      <c r="D155" s="175">
        <f t="shared" si="27"/>
        <v>110</v>
      </c>
      <c r="E155" s="267">
        <f t="shared" si="28"/>
        <v>45383</v>
      </c>
      <c r="F155" s="268">
        <f t="shared" si="34"/>
        <v>6.4899999999999999E-2</v>
      </c>
      <c r="G155" s="270">
        <f t="shared" si="45"/>
        <v>46.849899999999998</v>
      </c>
      <c r="H155" s="270">
        <f t="shared" si="29"/>
        <v>0</v>
      </c>
      <c r="I155" s="270">
        <f t="shared" si="30"/>
        <v>0</v>
      </c>
      <c r="J155" s="270">
        <f t="shared" si="35"/>
        <v>45.615909775686497</v>
      </c>
      <c r="K155" s="271">
        <f t="shared" si="31"/>
        <v>92.465809775686495</v>
      </c>
      <c r="L155" s="270">
        <f t="shared" si="32"/>
        <v>8616.926281085478</v>
      </c>
      <c r="M155" s="242">
        <f>IF(D155="","",SUM(G$46:G155))</f>
        <v>6801.3535520000005</v>
      </c>
      <c r="N155" s="242">
        <f>IF(D155="","",SUM(J$46:J155))</f>
        <v>8510.9137189145313</v>
      </c>
      <c r="P155" s="245"/>
      <c r="Q155" s="277">
        <f t="shared" si="33"/>
        <v>143.1042220919978</v>
      </c>
      <c r="R155" s="277">
        <f t="shared" ref="R155:R165" si="48">Q155-S155</f>
        <v>43.724954315610674</v>
      </c>
      <c r="S155" s="277">
        <f t="shared" si="42"/>
        <v>99.379267776387124</v>
      </c>
      <c r="T155" s="277">
        <f t="shared" si="36"/>
        <v>0</v>
      </c>
      <c r="U155" s="277">
        <f t="shared" si="40"/>
        <v>99.379267776387124</v>
      </c>
      <c r="V155" s="277">
        <f t="shared" si="37"/>
        <v>-92.465809775686495</v>
      </c>
      <c r="W155" s="277">
        <f t="shared" si="41"/>
        <v>6.9134580007006292</v>
      </c>
      <c r="X155" s="273">
        <f t="shared" si="38"/>
        <v>-682.24094938869098</v>
      </c>
      <c r="Y155" s="277">
        <f t="shared" si="39"/>
        <v>3.5903859504522821</v>
      </c>
      <c r="AA155" s="278"/>
      <c r="AB155" s="277"/>
      <c r="AG155" s="242"/>
      <c r="AH155" s="174"/>
    </row>
    <row r="156" spans="2:34">
      <c r="B156" s="266">
        <f t="shared" si="43"/>
        <v>10</v>
      </c>
      <c r="C156" s="266"/>
      <c r="D156" s="175">
        <f t="shared" si="27"/>
        <v>111</v>
      </c>
      <c r="E156" s="267">
        <f t="shared" si="28"/>
        <v>45413</v>
      </c>
      <c r="F156" s="268">
        <f t="shared" si="34"/>
        <v>6.4899999999999999E-2</v>
      </c>
      <c r="G156" s="270">
        <f t="shared" si="45"/>
        <v>46.603200000000001</v>
      </c>
      <c r="H156" s="270">
        <f t="shared" si="29"/>
        <v>0</v>
      </c>
      <c r="I156" s="270">
        <f t="shared" si="30"/>
        <v>0</v>
      </c>
      <c r="J156" s="270">
        <f t="shared" si="35"/>
        <v>45.862609775686494</v>
      </c>
      <c r="K156" s="271">
        <f t="shared" si="31"/>
        <v>92.465809775686495</v>
      </c>
      <c r="L156" s="270">
        <f t="shared" si="32"/>
        <v>8571.063671309792</v>
      </c>
      <c r="M156" s="242">
        <f>IF(D156="","",SUM(G$46:G156))</f>
        <v>6847.9567520000001</v>
      </c>
      <c r="N156" s="242">
        <f>IF(D156="","",SUM(J$46:J156))</f>
        <v>8556.7763286902173</v>
      </c>
      <c r="P156" s="245"/>
      <c r="Q156" s="277">
        <f t="shared" si="33"/>
        <v>143.1042220919978</v>
      </c>
      <c r="R156" s="277">
        <f t="shared" si="48"/>
        <v>43.724954315610674</v>
      </c>
      <c r="S156" s="277">
        <f t="shared" si="42"/>
        <v>99.379267776387124</v>
      </c>
      <c r="T156" s="277">
        <f t="shared" si="36"/>
        <v>0</v>
      </c>
      <c r="U156" s="277">
        <f t="shared" si="40"/>
        <v>99.379267776387124</v>
      </c>
      <c r="V156" s="277">
        <f t="shared" si="37"/>
        <v>-92.465809775686495</v>
      </c>
      <c r="W156" s="277">
        <f t="shared" si="41"/>
        <v>6.9134580007006292</v>
      </c>
      <c r="X156" s="273">
        <f t="shared" si="38"/>
        <v>-675.32749138799034</v>
      </c>
      <c r="Y156" s="277">
        <f t="shared" si="39"/>
        <v>3.5712765297124136</v>
      </c>
      <c r="AA156" s="278"/>
      <c r="AB156" s="277"/>
      <c r="AG156" s="242"/>
      <c r="AH156" s="174"/>
    </row>
    <row r="157" spans="2:34">
      <c r="B157" s="266">
        <f t="shared" si="43"/>
        <v>10</v>
      </c>
      <c r="C157" s="266"/>
      <c r="D157" s="175">
        <f t="shared" si="27"/>
        <v>112</v>
      </c>
      <c r="E157" s="267">
        <f t="shared" si="28"/>
        <v>45444</v>
      </c>
      <c r="F157" s="268">
        <f t="shared" si="34"/>
        <v>6.4899999999999999E-2</v>
      </c>
      <c r="G157" s="270">
        <f t="shared" si="45"/>
        <v>46.355200000000004</v>
      </c>
      <c r="H157" s="270">
        <f t="shared" si="29"/>
        <v>0</v>
      </c>
      <c r="I157" s="270">
        <f t="shared" si="30"/>
        <v>0</v>
      </c>
      <c r="J157" s="270">
        <f t="shared" si="35"/>
        <v>46.110609775686491</v>
      </c>
      <c r="K157" s="271">
        <f t="shared" si="31"/>
        <v>92.465809775686495</v>
      </c>
      <c r="L157" s="270">
        <f t="shared" si="32"/>
        <v>8524.9530615341064</v>
      </c>
      <c r="M157" s="242">
        <f>IF(D157="","",SUM(G$46:G157))</f>
        <v>6894.311952</v>
      </c>
      <c r="N157" s="242">
        <f>IF(D157="","",SUM(J$46:J157))</f>
        <v>8602.8869384659029</v>
      </c>
      <c r="P157" s="245"/>
      <c r="Q157" s="277">
        <f t="shared" si="33"/>
        <v>143.1042220919978</v>
      </c>
      <c r="R157" s="277">
        <f t="shared" si="48"/>
        <v>43.724954315610674</v>
      </c>
      <c r="S157" s="277">
        <f t="shared" si="42"/>
        <v>99.379267776387124</v>
      </c>
      <c r="T157" s="277">
        <f t="shared" si="36"/>
        <v>0</v>
      </c>
      <c r="U157" s="277">
        <f t="shared" si="40"/>
        <v>99.379267776387124</v>
      </c>
      <c r="V157" s="277">
        <f t="shared" si="37"/>
        <v>-92.465809775686495</v>
      </c>
      <c r="W157" s="277">
        <f t="shared" si="41"/>
        <v>6.9134580007006292</v>
      </c>
      <c r="X157" s="273">
        <f t="shared" si="38"/>
        <v>-668.41403338728969</v>
      </c>
      <c r="Y157" s="277">
        <f t="shared" si="39"/>
        <v>3.5520637756392115</v>
      </c>
      <c r="AA157" s="278"/>
      <c r="AB157" s="277"/>
      <c r="AG157" s="242"/>
      <c r="AH157" s="174"/>
    </row>
    <row r="158" spans="2:34">
      <c r="B158" s="266">
        <f t="shared" si="43"/>
        <v>10</v>
      </c>
      <c r="C158" s="266"/>
      <c r="D158" s="175">
        <f t="shared" si="27"/>
        <v>113</v>
      </c>
      <c r="E158" s="267">
        <f t="shared" si="28"/>
        <v>45474</v>
      </c>
      <c r="F158" s="268">
        <f t="shared" si="34"/>
        <v>6.4899999999999999E-2</v>
      </c>
      <c r="G158" s="270">
        <f t="shared" si="45"/>
        <v>46.105800000000002</v>
      </c>
      <c r="H158" s="270">
        <f t="shared" si="29"/>
        <v>0</v>
      </c>
      <c r="I158" s="270">
        <f t="shared" si="30"/>
        <v>0</v>
      </c>
      <c r="J158" s="270">
        <f t="shared" si="35"/>
        <v>46.360009775686493</v>
      </c>
      <c r="K158" s="271">
        <f t="shared" si="31"/>
        <v>92.465809775686495</v>
      </c>
      <c r="L158" s="270">
        <f t="shared" si="32"/>
        <v>8478.5930517584202</v>
      </c>
      <c r="M158" s="242">
        <f>IF(D158="","",SUM(G$46:G158))</f>
        <v>6940.4177520000003</v>
      </c>
      <c r="N158" s="242">
        <f>IF(D158="","",SUM(J$46:J158))</f>
        <v>8649.2469482415891</v>
      </c>
      <c r="P158" s="245"/>
      <c r="Q158" s="277">
        <f t="shared" si="33"/>
        <v>143.1042220919978</v>
      </c>
      <c r="R158" s="277">
        <f t="shared" si="48"/>
        <v>43.724954315610674</v>
      </c>
      <c r="S158" s="277">
        <f t="shared" si="42"/>
        <v>99.379267776387124</v>
      </c>
      <c r="T158" s="277">
        <f t="shared" si="36"/>
        <v>0</v>
      </c>
      <c r="U158" s="277">
        <f t="shared" si="40"/>
        <v>99.379267776387124</v>
      </c>
      <c r="V158" s="277">
        <f t="shared" si="37"/>
        <v>-92.465809775686495</v>
      </c>
      <c r="W158" s="277">
        <f t="shared" si="41"/>
        <v>6.9134580007006292</v>
      </c>
      <c r="X158" s="273">
        <f t="shared" si="38"/>
        <v>-661.50057538658905</v>
      </c>
      <c r="Y158" s="277">
        <f t="shared" si="39"/>
        <v>3.5327471048993417</v>
      </c>
      <c r="AA158" s="278"/>
      <c r="AB158" s="277"/>
      <c r="AG158" s="242"/>
      <c r="AH158" s="174"/>
    </row>
    <row r="159" spans="2:34">
      <c r="B159" s="266">
        <f t="shared" si="43"/>
        <v>10</v>
      </c>
      <c r="C159" s="266"/>
      <c r="D159" s="175">
        <f t="shared" si="27"/>
        <v>114</v>
      </c>
      <c r="E159" s="267">
        <f t="shared" si="28"/>
        <v>45505</v>
      </c>
      <c r="F159" s="268">
        <f t="shared" si="34"/>
        <v>6.4899999999999999E-2</v>
      </c>
      <c r="G159" s="270">
        <f t="shared" si="45"/>
        <v>45.8551</v>
      </c>
      <c r="H159" s="270">
        <f t="shared" si="29"/>
        <v>0</v>
      </c>
      <c r="I159" s="270">
        <f t="shared" si="30"/>
        <v>0</v>
      </c>
      <c r="J159" s="270">
        <f t="shared" si="35"/>
        <v>46.610709775686495</v>
      </c>
      <c r="K159" s="271">
        <f t="shared" si="31"/>
        <v>92.465809775686495</v>
      </c>
      <c r="L159" s="270">
        <f t="shared" si="32"/>
        <v>8431.9823419827335</v>
      </c>
      <c r="M159" s="242">
        <f>IF(D159="","",SUM(G$46:G159))</f>
        <v>6986.2728520000001</v>
      </c>
      <c r="N159" s="242">
        <f>IF(D159="","",SUM(J$46:J159))</f>
        <v>8695.8576580172758</v>
      </c>
      <c r="P159" s="245"/>
      <c r="Q159" s="277">
        <f t="shared" si="33"/>
        <v>143.1042220919978</v>
      </c>
      <c r="R159" s="277">
        <f t="shared" si="48"/>
        <v>43.724954315610674</v>
      </c>
      <c r="S159" s="277">
        <f t="shared" si="42"/>
        <v>99.379267776387124</v>
      </c>
      <c r="T159" s="277">
        <f t="shared" si="36"/>
        <v>0</v>
      </c>
      <c r="U159" s="277">
        <f t="shared" si="40"/>
        <v>99.379267776387124</v>
      </c>
      <c r="V159" s="277">
        <f t="shared" si="37"/>
        <v>-92.465809775686495</v>
      </c>
      <c r="W159" s="277">
        <f t="shared" si="41"/>
        <v>6.9134580007006292</v>
      </c>
      <c r="X159" s="273">
        <f t="shared" si="38"/>
        <v>-654.5871173858884</v>
      </c>
      <c r="Y159" s="277">
        <f t="shared" si="39"/>
        <v>3.5133259758261386</v>
      </c>
      <c r="AA159" s="278"/>
      <c r="AB159" s="277"/>
      <c r="AG159" s="242"/>
      <c r="AH159" s="174"/>
    </row>
    <row r="160" spans="2:34">
      <c r="B160" s="266">
        <f t="shared" si="43"/>
        <v>10</v>
      </c>
      <c r="C160" s="266"/>
      <c r="D160" s="175">
        <f t="shared" si="27"/>
        <v>115</v>
      </c>
      <c r="E160" s="267">
        <f t="shared" si="28"/>
        <v>45536</v>
      </c>
      <c r="F160" s="268">
        <f t="shared" si="34"/>
        <v>6.4899999999999999E-2</v>
      </c>
      <c r="G160" s="270">
        <f t="shared" si="45"/>
        <v>45.603000000000002</v>
      </c>
      <c r="H160" s="270">
        <f t="shared" si="29"/>
        <v>0</v>
      </c>
      <c r="I160" s="270">
        <f t="shared" si="30"/>
        <v>0</v>
      </c>
      <c r="J160" s="270">
        <f t="shared" si="35"/>
        <v>46.862809775686493</v>
      </c>
      <c r="K160" s="271">
        <f t="shared" si="31"/>
        <v>92.465809775686495</v>
      </c>
      <c r="L160" s="270">
        <f t="shared" si="32"/>
        <v>8385.1195322070471</v>
      </c>
      <c r="M160" s="242">
        <f>IF(D160="","",SUM(G$46:G160))</f>
        <v>7031.8758520000001</v>
      </c>
      <c r="N160" s="242">
        <f>IF(D160="","",SUM(J$46:J160))</f>
        <v>8742.7204677929622</v>
      </c>
      <c r="P160" s="245"/>
      <c r="Q160" s="277">
        <f t="shared" si="33"/>
        <v>143.1042220919978</v>
      </c>
      <c r="R160" s="277">
        <f t="shared" si="48"/>
        <v>43.724954315610674</v>
      </c>
      <c r="S160" s="277">
        <f t="shared" si="42"/>
        <v>99.379267776387124</v>
      </c>
      <c r="T160" s="277">
        <f t="shared" si="36"/>
        <v>0</v>
      </c>
      <c r="U160" s="277">
        <f t="shared" si="40"/>
        <v>99.379267776387124</v>
      </c>
      <c r="V160" s="277">
        <f t="shared" si="37"/>
        <v>-92.465809775686495</v>
      </c>
      <c r="W160" s="277">
        <f t="shared" si="41"/>
        <v>6.9134580007006292</v>
      </c>
      <c r="X160" s="273">
        <f t="shared" si="38"/>
        <v>-647.67365938518776</v>
      </c>
      <c r="Y160" s="277">
        <f t="shared" si="39"/>
        <v>3.4937998050862693</v>
      </c>
      <c r="AA160" s="278"/>
      <c r="AB160" s="277"/>
      <c r="AG160" s="242"/>
      <c r="AH160" s="174"/>
    </row>
    <row r="161" spans="2:34">
      <c r="B161" s="266">
        <f t="shared" si="43"/>
        <v>10</v>
      </c>
      <c r="C161" s="266"/>
      <c r="D161" s="175">
        <f t="shared" si="27"/>
        <v>116</v>
      </c>
      <c r="E161" s="267">
        <f t="shared" si="28"/>
        <v>45566</v>
      </c>
      <c r="F161" s="268">
        <f t="shared" si="34"/>
        <v>6.4899999999999999E-2</v>
      </c>
      <c r="G161" s="270">
        <f t="shared" si="45"/>
        <v>45.349499999999999</v>
      </c>
      <c r="H161" s="270">
        <f t="shared" si="29"/>
        <v>0</v>
      </c>
      <c r="I161" s="270">
        <f t="shared" si="30"/>
        <v>0</v>
      </c>
      <c r="J161" s="270">
        <f t="shared" si="35"/>
        <v>47.116309775686496</v>
      </c>
      <c r="K161" s="271">
        <f t="shared" si="31"/>
        <v>92.465809775686495</v>
      </c>
      <c r="L161" s="270">
        <f t="shared" si="32"/>
        <v>8338.00322243136</v>
      </c>
      <c r="M161" s="242">
        <f>IF(D161="","",SUM(G$46:G161))</f>
        <v>7077.2253520000004</v>
      </c>
      <c r="N161" s="242">
        <f>IF(D161="","",SUM(J$46:J161))</f>
        <v>8789.8367775686493</v>
      </c>
      <c r="P161" s="245"/>
      <c r="Q161" s="277">
        <f t="shared" si="33"/>
        <v>143.1042220919978</v>
      </c>
      <c r="R161" s="277">
        <f t="shared" si="48"/>
        <v>43.724954315610674</v>
      </c>
      <c r="S161" s="277">
        <f t="shared" si="42"/>
        <v>99.379267776387124</v>
      </c>
      <c r="T161" s="277">
        <f t="shared" si="36"/>
        <v>0</v>
      </c>
      <c r="U161" s="277">
        <f t="shared" si="40"/>
        <v>99.379267776387124</v>
      </c>
      <c r="V161" s="277">
        <f t="shared" si="37"/>
        <v>-92.465809775686495</v>
      </c>
      <c r="W161" s="277">
        <f t="shared" si="41"/>
        <v>6.9134580007006292</v>
      </c>
      <c r="X161" s="273">
        <f t="shared" si="38"/>
        <v>-640.76020138448712</v>
      </c>
      <c r="Y161" s="277">
        <f t="shared" si="39"/>
        <v>3.4741680093463998</v>
      </c>
      <c r="AA161" s="278"/>
      <c r="AB161" s="277"/>
      <c r="AG161" s="242"/>
      <c r="AH161" s="174"/>
    </row>
    <row r="162" spans="2:34">
      <c r="B162" s="266">
        <f t="shared" si="43"/>
        <v>10</v>
      </c>
      <c r="C162" s="266"/>
      <c r="D162" s="175">
        <f t="shared" si="27"/>
        <v>117</v>
      </c>
      <c r="E162" s="267">
        <f t="shared" si="28"/>
        <v>45597</v>
      </c>
      <c r="F162" s="268">
        <f t="shared" si="34"/>
        <v>6.4899999999999999E-2</v>
      </c>
      <c r="G162" s="270">
        <f t="shared" si="45"/>
        <v>45.094700000000003</v>
      </c>
      <c r="H162" s="270">
        <f t="shared" si="29"/>
        <v>0</v>
      </c>
      <c r="I162" s="270">
        <f t="shared" si="30"/>
        <v>0</v>
      </c>
      <c r="J162" s="270">
        <f t="shared" si="35"/>
        <v>47.371109775686492</v>
      </c>
      <c r="K162" s="271">
        <f t="shared" si="31"/>
        <v>92.465809775686495</v>
      </c>
      <c r="L162" s="270">
        <f t="shared" si="32"/>
        <v>8290.6321126556741</v>
      </c>
      <c r="M162" s="242">
        <f>IF(D162="","",SUM(G$46:G162))</f>
        <v>7122.320052</v>
      </c>
      <c r="N162" s="242">
        <f>IF(D162="","",SUM(J$46:J162))</f>
        <v>8837.2078873443352</v>
      </c>
      <c r="P162" s="245"/>
      <c r="Q162" s="277">
        <f t="shared" si="33"/>
        <v>143.1042220919978</v>
      </c>
      <c r="R162" s="277">
        <f t="shared" si="48"/>
        <v>43.724954315610674</v>
      </c>
      <c r="S162" s="277">
        <f t="shared" si="42"/>
        <v>99.379267776387124</v>
      </c>
      <c r="T162" s="277">
        <f t="shared" si="36"/>
        <v>0</v>
      </c>
      <c r="U162" s="277">
        <f t="shared" si="40"/>
        <v>99.379267776387124</v>
      </c>
      <c r="V162" s="277">
        <f t="shared" si="37"/>
        <v>-92.465809775686495</v>
      </c>
      <c r="W162" s="277">
        <f t="shared" si="41"/>
        <v>6.9134580007006292</v>
      </c>
      <c r="X162" s="273">
        <f t="shared" si="38"/>
        <v>-633.84674338378647</v>
      </c>
      <c r="Y162" s="277">
        <f t="shared" si="39"/>
        <v>3.4544300469398643</v>
      </c>
      <c r="AA162" s="278"/>
      <c r="AB162" s="277"/>
      <c r="AG162" s="242"/>
      <c r="AH162" s="174"/>
    </row>
    <row r="163" spans="2:34">
      <c r="B163" s="266">
        <f t="shared" si="43"/>
        <v>10</v>
      </c>
      <c r="C163" s="266"/>
      <c r="D163" s="175">
        <f t="shared" si="27"/>
        <v>118</v>
      </c>
      <c r="E163" s="267">
        <f t="shared" si="28"/>
        <v>45627</v>
      </c>
      <c r="F163" s="268">
        <f t="shared" si="34"/>
        <v>6.4899999999999999E-2</v>
      </c>
      <c r="G163" s="270">
        <f t="shared" si="45"/>
        <v>44.838500000000003</v>
      </c>
      <c r="H163" s="270">
        <f t="shared" si="29"/>
        <v>0</v>
      </c>
      <c r="I163" s="270">
        <f t="shared" si="30"/>
        <v>0</v>
      </c>
      <c r="J163" s="270">
        <f t="shared" si="35"/>
        <v>47.627309775686491</v>
      </c>
      <c r="K163" s="271">
        <f t="shared" si="31"/>
        <v>92.465809775686495</v>
      </c>
      <c r="L163" s="270">
        <f t="shared" si="32"/>
        <v>8243.0048028799883</v>
      </c>
      <c r="M163" s="242">
        <f>IF(D163="","",SUM(G$46:G163))</f>
        <v>7167.1585519999999</v>
      </c>
      <c r="N163" s="242">
        <f>IF(D163="","",SUM(J$46:J163))</f>
        <v>8884.8351971200209</v>
      </c>
      <c r="P163" s="245"/>
      <c r="Q163" s="277">
        <f t="shared" si="33"/>
        <v>143.1042220919978</v>
      </c>
      <c r="R163" s="277">
        <f t="shared" si="48"/>
        <v>43.724954315610674</v>
      </c>
      <c r="S163" s="277">
        <f t="shared" si="42"/>
        <v>99.379267776387124</v>
      </c>
      <c r="T163" s="277">
        <f t="shared" si="36"/>
        <v>0</v>
      </c>
      <c r="U163" s="277">
        <f t="shared" si="40"/>
        <v>99.379267776387124</v>
      </c>
      <c r="V163" s="277">
        <f t="shared" si="37"/>
        <v>-92.465809775686495</v>
      </c>
      <c r="W163" s="277">
        <f t="shared" si="41"/>
        <v>6.9134580007006292</v>
      </c>
      <c r="X163" s="273">
        <f t="shared" si="38"/>
        <v>-626.93328538308583</v>
      </c>
      <c r="Y163" s="277">
        <f t="shared" si="39"/>
        <v>3.4345853345333288</v>
      </c>
      <c r="AA163" s="278"/>
      <c r="AB163" s="277"/>
      <c r="AG163" s="242"/>
      <c r="AH163" s="174"/>
    </row>
    <row r="164" spans="2:34">
      <c r="B164" s="266">
        <f t="shared" si="43"/>
        <v>10</v>
      </c>
      <c r="C164" s="266"/>
      <c r="D164" s="175">
        <f t="shared" si="27"/>
        <v>119</v>
      </c>
      <c r="E164" s="267">
        <f t="shared" si="28"/>
        <v>45658</v>
      </c>
      <c r="F164" s="268">
        <f t="shared" si="34"/>
        <v>6.4899999999999999E-2</v>
      </c>
      <c r="G164" s="270">
        <f t="shared" si="45"/>
        <v>44.5809</v>
      </c>
      <c r="H164" s="270">
        <f t="shared" si="29"/>
        <v>0</v>
      </c>
      <c r="I164" s="270">
        <f t="shared" si="30"/>
        <v>0</v>
      </c>
      <c r="J164" s="270">
        <f t="shared" si="35"/>
        <v>47.884909775686495</v>
      </c>
      <c r="K164" s="271">
        <f t="shared" si="31"/>
        <v>92.465809775686495</v>
      </c>
      <c r="L164" s="270">
        <f t="shared" si="32"/>
        <v>8195.1198931043018</v>
      </c>
      <c r="M164" s="242">
        <f>IF(D164="","",SUM(G$46:G164))</f>
        <v>7211.7394519999998</v>
      </c>
      <c r="N164" s="242">
        <f>IF(D164="","",SUM(J$46:J164))</f>
        <v>8932.7201068957074</v>
      </c>
      <c r="P164" s="245"/>
      <c r="Q164" s="277">
        <f t="shared" si="33"/>
        <v>143.1042220919978</v>
      </c>
      <c r="R164" s="277">
        <f t="shared" si="48"/>
        <v>43.724954315610674</v>
      </c>
      <c r="S164" s="277">
        <f t="shared" si="42"/>
        <v>99.379267776387124</v>
      </c>
      <c r="T164" s="277">
        <f t="shared" si="36"/>
        <v>0</v>
      </c>
      <c r="U164" s="277">
        <f t="shared" si="40"/>
        <v>99.379267776387124</v>
      </c>
      <c r="V164" s="277">
        <f t="shared" si="37"/>
        <v>-92.465809775686495</v>
      </c>
      <c r="W164" s="277">
        <f t="shared" si="41"/>
        <v>6.9134580007006292</v>
      </c>
      <c r="X164" s="273">
        <f t="shared" si="38"/>
        <v>-620.01982738238519</v>
      </c>
      <c r="Y164" s="277">
        <f t="shared" si="39"/>
        <v>3.4146332887934592</v>
      </c>
      <c r="AA164" s="278"/>
      <c r="AB164" s="277"/>
      <c r="AG164" s="242"/>
      <c r="AH164" s="174"/>
    </row>
    <row r="165" spans="2:34">
      <c r="B165" s="266">
        <f t="shared" si="43"/>
        <v>10</v>
      </c>
      <c r="C165" s="266"/>
      <c r="D165" s="175">
        <f t="shared" si="27"/>
        <v>120</v>
      </c>
      <c r="E165" s="267">
        <f t="shared" si="28"/>
        <v>45689</v>
      </c>
      <c r="F165" s="268">
        <f t="shared" si="34"/>
        <v>6.4899999999999999E-2</v>
      </c>
      <c r="G165" s="270">
        <f t="shared" si="45"/>
        <v>44.321899999999999</v>
      </c>
      <c r="H165" s="270">
        <f t="shared" si="29"/>
        <v>0</v>
      </c>
      <c r="I165" s="270">
        <f t="shared" si="30"/>
        <v>0</v>
      </c>
      <c r="J165" s="270">
        <f t="shared" si="35"/>
        <v>48.143909775686495</v>
      </c>
      <c r="K165" s="271">
        <f t="shared" si="31"/>
        <v>92.465809775686495</v>
      </c>
      <c r="L165" s="270">
        <f t="shared" si="32"/>
        <v>8146.9759833286153</v>
      </c>
      <c r="M165" s="242">
        <f>IF(D165="","",SUM(G$46:G165))</f>
        <v>7256.0613519999997</v>
      </c>
      <c r="N165" s="242">
        <f>IF(D165="","",SUM(J$46:J165))</f>
        <v>8980.864016671394</v>
      </c>
      <c r="P165" s="245"/>
      <c r="Q165" s="277">
        <f t="shared" si="33"/>
        <v>143.1042220919978</v>
      </c>
      <c r="R165" s="277">
        <f t="shared" si="48"/>
        <v>43.724954315610674</v>
      </c>
      <c r="S165" s="277">
        <f t="shared" si="42"/>
        <v>99.379267776387124</v>
      </c>
      <c r="T165" s="277">
        <f t="shared" si="36"/>
        <v>0</v>
      </c>
      <c r="U165" s="277">
        <f t="shared" si="40"/>
        <v>99.379267776387124</v>
      </c>
      <c r="V165" s="277">
        <f t="shared" si="37"/>
        <v>-92.465809775686495</v>
      </c>
      <c r="W165" s="277">
        <f t="shared" si="41"/>
        <v>6.9134580007006292</v>
      </c>
      <c r="X165" s="273">
        <f t="shared" si="38"/>
        <v>-613.10636938168454</v>
      </c>
      <c r="Y165" s="277">
        <f t="shared" si="39"/>
        <v>3.3945733263869227</v>
      </c>
      <c r="AA165" s="278"/>
      <c r="AB165" s="277"/>
      <c r="AG165" s="242"/>
      <c r="AH165" s="174"/>
    </row>
    <row r="166" spans="2:34">
      <c r="B166" s="266">
        <f t="shared" si="43"/>
        <v>11</v>
      </c>
      <c r="C166" s="266"/>
      <c r="D166" s="175">
        <f t="shared" si="27"/>
        <v>121</v>
      </c>
      <c r="E166" s="267">
        <f t="shared" si="28"/>
        <v>45717</v>
      </c>
      <c r="F166" s="268">
        <f t="shared" si="34"/>
        <v>6.4899999999999999E-2</v>
      </c>
      <c r="G166" s="270">
        <f t="shared" si="45"/>
        <v>44.061599999999999</v>
      </c>
      <c r="H166" s="270">
        <f t="shared" si="29"/>
        <v>0</v>
      </c>
      <c r="I166" s="270">
        <f t="shared" si="30"/>
        <v>0</v>
      </c>
      <c r="J166" s="270">
        <f t="shared" si="35"/>
        <v>48.404209775686496</v>
      </c>
      <c r="K166" s="271">
        <f t="shared" si="31"/>
        <v>92.465809775686495</v>
      </c>
      <c r="L166" s="270">
        <f t="shared" si="32"/>
        <v>8098.5717735529288</v>
      </c>
      <c r="M166" s="242">
        <f>IF(D166="","",SUM(G$46:G166))</f>
        <v>7300.1229519999997</v>
      </c>
      <c r="N166" s="242">
        <f>IF(D166="","",SUM(J$46:J166))</f>
        <v>9029.2682264470805</v>
      </c>
      <c r="P166" s="245"/>
      <c r="Q166" s="277">
        <f t="shared" si="33"/>
        <v>148.1128698652177</v>
      </c>
      <c r="R166" s="277">
        <f>Q166-S166</f>
        <v>45.769615427399842</v>
      </c>
      <c r="S166" s="277">
        <f t="shared" si="42"/>
        <v>102.34325443781786</v>
      </c>
      <c r="T166" s="277">
        <f t="shared" si="36"/>
        <v>0</v>
      </c>
      <c r="U166" s="277">
        <f t="shared" si="40"/>
        <v>102.34325443781786</v>
      </c>
      <c r="V166" s="277">
        <f t="shared" si="37"/>
        <v>-92.465809775686495</v>
      </c>
      <c r="W166" s="277">
        <f t="shared" si="41"/>
        <v>9.8774446621313672</v>
      </c>
      <c r="X166" s="273">
        <f t="shared" si="38"/>
        <v>-603.22892471955322</v>
      </c>
      <c r="Y166" s="277">
        <f t="shared" si="39"/>
        <v>3.374404905647054</v>
      </c>
      <c r="AA166" s="278"/>
      <c r="AB166" s="277"/>
      <c r="AG166" s="242"/>
      <c r="AH166" s="174"/>
    </row>
    <row r="167" spans="2:34">
      <c r="B167" s="266">
        <f t="shared" si="43"/>
        <v>11</v>
      </c>
      <c r="C167" s="266"/>
      <c r="D167" s="175">
        <f t="shared" si="27"/>
        <v>122</v>
      </c>
      <c r="E167" s="267">
        <f t="shared" si="28"/>
        <v>45748</v>
      </c>
      <c r="F167" s="268">
        <f t="shared" si="34"/>
        <v>6.4899999999999999E-2</v>
      </c>
      <c r="G167" s="270">
        <f t="shared" si="45"/>
        <v>43.799799999999998</v>
      </c>
      <c r="H167" s="270">
        <f t="shared" si="29"/>
        <v>0</v>
      </c>
      <c r="I167" s="270">
        <f t="shared" si="30"/>
        <v>0</v>
      </c>
      <c r="J167" s="270">
        <f t="shared" si="35"/>
        <v>48.666009775686497</v>
      </c>
      <c r="K167" s="271">
        <f t="shared" si="31"/>
        <v>92.465809775686495</v>
      </c>
      <c r="L167" s="270">
        <f t="shared" si="32"/>
        <v>8049.9057637772421</v>
      </c>
      <c r="M167" s="242">
        <f>IF(D167="","",SUM(G$46:G167))</f>
        <v>7343.9227519999995</v>
      </c>
      <c r="N167" s="242">
        <f>IF(D167="","",SUM(J$46:J167))</f>
        <v>9077.9342362227671</v>
      </c>
      <c r="P167" s="245"/>
      <c r="Q167" s="277">
        <f t="shared" si="33"/>
        <v>148.1128698652177</v>
      </c>
      <c r="R167" s="277">
        <f t="shared" ref="R167:R177" si="49">Q167-S167</f>
        <v>45.769615427399842</v>
      </c>
      <c r="S167" s="277">
        <f t="shared" si="42"/>
        <v>102.34325443781786</v>
      </c>
      <c r="T167" s="277">
        <f t="shared" si="36"/>
        <v>0</v>
      </c>
      <c r="U167" s="277">
        <f t="shared" si="40"/>
        <v>102.34325443781786</v>
      </c>
      <c r="V167" s="277">
        <f t="shared" si="37"/>
        <v>-92.465809775686495</v>
      </c>
      <c r="W167" s="277">
        <f t="shared" si="41"/>
        <v>9.8774446621313672</v>
      </c>
      <c r="X167" s="273">
        <f t="shared" si="38"/>
        <v>-593.3514800574219</v>
      </c>
      <c r="Y167" s="277">
        <f t="shared" si="39"/>
        <v>3.3541274015738511</v>
      </c>
      <c r="AA167" s="278"/>
      <c r="AB167" s="277"/>
      <c r="AG167" s="242"/>
      <c r="AH167" s="174"/>
    </row>
    <row r="168" spans="2:34">
      <c r="B168" s="266">
        <f t="shared" si="43"/>
        <v>11</v>
      </c>
      <c r="C168" s="266"/>
      <c r="D168" s="175">
        <f t="shared" si="27"/>
        <v>123</v>
      </c>
      <c r="E168" s="267">
        <f t="shared" si="28"/>
        <v>45778</v>
      </c>
      <c r="F168" s="268">
        <f t="shared" si="34"/>
        <v>6.4899999999999999E-2</v>
      </c>
      <c r="G168" s="270">
        <f t="shared" si="45"/>
        <v>43.5366</v>
      </c>
      <c r="H168" s="270">
        <f t="shared" si="29"/>
        <v>0</v>
      </c>
      <c r="I168" s="270">
        <f t="shared" si="30"/>
        <v>0</v>
      </c>
      <c r="J168" s="270">
        <f t="shared" si="35"/>
        <v>48.929209775686495</v>
      </c>
      <c r="K168" s="271">
        <f t="shared" si="31"/>
        <v>92.465809775686495</v>
      </c>
      <c r="L168" s="270">
        <f t="shared" si="32"/>
        <v>8000.976554001556</v>
      </c>
      <c r="M168" s="242">
        <f>IF(D168="","",SUM(G$46:G168))</f>
        <v>7387.4593519999999</v>
      </c>
      <c r="N168" s="242">
        <f>IF(D168="","",SUM(J$46:J168))</f>
        <v>9126.8634459984532</v>
      </c>
      <c r="P168" s="245"/>
      <c r="Q168" s="277">
        <f t="shared" si="33"/>
        <v>148.1128698652177</v>
      </c>
      <c r="R168" s="277">
        <f t="shared" si="49"/>
        <v>45.769615427399842</v>
      </c>
      <c r="S168" s="277">
        <f t="shared" si="42"/>
        <v>102.34325443781786</v>
      </c>
      <c r="T168" s="277">
        <f t="shared" si="36"/>
        <v>0</v>
      </c>
      <c r="U168" s="277">
        <f t="shared" si="40"/>
        <v>102.34325443781786</v>
      </c>
      <c r="V168" s="277">
        <f t="shared" si="37"/>
        <v>-92.465809775686495</v>
      </c>
      <c r="W168" s="277">
        <f t="shared" si="41"/>
        <v>9.8774446621313672</v>
      </c>
      <c r="X168" s="273">
        <f t="shared" si="38"/>
        <v>-583.47403539529057</v>
      </c>
      <c r="Y168" s="277">
        <f t="shared" si="39"/>
        <v>3.3337402308339819</v>
      </c>
      <c r="AA168" s="278"/>
      <c r="AB168" s="277"/>
      <c r="AG168" s="242"/>
      <c r="AH168" s="174"/>
    </row>
    <row r="169" spans="2:34">
      <c r="B169" s="266">
        <f t="shared" si="43"/>
        <v>11</v>
      </c>
      <c r="C169" s="266"/>
      <c r="D169" s="175">
        <f t="shared" si="27"/>
        <v>124</v>
      </c>
      <c r="E169" s="267">
        <f t="shared" si="28"/>
        <v>45809</v>
      </c>
      <c r="F169" s="268">
        <f t="shared" si="34"/>
        <v>6.4899999999999999E-2</v>
      </c>
      <c r="G169" s="270">
        <f t="shared" si="45"/>
        <v>43.271900000000002</v>
      </c>
      <c r="H169" s="270">
        <f t="shared" si="29"/>
        <v>0</v>
      </c>
      <c r="I169" s="270">
        <f t="shared" si="30"/>
        <v>0</v>
      </c>
      <c r="J169" s="270">
        <f t="shared" si="35"/>
        <v>49.193909775686492</v>
      </c>
      <c r="K169" s="271">
        <f t="shared" si="31"/>
        <v>92.465809775686495</v>
      </c>
      <c r="L169" s="270">
        <f t="shared" si="32"/>
        <v>7951.7826442258693</v>
      </c>
      <c r="M169" s="242">
        <f>IF(D169="","",SUM(G$46:G169))</f>
        <v>7430.7312519999996</v>
      </c>
      <c r="N169" s="242">
        <f>IF(D169="","",SUM(J$46:J169))</f>
        <v>9176.0573557741391</v>
      </c>
      <c r="P169" s="245"/>
      <c r="Q169" s="277">
        <f t="shared" si="33"/>
        <v>148.1128698652177</v>
      </c>
      <c r="R169" s="277">
        <f t="shared" si="49"/>
        <v>45.769615427399842</v>
      </c>
      <c r="S169" s="277">
        <f t="shared" si="42"/>
        <v>102.34325443781786</v>
      </c>
      <c r="T169" s="277">
        <f t="shared" si="36"/>
        <v>0</v>
      </c>
      <c r="U169" s="277">
        <f t="shared" si="40"/>
        <v>102.34325443781786</v>
      </c>
      <c r="V169" s="277">
        <f t="shared" si="37"/>
        <v>-92.465809775686495</v>
      </c>
      <c r="W169" s="277">
        <f t="shared" si="41"/>
        <v>9.8774446621313672</v>
      </c>
      <c r="X169" s="273">
        <f t="shared" si="38"/>
        <v>-573.59659073315925</v>
      </c>
      <c r="Y169" s="277">
        <f t="shared" si="39"/>
        <v>3.3132427684274455</v>
      </c>
      <c r="AA169" s="278"/>
      <c r="AB169" s="277"/>
      <c r="AG169" s="242"/>
      <c r="AH169" s="174"/>
    </row>
    <row r="170" spans="2:34">
      <c r="B170" s="266">
        <f t="shared" si="43"/>
        <v>11</v>
      </c>
      <c r="C170" s="266"/>
      <c r="D170" s="175">
        <f t="shared" si="27"/>
        <v>125</v>
      </c>
      <c r="E170" s="267">
        <f t="shared" si="28"/>
        <v>45839</v>
      </c>
      <c r="F170" s="268">
        <f t="shared" si="34"/>
        <v>6.4899999999999999E-2</v>
      </c>
      <c r="G170" s="270">
        <f t="shared" si="45"/>
        <v>43.005899999999997</v>
      </c>
      <c r="H170" s="270">
        <f t="shared" si="29"/>
        <v>0</v>
      </c>
      <c r="I170" s="270">
        <f t="shared" si="30"/>
        <v>0</v>
      </c>
      <c r="J170" s="270">
        <f t="shared" si="35"/>
        <v>49.459909775686498</v>
      </c>
      <c r="K170" s="271">
        <f t="shared" si="31"/>
        <v>92.465809775686495</v>
      </c>
      <c r="L170" s="270">
        <f t="shared" si="32"/>
        <v>7902.3227344501829</v>
      </c>
      <c r="M170" s="242">
        <f>IF(D170="","",SUM(G$46:G170))</f>
        <v>7473.7371519999997</v>
      </c>
      <c r="N170" s="242">
        <f>IF(D170="","",SUM(J$46:J170))</f>
        <v>9225.5172655498263</v>
      </c>
      <c r="P170" s="245"/>
      <c r="Q170" s="277">
        <f t="shared" si="33"/>
        <v>148.1128698652177</v>
      </c>
      <c r="R170" s="277">
        <f t="shared" si="49"/>
        <v>45.769615427399842</v>
      </c>
      <c r="S170" s="277">
        <f t="shared" si="42"/>
        <v>102.34325443781786</v>
      </c>
      <c r="T170" s="277">
        <f t="shared" si="36"/>
        <v>0</v>
      </c>
      <c r="U170" s="277">
        <f t="shared" si="40"/>
        <v>102.34325443781786</v>
      </c>
      <c r="V170" s="277">
        <f t="shared" si="37"/>
        <v>-92.465809775686495</v>
      </c>
      <c r="W170" s="277">
        <f t="shared" si="41"/>
        <v>9.8774446621313672</v>
      </c>
      <c r="X170" s="273">
        <f t="shared" si="38"/>
        <v>-563.71914607102792</v>
      </c>
      <c r="Y170" s="277">
        <f t="shared" si="39"/>
        <v>3.2926344726875763</v>
      </c>
      <c r="AA170" s="278"/>
      <c r="AB170" s="277"/>
      <c r="AC170" s="281"/>
      <c r="AG170" s="242"/>
      <c r="AH170" s="174"/>
    </row>
    <row r="171" spans="2:34">
      <c r="B171" s="266">
        <f t="shared" si="43"/>
        <v>11</v>
      </c>
      <c r="C171" s="266"/>
      <c r="D171" s="175">
        <f t="shared" si="27"/>
        <v>126</v>
      </c>
      <c r="E171" s="267">
        <f t="shared" si="28"/>
        <v>45870</v>
      </c>
      <c r="F171" s="268">
        <f t="shared" si="34"/>
        <v>6.4899999999999999E-2</v>
      </c>
      <c r="G171" s="270">
        <f t="shared" si="45"/>
        <v>42.738399999999999</v>
      </c>
      <c r="H171" s="270">
        <f t="shared" si="29"/>
        <v>0</v>
      </c>
      <c r="I171" s="270">
        <f t="shared" si="30"/>
        <v>0</v>
      </c>
      <c r="J171" s="270">
        <f t="shared" si="35"/>
        <v>49.727409775686496</v>
      </c>
      <c r="K171" s="271">
        <f t="shared" si="31"/>
        <v>92.465809775686495</v>
      </c>
      <c r="L171" s="270">
        <f t="shared" si="32"/>
        <v>7852.5953246744966</v>
      </c>
      <c r="M171" s="242">
        <f>IF(D171="","",SUM(G$46:G171))</f>
        <v>7516.4755519999999</v>
      </c>
      <c r="N171" s="242">
        <f>IF(D171="","",SUM(J$46:J171))</f>
        <v>9275.2446753255135</v>
      </c>
      <c r="P171" s="245"/>
      <c r="Q171" s="277">
        <f t="shared" si="33"/>
        <v>148.1128698652177</v>
      </c>
      <c r="R171" s="277">
        <f t="shared" si="49"/>
        <v>45.769615427399842</v>
      </c>
      <c r="S171" s="277">
        <f t="shared" si="42"/>
        <v>102.34325443781786</v>
      </c>
      <c r="T171" s="277">
        <f t="shared" si="36"/>
        <v>0</v>
      </c>
      <c r="U171" s="277">
        <f t="shared" si="40"/>
        <v>102.34325443781786</v>
      </c>
      <c r="V171" s="277">
        <f t="shared" si="37"/>
        <v>-92.465809775686495</v>
      </c>
      <c r="W171" s="277">
        <f t="shared" si="41"/>
        <v>9.8774446621313672</v>
      </c>
      <c r="X171" s="273">
        <f t="shared" si="38"/>
        <v>-553.8417014088966</v>
      </c>
      <c r="Y171" s="277">
        <f t="shared" si="39"/>
        <v>3.2719147186143736</v>
      </c>
      <c r="AA171" s="278"/>
      <c r="AB171" s="277"/>
      <c r="AC171" s="282"/>
      <c r="AG171" s="242"/>
      <c r="AH171" s="174"/>
    </row>
    <row r="172" spans="2:34">
      <c r="B172" s="266">
        <f t="shared" si="43"/>
        <v>11</v>
      </c>
      <c r="C172" s="266"/>
      <c r="D172" s="175">
        <f t="shared" si="27"/>
        <v>127</v>
      </c>
      <c r="E172" s="267">
        <f t="shared" si="28"/>
        <v>45901</v>
      </c>
      <c r="F172" s="268">
        <f t="shared" si="34"/>
        <v>6.4899999999999999E-2</v>
      </c>
      <c r="G172" s="270">
        <f t="shared" si="45"/>
        <v>42.469499999999996</v>
      </c>
      <c r="H172" s="270">
        <f t="shared" si="29"/>
        <v>0</v>
      </c>
      <c r="I172" s="270">
        <f t="shared" si="30"/>
        <v>0</v>
      </c>
      <c r="J172" s="270">
        <f t="shared" si="35"/>
        <v>49.996309775686498</v>
      </c>
      <c r="K172" s="271">
        <f t="shared" si="31"/>
        <v>92.465809775686495</v>
      </c>
      <c r="L172" s="270">
        <f t="shared" si="32"/>
        <v>7802.5990148988103</v>
      </c>
      <c r="M172" s="242">
        <f>IF(D172="","",SUM(G$46:G172))</f>
        <v>7558.945052</v>
      </c>
      <c r="N172" s="242">
        <f>IF(D172="","",SUM(J$46:J172))</f>
        <v>9325.2409851011998</v>
      </c>
      <c r="P172" s="245"/>
      <c r="Q172" s="277">
        <f t="shared" si="33"/>
        <v>148.1128698652177</v>
      </c>
      <c r="R172" s="277">
        <f t="shared" si="49"/>
        <v>45.769615427399842</v>
      </c>
      <c r="S172" s="277">
        <f t="shared" si="42"/>
        <v>102.34325443781786</v>
      </c>
      <c r="T172" s="277">
        <f t="shared" si="36"/>
        <v>0</v>
      </c>
      <c r="U172" s="277">
        <f t="shared" si="40"/>
        <v>102.34325443781786</v>
      </c>
      <c r="V172" s="277">
        <f t="shared" si="37"/>
        <v>-92.465809775686495</v>
      </c>
      <c r="W172" s="277">
        <f t="shared" si="41"/>
        <v>9.8774446621313672</v>
      </c>
      <c r="X172" s="273">
        <f t="shared" si="38"/>
        <v>-543.96425674676527</v>
      </c>
      <c r="Y172" s="277">
        <f t="shared" si="39"/>
        <v>3.2510829228745042</v>
      </c>
      <c r="AA172" s="278"/>
      <c r="AB172" s="277"/>
      <c r="AC172" s="281"/>
      <c r="AG172" s="242"/>
      <c r="AH172" s="174"/>
    </row>
    <row r="173" spans="2:34">
      <c r="B173" s="266">
        <f t="shared" si="43"/>
        <v>11</v>
      </c>
      <c r="C173" s="266"/>
      <c r="D173" s="175">
        <f t="shared" si="27"/>
        <v>128</v>
      </c>
      <c r="E173" s="267">
        <f t="shared" si="28"/>
        <v>45931</v>
      </c>
      <c r="F173" s="268">
        <f t="shared" si="34"/>
        <v>6.4899999999999999E-2</v>
      </c>
      <c r="G173" s="270">
        <f t="shared" si="45"/>
        <v>42.199100000000001</v>
      </c>
      <c r="H173" s="270">
        <f t="shared" si="29"/>
        <v>0</v>
      </c>
      <c r="I173" s="270">
        <f t="shared" si="30"/>
        <v>0</v>
      </c>
      <c r="J173" s="270">
        <f t="shared" si="35"/>
        <v>50.266709775686493</v>
      </c>
      <c r="K173" s="271">
        <f t="shared" si="31"/>
        <v>92.465809775686495</v>
      </c>
      <c r="L173" s="270">
        <f t="shared" si="32"/>
        <v>7752.3323051231237</v>
      </c>
      <c r="M173" s="242">
        <f>IF(D173="","",SUM(G$46:G173))</f>
        <v>7601.1441519999998</v>
      </c>
      <c r="N173" s="242">
        <f>IF(D173="","",SUM(J$46:J173))</f>
        <v>9375.5076948768856</v>
      </c>
      <c r="P173" s="245"/>
      <c r="Q173" s="277">
        <f t="shared" si="33"/>
        <v>148.1128698652177</v>
      </c>
      <c r="R173" s="277">
        <f t="shared" si="49"/>
        <v>45.769615427399842</v>
      </c>
      <c r="S173" s="277">
        <f t="shared" si="42"/>
        <v>102.34325443781786</v>
      </c>
      <c r="T173" s="277">
        <f t="shared" si="36"/>
        <v>0</v>
      </c>
      <c r="U173" s="277">
        <f t="shared" si="40"/>
        <v>102.34325443781786</v>
      </c>
      <c r="V173" s="277">
        <f t="shared" si="37"/>
        <v>-92.465809775686495</v>
      </c>
      <c r="W173" s="277">
        <f t="shared" si="41"/>
        <v>9.8774446621313672</v>
      </c>
      <c r="X173" s="273">
        <f t="shared" si="38"/>
        <v>-534.08681208463395</v>
      </c>
      <c r="Y173" s="277">
        <f t="shared" si="39"/>
        <v>3.2301384604679684</v>
      </c>
      <c r="AA173" s="278"/>
      <c r="AB173" s="277"/>
      <c r="AH173" s="174"/>
    </row>
    <row r="174" spans="2:34">
      <c r="B174" s="266">
        <f t="shared" si="43"/>
        <v>11</v>
      </c>
      <c r="C174" s="266"/>
      <c r="D174" s="175">
        <f t="shared" ref="D174:D237" si="50">IF(D173&gt;=nper,"",D173+1)</f>
        <v>129</v>
      </c>
      <c r="E174" s="267">
        <f t="shared" ref="E174:E237" si="51">IF(D174="","",DATE(YEAR(fpdate),MONTH(fpdate)+(D174-1),DAY(fpdate)))</f>
        <v>45962</v>
      </c>
      <c r="F174" s="268">
        <f t="shared" si="34"/>
        <v>6.4899999999999999E-2</v>
      </c>
      <c r="G174" s="270">
        <f t="shared" si="45"/>
        <v>41.927199999999999</v>
      </c>
      <c r="H174" s="270">
        <f t="shared" ref="H174:H237" si="52">+IF(AND(D174=$F$30,D174=$F$29,$J$23=1),SUM($F$33:$F$36),IF(AND(D174=$F$30,D174=$F$29,$J$23=0),SUM($F$33:$F$35,$F$38),IF(AND(D174=$F$29,D174&lt;&gt;$F$30),$F$38+IF($F$29=D174,$F$39*$J$23,0),IF(AND(D174=$F$30,D174&lt;&gt;$F$29),SUM($F$33:$F$35),0))))</f>
        <v>0</v>
      </c>
      <c r="I174" s="270">
        <f t="shared" ref="I174:I237" si="53">IF($J$23=1,IF(AND(V174&lt;0,L173+V174&gt;W174),W174,IF(AND(V174&lt;0,L173+V174&lt;W174),L173+V174+G174,0)),0)</f>
        <v>0</v>
      </c>
      <c r="J174" s="270">
        <f t="shared" si="35"/>
        <v>50.538609775686496</v>
      </c>
      <c r="K174" s="271">
        <f t="shared" ref="K174:K237" si="54">IF(D174&lt;=$F$29,(L173*F174/12)+H174+(I174*$J$23),MIN($F$25+(I174*$J$23),L173+G174))</f>
        <v>92.465809775686495</v>
      </c>
      <c r="L174" s="270">
        <f t="shared" ref="L174:L237" si="55">IF(D174="","",L173-J174)</f>
        <v>7701.7936953474373</v>
      </c>
      <c r="M174" s="242">
        <f>IF(D174="","",SUM(G$46:G174))</f>
        <v>7643.0713519999999</v>
      </c>
      <c r="N174" s="242">
        <f>IF(D174="","",SUM(J$46:J174))</f>
        <v>9426.0463046525729</v>
      </c>
      <c r="P174" s="245"/>
      <c r="Q174" s="277">
        <f t="shared" ref="Q174:Q237" si="56">+IF(B174&gt;1,$J$15*((1+$J$21)^(B174-1)),$J$15)</f>
        <v>148.1128698652177</v>
      </c>
      <c r="R174" s="277">
        <f t="shared" si="49"/>
        <v>45.769615427399842</v>
      </c>
      <c r="S174" s="277">
        <f t="shared" si="42"/>
        <v>102.34325443781786</v>
      </c>
      <c r="T174" s="277">
        <f t="shared" si="36"/>
        <v>0</v>
      </c>
      <c r="U174" s="277">
        <f t="shared" si="40"/>
        <v>102.34325443781786</v>
      </c>
      <c r="V174" s="277">
        <f t="shared" si="37"/>
        <v>-92.465809775686495</v>
      </c>
      <c r="W174" s="277">
        <f t="shared" si="41"/>
        <v>9.8774446621313672</v>
      </c>
      <c r="X174" s="273">
        <f t="shared" si="38"/>
        <v>-524.20936742250262</v>
      </c>
      <c r="Y174" s="277">
        <f t="shared" si="39"/>
        <v>3.2090807063947655</v>
      </c>
      <c r="AA174" s="278"/>
      <c r="AB174" s="277"/>
      <c r="AC174" s="281"/>
      <c r="AG174" s="242"/>
      <c r="AH174" s="174"/>
    </row>
    <row r="175" spans="2:34">
      <c r="B175" s="266">
        <f t="shared" si="43"/>
        <v>11</v>
      </c>
      <c r="C175" s="266"/>
      <c r="D175" s="175">
        <f t="shared" si="50"/>
        <v>130</v>
      </c>
      <c r="E175" s="267">
        <f t="shared" si="51"/>
        <v>45992</v>
      </c>
      <c r="F175" s="268">
        <f t="shared" ref="F175:F238" si="57">+$F$23</f>
        <v>6.4899999999999999E-2</v>
      </c>
      <c r="G175" s="270">
        <f t="shared" si="45"/>
        <v>41.6539</v>
      </c>
      <c r="H175" s="270">
        <f t="shared" si="52"/>
        <v>0</v>
      </c>
      <c r="I175" s="270">
        <f t="shared" si="53"/>
        <v>0</v>
      </c>
      <c r="J175" s="270">
        <f t="shared" ref="J175:J238" si="58">IF(D175&lt;=$F$29,I175+H175,(K175-G175))</f>
        <v>50.811909775686495</v>
      </c>
      <c r="K175" s="271">
        <f t="shared" si="54"/>
        <v>92.465809775686495</v>
      </c>
      <c r="L175" s="270">
        <f t="shared" si="55"/>
        <v>7650.9817855717511</v>
      </c>
      <c r="M175" s="242">
        <f>IF(D175="","",SUM(G$46:G175))</f>
        <v>7684.7252520000002</v>
      </c>
      <c r="N175" s="242">
        <f>IF(D175="","",SUM(J$46:J175))</f>
        <v>9476.8582144282591</v>
      </c>
      <c r="P175" s="245"/>
      <c r="Q175" s="277">
        <f t="shared" si="56"/>
        <v>148.1128698652177</v>
      </c>
      <c r="R175" s="277">
        <f t="shared" si="49"/>
        <v>45.769615427399842</v>
      </c>
      <c r="S175" s="277">
        <f t="shared" si="42"/>
        <v>102.34325443781786</v>
      </c>
      <c r="T175" s="277">
        <f t="shared" ref="T175:T238" si="59">IFERROR(VLOOKUP(B175,$AD$17:$AH$26,4,FALSE)/12,0)</f>
        <v>0</v>
      </c>
      <c r="U175" s="277">
        <f t="shared" si="40"/>
        <v>102.34325443781786</v>
      </c>
      <c r="V175" s="277">
        <f t="shared" ref="V175:V238" si="60">IF(D175&lt;=$F$29,-G175,IF(L174&gt;$F$25,-$F$25,-L174-G175))</f>
        <v>-92.465809775686495</v>
      </c>
      <c r="W175" s="277">
        <f t="shared" si="41"/>
        <v>9.8774446621313672</v>
      </c>
      <c r="X175" s="273">
        <f t="shared" ref="X175:X238" si="61">+SUM(U175:V175)+X174</f>
        <v>-514.3319227603713</v>
      </c>
      <c r="Y175" s="277">
        <f t="shared" ref="Y175:Y238" si="62">IF(B175&lt;=$J$38,L175*$J$37/12,0)</f>
        <v>3.1879090773215633</v>
      </c>
      <c r="AA175" s="278"/>
      <c r="AB175" s="277"/>
      <c r="AG175" s="242"/>
      <c r="AH175" s="174"/>
    </row>
    <row r="176" spans="2:34">
      <c r="B176" s="266">
        <f t="shared" si="43"/>
        <v>11</v>
      </c>
      <c r="C176" s="266"/>
      <c r="D176" s="175">
        <f t="shared" si="50"/>
        <v>131</v>
      </c>
      <c r="E176" s="267">
        <f t="shared" si="51"/>
        <v>46023</v>
      </c>
      <c r="F176" s="268">
        <f t="shared" si="57"/>
        <v>6.4899999999999999E-2</v>
      </c>
      <c r="G176" s="270">
        <f t="shared" si="45"/>
        <v>41.379100000000001</v>
      </c>
      <c r="H176" s="270">
        <f t="shared" si="52"/>
        <v>0</v>
      </c>
      <c r="I176" s="270">
        <f t="shared" si="53"/>
        <v>0</v>
      </c>
      <c r="J176" s="270">
        <f t="shared" si="58"/>
        <v>51.086709775686494</v>
      </c>
      <c r="K176" s="271">
        <f t="shared" si="54"/>
        <v>92.465809775686495</v>
      </c>
      <c r="L176" s="270">
        <f t="shared" si="55"/>
        <v>7599.8950757960647</v>
      </c>
      <c r="M176" s="242">
        <f>IF(D176="","",SUM(G$46:G176))</f>
        <v>7726.1043520000003</v>
      </c>
      <c r="N176" s="242">
        <f>IF(D176="","",SUM(J$46:J176))</f>
        <v>9527.9449242039464</v>
      </c>
      <c r="P176" s="245"/>
      <c r="Q176" s="277">
        <f t="shared" si="56"/>
        <v>148.1128698652177</v>
      </c>
      <c r="R176" s="277">
        <f t="shared" si="49"/>
        <v>45.769615427399842</v>
      </c>
      <c r="S176" s="277">
        <f t="shared" si="42"/>
        <v>102.34325443781786</v>
      </c>
      <c r="T176" s="277">
        <f t="shared" si="59"/>
        <v>0</v>
      </c>
      <c r="U176" s="277">
        <f t="shared" ref="U176:U239" si="63">S176+T176</f>
        <v>102.34325443781786</v>
      </c>
      <c r="V176" s="277">
        <f t="shared" si="60"/>
        <v>-92.465809775686495</v>
      </c>
      <c r="W176" s="277">
        <f t="shared" ref="W176:W239" si="64">+IF(V176&gt;=0,U176+V176,IF(AND(U176&gt;-V176,L175&gt;U176),U176+V176,IF(AND(U176&gt;-V176,L175&lt;U176),(((U176+V176)-(L175+V176))),0)))</f>
        <v>9.8774446621313672</v>
      </c>
      <c r="X176" s="273">
        <f t="shared" si="61"/>
        <v>-504.45447809823992</v>
      </c>
      <c r="Y176" s="277">
        <f t="shared" si="62"/>
        <v>3.1666229482483601</v>
      </c>
      <c r="AA176" s="278"/>
      <c r="AB176" s="277"/>
      <c r="AC176" s="283"/>
      <c r="AG176" s="242"/>
      <c r="AH176" s="174"/>
    </row>
    <row r="177" spans="2:34">
      <c r="B177" s="266">
        <f t="shared" si="43"/>
        <v>11</v>
      </c>
      <c r="C177" s="266"/>
      <c r="D177" s="175">
        <f t="shared" si="50"/>
        <v>132</v>
      </c>
      <c r="E177" s="267">
        <f t="shared" si="51"/>
        <v>46054</v>
      </c>
      <c r="F177" s="268">
        <f t="shared" si="57"/>
        <v>6.4899999999999999E-2</v>
      </c>
      <c r="G177" s="270">
        <f t="shared" si="45"/>
        <v>41.102800000000002</v>
      </c>
      <c r="H177" s="270">
        <f t="shared" si="52"/>
        <v>0</v>
      </c>
      <c r="I177" s="270">
        <f t="shared" si="53"/>
        <v>0</v>
      </c>
      <c r="J177" s="270">
        <f t="shared" si="58"/>
        <v>51.363009775686493</v>
      </c>
      <c r="K177" s="271">
        <f t="shared" si="54"/>
        <v>92.465809775686495</v>
      </c>
      <c r="L177" s="270">
        <f t="shared" si="55"/>
        <v>7548.5320660203779</v>
      </c>
      <c r="M177" s="242">
        <f>IF(D177="","",SUM(G$46:G177))</f>
        <v>7767.207152</v>
      </c>
      <c r="N177" s="242">
        <f>IF(D177="","",SUM(J$46:J177))</f>
        <v>9579.3079339796332</v>
      </c>
      <c r="P177" s="245"/>
      <c r="Q177" s="277">
        <f t="shared" si="56"/>
        <v>148.1128698652177</v>
      </c>
      <c r="R177" s="277">
        <f t="shared" si="49"/>
        <v>45.769615427399842</v>
      </c>
      <c r="S177" s="277">
        <f t="shared" si="42"/>
        <v>102.34325443781786</v>
      </c>
      <c r="T177" s="277">
        <f t="shared" si="59"/>
        <v>0</v>
      </c>
      <c r="U177" s="277">
        <f t="shared" si="63"/>
        <v>102.34325443781786</v>
      </c>
      <c r="V177" s="277">
        <f t="shared" si="60"/>
        <v>-92.465809775686495</v>
      </c>
      <c r="W177" s="277">
        <f t="shared" si="64"/>
        <v>9.8774446621313672</v>
      </c>
      <c r="X177" s="273">
        <f t="shared" si="61"/>
        <v>-494.57703343610854</v>
      </c>
      <c r="Y177" s="277">
        <f t="shared" si="62"/>
        <v>3.1452216941751576</v>
      </c>
      <c r="AA177" s="278"/>
      <c r="AB177" s="277"/>
      <c r="AC177" s="284"/>
      <c r="AG177" s="242"/>
      <c r="AH177" s="174"/>
    </row>
    <row r="178" spans="2:34">
      <c r="B178" s="266">
        <f t="shared" si="43"/>
        <v>12</v>
      </c>
      <c r="C178" s="266"/>
      <c r="D178" s="175">
        <f t="shared" si="50"/>
        <v>133</v>
      </c>
      <c r="E178" s="267">
        <f t="shared" si="51"/>
        <v>46082</v>
      </c>
      <c r="F178" s="268">
        <f t="shared" si="57"/>
        <v>6.4899999999999999E-2</v>
      </c>
      <c r="G178" s="270">
        <f t="shared" si="45"/>
        <v>40.825000000000003</v>
      </c>
      <c r="H178" s="270">
        <f t="shared" si="52"/>
        <v>0</v>
      </c>
      <c r="I178" s="270">
        <f t="shared" si="53"/>
        <v>0</v>
      </c>
      <c r="J178" s="270">
        <f t="shared" si="58"/>
        <v>51.640809775686492</v>
      </c>
      <c r="K178" s="271">
        <f t="shared" si="54"/>
        <v>92.465809775686495</v>
      </c>
      <c r="L178" s="270">
        <f t="shared" si="55"/>
        <v>7496.8912562446912</v>
      </c>
      <c r="M178" s="242">
        <f>IF(D178="","",SUM(G$46:G178))</f>
        <v>7808.0321519999998</v>
      </c>
      <c r="N178" s="242">
        <f>IF(D178="","",SUM(J$46:J178))</f>
        <v>9630.9487437553198</v>
      </c>
      <c r="P178" s="245"/>
      <c r="Q178" s="277">
        <f t="shared" si="56"/>
        <v>153.29682031050032</v>
      </c>
      <c r="R178" s="277">
        <f>Q178-S178</f>
        <v>47.901178309074552</v>
      </c>
      <c r="S178" s="277">
        <f t="shared" si="42"/>
        <v>105.39564200142577</v>
      </c>
      <c r="T178" s="277">
        <f t="shared" si="59"/>
        <v>0</v>
      </c>
      <c r="U178" s="277">
        <f t="shared" si="63"/>
        <v>105.39564200142577</v>
      </c>
      <c r="V178" s="277">
        <f t="shared" si="60"/>
        <v>-92.465809775686495</v>
      </c>
      <c r="W178" s="277">
        <f t="shared" si="64"/>
        <v>12.929832225739275</v>
      </c>
      <c r="X178" s="273">
        <f t="shared" si="61"/>
        <v>-481.64720121036925</v>
      </c>
      <c r="Y178" s="277">
        <f t="shared" si="62"/>
        <v>3.1237046901019547</v>
      </c>
      <c r="AA178" s="278"/>
      <c r="AB178" s="277"/>
      <c r="AC178" s="283"/>
      <c r="AG178" s="242"/>
      <c r="AH178" s="174"/>
    </row>
    <row r="179" spans="2:34">
      <c r="B179" s="266">
        <f t="shared" si="43"/>
        <v>12</v>
      </c>
      <c r="C179" s="266"/>
      <c r="D179" s="175">
        <f t="shared" si="50"/>
        <v>134</v>
      </c>
      <c r="E179" s="267">
        <f t="shared" si="51"/>
        <v>46113</v>
      </c>
      <c r="F179" s="268">
        <f t="shared" si="57"/>
        <v>6.4899999999999999E-2</v>
      </c>
      <c r="G179" s="270">
        <f t="shared" si="45"/>
        <v>40.545699999999997</v>
      </c>
      <c r="H179" s="270">
        <f t="shared" si="52"/>
        <v>0</v>
      </c>
      <c r="I179" s="270">
        <f t="shared" si="53"/>
        <v>0</v>
      </c>
      <c r="J179" s="270">
        <f t="shared" si="58"/>
        <v>51.920109775686498</v>
      </c>
      <c r="K179" s="271">
        <f t="shared" si="54"/>
        <v>92.465809775686495</v>
      </c>
      <c r="L179" s="270">
        <f t="shared" si="55"/>
        <v>7444.9711464690045</v>
      </c>
      <c r="M179" s="242">
        <f>IF(D179="","",SUM(G$46:G179))</f>
        <v>7848.5778519999994</v>
      </c>
      <c r="N179" s="242">
        <f>IF(D179="","",SUM(J$46:J179))</f>
        <v>9682.8688535310066</v>
      </c>
      <c r="P179" s="245"/>
      <c r="Q179" s="277">
        <f t="shared" si="56"/>
        <v>153.29682031050032</v>
      </c>
      <c r="R179" s="277">
        <f t="shared" ref="R179:R189" si="65">Q179-S179</f>
        <v>47.901178309074552</v>
      </c>
      <c r="S179" s="277">
        <f t="shared" si="42"/>
        <v>105.39564200142577</v>
      </c>
      <c r="T179" s="277">
        <f t="shared" si="59"/>
        <v>0</v>
      </c>
      <c r="U179" s="277">
        <f t="shared" si="63"/>
        <v>105.39564200142577</v>
      </c>
      <c r="V179" s="277">
        <f t="shared" si="60"/>
        <v>-92.465809775686495</v>
      </c>
      <c r="W179" s="277">
        <f t="shared" si="64"/>
        <v>12.929832225739275</v>
      </c>
      <c r="X179" s="273">
        <f t="shared" si="61"/>
        <v>-468.71736898462996</v>
      </c>
      <c r="Y179" s="277">
        <f t="shared" si="62"/>
        <v>3.1020713110287517</v>
      </c>
      <c r="AA179" s="278"/>
      <c r="AB179" s="277"/>
      <c r="AC179" s="277"/>
      <c r="AG179" s="242"/>
      <c r="AH179" s="174"/>
    </row>
    <row r="180" spans="2:34">
      <c r="B180" s="266">
        <f t="shared" si="43"/>
        <v>12</v>
      </c>
      <c r="C180" s="266"/>
      <c r="D180" s="175">
        <f t="shared" si="50"/>
        <v>135</v>
      </c>
      <c r="E180" s="267">
        <f t="shared" si="51"/>
        <v>46143</v>
      </c>
      <c r="F180" s="268">
        <f t="shared" si="57"/>
        <v>6.4899999999999999E-2</v>
      </c>
      <c r="G180" s="270">
        <f t="shared" si="45"/>
        <v>40.264899999999997</v>
      </c>
      <c r="H180" s="270">
        <f t="shared" si="52"/>
        <v>0</v>
      </c>
      <c r="I180" s="270">
        <f t="shared" si="53"/>
        <v>0</v>
      </c>
      <c r="J180" s="270">
        <f t="shared" si="58"/>
        <v>52.200909775686497</v>
      </c>
      <c r="K180" s="271">
        <f t="shared" si="54"/>
        <v>92.465809775686495</v>
      </c>
      <c r="L180" s="270">
        <f t="shared" si="55"/>
        <v>7392.7702366933181</v>
      </c>
      <c r="M180" s="242">
        <f>IF(D180="","",SUM(G$46:G180))</f>
        <v>7888.8427519999996</v>
      </c>
      <c r="N180" s="242">
        <f>IF(D180="","",SUM(J$46:J180))</f>
        <v>9735.0697633066939</v>
      </c>
      <c r="P180" s="245"/>
      <c r="Q180" s="277">
        <f t="shared" si="56"/>
        <v>153.29682031050032</v>
      </c>
      <c r="R180" s="277">
        <f t="shared" si="65"/>
        <v>47.901178309074552</v>
      </c>
      <c r="S180" s="277">
        <f t="shared" si="42"/>
        <v>105.39564200142577</v>
      </c>
      <c r="T180" s="277">
        <f t="shared" si="59"/>
        <v>0</v>
      </c>
      <c r="U180" s="277">
        <f t="shared" si="63"/>
        <v>105.39564200142577</v>
      </c>
      <c r="V180" s="277">
        <f t="shared" si="60"/>
        <v>-92.465809775686495</v>
      </c>
      <c r="W180" s="277">
        <f t="shared" si="64"/>
        <v>12.929832225739275</v>
      </c>
      <c r="X180" s="273">
        <f t="shared" si="61"/>
        <v>-455.78753675889067</v>
      </c>
      <c r="Y180" s="277">
        <f t="shared" si="62"/>
        <v>3.0803209319555496</v>
      </c>
      <c r="AA180" s="278"/>
      <c r="AB180" s="277"/>
      <c r="AC180" s="277"/>
      <c r="AG180" s="242"/>
      <c r="AH180" s="174"/>
    </row>
    <row r="181" spans="2:34">
      <c r="B181" s="266">
        <f t="shared" si="43"/>
        <v>12</v>
      </c>
      <c r="C181" s="266"/>
      <c r="D181" s="175">
        <f t="shared" si="50"/>
        <v>136</v>
      </c>
      <c r="E181" s="267">
        <f t="shared" si="51"/>
        <v>46174</v>
      </c>
      <c r="F181" s="268">
        <f t="shared" si="57"/>
        <v>6.4899999999999999E-2</v>
      </c>
      <c r="G181" s="270">
        <f t="shared" si="45"/>
        <v>39.982599999999998</v>
      </c>
      <c r="H181" s="270">
        <f t="shared" si="52"/>
        <v>0</v>
      </c>
      <c r="I181" s="270">
        <f t="shared" si="53"/>
        <v>0</v>
      </c>
      <c r="J181" s="270">
        <f t="shared" si="58"/>
        <v>52.483209775686497</v>
      </c>
      <c r="K181" s="271">
        <f t="shared" si="54"/>
        <v>92.465809775686495</v>
      </c>
      <c r="L181" s="270">
        <f t="shared" si="55"/>
        <v>7340.2870269176319</v>
      </c>
      <c r="M181" s="242">
        <f>IF(D181="","",SUM(G$46:G181))</f>
        <v>7928.8253519999998</v>
      </c>
      <c r="N181" s="242">
        <f>IF(D181="","",SUM(J$46:J181))</f>
        <v>9787.55297308238</v>
      </c>
      <c r="P181" s="245"/>
      <c r="Q181" s="277">
        <f t="shared" si="56"/>
        <v>153.29682031050032</v>
      </c>
      <c r="R181" s="277">
        <f t="shared" si="65"/>
        <v>47.901178309074552</v>
      </c>
      <c r="S181" s="277">
        <f t="shared" si="42"/>
        <v>105.39564200142577</v>
      </c>
      <c r="T181" s="277">
        <f t="shared" si="59"/>
        <v>0</v>
      </c>
      <c r="U181" s="277">
        <f t="shared" si="63"/>
        <v>105.39564200142577</v>
      </c>
      <c r="V181" s="277">
        <f t="shared" si="60"/>
        <v>-92.465809775686495</v>
      </c>
      <c r="W181" s="277">
        <f t="shared" si="64"/>
        <v>12.929832225739275</v>
      </c>
      <c r="X181" s="273">
        <f t="shared" si="61"/>
        <v>-442.85770453315138</v>
      </c>
      <c r="Y181" s="277">
        <f t="shared" si="62"/>
        <v>3.0584529278823465</v>
      </c>
      <c r="AA181" s="278"/>
      <c r="AB181" s="277"/>
      <c r="AG181" s="242"/>
      <c r="AH181" s="174"/>
    </row>
    <row r="182" spans="2:34">
      <c r="B182" s="266">
        <f t="shared" si="43"/>
        <v>12</v>
      </c>
      <c r="C182" s="266"/>
      <c r="D182" s="175">
        <f t="shared" si="50"/>
        <v>137</v>
      </c>
      <c r="E182" s="267">
        <f t="shared" si="51"/>
        <v>46204</v>
      </c>
      <c r="F182" s="268">
        <f t="shared" si="57"/>
        <v>6.4899999999999999E-2</v>
      </c>
      <c r="G182" s="270">
        <f t="shared" si="45"/>
        <v>39.698700000000002</v>
      </c>
      <c r="H182" s="270">
        <f t="shared" si="52"/>
        <v>0</v>
      </c>
      <c r="I182" s="270">
        <f t="shared" si="53"/>
        <v>0</v>
      </c>
      <c r="J182" s="270">
        <f t="shared" si="58"/>
        <v>52.767109775686492</v>
      </c>
      <c r="K182" s="271">
        <f t="shared" si="54"/>
        <v>92.465809775686495</v>
      </c>
      <c r="L182" s="270">
        <f t="shared" si="55"/>
        <v>7287.5199171419454</v>
      </c>
      <c r="M182" s="242">
        <f>IF(D182="","",SUM(G$46:G182))</f>
        <v>7968.5240519999998</v>
      </c>
      <c r="N182" s="242">
        <f>IF(D182="","",SUM(J$46:J182))</f>
        <v>9840.3200828580666</v>
      </c>
      <c r="P182" s="245"/>
      <c r="Q182" s="277">
        <f t="shared" si="56"/>
        <v>153.29682031050032</v>
      </c>
      <c r="R182" s="277">
        <f t="shared" si="65"/>
        <v>47.901178309074552</v>
      </c>
      <c r="S182" s="277">
        <f t="shared" si="42"/>
        <v>105.39564200142577</v>
      </c>
      <c r="T182" s="277">
        <f t="shared" si="59"/>
        <v>0</v>
      </c>
      <c r="U182" s="277">
        <f t="shared" si="63"/>
        <v>105.39564200142577</v>
      </c>
      <c r="V182" s="277">
        <f t="shared" si="60"/>
        <v>-92.465809775686495</v>
      </c>
      <c r="W182" s="277">
        <f t="shared" si="64"/>
        <v>12.929832225739275</v>
      </c>
      <c r="X182" s="273">
        <f t="shared" si="61"/>
        <v>-429.92787230741209</v>
      </c>
      <c r="Y182" s="277">
        <f t="shared" si="62"/>
        <v>3.0364666321424774</v>
      </c>
      <c r="AA182" s="278"/>
      <c r="AB182" s="277"/>
      <c r="AC182" s="174"/>
      <c r="AG182" s="242"/>
      <c r="AH182" s="174"/>
    </row>
    <row r="183" spans="2:34">
      <c r="B183" s="266">
        <f t="shared" si="43"/>
        <v>12</v>
      </c>
      <c r="C183" s="266"/>
      <c r="D183" s="175">
        <f t="shared" si="50"/>
        <v>138</v>
      </c>
      <c r="E183" s="267">
        <f t="shared" si="51"/>
        <v>46235</v>
      </c>
      <c r="F183" s="268">
        <f t="shared" si="57"/>
        <v>6.4899999999999999E-2</v>
      </c>
      <c r="G183" s="270">
        <f t="shared" si="45"/>
        <v>39.4133</v>
      </c>
      <c r="H183" s="270">
        <f t="shared" si="52"/>
        <v>0</v>
      </c>
      <c r="I183" s="270">
        <f t="shared" si="53"/>
        <v>0</v>
      </c>
      <c r="J183" s="270">
        <f t="shared" si="58"/>
        <v>53.052509775686495</v>
      </c>
      <c r="K183" s="271">
        <f t="shared" si="54"/>
        <v>92.465809775686495</v>
      </c>
      <c r="L183" s="270">
        <f t="shared" si="55"/>
        <v>7234.4674073662591</v>
      </c>
      <c r="M183" s="242">
        <f>IF(D183="","",SUM(G$46:G183))</f>
        <v>8007.9373519999999</v>
      </c>
      <c r="N183" s="242">
        <f>IF(D183="","",SUM(J$46:J183))</f>
        <v>9893.3725926337538</v>
      </c>
      <c r="P183" s="245"/>
      <c r="Q183" s="277">
        <f t="shared" si="56"/>
        <v>153.29682031050032</v>
      </c>
      <c r="R183" s="277">
        <f t="shared" si="65"/>
        <v>47.901178309074552</v>
      </c>
      <c r="S183" s="277">
        <f t="shared" si="42"/>
        <v>105.39564200142577</v>
      </c>
      <c r="T183" s="277">
        <f t="shared" si="59"/>
        <v>0</v>
      </c>
      <c r="U183" s="277">
        <f t="shared" si="63"/>
        <v>105.39564200142577</v>
      </c>
      <c r="V183" s="277">
        <f t="shared" si="60"/>
        <v>-92.465809775686495</v>
      </c>
      <c r="W183" s="277">
        <f t="shared" si="64"/>
        <v>12.929832225739275</v>
      </c>
      <c r="X183" s="273">
        <f t="shared" si="61"/>
        <v>-416.9980400816728</v>
      </c>
      <c r="Y183" s="277">
        <f t="shared" si="62"/>
        <v>3.0143614197359412</v>
      </c>
      <c r="AA183" s="278"/>
      <c r="AB183" s="277"/>
      <c r="AG183" s="242"/>
      <c r="AH183" s="174"/>
    </row>
    <row r="184" spans="2:34">
      <c r="B184" s="266">
        <f t="shared" si="43"/>
        <v>12</v>
      </c>
      <c r="C184" s="266"/>
      <c r="D184" s="175">
        <f t="shared" si="50"/>
        <v>139</v>
      </c>
      <c r="E184" s="267">
        <f t="shared" si="51"/>
        <v>46266</v>
      </c>
      <c r="F184" s="268">
        <f t="shared" si="57"/>
        <v>6.4899999999999999E-2</v>
      </c>
      <c r="G184" s="270">
        <f t="shared" si="45"/>
        <v>39.126399999999997</v>
      </c>
      <c r="H184" s="270">
        <f t="shared" si="52"/>
        <v>0</v>
      </c>
      <c r="I184" s="270">
        <f t="shared" si="53"/>
        <v>0</v>
      </c>
      <c r="J184" s="270">
        <f t="shared" si="58"/>
        <v>53.339409775686498</v>
      </c>
      <c r="K184" s="271">
        <f t="shared" si="54"/>
        <v>92.465809775686495</v>
      </c>
      <c r="L184" s="270">
        <f t="shared" si="55"/>
        <v>7181.1279975905727</v>
      </c>
      <c r="M184" s="242">
        <f>IF(D184="","",SUM(G$46:G184))</f>
        <v>8047.063752</v>
      </c>
      <c r="N184" s="242">
        <f>IF(D184="","",SUM(J$46:J184))</f>
        <v>9946.7120024094402</v>
      </c>
      <c r="P184" s="245"/>
      <c r="Q184" s="277">
        <f t="shared" si="56"/>
        <v>153.29682031050032</v>
      </c>
      <c r="R184" s="277">
        <f t="shared" si="65"/>
        <v>47.901178309074552</v>
      </c>
      <c r="S184" s="277">
        <f t="shared" si="42"/>
        <v>105.39564200142577</v>
      </c>
      <c r="T184" s="277">
        <f t="shared" si="59"/>
        <v>0</v>
      </c>
      <c r="U184" s="277">
        <f t="shared" si="63"/>
        <v>105.39564200142577</v>
      </c>
      <c r="V184" s="277">
        <f t="shared" si="60"/>
        <v>-92.465809775686495</v>
      </c>
      <c r="W184" s="277">
        <f t="shared" si="64"/>
        <v>12.929832225739275</v>
      </c>
      <c r="X184" s="273">
        <f t="shared" si="61"/>
        <v>-404.06820785593351</v>
      </c>
      <c r="Y184" s="277">
        <f t="shared" si="62"/>
        <v>2.9921366656627391</v>
      </c>
      <c r="AA184" s="278"/>
      <c r="AB184" s="277"/>
      <c r="AC184" s="146"/>
      <c r="AG184" s="242"/>
      <c r="AH184" s="174"/>
    </row>
    <row r="185" spans="2:34">
      <c r="B185" s="266">
        <f t="shared" si="43"/>
        <v>12</v>
      </c>
      <c r="C185" s="266"/>
      <c r="D185" s="175">
        <f t="shared" si="50"/>
        <v>140</v>
      </c>
      <c r="E185" s="267">
        <f t="shared" si="51"/>
        <v>46296</v>
      </c>
      <c r="F185" s="268">
        <f t="shared" si="57"/>
        <v>6.4899999999999999E-2</v>
      </c>
      <c r="G185" s="270">
        <f t="shared" si="45"/>
        <v>38.837899999999998</v>
      </c>
      <c r="H185" s="270">
        <f t="shared" si="52"/>
        <v>0</v>
      </c>
      <c r="I185" s="270">
        <f t="shared" si="53"/>
        <v>0</v>
      </c>
      <c r="J185" s="270">
        <f t="shared" si="58"/>
        <v>53.627909775686497</v>
      </c>
      <c r="K185" s="271">
        <f t="shared" si="54"/>
        <v>92.465809775686495</v>
      </c>
      <c r="L185" s="270">
        <f t="shared" si="55"/>
        <v>7127.5000878148858</v>
      </c>
      <c r="M185" s="242">
        <f>IF(D185="","",SUM(G$46:G185))</f>
        <v>8085.9016520000005</v>
      </c>
      <c r="N185" s="242">
        <f>IF(D185="","",SUM(J$46:J185))</f>
        <v>10000.339912185127</v>
      </c>
      <c r="P185" s="245"/>
      <c r="Q185" s="277">
        <f t="shared" si="56"/>
        <v>153.29682031050032</v>
      </c>
      <c r="R185" s="277">
        <f t="shared" si="65"/>
        <v>47.901178309074552</v>
      </c>
      <c r="S185" s="277">
        <f t="shared" si="42"/>
        <v>105.39564200142577</v>
      </c>
      <c r="T185" s="277">
        <f t="shared" si="59"/>
        <v>0</v>
      </c>
      <c r="U185" s="277">
        <f t="shared" si="63"/>
        <v>105.39564200142577</v>
      </c>
      <c r="V185" s="277">
        <f t="shared" si="60"/>
        <v>-92.465809775686495</v>
      </c>
      <c r="W185" s="277">
        <f t="shared" si="64"/>
        <v>12.929832225739275</v>
      </c>
      <c r="X185" s="273">
        <f t="shared" si="61"/>
        <v>-391.13837563019422</v>
      </c>
      <c r="Y185" s="277">
        <f t="shared" si="62"/>
        <v>2.9697917032562025</v>
      </c>
      <c r="AA185" s="278"/>
      <c r="AB185" s="277"/>
      <c r="AC185" s="146"/>
      <c r="AG185" s="242"/>
      <c r="AH185" s="174"/>
    </row>
    <row r="186" spans="2:34">
      <c r="B186" s="266">
        <f t="shared" si="43"/>
        <v>12</v>
      </c>
      <c r="C186" s="266"/>
      <c r="D186" s="175">
        <f t="shared" si="50"/>
        <v>141</v>
      </c>
      <c r="E186" s="267">
        <f t="shared" si="51"/>
        <v>46327</v>
      </c>
      <c r="F186" s="268">
        <f t="shared" si="57"/>
        <v>6.4899999999999999E-2</v>
      </c>
      <c r="G186" s="270">
        <f t="shared" si="45"/>
        <v>38.547899999999998</v>
      </c>
      <c r="H186" s="270">
        <f t="shared" si="52"/>
        <v>0</v>
      </c>
      <c r="I186" s="270">
        <f t="shared" si="53"/>
        <v>0</v>
      </c>
      <c r="J186" s="270">
        <f t="shared" si="58"/>
        <v>53.917909775686496</v>
      </c>
      <c r="K186" s="271">
        <f t="shared" si="54"/>
        <v>92.465809775686495</v>
      </c>
      <c r="L186" s="270">
        <f t="shared" si="55"/>
        <v>7073.5821780391989</v>
      </c>
      <c r="M186" s="242">
        <f>IF(D186="","",SUM(G$46:G186))</f>
        <v>8124.449552</v>
      </c>
      <c r="N186" s="242">
        <f>IF(D186="","",SUM(J$46:J186))</f>
        <v>10054.257821960813</v>
      </c>
      <c r="P186" s="245"/>
      <c r="Q186" s="277">
        <f t="shared" si="56"/>
        <v>153.29682031050032</v>
      </c>
      <c r="R186" s="277">
        <f t="shared" si="65"/>
        <v>47.901178309074552</v>
      </c>
      <c r="S186" s="277">
        <f t="shared" ref="S186:S249" si="66">IF(B186=1,$J$20,((S174*(1+$J$21)*(1-$J$22))))</f>
        <v>105.39564200142577</v>
      </c>
      <c r="T186" s="277">
        <f t="shared" si="59"/>
        <v>0</v>
      </c>
      <c r="U186" s="277">
        <f t="shared" si="63"/>
        <v>105.39564200142577</v>
      </c>
      <c r="V186" s="277">
        <f t="shared" si="60"/>
        <v>-92.465809775686495</v>
      </c>
      <c r="W186" s="277">
        <f t="shared" si="64"/>
        <v>12.929832225739275</v>
      </c>
      <c r="X186" s="273">
        <f t="shared" si="61"/>
        <v>-378.20854340445493</v>
      </c>
      <c r="Y186" s="277">
        <f t="shared" si="62"/>
        <v>2.9473259075163329</v>
      </c>
      <c r="AA186" s="278"/>
      <c r="AB186" s="277"/>
      <c r="AC186" s="146"/>
      <c r="AG186" s="242"/>
      <c r="AH186" s="174"/>
    </row>
    <row r="187" spans="2:34">
      <c r="B187" s="266">
        <f t="shared" ref="B187:B250" si="67">B175+1</f>
        <v>12</v>
      </c>
      <c r="C187" s="266"/>
      <c r="D187" s="175">
        <f t="shared" si="50"/>
        <v>142</v>
      </c>
      <c r="E187" s="267">
        <f t="shared" si="51"/>
        <v>46357</v>
      </c>
      <c r="F187" s="268">
        <f t="shared" si="57"/>
        <v>6.4899999999999999E-2</v>
      </c>
      <c r="G187" s="270">
        <f t="shared" si="45"/>
        <v>38.256300000000003</v>
      </c>
      <c r="H187" s="270">
        <f t="shared" si="52"/>
        <v>0</v>
      </c>
      <c r="I187" s="270">
        <f t="shared" si="53"/>
        <v>0</v>
      </c>
      <c r="J187" s="270">
        <f t="shared" si="58"/>
        <v>54.209509775686492</v>
      </c>
      <c r="K187" s="271">
        <f t="shared" si="54"/>
        <v>92.465809775686495</v>
      </c>
      <c r="L187" s="270">
        <f t="shared" si="55"/>
        <v>7019.3726682635124</v>
      </c>
      <c r="M187" s="242">
        <f>IF(D187="","",SUM(G$46:G187))</f>
        <v>8162.705852</v>
      </c>
      <c r="N187" s="242">
        <f>IF(D187="","",SUM(J$46:J187))</f>
        <v>10108.4673317365</v>
      </c>
      <c r="P187" s="245"/>
      <c r="Q187" s="277">
        <f t="shared" si="56"/>
        <v>153.29682031050032</v>
      </c>
      <c r="R187" s="277">
        <f t="shared" si="65"/>
        <v>47.901178309074552</v>
      </c>
      <c r="S187" s="277">
        <f t="shared" si="66"/>
        <v>105.39564200142577</v>
      </c>
      <c r="T187" s="277">
        <f t="shared" si="59"/>
        <v>0</v>
      </c>
      <c r="U187" s="277">
        <f t="shared" si="63"/>
        <v>105.39564200142577</v>
      </c>
      <c r="V187" s="277">
        <f t="shared" si="60"/>
        <v>-92.465809775686495</v>
      </c>
      <c r="W187" s="277">
        <f t="shared" si="64"/>
        <v>12.929832225739275</v>
      </c>
      <c r="X187" s="273">
        <f t="shared" si="61"/>
        <v>-365.27871117871564</v>
      </c>
      <c r="Y187" s="277">
        <f t="shared" si="62"/>
        <v>2.9247386117764638</v>
      </c>
      <c r="AA187" s="278"/>
      <c r="AB187" s="277"/>
      <c r="AG187" s="242"/>
      <c r="AH187" s="174"/>
    </row>
    <row r="188" spans="2:34">
      <c r="B188" s="266">
        <f t="shared" si="67"/>
        <v>12</v>
      </c>
      <c r="C188" s="266"/>
      <c r="D188" s="175">
        <f t="shared" si="50"/>
        <v>143</v>
      </c>
      <c r="E188" s="267">
        <f t="shared" si="51"/>
        <v>46388</v>
      </c>
      <c r="F188" s="268">
        <f t="shared" si="57"/>
        <v>6.4899999999999999E-2</v>
      </c>
      <c r="G188" s="270">
        <f t="shared" si="45"/>
        <v>37.963099999999997</v>
      </c>
      <c r="H188" s="270">
        <f t="shared" si="52"/>
        <v>0</v>
      </c>
      <c r="I188" s="270">
        <f t="shared" si="53"/>
        <v>0</v>
      </c>
      <c r="J188" s="270">
        <f t="shared" si="58"/>
        <v>54.502709775686498</v>
      </c>
      <c r="K188" s="271">
        <f t="shared" si="54"/>
        <v>92.465809775686495</v>
      </c>
      <c r="L188" s="270">
        <f t="shared" si="55"/>
        <v>6964.8699584878259</v>
      </c>
      <c r="M188" s="242">
        <f>IF(D188="","",SUM(G$46:G188))</f>
        <v>8200.668952</v>
      </c>
      <c r="N188" s="242">
        <f>IF(D188="","",SUM(J$46:J188))</f>
        <v>10162.970041512186</v>
      </c>
      <c r="P188" s="245"/>
      <c r="Q188" s="277">
        <f t="shared" si="56"/>
        <v>153.29682031050032</v>
      </c>
      <c r="R188" s="277">
        <f t="shared" si="65"/>
        <v>47.901178309074552</v>
      </c>
      <c r="S188" s="277">
        <f t="shared" si="66"/>
        <v>105.39564200142577</v>
      </c>
      <c r="T188" s="277">
        <f t="shared" si="59"/>
        <v>0</v>
      </c>
      <c r="U188" s="277">
        <f t="shared" si="63"/>
        <v>105.39564200142577</v>
      </c>
      <c r="V188" s="277">
        <f t="shared" si="60"/>
        <v>-92.465809775686495</v>
      </c>
      <c r="W188" s="277">
        <f t="shared" si="64"/>
        <v>12.929832225739275</v>
      </c>
      <c r="X188" s="273">
        <f t="shared" si="61"/>
        <v>-352.34887895297635</v>
      </c>
      <c r="Y188" s="277">
        <f t="shared" si="62"/>
        <v>2.9020291493699273</v>
      </c>
      <c r="AA188" s="278"/>
      <c r="AB188" s="277"/>
      <c r="AG188" s="242"/>
      <c r="AH188" s="174"/>
    </row>
    <row r="189" spans="2:34">
      <c r="B189" s="266">
        <f t="shared" si="67"/>
        <v>12</v>
      </c>
      <c r="C189" s="266"/>
      <c r="D189" s="175">
        <f t="shared" si="50"/>
        <v>144</v>
      </c>
      <c r="E189" s="267">
        <f t="shared" si="51"/>
        <v>46419</v>
      </c>
      <c r="F189" s="268">
        <f t="shared" si="57"/>
        <v>6.4899999999999999E-2</v>
      </c>
      <c r="G189" s="270">
        <f t="shared" ref="G189:G252" si="68">IF(D189="","",ROUND(F189/12*L188,4))</f>
        <v>37.668300000000002</v>
      </c>
      <c r="H189" s="270">
        <f t="shared" si="52"/>
        <v>0</v>
      </c>
      <c r="I189" s="270">
        <f t="shared" si="53"/>
        <v>0</v>
      </c>
      <c r="J189" s="270">
        <f t="shared" si="58"/>
        <v>54.797509775686493</v>
      </c>
      <c r="K189" s="271">
        <f t="shared" si="54"/>
        <v>92.465809775686495</v>
      </c>
      <c r="L189" s="270">
        <f t="shared" si="55"/>
        <v>6910.0724487121397</v>
      </c>
      <c r="M189" s="242">
        <f>IF(D189="","",SUM(G$46:G189))</f>
        <v>8238.3372519999994</v>
      </c>
      <c r="N189" s="242">
        <f>IF(D189="","",SUM(J$46:J189))</f>
        <v>10217.767551287872</v>
      </c>
      <c r="P189" s="245"/>
      <c r="Q189" s="277">
        <f t="shared" si="56"/>
        <v>153.29682031050032</v>
      </c>
      <c r="R189" s="277">
        <f t="shared" si="65"/>
        <v>47.901178309074552</v>
      </c>
      <c r="S189" s="277">
        <f t="shared" si="66"/>
        <v>105.39564200142577</v>
      </c>
      <c r="T189" s="277">
        <f t="shared" si="59"/>
        <v>0</v>
      </c>
      <c r="U189" s="277">
        <f t="shared" si="63"/>
        <v>105.39564200142577</v>
      </c>
      <c r="V189" s="277">
        <f t="shared" si="60"/>
        <v>-92.465809775686495</v>
      </c>
      <c r="W189" s="277">
        <f t="shared" si="64"/>
        <v>12.929832225739275</v>
      </c>
      <c r="X189" s="273">
        <f t="shared" si="61"/>
        <v>-339.41904672723706</v>
      </c>
      <c r="Y189" s="277">
        <f t="shared" si="62"/>
        <v>2.8791968536300581</v>
      </c>
      <c r="AA189" s="278"/>
      <c r="AB189" s="277"/>
      <c r="AG189" s="242"/>
      <c r="AH189" s="174"/>
    </row>
    <row r="190" spans="2:34">
      <c r="B190" s="266">
        <f t="shared" si="67"/>
        <v>13</v>
      </c>
      <c r="C190" s="266"/>
      <c r="D190" s="175">
        <f t="shared" si="50"/>
        <v>145</v>
      </c>
      <c r="E190" s="267">
        <f t="shared" si="51"/>
        <v>46447</v>
      </c>
      <c r="F190" s="268">
        <f t="shared" si="57"/>
        <v>6.4899999999999999E-2</v>
      </c>
      <c r="G190" s="270">
        <f t="shared" si="68"/>
        <v>37.372</v>
      </c>
      <c r="H190" s="270">
        <f t="shared" si="52"/>
        <v>0</v>
      </c>
      <c r="I190" s="270">
        <f t="shared" si="53"/>
        <v>0</v>
      </c>
      <c r="J190" s="270">
        <f t="shared" si="58"/>
        <v>55.093809775686495</v>
      </c>
      <c r="K190" s="271">
        <f t="shared" si="54"/>
        <v>92.465809775686495</v>
      </c>
      <c r="L190" s="270">
        <f t="shared" si="55"/>
        <v>6854.9786389364535</v>
      </c>
      <c r="M190" s="242">
        <f>IF(D190="","",SUM(G$46:G190))</f>
        <v>8275.7092519999987</v>
      </c>
      <c r="N190" s="242">
        <f>IF(D190="","",SUM(J$46:J190))</f>
        <v>10272.861361063558</v>
      </c>
      <c r="P190" s="245"/>
      <c r="Q190" s="277">
        <f t="shared" si="56"/>
        <v>158.66220902136783</v>
      </c>
      <c r="R190" s="277">
        <f>Q190-S190</f>
        <v>50.123141997249547</v>
      </c>
      <c r="S190" s="277">
        <f t="shared" si="66"/>
        <v>108.53906702411828</v>
      </c>
      <c r="T190" s="277">
        <f t="shared" si="59"/>
        <v>0</v>
      </c>
      <c r="U190" s="277">
        <f t="shared" si="63"/>
        <v>108.53906702411828</v>
      </c>
      <c r="V190" s="277">
        <f t="shared" si="60"/>
        <v>-92.465809775686495</v>
      </c>
      <c r="W190" s="277">
        <f t="shared" si="64"/>
        <v>16.073257248431787</v>
      </c>
      <c r="X190" s="273">
        <f t="shared" si="61"/>
        <v>-323.34578947880527</v>
      </c>
      <c r="Y190" s="277">
        <f t="shared" si="62"/>
        <v>2.8562410995568559</v>
      </c>
      <c r="AA190" s="278"/>
      <c r="AB190" s="277"/>
      <c r="AG190" s="242"/>
      <c r="AH190" s="174"/>
    </row>
    <row r="191" spans="2:34">
      <c r="B191" s="266">
        <f t="shared" si="67"/>
        <v>13</v>
      </c>
      <c r="C191" s="266"/>
      <c r="D191" s="175">
        <f t="shared" si="50"/>
        <v>146</v>
      </c>
      <c r="E191" s="267">
        <f t="shared" si="51"/>
        <v>46478</v>
      </c>
      <c r="F191" s="268">
        <f t="shared" si="57"/>
        <v>6.4899999999999999E-2</v>
      </c>
      <c r="G191" s="270">
        <f t="shared" si="68"/>
        <v>37.073999999999998</v>
      </c>
      <c r="H191" s="270">
        <f t="shared" si="52"/>
        <v>0</v>
      </c>
      <c r="I191" s="270">
        <f t="shared" si="53"/>
        <v>0</v>
      </c>
      <c r="J191" s="270">
        <f t="shared" si="58"/>
        <v>55.391809775686497</v>
      </c>
      <c r="K191" s="271">
        <f t="shared" si="54"/>
        <v>92.465809775686495</v>
      </c>
      <c r="L191" s="270">
        <f t="shared" si="55"/>
        <v>6799.5868291607667</v>
      </c>
      <c r="M191" s="242">
        <f>IF(D191="","",SUM(G$46:G191))</f>
        <v>8312.7832519999993</v>
      </c>
      <c r="N191" s="242">
        <f>IF(D191="","",SUM(J$46:J191))</f>
        <v>10328.253170839245</v>
      </c>
      <c r="P191" s="245"/>
      <c r="Q191" s="277">
        <f t="shared" si="56"/>
        <v>158.66220902136783</v>
      </c>
      <c r="R191" s="277">
        <f t="shared" ref="R191:R201" si="69">Q191-S191</f>
        <v>50.123141997249547</v>
      </c>
      <c r="S191" s="277">
        <f t="shared" si="66"/>
        <v>108.53906702411828</v>
      </c>
      <c r="T191" s="277">
        <f t="shared" si="59"/>
        <v>0</v>
      </c>
      <c r="U191" s="277">
        <f t="shared" si="63"/>
        <v>108.53906702411828</v>
      </c>
      <c r="V191" s="277">
        <f t="shared" si="60"/>
        <v>-92.465809775686495</v>
      </c>
      <c r="W191" s="277">
        <f t="shared" si="64"/>
        <v>16.073257248431787</v>
      </c>
      <c r="X191" s="273">
        <f t="shared" si="61"/>
        <v>-307.27253223037349</v>
      </c>
      <c r="Y191" s="277">
        <f t="shared" si="62"/>
        <v>2.8331611788169861</v>
      </c>
      <c r="AA191" s="278"/>
      <c r="AB191" s="277"/>
      <c r="AC191" s="174"/>
      <c r="AG191" s="242"/>
      <c r="AH191" s="174"/>
    </row>
    <row r="192" spans="2:34">
      <c r="B192" s="266">
        <f t="shared" si="67"/>
        <v>13</v>
      </c>
      <c r="C192" s="266"/>
      <c r="D192" s="175">
        <f t="shared" si="50"/>
        <v>147</v>
      </c>
      <c r="E192" s="267">
        <f t="shared" si="51"/>
        <v>46508</v>
      </c>
      <c r="F192" s="268">
        <f t="shared" si="57"/>
        <v>6.4899999999999999E-2</v>
      </c>
      <c r="G192" s="270">
        <f t="shared" si="68"/>
        <v>36.7744</v>
      </c>
      <c r="H192" s="270">
        <f t="shared" si="52"/>
        <v>0</v>
      </c>
      <c r="I192" s="270">
        <f t="shared" si="53"/>
        <v>0</v>
      </c>
      <c r="J192" s="270">
        <f t="shared" si="58"/>
        <v>55.691409775686495</v>
      </c>
      <c r="K192" s="271">
        <f t="shared" si="54"/>
        <v>92.465809775686495</v>
      </c>
      <c r="L192" s="270">
        <f t="shared" si="55"/>
        <v>6743.8954193850805</v>
      </c>
      <c r="M192" s="242">
        <f>IF(D192="","",SUM(G$46:G192))</f>
        <v>8349.5576519999995</v>
      </c>
      <c r="N192" s="242">
        <f>IF(D192="","",SUM(J$46:J192))</f>
        <v>10383.944580614932</v>
      </c>
      <c r="P192" s="245"/>
      <c r="Q192" s="277">
        <f t="shared" si="56"/>
        <v>158.66220902136783</v>
      </c>
      <c r="R192" s="277">
        <f t="shared" si="69"/>
        <v>50.123141997249547</v>
      </c>
      <c r="S192" s="277">
        <f t="shared" si="66"/>
        <v>108.53906702411828</v>
      </c>
      <c r="T192" s="277">
        <f t="shared" si="59"/>
        <v>0</v>
      </c>
      <c r="U192" s="277">
        <f t="shared" si="63"/>
        <v>108.53906702411828</v>
      </c>
      <c r="V192" s="277">
        <f t="shared" si="60"/>
        <v>-92.465809775686495</v>
      </c>
      <c r="W192" s="277">
        <f t="shared" si="64"/>
        <v>16.073257248431787</v>
      </c>
      <c r="X192" s="273">
        <f t="shared" si="61"/>
        <v>-291.1992749819417</v>
      </c>
      <c r="Y192" s="277">
        <f t="shared" si="62"/>
        <v>2.8099564247437834</v>
      </c>
      <c r="AA192" s="278"/>
      <c r="AB192" s="277"/>
      <c r="AC192" s="174"/>
      <c r="AG192" s="242"/>
      <c r="AH192" s="174"/>
    </row>
    <row r="193" spans="2:34">
      <c r="B193" s="266">
        <f t="shared" si="67"/>
        <v>13</v>
      </c>
      <c r="C193" s="266"/>
      <c r="D193" s="175">
        <f t="shared" si="50"/>
        <v>148</v>
      </c>
      <c r="E193" s="267">
        <f t="shared" si="51"/>
        <v>46539</v>
      </c>
      <c r="F193" s="268">
        <f t="shared" si="57"/>
        <v>6.4899999999999999E-2</v>
      </c>
      <c r="G193" s="270">
        <f t="shared" si="68"/>
        <v>36.473199999999999</v>
      </c>
      <c r="H193" s="270">
        <f t="shared" si="52"/>
        <v>0</v>
      </c>
      <c r="I193" s="270">
        <f t="shared" si="53"/>
        <v>0</v>
      </c>
      <c r="J193" s="270">
        <f t="shared" si="58"/>
        <v>55.992609775686496</v>
      </c>
      <c r="K193" s="271">
        <f t="shared" si="54"/>
        <v>92.465809775686495</v>
      </c>
      <c r="L193" s="270">
        <f t="shared" si="55"/>
        <v>6687.9028096093944</v>
      </c>
      <c r="M193" s="242">
        <f>IF(D193="","",SUM(G$46:G193))</f>
        <v>8386.0308519999999</v>
      </c>
      <c r="N193" s="242">
        <f>IF(D193="","",SUM(J$46:J193))</f>
        <v>10439.937190390619</v>
      </c>
      <c r="P193" s="245"/>
      <c r="Q193" s="277">
        <f t="shared" si="56"/>
        <v>158.66220902136783</v>
      </c>
      <c r="R193" s="277">
        <f t="shared" si="69"/>
        <v>50.123141997249547</v>
      </c>
      <c r="S193" s="277">
        <f t="shared" si="66"/>
        <v>108.53906702411828</v>
      </c>
      <c r="T193" s="277">
        <f t="shared" si="59"/>
        <v>0</v>
      </c>
      <c r="U193" s="277">
        <f t="shared" si="63"/>
        <v>108.53906702411828</v>
      </c>
      <c r="V193" s="277">
        <f t="shared" si="60"/>
        <v>-92.465809775686495</v>
      </c>
      <c r="W193" s="277">
        <f t="shared" si="64"/>
        <v>16.073257248431787</v>
      </c>
      <c r="X193" s="273">
        <f t="shared" si="61"/>
        <v>-275.12601773350991</v>
      </c>
      <c r="Y193" s="277">
        <f t="shared" si="62"/>
        <v>2.7866261706705813</v>
      </c>
      <c r="AA193" s="278"/>
      <c r="AB193" s="277"/>
      <c r="AG193" s="242"/>
      <c r="AH193" s="174"/>
    </row>
    <row r="194" spans="2:34">
      <c r="B194" s="266">
        <f t="shared" si="67"/>
        <v>13</v>
      </c>
      <c r="C194" s="266"/>
      <c r="D194" s="175">
        <f t="shared" si="50"/>
        <v>149</v>
      </c>
      <c r="E194" s="267">
        <f t="shared" si="51"/>
        <v>46569</v>
      </c>
      <c r="F194" s="268">
        <f t="shared" si="57"/>
        <v>6.4899999999999999E-2</v>
      </c>
      <c r="G194" s="270">
        <f t="shared" si="68"/>
        <v>36.170400000000001</v>
      </c>
      <c r="H194" s="270">
        <f t="shared" si="52"/>
        <v>0</v>
      </c>
      <c r="I194" s="270">
        <f t="shared" si="53"/>
        <v>0</v>
      </c>
      <c r="J194" s="270">
        <f t="shared" si="58"/>
        <v>56.295409775686494</v>
      </c>
      <c r="K194" s="271">
        <f t="shared" si="54"/>
        <v>92.465809775686495</v>
      </c>
      <c r="L194" s="270">
        <f t="shared" si="55"/>
        <v>6631.6073998337079</v>
      </c>
      <c r="M194" s="242">
        <f>IF(D194="","",SUM(G$46:G194))</f>
        <v>8422.2012520000007</v>
      </c>
      <c r="N194" s="242">
        <f>IF(D194="","",SUM(J$46:J194))</f>
        <v>10496.232600166306</v>
      </c>
      <c r="P194" s="245"/>
      <c r="Q194" s="277">
        <f t="shared" si="56"/>
        <v>158.66220902136783</v>
      </c>
      <c r="R194" s="277">
        <f t="shared" si="69"/>
        <v>50.123141997249547</v>
      </c>
      <c r="S194" s="277">
        <f t="shared" si="66"/>
        <v>108.53906702411828</v>
      </c>
      <c r="T194" s="277">
        <f t="shared" si="59"/>
        <v>0</v>
      </c>
      <c r="U194" s="277">
        <f t="shared" si="63"/>
        <v>108.53906702411828</v>
      </c>
      <c r="V194" s="277">
        <f t="shared" si="60"/>
        <v>-92.465809775686495</v>
      </c>
      <c r="W194" s="277">
        <f t="shared" si="64"/>
        <v>16.073257248431787</v>
      </c>
      <c r="X194" s="273">
        <f t="shared" si="61"/>
        <v>-259.05276048507812</v>
      </c>
      <c r="Y194" s="277">
        <f t="shared" si="62"/>
        <v>2.7631697499307113</v>
      </c>
      <c r="AA194" s="278"/>
      <c r="AB194" s="277"/>
      <c r="AG194" s="242"/>
      <c r="AH194" s="174"/>
    </row>
    <row r="195" spans="2:34">
      <c r="B195" s="266">
        <f t="shared" si="67"/>
        <v>13</v>
      </c>
      <c r="C195" s="266"/>
      <c r="D195" s="175">
        <f t="shared" si="50"/>
        <v>150</v>
      </c>
      <c r="E195" s="267">
        <f t="shared" si="51"/>
        <v>46600</v>
      </c>
      <c r="F195" s="268">
        <f t="shared" si="57"/>
        <v>6.4899999999999999E-2</v>
      </c>
      <c r="G195" s="270">
        <f t="shared" si="68"/>
        <v>35.865900000000003</v>
      </c>
      <c r="H195" s="270">
        <f t="shared" si="52"/>
        <v>0</v>
      </c>
      <c r="I195" s="270">
        <f t="shared" si="53"/>
        <v>0</v>
      </c>
      <c r="J195" s="270">
        <f t="shared" si="58"/>
        <v>56.599909775686491</v>
      </c>
      <c r="K195" s="271">
        <f t="shared" si="54"/>
        <v>92.465809775686495</v>
      </c>
      <c r="L195" s="270">
        <f t="shared" si="55"/>
        <v>6575.0074900580212</v>
      </c>
      <c r="M195" s="242">
        <f>IF(D195="","",SUM(G$46:G195))</f>
        <v>8458.0671520000014</v>
      </c>
      <c r="N195" s="242">
        <f>IF(D195="","",SUM(J$46:J195))</f>
        <v>10552.832509941993</v>
      </c>
      <c r="P195" s="245"/>
      <c r="Q195" s="277">
        <f t="shared" si="56"/>
        <v>158.66220902136783</v>
      </c>
      <c r="R195" s="277">
        <f t="shared" si="69"/>
        <v>50.123141997249547</v>
      </c>
      <c r="S195" s="277">
        <f t="shared" si="66"/>
        <v>108.53906702411828</v>
      </c>
      <c r="T195" s="277">
        <f t="shared" si="59"/>
        <v>0</v>
      </c>
      <c r="U195" s="277">
        <f t="shared" si="63"/>
        <v>108.53906702411828</v>
      </c>
      <c r="V195" s="277">
        <f t="shared" si="60"/>
        <v>-92.465809775686495</v>
      </c>
      <c r="W195" s="277">
        <f t="shared" si="64"/>
        <v>16.073257248431787</v>
      </c>
      <c r="X195" s="273">
        <f t="shared" si="61"/>
        <v>-242.97950323664634</v>
      </c>
      <c r="Y195" s="277">
        <f t="shared" si="62"/>
        <v>2.7395864541908423</v>
      </c>
      <c r="AA195" s="278"/>
      <c r="AB195" s="277"/>
      <c r="AG195" s="242"/>
      <c r="AH195" s="174"/>
    </row>
    <row r="196" spans="2:34">
      <c r="B196" s="266">
        <f t="shared" si="67"/>
        <v>13</v>
      </c>
      <c r="C196" s="266"/>
      <c r="D196" s="175">
        <f t="shared" si="50"/>
        <v>151</v>
      </c>
      <c r="E196" s="267">
        <f t="shared" si="51"/>
        <v>46631</v>
      </c>
      <c r="F196" s="268">
        <f t="shared" si="57"/>
        <v>6.4899999999999999E-2</v>
      </c>
      <c r="G196" s="270">
        <f t="shared" si="68"/>
        <v>35.559800000000003</v>
      </c>
      <c r="H196" s="270">
        <f t="shared" si="52"/>
        <v>0</v>
      </c>
      <c r="I196" s="270">
        <f t="shared" si="53"/>
        <v>0</v>
      </c>
      <c r="J196" s="270">
        <f t="shared" si="58"/>
        <v>56.906009775686492</v>
      </c>
      <c r="K196" s="271">
        <f t="shared" si="54"/>
        <v>92.465809775686495</v>
      </c>
      <c r="L196" s="270">
        <f t="shared" si="55"/>
        <v>6518.1014802823347</v>
      </c>
      <c r="M196" s="242">
        <f>IF(D196="","",SUM(G$46:G196))</f>
        <v>8493.6269520000023</v>
      </c>
      <c r="N196" s="242">
        <f>IF(D196="","",SUM(J$46:J196))</f>
        <v>10609.738519717679</v>
      </c>
      <c r="P196" s="245"/>
      <c r="Q196" s="277">
        <f t="shared" si="56"/>
        <v>158.66220902136783</v>
      </c>
      <c r="R196" s="277">
        <f t="shared" si="69"/>
        <v>50.123141997249547</v>
      </c>
      <c r="S196" s="277">
        <f t="shared" si="66"/>
        <v>108.53906702411828</v>
      </c>
      <c r="T196" s="277">
        <f t="shared" si="59"/>
        <v>0</v>
      </c>
      <c r="U196" s="277">
        <f t="shared" si="63"/>
        <v>108.53906702411828</v>
      </c>
      <c r="V196" s="277">
        <f t="shared" si="60"/>
        <v>-92.465809775686495</v>
      </c>
      <c r="W196" s="277">
        <f t="shared" si="64"/>
        <v>16.073257248431787</v>
      </c>
      <c r="X196" s="273">
        <f t="shared" si="61"/>
        <v>-226.90624598821455</v>
      </c>
      <c r="Y196" s="277">
        <f t="shared" si="62"/>
        <v>2.7158756167843059</v>
      </c>
      <c r="AA196" s="278"/>
      <c r="AB196" s="277"/>
      <c r="AG196" s="242"/>
      <c r="AH196" s="174"/>
    </row>
    <row r="197" spans="2:34">
      <c r="B197" s="266">
        <f t="shared" si="67"/>
        <v>13</v>
      </c>
      <c r="C197" s="266"/>
      <c r="D197" s="175">
        <f t="shared" si="50"/>
        <v>152</v>
      </c>
      <c r="E197" s="267">
        <f t="shared" si="51"/>
        <v>46661</v>
      </c>
      <c r="F197" s="268">
        <f t="shared" si="57"/>
        <v>6.4899999999999999E-2</v>
      </c>
      <c r="G197" s="270">
        <f t="shared" si="68"/>
        <v>35.252099999999999</v>
      </c>
      <c r="H197" s="270">
        <f t="shared" si="52"/>
        <v>0</v>
      </c>
      <c r="I197" s="270">
        <f t="shared" si="53"/>
        <v>0</v>
      </c>
      <c r="J197" s="270">
        <f t="shared" si="58"/>
        <v>57.213709775686496</v>
      </c>
      <c r="K197" s="271">
        <f t="shared" si="54"/>
        <v>92.465809775686495</v>
      </c>
      <c r="L197" s="270">
        <f t="shared" si="55"/>
        <v>6460.8877705066479</v>
      </c>
      <c r="M197" s="242">
        <f>IF(D197="","",SUM(G$46:G197))</f>
        <v>8528.879052000002</v>
      </c>
      <c r="N197" s="242">
        <f>IF(D197="","",SUM(J$46:J197))</f>
        <v>10666.952229493365</v>
      </c>
      <c r="P197" s="245"/>
      <c r="Q197" s="277">
        <f t="shared" si="56"/>
        <v>158.66220902136783</v>
      </c>
      <c r="R197" s="277">
        <f t="shared" si="69"/>
        <v>50.123141997249547</v>
      </c>
      <c r="S197" s="277">
        <f t="shared" si="66"/>
        <v>108.53906702411828</v>
      </c>
      <c r="T197" s="277">
        <f t="shared" si="59"/>
        <v>0</v>
      </c>
      <c r="U197" s="277">
        <f t="shared" si="63"/>
        <v>108.53906702411828</v>
      </c>
      <c r="V197" s="277">
        <f t="shared" si="60"/>
        <v>-92.465809775686495</v>
      </c>
      <c r="W197" s="277">
        <f t="shared" si="64"/>
        <v>16.073257248431787</v>
      </c>
      <c r="X197" s="273">
        <f t="shared" si="61"/>
        <v>-210.83298873978276</v>
      </c>
      <c r="Y197" s="277">
        <f t="shared" si="62"/>
        <v>2.6920365710444365</v>
      </c>
      <c r="AA197" s="278"/>
      <c r="AB197" s="277"/>
      <c r="AG197" s="242"/>
      <c r="AH197" s="174"/>
    </row>
    <row r="198" spans="2:34">
      <c r="B198" s="266">
        <f t="shared" si="67"/>
        <v>13</v>
      </c>
      <c r="C198" s="266"/>
      <c r="D198" s="175">
        <f t="shared" si="50"/>
        <v>153</v>
      </c>
      <c r="E198" s="267">
        <f t="shared" si="51"/>
        <v>46692</v>
      </c>
      <c r="F198" s="268">
        <f t="shared" si="57"/>
        <v>6.4899999999999999E-2</v>
      </c>
      <c r="G198" s="270">
        <f t="shared" si="68"/>
        <v>34.942599999999999</v>
      </c>
      <c r="H198" s="270">
        <f t="shared" si="52"/>
        <v>0</v>
      </c>
      <c r="I198" s="270">
        <f t="shared" si="53"/>
        <v>0</v>
      </c>
      <c r="J198" s="270">
        <f t="shared" si="58"/>
        <v>57.523209775686496</v>
      </c>
      <c r="K198" s="271">
        <f t="shared" si="54"/>
        <v>92.465809775686495</v>
      </c>
      <c r="L198" s="270">
        <f t="shared" si="55"/>
        <v>6403.3645607309618</v>
      </c>
      <c r="M198" s="242">
        <f>IF(D198="","",SUM(G$46:G198))</f>
        <v>8563.8216520000024</v>
      </c>
      <c r="N198" s="242">
        <f>IF(D198="","",SUM(J$46:J198))</f>
        <v>10724.475439269052</v>
      </c>
      <c r="P198" s="245"/>
      <c r="Q198" s="277">
        <f t="shared" si="56"/>
        <v>158.66220902136783</v>
      </c>
      <c r="R198" s="277">
        <f t="shared" si="69"/>
        <v>50.123141997249547</v>
      </c>
      <c r="S198" s="277">
        <f t="shared" si="66"/>
        <v>108.53906702411828</v>
      </c>
      <c r="T198" s="277">
        <f t="shared" si="59"/>
        <v>0</v>
      </c>
      <c r="U198" s="277">
        <f t="shared" si="63"/>
        <v>108.53906702411828</v>
      </c>
      <c r="V198" s="277">
        <f t="shared" si="60"/>
        <v>-92.465809775686495</v>
      </c>
      <c r="W198" s="277">
        <f t="shared" si="64"/>
        <v>16.073257248431787</v>
      </c>
      <c r="X198" s="273">
        <f t="shared" si="61"/>
        <v>-194.75973149135098</v>
      </c>
      <c r="Y198" s="277">
        <f t="shared" si="62"/>
        <v>2.6680685669712343</v>
      </c>
      <c r="AA198" s="278"/>
      <c r="AB198" s="277"/>
      <c r="AC198" s="281"/>
      <c r="AD198" s="281"/>
      <c r="AG198" s="242"/>
      <c r="AH198" s="174"/>
    </row>
    <row r="199" spans="2:34">
      <c r="B199" s="266">
        <f t="shared" si="67"/>
        <v>13</v>
      </c>
      <c r="C199" s="266"/>
      <c r="D199" s="175">
        <f t="shared" si="50"/>
        <v>154</v>
      </c>
      <c r="E199" s="267">
        <f t="shared" si="51"/>
        <v>46722</v>
      </c>
      <c r="F199" s="268">
        <f t="shared" si="57"/>
        <v>6.4899999999999999E-2</v>
      </c>
      <c r="G199" s="270">
        <f t="shared" si="68"/>
        <v>34.631500000000003</v>
      </c>
      <c r="H199" s="270">
        <f t="shared" si="52"/>
        <v>0</v>
      </c>
      <c r="I199" s="270">
        <f t="shared" si="53"/>
        <v>0</v>
      </c>
      <c r="J199" s="270">
        <f t="shared" si="58"/>
        <v>57.834309775686492</v>
      </c>
      <c r="K199" s="271">
        <f t="shared" si="54"/>
        <v>92.465809775686495</v>
      </c>
      <c r="L199" s="270">
        <f t="shared" si="55"/>
        <v>6345.5302509552757</v>
      </c>
      <c r="M199" s="242">
        <f>IF(D199="","",SUM(G$46:G199))</f>
        <v>8598.4531520000019</v>
      </c>
      <c r="N199" s="242">
        <f>IF(D199="","",SUM(J$46:J199))</f>
        <v>10782.309749044738</v>
      </c>
      <c r="P199" s="245"/>
      <c r="Q199" s="277">
        <f t="shared" si="56"/>
        <v>158.66220902136783</v>
      </c>
      <c r="R199" s="277">
        <f t="shared" si="69"/>
        <v>50.123141997249547</v>
      </c>
      <c r="S199" s="277">
        <f t="shared" si="66"/>
        <v>108.53906702411828</v>
      </c>
      <c r="T199" s="277">
        <f t="shared" si="59"/>
        <v>0</v>
      </c>
      <c r="U199" s="277">
        <f t="shared" si="63"/>
        <v>108.53906702411828</v>
      </c>
      <c r="V199" s="277">
        <f t="shared" si="60"/>
        <v>-92.465809775686495</v>
      </c>
      <c r="W199" s="277">
        <f t="shared" si="64"/>
        <v>16.073257248431787</v>
      </c>
      <c r="X199" s="273">
        <f t="shared" si="61"/>
        <v>-178.68647424291919</v>
      </c>
      <c r="Y199" s="277">
        <f t="shared" si="62"/>
        <v>2.6439709378980316</v>
      </c>
      <c r="AA199" s="278"/>
      <c r="AB199" s="277"/>
      <c r="AG199" s="242"/>
      <c r="AH199" s="174"/>
    </row>
    <row r="200" spans="2:34">
      <c r="B200" s="266">
        <f t="shared" si="67"/>
        <v>13</v>
      </c>
      <c r="C200" s="266"/>
      <c r="D200" s="175">
        <f t="shared" si="50"/>
        <v>155</v>
      </c>
      <c r="E200" s="267">
        <f t="shared" si="51"/>
        <v>46753</v>
      </c>
      <c r="F200" s="268">
        <f t="shared" si="57"/>
        <v>6.4899999999999999E-2</v>
      </c>
      <c r="G200" s="270">
        <f t="shared" si="68"/>
        <v>34.3187</v>
      </c>
      <c r="H200" s="270">
        <f t="shared" si="52"/>
        <v>0</v>
      </c>
      <c r="I200" s="270">
        <f t="shared" si="53"/>
        <v>0</v>
      </c>
      <c r="J200" s="270">
        <f t="shared" si="58"/>
        <v>58.147109775686495</v>
      </c>
      <c r="K200" s="271">
        <f t="shared" si="54"/>
        <v>92.465809775686495</v>
      </c>
      <c r="L200" s="270">
        <f t="shared" si="55"/>
        <v>6287.3831411795891</v>
      </c>
      <c r="M200" s="242">
        <f>IF(D200="","",SUM(G$46:G200))</f>
        <v>8632.7718520000017</v>
      </c>
      <c r="N200" s="242">
        <f>IF(D200="","",SUM(J$46:J200))</f>
        <v>10840.456858820424</v>
      </c>
      <c r="P200" s="245"/>
      <c r="Q200" s="277">
        <f t="shared" si="56"/>
        <v>158.66220902136783</v>
      </c>
      <c r="R200" s="277">
        <f t="shared" si="69"/>
        <v>50.123141997249547</v>
      </c>
      <c r="S200" s="277">
        <f t="shared" si="66"/>
        <v>108.53906702411828</v>
      </c>
      <c r="T200" s="277">
        <f t="shared" si="59"/>
        <v>0</v>
      </c>
      <c r="U200" s="277">
        <f t="shared" si="63"/>
        <v>108.53906702411828</v>
      </c>
      <c r="V200" s="277">
        <f t="shared" si="60"/>
        <v>-92.465809775686495</v>
      </c>
      <c r="W200" s="277">
        <f t="shared" si="64"/>
        <v>16.073257248431787</v>
      </c>
      <c r="X200" s="273">
        <f t="shared" si="61"/>
        <v>-162.6132169944874</v>
      </c>
      <c r="Y200" s="277">
        <f t="shared" si="62"/>
        <v>2.6197429754914956</v>
      </c>
      <c r="AA200" s="278"/>
      <c r="AB200" s="277"/>
      <c r="AG200" s="242"/>
      <c r="AH200" s="174"/>
    </row>
    <row r="201" spans="2:34">
      <c r="B201" s="266">
        <f t="shared" si="67"/>
        <v>13</v>
      </c>
      <c r="C201" s="266"/>
      <c r="D201" s="175">
        <f t="shared" si="50"/>
        <v>156</v>
      </c>
      <c r="E201" s="267">
        <f t="shared" si="51"/>
        <v>46784</v>
      </c>
      <c r="F201" s="268">
        <f t="shared" si="57"/>
        <v>6.4899999999999999E-2</v>
      </c>
      <c r="G201" s="270">
        <f t="shared" si="68"/>
        <v>34.004300000000001</v>
      </c>
      <c r="H201" s="270">
        <f t="shared" si="52"/>
        <v>0</v>
      </c>
      <c r="I201" s="270">
        <f t="shared" si="53"/>
        <v>0</v>
      </c>
      <c r="J201" s="270">
        <f t="shared" si="58"/>
        <v>58.461509775686494</v>
      </c>
      <c r="K201" s="271">
        <f t="shared" si="54"/>
        <v>92.465809775686495</v>
      </c>
      <c r="L201" s="270">
        <f t="shared" si="55"/>
        <v>6228.9216314039022</v>
      </c>
      <c r="M201" s="242">
        <f>IF(D201="","",SUM(G$46:G201))</f>
        <v>8666.7761520000022</v>
      </c>
      <c r="N201" s="242">
        <f>IF(D201="","",SUM(J$46:J201))</f>
        <v>10898.918368596111</v>
      </c>
      <c r="P201" s="245"/>
      <c r="Q201" s="277">
        <f t="shared" si="56"/>
        <v>158.66220902136783</v>
      </c>
      <c r="R201" s="277">
        <f t="shared" si="69"/>
        <v>50.123141997249547</v>
      </c>
      <c r="S201" s="277">
        <f t="shared" si="66"/>
        <v>108.53906702411828</v>
      </c>
      <c r="T201" s="277">
        <f t="shared" si="59"/>
        <v>0</v>
      </c>
      <c r="U201" s="277">
        <f t="shared" si="63"/>
        <v>108.53906702411828</v>
      </c>
      <c r="V201" s="277">
        <f t="shared" si="60"/>
        <v>-92.465809775686495</v>
      </c>
      <c r="W201" s="277">
        <f t="shared" si="64"/>
        <v>16.073257248431787</v>
      </c>
      <c r="X201" s="273">
        <f t="shared" si="61"/>
        <v>-146.53995974605562</v>
      </c>
      <c r="Y201" s="277">
        <f t="shared" si="62"/>
        <v>2.5953840130849595</v>
      </c>
      <c r="AA201" s="278"/>
      <c r="AB201" s="277"/>
      <c r="AG201" s="242"/>
      <c r="AH201" s="174"/>
    </row>
    <row r="202" spans="2:34">
      <c r="B202" s="266">
        <f t="shared" si="67"/>
        <v>14</v>
      </c>
      <c r="C202" s="266"/>
      <c r="D202" s="175">
        <f t="shared" si="50"/>
        <v>157</v>
      </c>
      <c r="E202" s="267">
        <f t="shared" si="51"/>
        <v>46813</v>
      </c>
      <c r="F202" s="268">
        <f t="shared" si="57"/>
        <v>6.4899999999999999E-2</v>
      </c>
      <c r="G202" s="270">
        <f t="shared" si="68"/>
        <v>33.688099999999999</v>
      </c>
      <c r="H202" s="270">
        <f t="shared" si="52"/>
        <v>0</v>
      </c>
      <c r="I202" s="270">
        <f t="shared" si="53"/>
        <v>0</v>
      </c>
      <c r="J202" s="270">
        <f t="shared" si="58"/>
        <v>58.777709775686496</v>
      </c>
      <c r="K202" s="271">
        <f t="shared" si="54"/>
        <v>92.465809775686495</v>
      </c>
      <c r="L202" s="270">
        <f t="shared" si="55"/>
        <v>6170.143921628216</v>
      </c>
      <c r="M202" s="242">
        <f>IF(D202="","",SUM(G$46:G202))</f>
        <v>8700.4642520000016</v>
      </c>
      <c r="N202" s="242">
        <f>IF(D202="","",SUM(J$46:J202))</f>
        <v>10957.696078371797</v>
      </c>
      <c r="P202" s="245"/>
      <c r="Q202" s="277">
        <f t="shared" si="56"/>
        <v>164.21538633711566</v>
      </c>
      <c r="R202" s="277">
        <f>Q202-S202</f>
        <v>52.439141639003068</v>
      </c>
      <c r="S202" s="277">
        <f t="shared" si="66"/>
        <v>111.77624469811259</v>
      </c>
      <c r="T202" s="277">
        <f t="shared" si="59"/>
        <v>0</v>
      </c>
      <c r="U202" s="277">
        <f t="shared" si="63"/>
        <v>111.77624469811259</v>
      </c>
      <c r="V202" s="277">
        <f t="shared" si="60"/>
        <v>-92.465809775686495</v>
      </c>
      <c r="W202" s="277">
        <f t="shared" si="64"/>
        <v>19.310434922426097</v>
      </c>
      <c r="X202" s="273">
        <f t="shared" si="61"/>
        <v>-127.22952482362952</v>
      </c>
      <c r="Y202" s="277">
        <f t="shared" si="62"/>
        <v>2.5708933006784234</v>
      </c>
      <c r="AA202" s="278"/>
      <c r="AB202" s="277"/>
      <c r="AG202" s="242"/>
      <c r="AH202" s="174"/>
    </row>
    <row r="203" spans="2:34">
      <c r="B203" s="266">
        <f t="shared" si="67"/>
        <v>14</v>
      </c>
      <c r="C203" s="266"/>
      <c r="D203" s="175">
        <f t="shared" si="50"/>
        <v>158</v>
      </c>
      <c r="E203" s="267">
        <f t="shared" si="51"/>
        <v>46844</v>
      </c>
      <c r="F203" s="268">
        <f t="shared" si="57"/>
        <v>6.4899999999999999E-2</v>
      </c>
      <c r="G203" s="270">
        <f t="shared" si="68"/>
        <v>33.370199999999997</v>
      </c>
      <c r="H203" s="270">
        <f t="shared" si="52"/>
        <v>0</v>
      </c>
      <c r="I203" s="270">
        <f t="shared" si="53"/>
        <v>0</v>
      </c>
      <c r="J203" s="270">
        <f t="shared" si="58"/>
        <v>59.095609775686498</v>
      </c>
      <c r="K203" s="271">
        <f t="shared" si="54"/>
        <v>92.465809775686495</v>
      </c>
      <c r="L203" s="270">
        <f t="shared" si="55"/>
        <v>6111.0483118525299</v>
      </c>
      <c r="M203" s="242">
        <f>IF(D203="","",SUM(G$46:G203))</f>
        <v>8733.834452000001</v>
      </c>
      <c r="N203" s="242">
        <f>IF(D203="","",SUM(J$46:J203))</f>
        <v>11016.791688147483</v>
      </c>
      <c r="P203" s="245"/>
      <c r="Q203" s="277">
        <f t="shared" si="56"/>
        <v>164.21538633711566</v>
      </c>
      <c r="R203" s="277">
        <f t="shared" ref="R203:R213" si="70">Q203-S203</f>
        <v>52.439141639003068</v>
      </c>
      <c r="S203" s="277">
        <f t="shared" si="66"/>
        <v>111.77624469811259</v>
      </c>
      <c r="T203" s="277">
        <f t="shared" si="59"/>
        <v>0</v>
      </c>
      <c r="U203" s="277">
        <f t="shared" si="63"/>
        <v>111.77624469811259</v>
      </c>
      <c r="V203" s="277">
        <f t="shared" si="60"/>
        <v>-92.465809775686495</v>
      </c>
      <c r="W203" s="277">
        <f t="shared" si="64"/>
        <v>19.310434922426097</v>
      </c>
      <c r="X203" s="273">
        <f t="shared" si="61"/>
        <v>-107.91908990120342</v>
      </c>
      <c r="Y203" s="277">
        <f t="shared" si="62"/>
        <v>2.5462701299385544</v>
      </c>
      <c r="AA203" s="278"/>
      <c r="AB203" s="277"/>
      <c r="AG203" s="242"/>
      <c r="AH203" s="174"/>
    </row>
    <row r="204" spans="2:34">
      <c r="B204" s="266">
        <f t="shared" si="67"/>
        <v>14</v>
      </c>
      <c r="C204" s="266"/>
      <c r="D204" s="175">
        <f t="shared" si="50"/>
        <v>159</v>
      </c>
      <c r="E204" s="267">
        <f t="shared" si="51"/>
        <v>46874</v>
      </c>
      <c r="F204" s="268">
        <f t="shared" si="57"/>
        <v>6.4899999999999999E-2</v>
      </c>
      <c r="G204" s="270">
        <f t="shared" si="68"/>
        <v>33.050600000000003</v>
      </c>
      <c r="H204" s="270">
        <f t="shared" si="52"/>
        <v>0</v>
      </c>
      <c r="I204" s="270">
        <f t="shared" si="53"/>
        <v>0</v>
      </c>
      <c r="J204" s="270">
        <f t="shared" si="58"/>
        <v>59.415209775686492</v>
      </c>
      <c r="K204" s="271">
        <f t="shared" si="54"/>
        <v>92.465809775686495</v>
      </c>
      <c r="L204" s="270">
        <f t="shared" si="55"/>
        <v>6051.633102076843</v>
      </c>
      <c r="M204" s="242">
        <f>IF(D204="","",SUM(G$46:G204))</f>
        <v>8766.8850520000015</v>
      </c>
      <c r="N204" s="242">
        <f>IF(D204="","",SUM(J$46:J204))</f>
        <v>11076.20689792317</v>
      </c>
      <c r="P204" s="245"/>
      <c r="Q204" s="277">
        <f t="shared" si="56"/>
        <v>164.21538633711566</v>
      </c>
      <c r="R204" s="277">
        <f t="shared" si="70"/>
        <v>52.439141639003068</v>
      </c>
      <c r="S204" s="277">
        <f t="shared" si="66"/>
        <v>111.77624469811259</v>
      </c>
      <c r="T204" s="277">
        <f t="shared" si="59"/>
        <v>0</v>
      </c>
      <c r="U204" s="277">
        <f t="shared" si="63"/>
        <v>111.77624469811259</v>
      </c>
      <c r="V204" s="277">
        <f t="shared" si="60"/>
        <v>-92.465809775686495</v>
      </c>
      <c r="W204" s="277">
        <f t="shared" si="64"/>
        <v>19.310434922426097</v>
      </c>
      <c r="X204" s="273">
        <f t="shared" si="61"/>
        <v>-88.608654978777324</v>
      </c>
      <c r="Y204" s="277">
        <f t="shared" si="62"/>
        <v>2.5215137925320179</v>
      </c>
      <c r="AA204" s="278"/>
      <c r="AB204" s="277"/>
      <c r="AG204" s="242"/>
      <c r="AH204" s="174"/>
    </row>
    <row r="205" spans="2:34">
      <c r="B205" s="266">
        <f t="shared" si="67"/>
        <v>14</v>
      </c>
      <c r="C205" s="266"/>
      <c r="D205" s="175">
        <f t="shared" si="50"/>
        <v>160</v>
      </c>
      <c r="E205" s="267">
        <f t="shared" si="51"/>
        <v>46905</v>
      </c>
      <c r="F205" s="268">
        <f t="shared" si="57"/>
        <v>6.4899999999999999E-2</v>
      </c>
      <c r="G205" s="270">
        <f t="shared" si="68"/>
        <v>32.729199999999999</v>
      </c>
      <c r="H205" s="270">
        <f t="shared" si="52"/>
        <v>0</v>
      </c>
      <c r="I205" s="270">
        <f t="shared" si="53"/>
        <v>0</v>
      </c>
      <c r="J205" s="270">
        <f t="shared" si="58"/>
        <v>59.736609775686496</v>
      </c>
      <c r="K205" s="271">
        <f t="shared" si="54"/>
        <v>92.465809775686495</v>
      </c>
      <c r="L205" s="270">
        <f t="shared" si="55"/>
        <v>5991.8964923011563</v>
      </c>
      <c r="M205" s="242">
        <f>IF(D205="","",SUM(G$46:G205))</f>
        <v>8799.6142520000012</v>
      </c>
      <c r="N205" s="242">
        <f>IF(D205="","",SUM(J$46:J205))</f>
        <v>11135.943507698856</v>
      </c>
      <c r="P205" s="245"/>
      <c r="Q205" s="277">
        <f t="shared" si="56"/>
        <v>164.21538633711566</v>
      </c>
      <c r="R205" s="277">
        <f t="shared" si="70"/>
        <v>52.439141639003068</v>
      </c>
      <c r="S205" s="277">
        <f t="shared" si="66"/>
        <v>111.77624469811259</v>
      </c>
      <c r="T205" s="277">
        <f t="shared" si="59"/>
        <v>0</v>
      </c>
      <c r="U205" s="277">
        <f t="shared" si="63"/>
        <v>111.77624469811259</v>
      </c>
      <c r="V205" s="277">
        <f t="shared" si="60"/>
        <v>-92.465809775686495</v>
      </c>
      <c r="W205" s="277">
        <f t="shared" si="64"/>
        <v>19.310434922426097</v>
      </c>
      <c r="X205" s="273">
        <f t="shared" si="61"/>
        <v>-69.298220056351227</v>
      </c>
      <c r="Y205" s="277">
        <f t="shared" si="62"/>
        <v>2.4966235384588154</v>
      </c>
      <c r="AA205" s="278"/>
      <c r="AB205" s="277"/>
      <c r="AG205" s="242"/>
      <c r="AH205" s="174"/>
    </row>
    <row r="206" spans="2:34">
      <c r="B206" s="266">
        <f t="shared" si="67"/>
        <v>14</v>
      </c>
      <c r="C206" s="266"/>
      <c r="D206" s="175">
        <f t="shared" si="50"/>
        <v>161</v>
      </c>
      <c r="E206" s="267">
        <f t="shared" si="51"/>
        <v>46935</v>
      </c>
      <c r="F206" s="268">
        <f t="shared" si="57"/>
        <v>6.4899999999999999E-2</v>
      </c>
      <c r="G206" s="270">
        <f t="shared" si="68"/>
        <v>32.406199999999998</v>
      </c>
      <c r="H206" s="270">
        <f t="shared" si="52"/>
        <v>0</v>
      </c>
      <c r="I206" s="270">
        <f t="shared" si="53"/>
        <v>0</v>
      </c>
      <c r="J206" s="270">
        <f t="shared" si="58"/>
        <v>60.059609775686496</v>
      </c>
      <c r="K206" s="271">
        <f t="shared" si="54"/>
        <v>92.465809775686495</v>
      </c>
      <c r="L206" s="270">
        <f t="shared" si="55"/>
        <v>5931.8368825254702</v>
      </c>
      <c r="M206" s="242">
        <f>IF(D206="","",SUM(G$46:G206))</f>
        <v>8832.0204520000007</v>
      </c>
      <c r="N206" s="242">
        <f>IF(D206="","",SUM(J$46:J206))</f>
        <v>11196.003117474542</v>
      </c>
      <c r="P206" s="245"/>
      <c r="Q206" s="277">
        <f t="shared" si="56"/>
        <v>164.21538633711566</v>
      </c>
      <c r="R206" s="277">
        <f t="shared" si="70"/>
        <v>52.439141639003068</v>
      </c>
      <c r="S206" s="277">
        <f t="shared" si="66"/>
        <v>111.77624469811259</v>
      </c>
      <c r="T206" s="277">
        <f t="shared" si="59"/>
        <v>0</v>
      </c>
      <c r="U206" s="277">
        <f t="shared" si="63"/>
        <v>111.77624469811259</v>
      </c>
      <c r="V206" s="277">
        <f t="shared" si="60"/>
        <v>-92.465809775686495</v>
      </c>
      <c r="W206" s="277">
        <f t="shared" si="64"/>
        <v>19.310434922426097</v>
      </c>
      <c r="X206" s="273">
        <f t="shared" si="61"/>
        <v>-49.987785133925129</v>
      </c>
      <c r="Y206" s="277">
        <f t="shared" si="62"/>
        <v>2.4715987010522791</v>
      </c>
      <c r="AA206" s="278"/>
      <c r="AB206" s="277"/>
      <c r="AG206" s="242"/>
      <c r="AH206" s="174"/>
    </row>
    <row r="207" spans="2:34">
      <c r="B207" s="266">
        <f t="shared" si="67"/>
        <v>14</v>
      </c>
      <c r="C207" s="266"/>
      <c r="D207" s="175">
        <f t="shared" si="50"/>
        <v>162</v>
      </c>
      <c r="E207" s="267">
        <f t="shared" si="51"/>
        <v>46966</v>
      </c>
      <c r="F207" s="268">
        <f t="shared" si="57"/>
        <v>6.4899999999999999E-2</v>
      </c>
      <c r="G207" s="270">
        <f t="shared" si="68"/>
        <v>32.081400000000002</v>
      </c>
      <c r="H207" s="270">
        <f t="shared" si="52"/>
        <v>0</v>
      </c>
      <c r="I207" s="270">
        <f t="shared" si="53"/>
        <v>0</v>
      </c>
      <c r="J207" s="270">
        <f t="shared" si="58"/>
        <v>60.384409775686493</v>
      </c>
      <c r="K207" s="271">
        <f t="shared" si="54"/>
        <v>92.465809775686495</v>
      </c>
      <c r="L207" s="270">
        <f t="shared" si="55"/>
        <v>5871.4524727497837</v>
      </c>
      <c r="M207" s="242">
        <f>IF(D207="","",SUM(G$46:G207))</f>
        <v>8864.1018519999998</v>
      </c>
      <c r="N207" s="242">
        <f>IF(D207="","",SUM(J$46:J207))</f>
        <v>11256.387527250228</v>
      </c>
      <c r="P207" s="245"/>
      <c r="Q207" s="277">
        <f t="shared" si="56"/>
        <v>164.21538633711566</v>
      </c>
      <c r="R207" s="277">
        <f t="shared" si="70"/>
        <v>52.439141639003068</v>
      </c>
      <c r="S207" s="277">
        <f t="shared" si="66"/>
        <v>111.77624469811259</v>
      </c>
      <c r="T207" s="277">
        <f t="shared" si="59"/>
        <v>0</v>
      </c>
      <c r="U207" s="277">
        <f t="shared" si="63"/>
        <v>111.77624469811259</v>
      </c>
      <c r="V207" s="277">
        <f t="shared" si="60"/>
        <v>-92.465809775686495</v>
      </c>
      <c r="W207" s="277">
        <f t="shared" si="64"/>
        <v>19.310434922426097</v>
      </c>
      <c r="X207" s="273">
        <f t="shared" si="61"/>
        <v>-30.677350211499032</v>
      </c>
      <c r="Y207" s="277">
        <f t="shared" si="62"/>
        <v>2.4464385303124101</v>
      </c>
      <c r="AA207" s="278"/>
      <c r="AB207" s="277"/>
      <c r="AG207" s="242"/>
      <c r="AH207" s="174"/>
    </row>
    <row r="208" spans="2:34">
      <c r="B208" s="266">
        <f t="shared" si="67"/>
        <v>14</v>
      </c>
      <c r="C208" s="266"/>
      <c r="D208" s="175">
        <f t="shared" si="50"/>
        <v>163</v>
      </c>
      <c r="E208" s="267">
        <f t="shared" si="51"/>
        <v>46997</v>
      </c>
      <c r="F208" s="268">
        <f t="shared" si="57"/>
        <v>6.4899999999999999E-2</v>
      </c>
      <c r="G208" s="270">
        <f t="shared" si="68"/>
        <v>31.754799999999999</v>
      </c>
      <c r="H208" s="270">
        <f t="shared" si="52"/>
        <v>0</v>
      </c>
      <c r="I208" s="270">
        <f t="shared" si="53"/>
        <v>0</v>
      </c>
      <c r="J208" s="270">
        <f t="shared" si="58"/>
        <v>60.711009775686492</v>
      </c>
      <c r="K208" s="271">
        <f t="shared" si="54"/>
        <v>92.465809775686495</v>
      </c>
      <c r="L208" s="270">
        <f t="shared" si="55"/>
        <v>5810.741462974097</v>
      </c>
      <c r="M208" s="242">
        <f>IF(D208="","",SUM(G$46:G208))</f>
        <v>8895.8566520000004</v>
      </c>
      <c r="N208" s="242">
        <f>IF(D208="","",SUM(J$46:J208))</f>
        <v>11317.098537025915</v>
      </c>
      <c r="P208" s="245"/>
      <c r="Q208" s="277">
        <f t="shared" si="56"/>
        <v>164.21538633711566</v>
      </c>
      <c r="R208" s="277">
        <f t="shared" si="70"/>
        <v>52.439141639003068</v>
      </c>
      <c r="S208" s="277">
        <f t="shared" si="66"/>
        <v>111.77624469811259</v>
      </c>
      <c r="T208" s="277">
        <f t="shared" si="59"/>
        <v>0</v>
      </c>
      <c r="U208" s="277">
        <f t="shared" si="63"/>
        <v>111.77624469811259</v>
      </c>
      <c r="V208" s="277">
        <f t="shared" si="60"/>
        <v>-92.465809775686495</v>
      </c>
      <c r="W208" s="277">
        <f t="shared" si="64"/>
        <v>19.310434922426097</v>
      </c>
      <c r="X208" s="273">
        <f t="shared" si="61"/>
        <v>-11.366915289072935</v>
      </c>
      <c r="Y208" s="277">
        <f t="shared" si="62"/>
        <v>2.4211422762392072</v>
      </c>
      <c r="AA208" s="278"/>
      <c r="AB208" s="277"/>
      <c r="AG208" s="242"/>
      <c r="AH208" s="174"/>
    </row>
    <row r="209" spans="2:34">
      <c r="B209" s="266">
        <f t="shared" si="67"/>
        <v>14</v>
      </c>
      <c r="C209" s="266"/>
      <c r="D209" s="175">
        <f t="shared" si="50"/>
        <v>164</v>
      </c>
      <c r="E209" s="267">
        <f t="shared" si="51"/>
        <v>47027</v>
      </c>
      <c r="F209" s="268">
        <f t="shared" si="57"/>
        <v>6.4899999999999999E-2</v>
      </c>
      <c r="G209" s="270">
        <f t="shared" si="68"/>
        <v>31.426400000000001</v>
      </c>
      <c r="H209" s="270">
        <f t="shared" si="52"/>
        <v>0</v>
      </c>
      <c r="I209" s="270">
        <f t="shared" si="53"/>
        <v>0</v>
      </c>
      <c r="J209" s="270">
        <f t="shared" si="58"/>
        <v>61.039409775686494</v>
      </c>
      <c r="K209" s="271">
        <f t="shared" si="54"/>
        <v>92.465809775686495</v>
      </c>
      <c r="L209" s="270">
        <f t="shared" si="55"/>
        <v>5749.7020531984108</v>
      </c>
      <c r="M209" s="242">
        <f>IF(D209="","",SUM(G$46:G209))</f>
        <v>8927.2830520000007</v>
      </c>
      <c r="N209" s="242">
        <f>IF(D209="","",SUM(J$46:J209))</f>
        <v>11378.137946801602</v>
      </c>
      <c r="P209" s="245"/>
      <c r="Q209" s="277">
        <f t="shared" si="56"/>
        <v>164.21538633711566</v>
      </c>
      <c r="R209" s="277">
        <f t="shared" si="70"/>
        <v>52.439141639003068</v>
      </c>
      <c r="S209" s="277">
        <f t="shared" si="66"/>
        <v>111.77624469811259</v>
      </c>
      <c r="T209" s="277">
        <f t="shared" si="59"/>
        <v>0</v>
      </c>
      <c r="U209" s="277">
        <f t="shared" si="63"/>
        <v>111.77624469811259</v>
      </c>
      <c r="V209" s="277">
        <f t="shared" si="60"/>
        <v>-92.465809775686495</v>
      </c>
      <c r="W209" s="277">
        <f t="shared" si="64"/>
        <v>19.310434922426097</v>
      </c>
      <c r="X209" s="273">
        <f t="shared" si="61"/>
        <v>7.9435196333531621</v>
      </c>
      <c r="Y209" s="277">
        <f t="shared" si="62"/>
        <v>2.3957091888326709</v>
      </c>
      <c r="AA209" s="278"/>
      <c r="AB209" s="277"/>
      <c r="AG209" s="242"/>
      <c r="AH209" s="174"/>
    </row>
    <row r="210" spans="2:34">
      <c r="B210" s="266">
        <f t="shared" si="67"/>
        <v>14</v>
      </c>
      <c r="C210" s="266"/>
      <c r="D210" s="175">
        <f t="shared" si="50"/>
        <v>165</v>
      </c>
      <c r="E210" s="267">
        <f t="shared" si="51"/>
        <v>47058</v>
      </c>
      <c r="F210" s="268">
        <f t="shared" si="57"/>
        <v>6.4899999999999999E-2</v>
      </c>
      <c r="G210" s="270">
        <f t="shared" si="68"/>
        <v>31.096299999999999</v>
      </c>
      <c r="H210" s="270">
        <f t="shared" si="52"/>
        <v>0</v>
      </c>
      <c r="I210" s="270">
        <f t="shared" si="53"/>
        <v>0</v>
      </c>
      <c r="J210" s="270">
        <f t="shared" si="58"/>
        <v>61.369509775686495</v>
      </c>
      <c r="K210" s="271">
        <f t="shared" si="54"/>
        <v>92.465809775686495</v>
      </c>
      <c r="L210" s="270">
        <f t="shared" si="55"/>
        <v>5688.3325434227245</v>
      </c>
      <c r="M210" s="242">
        <f>IF(D210="","",SUM(G$46:G210))</f>
        <v>8958.3793519999999</v>
      </c>
      <c r="N210" s="242">
        <f>IF(D210="","",SUM(J$46:J210))</f>
        <v>11439.507456577288</v>
      </c>
      <c r="P210" s="245"/>
      <c r="Q210" s="277">
        <f t="shared" si="56"/>
        <v>164.21538633711566</v>
      </c>
      <c r="R210" s="277">
        <f t="shared" si="70"/>
        <v>52.439141639003068</v>
      </c>
      <c r="S210" s="277">
        <f t="shared" si="66"/>
        <v>111.77624469811259</v>
      </c>
      <c r="T210" s="277">
        <f t="shared" si="59"/>
        <v>0</v>
      </c>
      <c r="U210" s="277">
        <f t="shared" si="63"/>
        <v>111.77624469811259</v>
      </c>
      <c r="V210" s="277">
        <f t="shared" si="60"/>
        <v>-92.465809775686495</v>
      </c>
      <c r="W210" s="277">
        <f t="shared" si="64"/>
        <v>19.310434922426097</v>
      </c>
      <c r="X210" s="273">
        <f t="shared" si="61"/>
        <v>27.253954555779259</v>
      </c>
      <c r="Y210" s="277">
        <f t="shared" si="62"/>
        <v>2.3701385597594684</v>
      </c>
      <c r="AA210" s="278"/>
      <c r="AB210" s="277"/>
      <c r="AG210" s="242"/>
      <c r="AH210" s="174"/>
    </row>
    <row r="211" spans="2:34">
      <c r="B211" s="266">
        <f t="shared" si="67"/>
        <v>14</v>
      </c>
      <c r="C211" s="266"/>
      <c r="D211" s="175">
        <f t="shared" si="50"/>
        <v>166</v>
      </c>
      <c r="E211" s="267">
        <f t="shared" si="51"/>
        <v>47088</v>
      </c>
      <c r="F211" s="268">
        <f t="shared" si="57"/>
        <v>6.4899999999999999E-2</v>
      </c>
      <c r="G211" s="270">
        <f t="shared" si="68"/>
        <v>30.764399999999998</v>
      </c>
      <c r="H211" s="270">
        <f t="shared" si="52"/>
        <v>0</v>
      </c>
      <c r="I211" s="270">
        <f t="shared" si="53"/>
        <v>0</v>
      </c>
      <c r="J211" s="270">
        <f t="shared" si="58"/>
        <v>61.7014097756865</v>
      </c>
      <c r="K211" s="271">
        <f t="shared" si="54"/>
        <v>92.465809775686495</v>
      </c>
      <c r="L211" s="270">
        <f t="shared" si="55"/>
        <v>5626.631133647038</v>
      </c>
      <c r="M211" s="242">
        <f>IF(D211="","",SUM(G$46:G211))</f>
        <v>8989.1437519999999</v>
      </c>
      <c r="N211" s="242">
        <f>IF(D211="","",SUM(J$46:J211))</f>
        <v>11501.208866352976</v>
      </c>
      <c r="P211" s="245"/>
      <c r="Q211" s="277">
        <f t="shared" si="56"/>
        <v>164.21538633711566</v>
      </c>
      <c r="R211" s="277">
        <f t="shared" si="70"/>
        <v>52.439141639003068</v>
      </c>
      <c r="S211" s="277">
        <f t="shared" si="66"/>
        <v>111.77624469811259</v>
      </c>
      <c r="T211" s="277">
        <f t="shared" si="59"/>
        <v>0</v>
      </c>
      <c r="U211" s="277">
        <f t="shared" si="63"/>
        <v>111.77624469811259</v>
      </c>
      <c r="V211" s="277">
        <f t="shared" si="60"/>
        <v>-92.465809775686495</v>
      </c>
      <c r="W211" s="277">
        <f t="shared" si="64"/>
        <v>19.310434922426097</v>
      </c>
      <c r="X211" s="273">
        <f t="shared" si="61"/>
        <v>46.564389478205356</v>
      </c>
      <c r="Y211" s="277">
        <f t="shared" si="62"/>
        <v>2.3444296390195993</v>
      </c>
      <c r="AA211" s="278"/>
      <c r="AB211" s="277"/>
      <c r="AG211" s="242"/>
      <c r="AH211" s="174"/>
    </row>
    <row r="212" spans="2:34">
      <c r="B212" s="266">
        <f t="shared" si="67"/>
        <v>14</v>
      </c>
      <c r="C212" s="266"/>
      <c r="D212" s="175">
        <f t="shared" si="50"/>
        <v>167</v>
      </c>
      <c r="E212" s="267">
        <f t="shared" si="51"/>
        <v>47119</v>
      </c>
      <c r="F212" s="268">
        <f t="shared" si="57"/>
        <v>6.4899999999999999E-2</v>
      </c>
      <c r="G212" s="270">
        <f t="shared" si="68"/>
        <v>30.430700000000002</v>
      </c>
      <c r="H212" s="270">
        <f t="shared" si="52"/>
        <v>0</v>
      </c>
      <c r="I212" s="270">
        <f t="shared" si="53"/>
        <v>0</v>
      </c>
      <c r="J212" s="270">
        <f t="shared" si="58"/>
        <v>62.035109775686493</v>
      </c>
      <c r="K212" s="271">
        <f t="shared" si="54"/>
        <v>92.465809775686495</v>
      </c>
      <c r="L212" s="270">
        <f t="shared" si="55"/>
        <v>5564.5960238713515</v>
      </c>
      <c r="M212" s="242">
        <f>IF(D212="","",SUM(G$46:G212))</f>
        <v>9019.5744520000007</v>
      </c>
      <c r="N212" s="242">
        <f>IF(D212="","",SUM(J$46:J212))</f>
        <v>11563.243976128662</v>
      </c>
      <c r="P212" s="245"/>
      <c r="Q212" s="277">
        <f t="shared" si="56"/>
        <v>164.21538633711566</v>
      </c>
      <c r="R212" s="277">
        <f t="shared" si="70"/>
        <v>52.439141639003068</v>
      </c>
      <c r="S212" s="277">
        <f t="shared" si="66"/>
        <v>111.77624469811259</v>
      </c>
      <c r="T212" s="277">
        <f t="shared" si="59"/>
        <v>0</v>
      </c>
      <c r="U212" s="277">
        <f t="shared" si="63"/>
        <v>111.77624469811259</v>
      </c>
      <c r="V212" s="277">
        <f t="shared" si="60"/>
        <v>-92.465809775686495</v>
      </c>
      <c r="W212" s="277">
        <f t="shared" si="64"/>
        <v>19.310434922426097</v>
      </c>
      <c r="X212" s="273">
        <f t="shared" si="61"/>
        <v>65.874824400631454</v>
      </c>
      <c r="Y212" s="277">
        <f t="shared" si="62"/>
        <v>2.3185816766130629</v>
      </c>
      <c r="AA212" s="278"/>
      <c r="AB212" s="277"/>
      <c r="AG212" s="242"/>
      <c r="AH212" s="174"/>
    </row>
    <row r="213" spans="2:34">
      <c r="B213" s="266">
        <f t="shared" si="67"/>
        <v>14</v>
      </c>
      <c r="C213" s="266"/>
      <c r="D213" s="175">
        <f t="shared" si="50"/>
        <v>168</v>
      </c>
      <c r="E213" s="267">
        <f t="shared" si="51"/>
        <v>47150</v>
      </c>
      <c r="F213" s="268">
        <f t="shared" si="57"/>
        <v>6.4899999999999999E-2</v>
      </c>
      <c r="G213" s="270">
        <f t="shared" si="68"/>
        <v>30.095199999999998</v>
      </c>
      <c r="H213" s="270">
        <f t="shared" si="52"/>
        <v>0</v>
      </c>
      <c r="I213" s="270">
        <f t="shared" si="53"/>
        <v>0</v>
      </c>
      <c r="J213" s="270">
        <f t="shared" si="58"/>
        <v>62.370609775686496</v>
      </c>
      <c r="K213" s="271">
        <f t="shared" si="54"/>
        <v>92.465809775686495</v>
      </c>
      <c r="L213" s="270">
        <f t="shared" si="55"/>
        <v>5502.2254140956647</v>
      </c>
      <c r="M213" s="242">
        <f>IF(D213="","",SUM(G$46:G213))</f>
        <v>9049.6696520000005</v>
      </c>
      <c r="N213" s="242">
        <f>IF(D213="","",SUM(J$46:J213))</f>
        <v>11625.614585904348</v>
      </c>
      <c r="P213" s="245"/>
      <c r="Q213" s="277">
        <f t="shared" si="56"/>
        <v>164.21538633711566</v>
      </c>
      <c r="R213" s="277">
        <f t="shared" si="70"/>
        <v>52.439141639003068</v>
      </c>
      <c r="S213" s="277">
        <f t="shared" si="66"/>
        <v>111.77624469811259</v>
      </c>
      <c r="T213" s="277">
        <f t="shared" si="59"/>
        <v>0</v>
      </c>
      <c r="U213" s="277">
        <f t="shared" si="63"/>
        <v>111.77624469811259</v>
      </c>
      <c r="V213" s="277">
        <f t="shared" si="60"/>
        <v>-92.465809775686495</v>
      </c>
      <c r="W213" s="277">
        <f t="shared" si="64"/>
        <v>19.310434922426097</v>
      </c>
      <c r="X213" s="273">
        <f t="shared" si="61"/>
        <v>85.185259323057551</v>
      </c>
      <c r="Y213" s="277">
        <f t="shared" si="62"/>
        <v>2.2925939225398602</v>
      </c>
      <c r="AA213" s="278"/>
      <c r="AB213" s="277"/>
      <c r="AG213" s="242"/>
      <c r="AH213" s="174"/>
    </row>
    <row r="214" spans="2:34">
      <c r="B214" s="266">
        <f t="shared" si="67"/>
        <v>15</v>
      </c>
      <c r="C214" s="266"/>
      <c r="D214" s="175">
        <f t="shared" si="50"/>
        <v>169</v>
      </c>
      <c r="E214" s="267">
        <f t="shared" si="51"/>
        <v>47178</v>
      </c>
      <c r="F214" s="268">
        <f t="shared" si="57"/>
        <v>6.4899999999999999E-2</v>
      </c>
      <c r="G214" s="270">
        <f t="shared" si="68"/>
        <v>29.757899999999999</v>
      </c>
      <c r="H214" s="270">
        <f t="shared" si="52"/>
        <v>0</v>
      </c>
      <c r="I214" s="270">
        <f t="shared" si="53"/>
        <v>0</v>
      </c>
      <c r="J214" s="270">
        <f t="shared" si="58"/>
        <v>62.707909775686495</v>
      </c>
      <c r="K214" s="271">
        <f t="shared" si="54"/>
        <v>92.465809775686495</v>
      </c>
      <c r="L214" s="270">
        <f t="shared" si="55"/>
        <v>5439.5175043199779</v>
      </c>
      <c r="M214" s="242">
        <f>IF(D214="","",SUM(G$46:G214))</f>
        <v>9079.427552000001</v>
      </c>
      <c r="N214" s="242">
        <f>IF(D214="","",SUM(J$46:J214))</f>
        <v>11688.322495680035</v>
      </c>
      <c r="P214" s="245"/>
      <c r="Q214" s="277">
        <f t="shared" si="56"/>
        <v>169.96292485891473</v>
      </c>
      <c r="R214" s="277">
        <f>Q214-S214</f>
        <v>54.852953662680946</v>
      </c>
      <c r="S214" s="277">
        <f t="shared" si="66"/>
        <v>115.10997119623379</v>
      </c>
      <c r="T214" s="277">
        <f t="shared" si="59"/>
        <v>0</v>
      </c>
      <c r="U214" s="277">
        <f t="shared" si="63"/>
        <v>115.10997119623379</v>
      </c>
      <c r="V214" s="277">
        <f t="shared" si="60"/>
        <v>-92.465809775686495</v>
      </c>
      <c r="W214" s="277">
        <f t="shared" si="64"/>
        <v>22.644161420547292</v>
      </c>
      <c r="X214" s="273">
        <f t="shared" si="61"/>
        <v>107.82942074360484</v>
      </c>
      <c r="Y214" s="277">
        <f t="shared" si="62"/>
        <v>2.2664656267999908</v>
      </c>
      <c r="AA214" s="278"/>
      <c r="AB214" s="277"/>
      <c r="AG214" s="242"/>
      <c r="AH214" s="174"/>
    </row>
    <row r="215" spans="2:34">
      <c r="B215" s="266">
        <f t="shared" si="67"/>
        <v>15</v>
      </c>
      <c r="C215" s="266"/>
      <c r="D215" s="175">
        <f t="shared" si="50"/>
        <v>170</v>
      </c>
      <c r="E215" s="267">
        <f t="shared" si="51"/>
        <v>47209</v>
      </c>
      <c r="F215" s="268">
        <f t="shared" si="57"/>
        <v>6.4899999999999999E-2</v>
      </c>
      <c r="G215" s="270">
        <f t="shared" si="68"/>
        <v>29.418700000000001</v>
      </c>
      <c r="H215" s="270">
        <f t="shared" si="52"/>
        <v>0</v>
      </c>
      <c r="I215" s="270">
        <f t="shared" si="53"/>
        <v>0</v>
      </c>
      <c r="J215" s="270">
        <f t="shared" si="58"/>
        <v>63.047109775686494</v>
      </c>
      <c r="K215" s="271">
        <f t="shared" si="54"/>
        <v>92.465809775686495</v>
      </c>
      <c r="L215" s="270">
        <f t="shared" si="55"/>
        <v>5376.4703945442916</v>
      </c>
      <c r="M215" s="242">
        <f>IF(D215="","",SUM(G$46:G215))</f>
        <v>9108.8462520000012</v>
      </c>
      <c r="N215" s="242">
        <f>IF(D215="","",SUM(J$46:J215))</f>
        <v>11751.369605455722</v>
      </c>
      <c r="P215" s="245"/>
      <c r="Q215" s="277">
        <f t="shared" si="56"/>
        <v>169.96292485891473</v>
      </c>
      <c r="R215" s="277">
        <f t="shared" ref="R215:R225" si="71">Q215-S215</f>
        <v>54.852953662680946</v>
      </c>
      <c r="S215" s="277">
        <f t="shared" si="66"/>
        <v>115.10997119623379</v>
      </c>
      <c r="T215" s="277">
        <f t="shared" si="59"/>
        <v>0</v>
      </c>
      <c r="U215" s="277">
        <f t="shared" si="63"/>
        <v>115.10997119623379</v>
      </c>
      <c r="V215" s="277">
        <f t="shared" si="60"/>
        <v>-92.465809775686495</v>
      </c>
      <c r="W215" s="277">
        <f t="shared" si="64"/>
        <v>22.644161420547292</v>
      </c>
      <c r="X215" s="273">
        <f t="shared" si="61"/>
        <v>130.47358216415213</v>
      </c>
      <c r="Y215" s="277">
        <f t="shared" si="62"/>
        <v>2.2401959977267882</v>
      </c>
      <c r="AA215" s="278"/>
      <c r="AB215" s="277"/>
      <c r="AG215" s="242"/>
      <c r="AH215" s="174"/>
    </row>
    <row r="216" spans="2:34">
      <c r="B216" s="266">
        <f t="shared" si="67"/>
        <v>15</v>
      </c>
      <c r="C216" s="266"/>
      <c r="D216" s="175">
        <f t="shared" si="50"/>
        <v>171</v>
      </c>
      <c r="E216" s="267">
        <f t="shared" si="51"/>
        <v>47239</v>
      </c>
      <c r="F216" s="268">
        <f t="shared" si="57"/>
        <v>6.4899999999999999E-2</v>
      </c>
      <c r="G216" s="270">
        <f t="shared" si="68"/>
        <v>29.0777</v>
      </c>
      <c r="H216" s="270">
        <f t="shared" si="52"/>
        <v>0</v>
      </c>
      <c r="I216" s="270">
        <f t="shared" si="53"/>
        <v>0</v>
      </c>
      <c r="J216" s="270">
        <f t="shared" si="58"/>
        <v>63.388109775686495</v>
      </c>
      <c r="K216" s="271">
        <f t="shared" si="54"/>
        <v>92.465809775686495</v>
      </c>
      <c r="L216" s="270">
        <f t="shared" si="55"/>
        <v>5313.0822847686049</v>
      </c>
      <c r="M216" s="242">
        <f>IF(D216="","",SUM(G$46:G216))</f>
        <v>9137.923952000001</v>
      </c>
      <c r="N216" s="242">
        <f>IF(D216="","",SUM(J$46:J216))</f>
        <v>11814.757715231408</v>
      </c>
      <c r="P216" s="245"/>
      <c r="Q216" s="277">
        <f t="shared" si="56"/>
        <v>169.96292485891473</v>
      </c>
      <c r="R216" s="277">
        <f t="shared" si="71"/>
        <v>54.852953662680946</v>
      </c>
      <c r="S216" s="277">
        <f t="shared" si="66"/>
        <v>115.10997119623379</v>
      </c>
      <c r="T216" s="277">
        <f t="shared" si="59"/>
        <v>0</v>
      </c>
      <c r="U216" s="277">
        <f t="shared" si="63"/>
        <v>115.10997119623379</v>
      </c>
      <c r="V216" s="277">
        <f t="shared" si="60"/>
        <v>-92.465809775686495</v>
      </c>
      <c r="W216" s="277">
        <f t="shared" si="64"/>
        <v>22.644161420547292</v>
      </c>
      <c r="X216" s="273">
        <f t="shared" si="61"/>
        <v>153.11774358469944</v>
      </c>
      <c r="Y216" s="277">
        <f t="shared" si="62"/>
        <v>2.2137842853202518</v>
      </c>
      <c r="AA216" s="278"/>
      <c r="AB216" s="277"/>
      <c r="AG216" s="242"/>
      <c r="AH216" s="174"/>
    </row>
    <row r="217" spans="2:34">
      <c r="B217" s="266">
        <f t="shared" si="67"/>
        <v>15</v>
      </c>
      <c r="C217" s="266"/>
      <c r="D217" s="175">
        <f t="shared" si="50"/>
        <v>172</v>
      </c>
      <c r="E217" s="267">
        <f t="shared" si="51"/>
        <v>47270</v>
      </c>
      <c r="F217" s="268">
        <f t="shared" si="57"/>
        <v>6.4899999999999999E-2</v>
      </c>
      <c r="G217" s="270">
        <f t="shared" si="68"/>
        <v>28.7349</v>
      </c>
      <c r="H217" s="270">
        <f t="shared" si="52"/>
        <v>0</v>
      </c>
      <c r="I217" s="270">
        <f t="shared" si="53"/>
        <v>0</v>
      </c>
      <c r="J217" s="270">
        <f t="shared" si="58"/>
        <v>63.730909775686499</v>
      </c>
      <c r="K217" s="271">
        <f t="shared" si="54"/>
        <v>92.465809775686495</v>
      </c>
      <c r="L217" s="270">
        <f t="shared" si="55"/>
        <v>5249.3513749929189</v>
      </c>
      <c r="M217" s="242">
        <f>IF(D217="","",SUM(G$46:G217))</f>
        <v>9166.6588520000005</v>
      </c>
      <c r="N217" s="242">
        <f>IF(D217="","",SUM(J$46:J217))</f>
        <v>11878.488625007094</v>
      </c>
      <c r="P217" s="245"/>
      <c r="Q217" s="277">
        <f t="shared" si="56"/>
        <v>169.96292485891473</v>
      </c>
      <c r="R217" s="277">
        <f t="shared" si="71"/>
        <v>54.852953662680946</v>
      </c>
      <c r="S217" s="277">
        <f t="shared" si="66"/>
        <v>115.10997119623379</v>
      </c>
      <c r="T217" s="277">
        <f t="shared" si="59"/>
        <v>0</v>
      </c>
      <c r="U217" s="277">
        <f t="shared" si="63"/>
        <v>115.10997119623379</v>
      </c>
      <c r="V217" s="277">
        <f t="shared" si="60"/>
        <v>-92.465809775686495</v>
      </c>
      <c r="W217" s="277">
        <f t="shared" si="64"/>
        <v>22.644161420547292</v>
      </c>
      <c r="X217" s="273">
        <f t="shared" si="61"/>
        <v>175.76190500524672</v>
      </c>
      <c r="Y217" s="277">
        <f t="shared" si="62"/>
        <v>2.187229739580383</v>
      </c>
      <c r="AA217" s="278"/>
      <c r="AB217" s="277"/>
      <c r="AG217" s="242"/>
      <c r="AH217" s="174"/>
    </row>
    <row r="218" spans="2:34">
      <c r="B218" s="266">
        <f t="shared" si="67"/>
        <v>15</v>
      </c>
      <c r="C218" s="266"/>
      <c r="D218" s="175">
        <f t="shared" si="50"/>
        <v>173</v>
      </c>
      <c r="E218" s="267">
        <f t="shared" si="51"/>
        <v>47300</v>
      </c>
      <c r="F218" s="268">
        <f t="shared" si="57"/>
        <v>6.4899999999999999E-2</v>
      </c>
      <c r="G218" s="270">
        <f t="shared" si="68"/>
        <v>28.3902</v>
      </c>
      <c r="H218" s="270">
        <f t="shared" si="52"/>
        <v>0</v>
      </c>
      <c r="I218" s="270">
        <f t="shared" si="53"/>
        <v>0</v>
      </c>
      <c r="J218" s="270">
        <f t="shared" si="58"/>
        <v>64.075609775686502</v>
      </c>
      <c r="K218" s="271">
        <f t="shared" si="54"/>
        <v>92.465809775686495</v>
      </c>
      <c r="L218" s="270">
        <f t="shared" si="55"/>
        <v>5185.2757652172322</v>
      </c>
      <c r="M218" s="242">
        <f>IF(D218="","",SUM(G$46:G218))</f>
        <v>9195.0490520000003</v>
      </c>
      <c r="N218" s="242">
        <f>IF(D218="","",SUM(J$46:J218))</f>
        <v>11942.56423478278</v>
      </c>
      <c r="P218" s="245"/>
      <c r="Q218" s="277">
        <f t="shared" si="56"/>
        <v>169.96292485891473</v>
      </c>
      <c r="R218" s="277">
        <f t="shared" si="71"/>
        <v>54.852953662680946</v>
      </c>
      <c r="S218" s="277">
        <f t="shared" si="66"/>
        <v>115.10997119623379</v>
      </c>
      <c r="T218" s="277">
        <f t="shared" si="59"/>
        <v>0</v>
      </c>
      <c r="U218" s="277">
        <f t="shared" si="63"/>
        <v>115.10997119623379</v>
      </c>
      <c r="V218" s="277">
        <f t="shared" si="60"/>
        <v>-92.465809775686495</v>
      </c>
      <c r="W218" s="277">
        <f t="shared" si="64"/>
        <v>22.644161420547292</v>
      </c>
      <c r="X218" s="273">
        <f t="shared" si="61"/>
        <v>198.40606642579399</v>
      </c>
      <c r="Y218" s="277">
        <f t="shared" si="62"/>
        <v>2.1605315688405136</v>
      </c>
      <c r="AA218" s="278"/>
      <c r="AB218" s="277"/>
      <c r="AG218" s="242"/>
      <c r="AH218" s="174"/>
    </row>
    <row r="219" spans="2:34">
      <c r="B219" s="266">
        <f t="shared" si="67"/>
        <v>15</v>
      </c>
      <c r="C219" s="266"/>
      <c r="D219" s="175">
        <f t="shared" si="50"/>
        <v>174</v>
      </c>
      <c r="E219" s="267">
        <f t="shared" si="51"/>
        <v>47331</v>
      </c>
      <c r="F219" s="268">
        <f t="shared" si="57"/>
        <v>6.4899999999999999E-2</v>
      </c>
      <c r="G219" s="270">
        <f t="shared" si="68"/>
        <v>28.043700000000001</v>
      </c>
      <c r="H219" s="270">
        <f t="shared" si="52"/>
        <v>0</v>
      </c>
      <c r="I219" s="270">
        <f t="shared" si="53"/>
        <v>0</v>
      </c>
      <c r="J219" s="270">
        <f t="shared" si="58"/>
        <v>64.422109775686494</v>
      </c>
      <c r="K219" s="271">
        <f t="shared" si="54"/>
        <v>92.465809775686495</v>
      </c>
      <c r="L219" s="270">
        <f t="shared" si="55"/>
        <v>5120.8536554415459</v>
      </c>
      <c r="M219" s="242">
        <f>IF(D219="","",SUM(G$46:G219))</f>
        <v>9223.0927520000005</v>
      </c>
      <c r="N219" s="242">
        <f>IF(D219="","",SUM(J$46:J219))</f>
        <v>12006.986344558467</v>
      </c>
      <c r="P219" s="245"/>
      <c r="Q219" s="277">
        <f t="shared" si="56"/>
        <v>169.96292485891473</v>
      </c>
      <c r="R219" s="277">
        <f t="shared" si="71"/>
        <v>54.852953662680946</v>
      </c>
      <c r="S219" s="277">
        <f t="shared" si="66"/>
        <v>115.10997119623379</v>
      </c>
      <c r="T219" s="277">
        <f t="shared" si="59"/>
        <v>0</v>
      </c>
      <c r="U219" s="277">
        <f t="shared" si="63"/>
        <v>115.10997119623379</v>
      </c>
      <c r="V219" s="277">
        <f t="shared" si="60"/>
        <v>-92.465809775686495</v>
      </c>
      <c r="W219" s="277">
        <f t="shared" si="64"/>
        <v>22.644161420547292</v>
      </c>
      <c r="X219" s="273">
        <f t="shared" si="61"/>
        <v>221.05022784634127</v>
      </c>
      <c r="Y219" s="277">
        <f t="shared" si="62"/>
        <v>2.133689023100644</v>
      </c>
      <c r="AA219" s="278"/>
      <c r="AB219" s="277"/>
      <c r="AG219" s="242"/>
      <c r="AH219" s="174"/>
    </row>
    <row r="220" spans="2:34">
      <c r="B220" s="266">
        <f t="shared" si="67"/>
        <v>15</v>
      </c>
      <c r="C220" s="266"/>
      <c r="D220" s="175">
        <f t="shared" si="50"/>
        <v>175</v>
      </c>
      <c r="E220" s="267">
        <f t="shared" si="51"/>
        <v>47362</v>
      </c>
      <c r="F220" s="268">
        <f t="shared" si="57"/>
        <v>6.4899999999999999E-2</v>
      </c>
      <c r="G220" s="270">
        <f t="shared" si="68"/>
        <v>27.6953</v>
      </c>
      <c r="H220" s="270">
        <f t="shared" si="52"/>
        <v>0</v>
      </c>
      <c r="I220" s="270">
        <f t="shared" si="53"/>
        <v>0</v>
      </c>
      <c r="J220" s="270">
        <f t="shared" si="58"/>
        <v>64.770509775686492</v>
      </c>
      <c r="K220" s="271">
        <f t="shared" si="54"/>
        <v>92.465809775686495</v>
      </c>
      <c r="L220" s="270">
        <f t="shared" si="55"/>
        <v>5056.0831456658598</v>
      </c>
      <c r="M220" s="242">
        <f>IF(D220="","",SUM(G$46:G220))</f>
        <v>9250.7880519999999</v>
      </c>
      <c r="N220" s="242">
        <f>IF(D220="","",SUM(J$46:J220))</f>
        <v>12071.756854334153</v>
      </c>
      <c r="P220" s="245"/>
      <c r="Q220" s="277">
        <f t="shared" si="56"/>
        <v>169.96292485891473</v>
      </c>
      <c r="R220" s="277">
        <f t="shared" si="71"/>
        <v>54.852953662680946</v>
      </c>
      <c r="S220" s="277">
        <f t="shared" si="66"/>
        <v>115.10997119623379</v>
      </c>
      <c r="T220" s="277">
        <f t="shared" si="59"/>
        <v>0</v>
      </c>
      <c r="U220" s="277">
        <f t="shared" si="63"/>
        <v>115.10997119623379</v>
      </c>
      <c r="V220" s="277">
        <f t="shared" si="60"/>
        <v>-92.465809775686495</v>
      </c>
      <c r="W220" s="277">
        <f t="shared" si="64"/>
        <v>22.644161420547292</v>
      </c>
      <c r="X220" s="273">
        <f t="shared" si="61"/>
        <v>243.69438926688855</v>
      </c>
      <c r="Y220" s="277">
        <f t="shared" si="62"/>
        <v>2.1067013106941084</v>
      </c>
      <c r="AA220" s="278"/>
      <c r="AB220" s="277"/>
      <c r="AG220" s="242"/>
      <c r="AH220" s="174"/>
    </row>
    <row r="221" spans="2:34">
      <c r="B221" s="266">
        <f t="shared" si="67"/>
        <v>15</v>
      </c>
      <c r="C221" s="266"/>
      <c r="D221" s="175">
        <f t="shared" si="50"/>
        <v>176</v>
      </c>
      <c r="E221" s="267">
        <f t="shared" si="51"/>
        <v>47392</v>
      </c>
      <c r="F221" s="268">
        <f t="shared" si="57"/>
        <v>6.4899999999999999E-2</v>
      </c>
      <c r="G221" s="270">
        <f t="shared" si="68"/>
        <v>27.344999999999999</v>
      </c>
      <c r="H221" s="270">
        <f t="shared" si="52"/>
        <v>0</v>
      </c>
      <c r="I221" s="270">
        <f t="shared" si="53"/>
        <v>0</v>
      </c>
      <c r="J221" s="270">
        <f t="shared" si="58"/>
        <v>65.120809775686496</v>
      </c>
      <c r="K221" s="271">
        <f t="shared" si="54"/>
        <v>92.465809775686495</v>
      </c>
      <c r="L221" s="270">
        <f t="shared" si="55"/>
        <v>4990.9623358901736</v>
      </c>
      <c r="M221" s="242">
        <f>IF(D221="","",SUM(G$46:G221))</f>
        <v>9278.1330519999992</v>
      </c>
      <c r="N221" s="242">
        <f>IF(D221="","",SUM(J$46:J221))</f>
        <v>12136.877664109839</v>
      </c>
      <c r="P221" s="245"/>
      <c r="Q221" s="277">
        <f t="shared" si="56"/>
        <v>169.96292485891473</v>
      </c>
      <c r="R221" s="277">
        <f t="shared" si="71"/>
        <v>54.852953662680946</v>
      </c>
      <c r="S221" s="277">
        <f t="shared" si="66"/>
        <v>115.10997119623379</v>
      </c>
      <c r="T221" s="277">
        <f t="shared" si="59"/>
        <v>0</v>
      </c>
      <c r="U221" s="277">
        <f t="shared" si="63"/>
        <v>115.10997119623379</v>
      </c>
      <c r="V221" s="277">
        <f t="shared" si="60"/>
        <v>-92.465809775686495</v>
      </c>
      <c r="W221" s="277">
        <f t="shared" si="64"/>
        <v>22.644161420547292</v>
      </c>
      <c r="X221" s="273">
        <f t="shared" si="61"/>
        <v>266.33855068743583</v>
      </c>
      <c r="Y221" s="277">
        <f t="shared" si="62"/>
        <v>2.0795676399542393</v>
      </c>
      <c r="AA221" s="278"/>
      <c r="AB221" s="277"/>
      <c r="AG221" s="242"/>
      <c r="AH221" s="174"/>
    </row>
    <row r="222" spans="2:34">
      <c r="B222" s="266">
        <f t="shared" si="67"/>
        <v>15</v>
      </c>
      <c r="C222" s="266"/>
      <c r="D222" s="175">
        <f t="shared" si="50"/>
        <v>177</v>
      </c>
      <c r="E222" s="267">
        <f t="shared" si="51"/>
        <v>47423</v>
      </c>
      <c r="F222" s="268">
        <f t="shared" si="57"/>
        <v>6.4899999999999999E-2</v>
      </c>
      <c r="G222" s="270">
        <f t="shared" si="68"/>
        <v>26.992799999999999</v>
      </c>
      <c r="H222" s="270">
        <f t="shared" si="52"/>
        <v>0</v>
      </c>
      <c r="I222" s="270">
        <f t="shared" si="53"/>
        <v>0</v>
      </c>
      <c r="J222" s="270">
        <f t="shared" si="58"/>
        <v>65.473009775686492</v>
      </c>
      <c r="K222" s="271">
        <f t="shared" si="54"/>
        <v>92.465809775686495</v>
      </c>
      <c r="L222" s="270">
        <f t="shared" si="55"/>
        <v>4925.4893261144871</v>
      </c>
      <c r="M222" s="242">
        <f>IF(D222="","",SUM(G$46:G222))</f>
        <v>9305.1258519999992</v>
      </c>
      <c r="N222" s="242">
        <f>IF(D222="","",SUM(J$46:J222))</f>
        <v>12202.350673885527</v>
      </c>
      <c r="P222" s="245"/>
      <c r="Q222" s="277">
        <f t="shared" si="56"/>
        <v>169.96292485891473</v>
      </c>
      <c r="R222" s="277">
        <f t="shared" si="71"/>
        <v>54.852953662680946</v>
      </c>
      <c r="S222" s="277">
        <f t="shared" si="66"/>
        <v>115.10997119623379</v>
      </c>
      <c r="T222" s="277">
        <f t="shared" si="59"/>
        <v>0</v>
      </c>
      <c r="U222" s="277">
        <f t="shared" si="63"/>
        <v>115.10997119623379</v>
      </c>
      <c r="V222" s="277">
        <f t="shared" si="60"/>
        <v>-92.465809775686495</v>
      </c>
      <c r="W222" s="277">
        <f t="shared" si="64"/>
        <v>22.644161420547292</v>
      </c>
      <c r="X222" s="273">
        <f t="shared" si="61"/>
        <v>288.9827121079831</v>
      </c>
      <c r="Y222" s="277">
        <f t="shared" si="62"/>
        <v>2.0522872192143695</v>
      </c>
      <c r="AA222" s="278"/>
      <c r="AB222" s="277"/>
      <c r="AG222" s="242"/>
      <c r="AH222" s="174"/>
    </row>
    <row r="223" spans="2:34">
      <c r="B223" s="266">
        <f t="shared" si="67"/>
        <v>15</v>
      </c>
      <c r="C223" s="266"/>
      <c r="D223" s="175">
        <f t="shared" si="50"/>
        <v>178</v>
      </c>
      <c r="E223" s="267">
        <f t="shared" si="51"/>
        <v>47453</v>
      </c>
      <c r="F223" s="268">
        <f t="shared" si="57"/>
        <v>6.4899999999999999E-2</v>
      </c>
      <c r="G223" s="270">
        <f t="shared" si="68"/>
        <v>26.6387</v>
      </c>
      <c r="H223" s="270">
        <f t="shared" si="52"/>
        <v>0</v>
      </c>
      <c r="I223" s="270">
        <f t="shared" si="53"/>
        <v>0</v>
      </c>
      <c r="J223" s="270">
        <f t="shared" si="58"/>
        <v>65.827109775686495</v>
      </c>
      <c r="K223" s="271">
        <f t="shared" si="54"/>
        <v>92.465809775686495</v>
      </c>
      <c r="L223" s="270">
        <f t="shared" si="55"/>
        <v>4859.6622163388001</v>
      </c>
      <c r="M223" s="242">
        <f>IF(D223="","",SUM(G$46:G223))</f>
        <v>9331.7645519999987</v>
      </c>
      <c r="N223" s="242">
        <f>IF(D223="","",SUM(J$46:J223))</f>
        <v>12268.177783661213</v>
      </c>
      <c r="P223" s="245"/>
      <c r="Q223" s="277">
        <f t="shared" si="56"/>
        <v>169.96292485891473</v>
      </c>
      <c r="R223" s="277">
        <f t="shared" si="71"/>
        <v>54.852953662680946</v>
      </c>
      <c r="S223" s="277">
        <f t="shared" si="66"/>
        <v>115.10997119623379</v>
      </c>
      <c r="T223" s="277">
        <f t="shared" si="59"/>
        <v>0</v>
      </c>
      <c r="U223" s="277">
        <f t="shared" si="63"/>
        <v>115.10997119623379</v>
      </c>
      <c r="V223" s="277">
        <f t="shared" si="60"/>
        <v>-92.465809775686495</v>
      </c>
      <c r="W223" s="277">
        <f t="shared" si="64"/>
        <v>22.644161420547292</v>
      </c>
      <c r="X223" s="273">
        <f t="shared" si="61"/>
        <v>311.62687352853038</v>
      </c>
      <c r="Y223" s="277">
        <f t="shared" si="62"/>
        <v>2.0248592568078334</v>
      </c>
      <c r="AA223" s="278"/>
      <c r="AB223" s="277"/>
      <c r="AG223" s="242"/>
      <c r="AH223" s="174"/>
    </row>
    <row r="224" spans="2:34">
      <c r="B224" s="266">
        <f t="shared" si="67"/>
        <v>15</v>
      </c>
      <c r="C224" s="266"/>
      <c r="D224" s="175">
        <f t="shared" si="50"/>
        <v>179</v>
      </c>
      <c r="E224" s="267">
        <f t="shared" si="51"/>
        <v>47484</v>
      </c>
      <c r="F224" s="268">
        <f t="shared" si="57"/>
        <v>6.4899999999999999E-2</v>
      </c>
      <c r="G224" s="270">
        <f t="shared" si="68"/>
        <v>26.282699999999998</v>
      </c>
      <c r="H224" s="270">
        <f t="shared" si="52"/>
        <v>0</v>
      </c>
      <c r="I224" s="270">
        <f t="shared" si="53"/>
        <v>0</v>
      </c>
      <c r="J224" s="270">
        <f t="shared" si="58"/>
        <v>66.183109775686489</v>
      </c>
      <c r="K224" s="271">
        <f t="shared" si="54"/>
        <v>92.465809775686495</v>
      </c>
      <c r="L224" s="270">
        <f t="shared" si="55"/>
        <v>4793.4791065631134</v>
      </c>
      <c r="M224" s="242">
        <f>IF(D224="","",SUM(G$46:G224))</f>
        <v>9358.0472519999985</v>
      </c>
      <c r="N224" s="242">
        <f>IF(D224="","",SUM(J$46:J224))</f>
        <v>12334.360893436899</v>
      </c>
      <c r="P224" s="245"/>
      <c r="Q224" s="277">
        <f t="shared" si="56"/>
        <v>169.96292485891473</v>
      </c>
      <c r="R224" s="277">
        <f t="shared" si="71"/>
        <v>54.852953662680946</v>
      </c>
      <c r="S224" s="277">
        <f t="shared" si="66"/>
        <v>115.10997119623379</v>
      </c>
      <c r="T224" s="277">
        <f t="shared" si="59"/>
        <v>0</v>
      </c>
      <c r="U224" s="277">
        <f t="shared" si="63"/>
        <v>115.10997119623379</v>
      </c>
      <c r="V224" s="277">
        <f t="shared" si="60"/>
        <v>-92.465809775686495</v>
      </c>
      <c r="W224" s="277">
        <f t="shared" si="64"/>
        <v>22.644161420547292</v>
      </c>
      <c r="X224" s="273">
        <f t="shared" si="61"/>
        <v>334.27103494907766</v>
      </c>
      <c r="Y224" s="277">
        <f t="shared" si="62"/>
        <v>1.9972829610679641</v>
      </c>
      <c r="AA224" s="278"/>
      <c r="AB224" s="277"/>
      <c r="AG224" s="242"/>
      <c r="AH224" s="174"/>
    </row>
    <row r="225" spans="2:34">
      <c r="B225" s="266">
        <f t="shared" si="67"/>
        <v>15</v>
      </c>
      <c r="C225" s="266"/>
      <c r="D225" s="175">
        <f t="shared" si="50"/>
        <v>180</v>
      </c>
      <c r="E225" s="267">
        <f t="shared" si="51"/>
        <v>47515</v>
      </c>
      <c r="F225" s="268">
        <f t="shared" si="57"/>
        <v>6.4899999999999999E-2</v>
      </c>
      <c r="G225" s="270">
        <f t="shared" si="68"/>
        <v>25.924700000000001</v>
      </c>
      <c r="H225" s="270">
        <f t="shared" si="52"/>
        <v>0</v>
      </c>
      <c r="I225" s="270">
        <f t="shared" si="53"/>
        <v>0</v>
      </c>
      <c r="J225" s="270">
        <f t="shared" si="58"/>
        <v>66.541109775686493</v>
      </c>
      <c r="K225" s="271">
        <f t="shared" si="54"/>
        <v>92.465809775686495</v>
      </c>
      <c r="L225" s="270">
        <f t="shared" si="55"/>
        <v>4726.9379967874265</v>
      </c>
      <c r="M225" s="242">
        <f>IF(D225="","",SUM(G$46:G225))</f>
        <v>9383.9719519999981</v>
      </c>
      <c r="N225" s="242">
        <f>IF(D225="","",SUM(J$46:J225))</f>
        <v>12400.902003212585</v>
      </c>
      <c r="P225" s="245"/>
      <c r="Q225" s="277">
        <f t="shared" si="56"/>
        <v>169.96292485891473</v>
      </c>
      <c r="R225" s="277">
        <f t="shared" si="71"/>
        <v>54.852953662680946</v>
      </c>
      <c r="S225" s="277">
        <f t="shared" si="66"/>
        <v>115.10997119623379</v>
      </c>
      <c r="T225" s="277">
        <f t="shared" si="59"/>
        <v>0</v>
      </c>
      <c r="U225" s="277">
        <f t="shared" si="63"/>
        <v>115.10997119623379</v>
      </c>
      <c r="V225" s="277">
        <f t="shared" si="60"/>
        <v>-92.465809775686495</v>
      </c>
      <c r="W225" s="277">
        <f t="shared" si="64"/>
        <v>22.644161420547292</v>
      </c>
      <c r="X225" s="273">
        <f t="shared" si="61"/>
        <v>356.91519636962494</v>
      </c>
      <c r="Y225" s="277">
        <f t="shared" si="62"/>
        <v>1.9695574986614277</v>
      </c>
      <c r="AA225" s="278"/>
      <c r="AB225" s="277"/>
      <c r="AG225" s="242"/>
      <c r="AH225" s="174"/>
    </row>
    <row r="226" spans="2:34">
      <c r="B226" s="266">
        <f t="shared" si="67"/>
        <v>16</v>
      </c>
      <c r="C226" s="266"/>
      <c r="D226" s="175">
        <f t="shared" si="50"/>
        <v>181</v>
      </c>
      <c r="E226" s="267">
        <f t="shared" si="51"/>
        <v>47543</v>
      </c>
      <c r="F226" s="268">
        <f t="shared" si="57"/>
        <v>6.4899999999999999E-2</v>
      </c>
      <c r="G226" s="270">
        <f t="shared" si="68"/>
        <v>25.564900000000002</v>
      </c>
      <c r="H226" s="270">
        <f t="shared" si="52"/>
        <v>0</v>
      </c>
      <c r="I226" s="270">
        <f t="shared" si="53"/>
        <v>0</v>
      </c>
      <c r="J226" s="270">
        <f t="shared" si="58"/>
        <v>66.9009097756865</v>
      </c>
      <c r="K226" s="271">
        <f t="shared" si="54"/>
        <v>92.465809775686495</v>
      </c>
      <c r="L226" s="270">
        <f t="shared" si="55"/>
        <v>4660.0370870117404</v>
      </c>
      <c r="M226" s="242">
        <f>IF(D226="","",SUM(G$46:G226))</f>
        <v>9409.5368519999975</v>
      </c>
      <c r="N226" s="242">
        <f>IF(D226="","",SUM(J$46:J226))</f>
        <v>12467.802912988271</v>
      </c>
      <c r="P226" s="245"/>
      <c r="Q226" s="277">
        <f t="shared" si="56"/>
        <v>175.91162722897673</v>
      </c>
      <c r="R226" s="277">
        <f>Q226-S226</f>
        <v>57.368501141815273</v>
      </c>
      <c r="S226" s="277">
        <f t="shared" si="66"/>
        <v>118.54312608716145</v>
      </c>
      <c r="T226" s="277">
        <f t="shared" si="59"/>
        <v>0</v>
      </c>
      <c r="U226" s="277">
        <f t="shared" si="63"/>
        <v>118.54312608716145</v>
      </c>
      <c r="V226" s="277">
        <f t="shared" si="60"/>
        <v>-92.465809775686495</v>
      </c>
      <c r="W226" s="277">
        <f t="shared" si="64"/>
        <v>26.077316311474959</v>
      </c>
      <c r="X226" s="273">
        <f t="shared" si="61"/>
        <v>382.99251268109992</v>
      </c>
      <c r="Y226" s="277">
        <f t="shared" si="62"/>
        <v>0</v>
      </c>
      <c r="AA226" s="278"/>
      <c r="AB226" s="277"/>
      <c r="AG226" s="242"/>
      <c r="AH226" s="174"/>
    </row>
    <row r="227" spans="2:34">
      <c r="B227" s="266">
        <f t="shared" si="67"/>
        <v>16</v>
      </c>
      <c r="C227" s="266"/>
      <c r="D227" s="175">
        <f t="shared" si="50"/>
        <v>182</v>
      </c>
      <c r="E227" s="267">
        <f t="shared" si="51"/>
        <v>47574</v>
      </c>
      <c r="F227" s="268">
        <f t="shared" si="57"/>
        <v>6.4899999999999999E-2</v>
      </c>
      <c r="G227" s="270">
        <f t="shared" si="68"/>
        <v>25.202999999999999</v>
      </c>
      <c r="H227" s="270">
        <f t="shared" si="52"/>
        <v>0</v>
      </c>
      <c r="I227" s="270">
        <f t="shared" si="53"/>
        <v>0</v>
      </c>
      <c r="J227" s="270">
        <f t="shared" si="58"/>
        <v>67.262809775686492</v>
      </c>
      <c r="K227" s="271">
        <f t="shared" si="54"/>
        <v>92.465809775686495</v>
      </c>
      <c r="L227" s="270">
        <f t="shared" si="55"/>
        <v>4592.7742772360543</v>
      </c>
      <c r="M227" s="242">
        <f>IF(D227="","",SUM(G$46:G227))</f>
        <v>9434.739851999997</v>
      </c>
      <c r="N227" s="242">
        <f>IF(D227="","",SUM(J$46:J227))</f>
        <v>12535.065722763957</v>
      </c>
      <c r="P227" s="245"/>
      <c r="Q227" s="277">
        <f t="shared" si="56"/>
        <v>175.91162722897673</v>
      </c>
      <c r="R227" s="277">
        <f t="shared" ref="R227:R237" si="72">Q227-S227</f>
        <v>57.368501141815273</v>
      </c>
      <c r="S227" s="277">
        <f t="shared" si="66"/>
        <v>118.54312608716145</v>
      </c>
      <c r="T227" s="277">
        <f t="shared" si="59"/>
        <v>0</v>
      </c>
      <c r="U227" s="277">
        <f t="shared" si="63"/>
        <v>118.54312608716145</v>
      </c>
      <c r="V227" s="277">
        <f t="shared" si="60"/>
        <v>-92.465809775686495</v>
      </c>
      <c r="W227" s="277">
        <f t="shared" si="64"/>
        <v>26.077316311474959</v>
      </c>
      <c r="X227" s="273">
        <f t="shared" si="61"/>
        <v>409.06982899257491</v>
      </c>
      <c r="Y227" s="277">
        <f t="shared" si="62"/>
        <v>0</v>
      </c>
      <c r="AA227" s="278"/>
      <c r="AB227" s="277"/>
      <c r="AG227" s="242"/>
      <c r="AH227" s="174"/>
    </row>
    <row r="228" spans="2:34">
      <c r="B228" s="266">
        <f t="shared" si="67"/>
        <v>16</v>
      </c>
      <c r="C228" s="266"/>
      <c r="D228" s="175">
        <f t="shared" si="50"/>
        <v>183</v>
      </c>
      <c r="E228" s="267">
        <f t="shared" si="51"/>
        <v>47604</v>
      </c>
      <c r="F228" s="268">
        <f t="shared" si="57"/>
        <v>6.4899999999999999E-2</v>
      </c>
      <c r="G228" s="270">
        <f t="shared" si="68"/>
        <v>24.839300000000001</v>
      </c>
      <c r="H228" s="270">
        <f t="shared" si="52"/>
        <v>0</v>
      </c>
      <c r="I228" s="270">
        <f t="shared" si="53"/>
        <v>0</v>
      </c>
      <c r="J228" s="270">
        <f t="shared" si="58"/>
        <v>67.626509775686486</v>
      </c>
      <c r="K228" s="271">
        <f t="shared" si="54"/>
        <v>92.465809775686495</v>
      </c>
      <c r="L228" s="270">
        <f t="shared" si="55"/>
        <v>4525.1477674603675</v>
      </c>
      <c r="M228" s="242">
        <f>IF(D228="","",SUM(G$46:G228))</f>
        <v>9459.5791519999966</v>
      </c>
      <c r="N228" s="242">
        <f>IF(D228="","",SUM(J$46:J228))</f>
        <v>12602.692232539643</v>
      </c>
      <c r="P228" s="245"/>
      <c r="Q228" s="277">
        <f t="shared" si="56"/>
        <v>175.91162722897673</v>
      </c>
      <c r="R228" s="277">
        <f t="shared" si="72"/>
        <v>57.368501141815273</v>
      </c>
      <c r="S228" s="277">
        <f t="shared" si="66"/>
        <v>118.54312608716145</v>
      </c>
      <c r="T228" s="277">
        <f t="shared" si="59"/>
        <v>0</v>
      </c>
      <c r="U228" s="277">
        <f t="shared" si="63"/>
        <v>118.54312608716145</v>
      </c>
      <c r="V228" s="277">
        <f t="shared" si="60"/>
        <v>-92.465809775686495</v>
      </c>
      <c r="W228" s="277">
        <f t="shared" si="64"/>
        <v>26.077316311474959</v>
      </c>
      <c r="X228" s="273">
        <f t="shared" si="61"/>
        <v>435.1471453040499</v>
      </c>
      <c r="Y228" s="277">
        <f t="shared" si="62"/>
        <v>0</v>
      </c>
      <c r="AA228" s="278"/>
      <c r="AB228" s="277"/>
      <c r="AG228" s="242"/>
      <c r="AH228" s="174"/>
    </row>
    <row r="229" spans="2:34">
      <c r="B229" s="266">
        <f t="shared" si="67"/>
        <v>16</v>
      </c>
      <c r="C229" s="266"/>
      <c r="D229" s="175">
        <f t="shared" si="50"/>
        <v>184</v>
      </c>
      <c r="E229" s="267">
        <f t="shared" si="51"/>
        <v>47635</v>
      </c>
      <c r="F229" s="268">
        <f t="shared" si="57"/>
        <v>6.4899999999999999E-2</v>
      </c>
      <c r="G229" s="270">
        <f t="shared" si="68"/>
        <v>24.473500000000001</v>
      </c>
      <c r="H229" s="270">
        <f t="shared" si="52"/>
        <v>0</v>
      </c>
      <c r="I229" s="270">
        <f t="shared" si="53"/>
        <v>0</v>
      </c>
      <c r="J229" s="270">
        <f t="shared" si="58"/>
        <v>67.992309775686493</v>
      </c>
      <c r="K229" s="271">
        <f t="shared" si="54"/>
        <v>92.465809775686495</v>
      </c>
      <c r="L229" s="270">
        <f t="shared" si="55"/>
        <v>4457.1554576846811</v>
      </c>
      <c r="M229" s="242">
        <f>IF(D229="","",SUM(G$46:G229))</f>
        <v>9484.0526519999967</v>
      </c>
      <c r="N229" s="242">
        <f>IF(D229="","",SUM(J$46:J229))</f>
        <v>12670.68454231533</v>
      </c>
      <c r="P229" s="245"/>
      <c r="Q229" s="277">
        <f t="shared" si="56"/>
        <v>175.91162722897673</v>
      </c>
      <c r="R229" s="277">
        <f t="shared" si="72"/>
        <v>57.368501141815273</v>
      </c>
      <c r="S229" s="277">
        <f t="shared" si="66"/>
        <v>118.54312608716145</v>
      </c>
      <c r="T229" s="277">
        <f t="shared" si="59"/>
        <v>0</v>
      </c>
      <c r="U229" s="277">
        <f t="shared" si="63"/>
        <v>118.54312608716145</v>
      </c>
      <c r="V229" s="277">
        <f t="shared" si="60"/>
        <v>-92.465809775686495</v>
      </c>
      <c r="W229" s="277">
        <f t="shared" si="64"/>
        <v>26.077316311474959</v>
      </c>
      <c r="X229" s="273">
        <f t="shared" si="61"/>
        <v>461.22446161552489</v>
      </c>
      <c r="Y229" s="277">
        <f t="shared" si="62"/>
        <v>0</v>
      </c>
      <c r="AA229" s="278"/>
      <c r="AB229" s="277"/>
      <c r="AG229" s="242"/>
      <c r="AH229" s="174"/>
    </row>
    <row r="230" spans="2:34">
      <c r="B230" s="266">
        <f t="shared" si="67"/>
        <v>16</v>
      </c>
      <c r="C230" s="266"/>
      <c r="D230" s="175">
        <f t="shared" si="50"/>
        <v>185</v>
      </c>
      <c r="E230" s="267">
        <f t="shared" si="51"/>
        <v>47665</v>
      </c>
      <c r="F230" s="268">
        <f t="shared" si="57"/>
        <v>6.4899999999999999E-2</v>
      </c>
      <c r="G230" s="270">
        <f t="shared" si="68"/>
        <v>24.105799999999999</v>
      </c>
      <c r="H230" s="270">
        <f t="shared" si="52"/>
        <v>0</v>
      </c>
      <c r="I230" s="270">
        <f t="shared" si="53"/>
        <v>0</v>
      </c>
      <c r="J230" s="270">
        <f t="shared" si="58"/>
        <v>68.360009775686493</v>
      </c>
      <c r="K230" s="271">
        <f t="shared" si="54"/>
        <v>92.465809775686495</v>
      </c>
      <c r="L230" s="270">
        <f t="shared" si="55"/>
        <v>4388.7954479089949</v>
      </c>
      <c r="M230" s="242">
        <f>IF(D230="","",SUM(G$46:G230))</f>
        <v>9508.158451999996</v>
      </c>
      <c r="N230" s="242">
        <f>IF(D230="","",SUM(J$46:J230))</f>
        <v>12739.044552091016</v>
      </c>
      <c r="P230" s="245"/>
      <c r="Q230" s="277">
        <f t="shared" si="56"/>
        <v>175.91162722897673</v>
      </c>
      <c r="R230" s="277">
        <f t="shared" si="72"/>
        <v>57.368501141815273</v>
      </c>
      <c r="S230" s="277">
        <f t="shared" si="66"/>
        <v>118.54312608716145</v>
      </c>
      <c r="T230" s="277">
        <f t="shared" si="59"/>
        <v>0</v>
      </c>
      <c r="U230" s="277">
        <f t="shared" si="63"/>
        <v>118.54312608716145</v>
      </c>
      <c r="V230" s="277">
        <f t="shared" si="60"/>
        <v>-92.465809775686495</v>
      </c>
      <c r="W230" s="277">
        <f t="shared" si="64"/>
        <v>26.077316311474959</v>
      </c>
      <c r="X230" s="273">
        <f t="shared" si="61"/>
        <v>487.30177792699988</v>
      </c>
      <c r="Y230" s="277">
        <f t="shared" si="62"/>
        <v>0</v>
      </c>
      <c r="AA230" s="278"/>
      <c r="AB230" s="277"/>
      <c r="AG230" s="242"/>
      <c r="AH230" s="174"/>
    </row>
    <row r="231" spans="2:34">
      <c r="B231" s="266">
        <f t="shared" si="67"/>
        <v>16</v>
      </c>
      <c r="C231" s="266"/>
      <c r="D231" s="175">
        <f t="shared" si="50"/>
        <v>186</v>
      </c>
      <c r="E231" s="267">
        <f t="shared" si="51"/>
        <v>47696</v>
      </c>
      <c r="F231" s="268">
        <f t="shared" si="57"/>
        <v>6.4899999999999999E-2</v>
      </c>
      <c r="G231" s="270">
        <f t="shared" si="68"/>
        <v>23.7361</v>
      </c>
      <c r="H231" s="270">
        <f t="shared" si="52"/>
        <v>0</v>
      </c>
      <c r="I231" s="270">
        <f t="shared" si="53"/>
        <v>0</v>
      </c>
      <c r="J231" s="270">
        <f t="shared" si="58"/>
        <v>68.729709775686501</v>
      </c>
      <c r="K231" s="271">
        <f t="shared" si="54"/>
        <v>92.465809775686495</v>
      </c>
      <c r="L231" s="270">
        <f t="shared" si="55"/>
        <v>4320.0657381333085</v>
      </c>
      <c r="M231" s="242">
        <f>IF(D231="","",SUM(G$46:G231))</f>
        <v>9531.8945519999961</v>
      </c>
      <c r="N231" s="242">
        <f>IF(D231="","",SUM(J$46:J231))</f>
        <v>12807.774261866703</v>
      </c>
      <c r="P231" s="245"/>
      <c r="Q231" s="277">
        <f t="shared" si="56"/>
        <v>175.91162722897673</v>
      </c>
      <c r="R231" s="277">
        <f t="shared" si="72"/>
        <v>57.368501141815273</v>
      </c>
      <c r="S231" s="277">
        <f t="shared" si="66"/>
        <v>118.54312608716145</v>
      </c>
      <c r="T231" s="277">
        <f t="shared" si="59"/>
        <v>0</v>
      </c>
      <c r="U231" s="277">
        <f t="shared" si="63"/>
        <v>118.54312608716145</v>
      </c>
      <c r="V231" s="277">
        <f t="shared" si="60"/>
        <v>-92.465809775686495</v>
      </c>
      <c r="W231" s="277">
        <f t="shared" si="64"/>
        <v>26.077316311474959</v>
      </c>
      <c r="X231" s="273">
        <f t="shared" si="61"/>
        <v>513.37909423847486</v>
      </c>
      <c r="Y231" s="277">
        <f t="shared" si="62"/>
        <v>0</v>
      </c>
      <c r="AA231" s="278"/>
      <c r="AB231" s="277"/>
      <c r="AG231" s="242"/>
      <c r="AH231" s="174"/>
    </row>
    <row r="232" spans="2:34">
      <c r="B232" s="266">
        <f t="shared" si="67"/>
        <v>16</v>
      </c>
      <c r="C232" s="266"/>
      <c r="D232" s="175">
        <f t="shared" si="50"/>
        <v>187</v>
      </c>
      <c r="E232" s="267">
        <f t="shared" si="51"/>
        <v>47727</v>
      </c>
      <c r="F232" s="268">
        <f t="shared" si="57"/>
        <v>6.4899999999999999E-2</v>
      </c>
      <c r="G232" s="270">
        <f t="shared" si="68"/>
        <v>23.3644</v>
      </c>
      <c r="H232" s="270">
        <f t="shared" si="52"/>
        <v>0</v>
      </c>
      <c r="I232" s="270">
        <f t="shared" si="53"/>
        <v>0</v>
      </c>
      <c r="J232" s="270">
        <f t="shared" si="58"/>
        <v>69.101409775686491</v>
      </c>
      <c r="K232" s="271">
        <f t="shared" si="54"/>
        <v>92.465809775686495</v>
      </c>
      <c r="L232" s="270">
        <f t="shared" si="55"/>
        <v>4250.9643283576224</v>
      </c>
      <c r="M232" s="242">
        <f>IF(D232="","",SUM(G$46:G232))</f>
        <v>9555.2589519999965</v>
      </c>
      <c r="N232" s="242">
        <f>IF(D232="","",SUM(J$46:J232))</f>
        <v>12876.87567164239</v>
      </c>
      <c r="P232" s="245"/>
      <c r="Q232" s="277">
        <f t="shared" si="56"/>
        <v>175.91162722897673</v>
      </c>
      <c r="R232" s="277">
        <f t="shared" si="72"/>
        <v>57.368501141815273</v>
      </c>
      <c r="S232" s="277">
        <f t="shared" si="66"/>
        <v>118.54312608716145</v>
      </c>
      <c r="T232" s="277">
        <f t="shared" si="59"/>
        <v>0</v>
      </c>
      <c r="U232" s="277">
        <f t="shared" si="63"/>
        <v>118.54312608716145</v>
      </c>
      <c r="V232" s="277">
        <f t="shared" si="60"/>
        <v>-92.465809775686495</v>
      </c>
      <c r="W232" s="277">
        <f t="shared" si="64"/>
        <v>26.077316311474959</v>
      </c>
      <c r="X232" s="273">
        <f t="shared" si="61"/>
        <v>539.45641054994985</v>
      </c>
      <c r="Y232" s="277">
        <f t="shared" si="62"/>
        <v>0</v>
      </c>
      <c r="AA232" s="278"/>
      <c r="AB232" s="277"/>
      <c r="AG232" s="242"/>
      <c r="AH232" s="174"/>
    </row>
    <row r="233" spans="2:34">
      <c r="B233" s="266">
        <f t="shared" si="67"/>
        <v>16</v>
      </c>
      <c r="C233" s="266"/>
      <c r="D233" s="175">
        <f t="shared" si="50"/>
        <v>188</v>
      </c>
      <c r="E233" s="267">
        <f t="shared" si="51"/>
        <v>47757</v>
      </c>
      <c r="F233" s="268">
        <f t="shared" si="57"/>
        <v>6.4899999999999999E-2</v>
      </c>
      <c r="G233" s="270">
        <f t="shared" si="68"/>
        <v>22.990600000000001</v>
      </c>
      <c r="H233" s="270">
        <f t="shared" si="52"/>
        <v>0</v>
      </c>
      <c r="I233" s="270">
        <f t="shared" si="53"/>
        <v>0</v>
      </c>
      <c r="J233" s="270">
        <f t="shared" si="58"/>
        <v>69.475209775686494</v>
      </c>
      <c r="K233" s="271">
        <f t="shared" si="54"/>
        <v>92.465809775686495</v>
      </c>
      <c r="L233" s="270">
        <f t="shared" si="55"/>
        <v>4181.4891185819361</v>
      </c>
      <c r="M233" s="242">
        <f>IF(D233="","",SUM(G$46:G233))</f>
        <v>9578.2495519999957</v>
      </c>
      <c r="N233" s="242">
        <f>IF(D233="","",SUM(J$46:J233))</f>
        <v>12946.350881418077</v>
      </c>
      <c r="P233" s="245"/>
      <c r="Q233" s="277">
        <f t="shared" si="56"/>
        <v>175.91162722897673</v>
      </c>
      <c r="R233" s="277">
        <f t="shared" si="72"/>
        <v>57.368501141815273</v>
      </c>
      <c r="S233" s="277">
        <f t="shared" si="66"/>
        <v>118.54312608716145</v>
      </c>
      <c r="T233" s="277">
        <f t="shared" si="59"/>
        <v>0</v>
      </c>
      <c r="U233" s="277">
        <f t="shared" si="63"/>
        <v>118.54312608716145</v>
      </c>
      <c r="V233" s="277">
        <f t="shared" si="60"/>
        <v>-92.465809775686495</v>
      </c>
      <c r="W233" s="277">
        <f t="shared" si="64"/>
        <v>26.077316311474959</v>
      </c>
      <c r="X233" s="273">
        <f t="shared" si="61"/>
        <v>565.53372686142484</v>
      </c>
      <c r="Y233" s="277">
        <f t="shared" si="62"/>
        <v>0</v>
      </c>
      <c r="AA233" s="278"/>
      <c r="AB233" s="277"/>
      <c r="AG233" s="242"/>
      <c r="AH233" s="174"/>
    </row>
    <row r="234" spans="2:34">
      <c r="B234" s="266">
        <f t="shared" si="67"/>
        <v>16</v>
      </c>
      <c r="C234" s="266"/>
      <c r="D234" s="175">
        <f t="shared" si="50"/>
        <v>189</v>
      </c>
      <c r="E234" s="267">
        <f t="shared" si="51"/>
        <v>47788</v>
      </c>
      <c r="F234" s="268">
        <f t="shared" si="57"/>
        <v>6.4899999999999999E-2</v>
      </c>
      <c r="G234" s="270">
        <f t="shared" si="68"/>
        <v>22.614899999999999</v>
      </c>
      <c r="H234" s="270">
        <f t="shared" si="52"/>
        <v>0</v>
      </c>
      <c r="I234" s="270">
        <f t="shared" si="53"/>
        <v>0</v>
      </c>
      <c r="J234" s="270">
        <f t="shared" si="58"/>
        <v>69.850909775686489</v>
      </c>
      <c r="K234" s="271">
        <f t="shared" si="54"/>
        <v>92.465809775686495</v>
      </c>
      <c r="L234" s="270">
        <f t="shared" si="55"/>
        <v>4111.6382088062492</v>
      </c>
      <c r="M234" s="242">
        <f>IF(D234="","",SUM(G$46:G234))</f>
        <v>9600.8644519999962</v>
      </c>
      <c r="N234" s="242">
        <f>IF(D234="","",SUM(J$46:J234))</f>
        <v>13016.201791193764</v>
      </c>
      <c r="P234" s="245"/>
      <c r="Q234" s="277">
        <f t="shared" si="56"/>
        <v>175.91162722897673</v>
      </c>
      <c r="R234" s="277">
        <f t="shared" si="72"/>
        <v>57.368501141815273</v>
      </c>
      <c r="S234" s="277">
        <f t="shared" si="66"/>
        <v>118.54312608716145</v>
      </c>
      <c r="T234" s="277">
        <f t="shared" si="59"/>
        <v>0</v>
      </c>
      <c r="U234" s="277">
        <f t="shared" si="63"/>
        <v>118.54312608716145</v>
      </c>
      <c r="V234" s="277">
        <f t="shared" si="60"/>
        <v>-92.465809775686495</v>
      </c>
      <c r="W234" s="277">
        <f t="shared" si="64"/>
        <v>26.077316311474959</v>
      </c>
      <c r="X234" s="273">
        <f t="shared" si="61"/>
        <v>591.61104317289983</v>
      </c>
      <c r="Y234" s="277">
        <f t="shared" si="62"/>
        <v>0</v>
      </c>
      <c r="AA234" s="278"/>
      <c r="AB234" s="277"/>
      <c r="AG234" s="242"/>
      <c r="AH234" s="174"/>
    </row>
    <row r="235" spans="2:34">
      <c r="B235" s="266">
        <f t="shared" si="67"/>
        <v>16</v>
      </c>
      <c r="C235" s="266"/>
      <c r="D235" s="175">
        <f t="shared" si="50"/>
        <v>190</v>
      </c>
      <c r="E235" s="267">
        <f t="shared" si="51"/>
        <v>47818</v>
      </c>
      <c r="F235" s="268">
        <f t="shared" si="57"/>
        <v>6.4899999999999999E-2</v>
      </c>
      <c r="G235" s="270">
        <f t="shared" si="68"/>
        <v>22.237100000000002</v>
      </c>
      <c r="H235" s="270">
        <f t="shared" si="52"/>
        <v>0</v>
      </c>
      <c r="I235" s="270">
        <f t="shared" si="53"/>
        <v>0</v>
      </c>
      <c r="J235" s="270">
        <f t="shared" si="58"/>
        <v>70.228709775686497</v>
      </c>
      <c r="K235" s="271">
        <f t="shared" si="54"/>
        <v>92.465809775686495</v>
      </c>
      <c r="L235" s="270">
        <f t="shared" si="55"/>
        <v>4041.4094990305625</v>
      </c>
      <c r="M235" s="242">
        <f>IF(D235="","",SUM(G$46:G235))</f>
        <v>9623.1015519999964</v>
      </c>
      <c r="N235" s="242">
        <f>IF(D235="","",SUM(J$46:J235))</f>
        <v>13086.430500969451</v>
      </c>
      <c r="P235" s="245"/>
      <c r="Q235" s="277">
        <f t="shared" si="56"/>
        <v>175.91162722897673</v>
      </c>
      <c r="R235" s="277">
        <f t="shared" si="72"/>
        <v>57.368501141815273</v>
      </c>
      <c r="S235" s="277">
        <f t="shared" si="66"/>
        <v>118.54312608716145</v>
      </c>
      <c r="T235" s="277">
        <f t="shared" si="59"/>
        <v>0</v>
      </c>
      <c r="U235" s="277">
        <f t="shared" si="63"/>
        <v>118.54312608716145</v>
      </c>
      <c r="V235" s="277">
        <f t="shared" si="60"/>
        <v>-92.465809775686495</v>
      </c>
      <c r="W235" s="277">
        <f t="shared" si="64"/>
        <v>26.077316311474959</v>
      </c>
      <c r="X235" s="273">
        <f t="shared" si="61"/>
        <v>617.68835948437481</v>
      </c>
      <c r="Y235" s="277">
        <f t="shared" si="62"/>
        <v>0</v>
      </c>
      <c r="AA235" s="278"/>
      <c r="AB235" s="277"/>
      <c r="AG235" s="242"/>
      <c r="AH235" s="174"/>
    </row>
    <row r="236" spans="2:34">
      <c r="B236" s="266">
        <f t="shared" si="67"/>
        <v>16</v>
      </c>
      <c r="C236" s="266"/>
      <c r="D236" s="175">
        <f t="shared" si="50"/>
        <v>191</v>
      </c>
      <c r="E236" s="267">
        <f t="shared" si="51"/>
        <v>47849</v>
      </c>
      <c r="F236" s="268">
        <f t="shared" si="57"/>
        <v>6.4899999999999999E-2</v>
      </c>
      <c r="G236" s="270">
        <f t="shared" si="68"/>
        <v>21.857299999999999</v>
      </c>
      <c r="H236" s="270">
        <f t="shared" si="52"/>
        <v>0</v>
      </c>
      <c r="I236" s="270">
        <f t="shared" si="53"/>
        <v>0</v>
      </c>
      <c r="J236" s="270">
        <f t="shared" si="58"/>
        <v>70.6085097756865</v>
      </c>
      <c r="K236" s="271">
        <f t="shared" si="54"/>
        <v>92.465809775686495</v>
      </c>
      <c r="L236" s="270">
        <f t="shared" si="55"/>
        <v>3970.8009892548762</v>
      </c>
      <c r="M236" s="242">
        <f>IF(D236="","",SUM(G$46:G236))</f>
        <v>9644.9588519999961</v>
      </c>
      <c r="N236" s="242">
        <f>IF(D236="","",SUM(J$46:J236))</f>
        <v>13157.039010745137</v>
      </c>
      <c r="P236" s="245"/>
      <c r="Q236" s="277">
        <f t="shared" si="56"/>
        <v>175.91162722897673</v>
      </c>
      <c r="R236" s="277">
        <f t="shared" si="72"/>
        <v>57.368501141815273</v>
      </c>
      <c r="S236" s="277">
        <f t="shared" si="66"/>
        <v>118.54312608716145</v>
      </c>
      <c r="T236" s="277">
        <f t="shared" si="59"/>
        <v>0</v>
      </c>
      <c r="U236" s="277">
        <f t="shared" si="63"/>
        <v>118.54312608716145</v>
      </c>
      <c r="V236" s="277">
        <f t="shared" si="60"/>
        <v>-92.465809775686495</v>
      </c>
      <c r="W236" s="277">
        <f t="shared" si="64"/>
        <v>26.077316311474959</v>
      </c>
      <c r="X236" s="273">
        <f t="shared" si="61"/>
        <v>643.7656757958498</v>
      </c>
      <c r="Y236" s="277">
        <f t="shared" si="62"/>
        <v>0</v>
      </c>
      <c r="AA236" s="278"/>
      <c r="AB236" s="277"/>
      <c r="AG236" s="242"/>
      <c r="AH236" s="174"/>
    </row>
    <row r="237" spans="2:34">
      <c r="B237" s="266">
        <f t="shared" si="67"/>
        <v>16</v>
      </c>
      <c r="C237" s="266"/>
      <c r="D237" s="175">
        <f t="shared" si="50"/>
        <v>192</v>
      </c>
      <c r="E237" s="267">
        <f t="shared" si="51"/>
        <v>47880</v>
      </c>
      <c r="F237" s="268">
        <f t="shared" si="57"/>
        <v>6.4899999999999999E-2</v>
      </c>
      <c r="G237" s="270">
        <f t="shared" si="68"/>
        <v>21.4754</v>
      </c>
      <c r="H237" s="270">
        <f t="shared" si="52"/>
        <v>0</v>
      </c>
      <c r="I237" s="270">
        <f t="shared" si="53"/>
        <v>0</v>
      </c>
      <c r="J237" s="270">
        <f t="shared" si="58"/>
        <v>70.990409775686487</v>
      </c>
      <c r="K237" s="271">
        <f t="shared" si="54"/>
        <v>92.465809775686495</v>
      </c>
      <c r="L237" s="270">
        <f t="shared" si="55"/>
        <v>3899.8105794791895</v>
      </c>
      <c r="M237" s="242">
        <f>IF(D237="","",SUM(G$46:G237))</f>
        <v>9666.4342519999955</v>
      </c>
      <c r="N237" s="242">
        <f>IF(D237="","",SUM(J$46:J237))</f>
        <v>13228.029420520823</v>
      </c>
      <c r="P237" s="245"/>
      <c r="Q237" s="277">
        <f t="shared" si="56"/>
        <v>175.91162722897673</v>
      </c>
      <c r="R237" s="277">
        <f t="shared" si="72"/>
        <v>57.368501141815273</v>
      </c>
      <c r="S237" s="277">
        <f t="shared" si="66"/>
        <v>118.54312608716145</v>
      </c>
      <c r="T237" s="277">
        <f t="shared" si="59"/>
        <v>0</v>
      </c>
      <c r="U237" s="277">
        <f t="shared" si="63"/>
        <v>118.54312608716145</v>
      </c>
      <c r="V237" s="277">
        <f t="shared" si="60"/>
        <v>-92.465809775686495</v>
      </c>
      <c r="W237" s="277">
        <f t="shared" si="64"/>
        <v>26.077316311474959</v>
      </c>
      <c r="X237" s="273">
        <f t="shared" si="61"/>
        <v>669.84299210732479</v>
      </c>
      <c r="Y237" s="277">
        <f t="shared" si="62"/>
        <v>0</v>
      </c>
      <c r="AA237" s="278"/>
      <c r="AB237" s="277"/>
      <c r="AG237" s="242"/>
      <c r="AH237" s="174"/>
    </row>
    <row r="238" spans="2:34">
      <c r="B238" s="266">
        <f t="shared" si="67"/>
        <v>17</v>
      </c>
      <c r="C238" s="266"/>
      <c r="D238" s="175">
        <f t="shared" ref="D238:D285" si="73">IF(D237&gt;=nper,"",D237+1)</f>
        <v>193</v>
      </c>
      <c r="E238" s="267">
        <f t="shared" ref="E238:E301" si="74">IF(D238="","",DATE(YEAR(fpdate),MONTH(fpdate)+(D238-1),DAY(fpdate)))</f>
        <v>47908</v>
      </c>
      <c r="F238" s="268">
        <f t="shared" si="57"/>
        <v>6.4899999999999999E-2</v>
      </c>
      <c r="G238" s="270">
        <f t="shared" si="68"/>
        <v>21.0915</v>
      </c>
      <c r="H238" s="270">
        <f t="shared" ref="H238:H301" si="75">+IF(AND(D238=$F$30,D238=$F$29,$J$23=1),SUM($F$33:$F$36),IF(AND(D238=$F$30,D238=$F$29,$J$23=0),SUM($F$33:$F$35,$F$38),IF(AND(D238=$F$29,D238&lt;&gt;$F$30),$F$38+IF($F$29=D238,$F$39*$J$23,0),IF(AND(D238=$F$30,D238&lt;&gt;$F$29),SUM($F$33:$F$35),0))))</f>
        <v>0</v>
      </c>
      <c r="I238" s="270">
        <f t="shared" ref="I238:I301" si="76">IF($J$23=1,IF(AND(V238&lt;0,L237+V238&gt;W238),W238,IF(AND(V238&lt;0,L237+V238&lt;W238),L237+V238+G238,0)),0)</f>
        <v>0</v>
      </c>
      <c r="J238" s="270">
        <f t="shared" si="58"/>
        <v>71.374309775686498</v>
      </c>
      <c r="K238" s="271">
        <f t="shared" ref="K238:K301" si="77">IF(D238&lt;=$F$29,(L237*F238/12)+H238+(I238*$J$23),MIN($F$25+(I238*$J$23),L237+G238))</f>
        <v>92.465809775686495</v>
      </c>
      <c r="L238" s="270">
        <f t="shared" ref="L238:L301" si="78">IF(D238="","",L237-J238)</f>
        <v>3828.4362697035031</v>
      </c>
      <c r="M238" s="242">
        <f>IF(D238="","",SUM(G$46:G238))</f>
        <v>9687.5257519999959</v>
      </c>
      <c r="N238" s="242">
        <f>IF(D238="","",SUM(J$46:J238))</f>
        <v>13299.40373029651</v>
      </c>
      <c r="P238" s="245"/>
      <c r="Q238" s="277">
        <f t="shared" ref="Q238:Q301" si="79">+IF(B238&gt;1,$J$15*((1+$J$21)^(B238-1)),$J$15)</f>
        <v>182.06853418199088</v>
      </c>
      <c r="R238" s="277">
        <f>Q238-S238</f>
        <v>59.989859359279862</v>
      </c>
      <c r="S238" s="277">
        <f t="shared" si="66"/>
        <v>122.07867482271102</v>
      </c>
      <c r="T238" s="277">
        <f t="shared" si="59"/>
        <v>0</v>
      </c>
      <c r="U238" s="277">
        <f t="shared" si="63"/>
        <v>122.07867482271102</v>
      </c>
      <c r="V238" s="277">
        <f t="shared" si="60"/>
        <v>-92.465809775686495</v>
      </c>
      <c r="W238" s="277">
        <f t="shared" si="64"/>
        <v>29.612865047024528</v>
      </c>
      <c r="X238" s="273">
        <f t="shared" si="61"/>
        <v>699.45585715434936</v>
      </c>
      <c r="Y238" s="277">
        <f t="shared" si="62"/>
        <v>0</v>
      </c>
      <c r="AA238" s="278"/>
      <c r="AB238" s="277"/>
      <c r="AG238" s="242"/>
      <c r="AH238" s="174"/>
    </row>
    <row r="239" spans="2:34">
      <c r="B239" s="266">
        <f t="shared" si="67"/>
        <v>17</v>
      </c>
      <c r="C239" s="266"/>
      <c r="D239" s="175">
        <f t="shared" si="73"/>
        <v>194</v>
      </c>
      <c r="E239" s="267">
        <f t="shared" si="74"/>
        <v>47939</v>
      </c>
      <c r="F239" s="268">
        <f t="shared" ref="F239:F302" si="80">+$F$23</f>
        <v>6.4899999999999999E-2</v>
      </c>
      <c r="G239" s="270">
        <f t="shared" si="68"/>
        <v>20.705500000000001</v>
      </c>
      <c r="H239" s="270">
        <f t="shared" si="75"/>
        <v>0</v>
      </c>
      <c r="I239" s="270">
        <f t="shared" si="76"/>
        <v>0</v>
      </c>
      <c r="J239" s="270">
        <f t="shared" ref="J239:J302" si="81">IF(D239&lt;=$F$29,I239+H239,(K239-G239))</f>
        <v>71.760309775686494</v>
      </c>
      <c r="K239" s="271">
        <f t="shared" si="77"/>
        <v>92.465809775686495</v>
      </c>
      <c r="L239" s="270">
        <f t="shared" si="78"/>
        <v>3756.6759599278166</v>
      </c>
      <c r="M239" s="242">
        <f>IF(D239="","",SUM(G$46:G239))</f>
        <v>9708.2312519999959</v>
      </c>
      <c r="N239" s="242">
        <f>IF(D239="","",SUM(J$46:J239))</f>
        <v>13371.164040072197</v>
      </c>
      <c r="P239" s="245"/>
      <c r="Q239" s="277">
        <f t="shared" si="79"/>
        <v>182.06853418199088</v>
      </c>
      <c r="R239" s="277">
        <f t="shared" ref="R239:R249" si="82">Q239-S239</f>
        <v>59.989859359279862</v>
      </c>
      <c r="S239" s="277">
        <f t="shared" si="66"/>
        <v>122.07867482271102</v>
      </c>
      <c r="T239" s="277">
        <f t="shared" ref="T239:T302" si="83">IFERROR(VLOOKUP(B239,$AD$17:$AH$26,4,FALSE)/12,0)</f>
        <v>0</v>
      </c>
      <c r="U239" s="277">
        <f t="shared" si="63"/>
        <v>122.07867482271102</v>
      </c>
      <c r="V239" s="277">
        <f t="shared" ref="V239:V302" si="84">IF(D239&lt;=$F$29,-G239,IF(L238&gt;$F$25,-$F$25,-L238-G239))</f>
        <v>-92.465809775686495</v>
      </c>
      <c r="W239" s="277">
        <f t="shared" si="64"/>
        <v>29.612865047024528</v>
      </c>
      <c r="X239" s="273">
        <f t="shared" ref="X239:X302" si="85">+SUM(U239:V239)+X238</f>
        <v>729.06872220137393</v>
      </c>
      <c r="Y239" s="277">
        <f t="shared" ref="Y239:Y285" si="86">IF(B239&lt;=$J$38,L239*$J$37/12,0)</f>
        <v>0</v>
      </c>
      <c r="AA239" s="278"/>
      <c r="AB239" s="277"/>
      <c r="AG239" s="242"/>
      <c r="AH239" s="174"/>
    </row>
    <row r="240" spans="2:34">
      <c r="B240" s="266">
        <f t="shared" si="67"/>
        <v>17</v>
      </c>
      <c r="C240" s="266"/>
      <c r="D240" s="175">
        <f t="shared" si="73"/>
        <v>195</v>
      </c>
      <c r="E240" s="267">
        <f t="shared" si="74"/>
        <v>47969</v>
      </c>
      <c r="F240" s="268">
        <f t="shared" si="80"/>
        <v>6.4899999999999999E-2</v>
      </c>
      <c r="G240" s="270">
        <f t="shared" si="68"/>
        <v>20.317399999999999</v>
      </c>
      <c r="H240" s="270">
        <f t="shared" si="75"/>
        <v>0</v>
      </c>
      <c r="I240" s="270">
        <f t="shared" si="76"/>
        <v>0</v>
      </c>
      <c r="J240" s="270">
        <f t="shared" si="81"/>
        <v>72.148409775686503</v>
      </c>
      <c r="K240" s="271">
        <f t="shared" si="77"/>
        <v>92.465809775686495</v>
      </c>
      <c r="L240" s="270">
        <f t="shared" si="78"/>
        <v>3684.5275501521301</v>
      </c>
      <c r="M240" s="242">
        <f>IF(D240="","",SUM(G$46:G240))</f>
        <v>9728.5486519999959</v>
      </c>
      <c r="N240" s="242">
        <f>IF(D240="","",SUM(J$46:J240))</f>
        <v>13443.312449847883</v>
      </c>
      <c r="P240" s="245"/>
      <c r="Q240" s="277">
        <f t="shared" si="79"/>
        <v>182.06853418199088</v>
      </c>
      <c r="R240" s="277">
        <f t="shared" si="82"/>
        <v>59.989859359279862</v>
      </c>
      <c r="S240" s="277">
        <f t="shared" si="66"/>
        <v>122.07867482271102</v>
      </c>
      <c r="T240" s="277">
        <f t="shared" si="83"/>
        <v>0</v>
      </c>
      <c r="U240" s="277">
        <f t="shared" ref="U240:U303" si="87">S240+T240</f>
        <v>122.07867482271102</v>
      </c>
      <c r="V240" s="277">
        <f t="shared" si="84"/>
        <v>-92.465809775686495</v>
      </c>
      <c r="W240" s="277">
        <f t="shared" ref="W240:W303" si="88">+IF(V240&gt;=0,U240+V240,IF(AND(U240&gt;-V240,L239&gt;U240),U240+V240,IF(AND(U240&gt;-V240,L239&lt;U240),(((U240+V240)-(L239+V240))),0)))</f>
        <v>29.612865047024528</v>
      </c>
      <c r="X240" s="273">
        <f t="shared" si="85"/>
        <v>758.6815872483985</v>
      </c>
      <c r="Y240" s="277">
        <f t="shared" si="86"/>
        <v>0</v>
      </c>
      <c r="AA240" s="278"/>
      <c r="AB240" s="277"/>
      <c r="AG240" s="242"/>
      <c r="AH240" s="174"/>
    </row>
    <row r="241" spans="2:34">
      <c r="B241" s="266">
        <f t="shared" si="67"/>
        <v>17</v>
      </c>
      <c r="C241" s="266"/>
      <c r="D241" s="175">
        <f t="shared" si="73"/>
        <v>196</v>
      </c>
      <c r="E241" s="267">
        <f t="shared" si="74"/>
        <v>48000</v>
      </c>
      <c r="F241" s="268">
        <f t="shared" si="80"/>
        <v>6.4899999999999999E-2</v>
      </c>
      <c r="G241" s="270">
        <f t="shared" si="68"/>
        <v>19.927199999999999</v>
      </c>
      <c r="H241" s="270">
        <f t="shared" si="75"/>
        <v>0</v>
      </c>
      <c r="I241" s="270">
        <f t="shared" si="76"/>
        <v>0</v>
      </c>
      <c r="J241" s="270">
        <f t="shared" si="81"/>
        <v>72.538609775686496</v>
      </c>
      <c r="K241" s="271">
        <f t="shared" si="77"/>
        <v>92.465809775686495</v>
      </c>
      <c r="L241" s="270">
        <f t="shared" si="78"/>
        <v>3611.9889403764437</v>
      </c>
      <c r="M241" s="242">
        <f>IF(D241="","",SUM(G$46:G241))</f>
        <v>9748.4758519999959</v>
      </c>
      <c r="N241" s="242">
        <f>IF(D241="","",SUM(J$46:J241))</f>
        <v>13515.85105962357</v>
      </c>
      <c r="P241" s="245"/>
      <c r="Q241" s="277">
        <f t="shared" si="79"/>
        <v>182.06853418199088</v>
      </c>
      <c r="R241" s="277">
        <f t="shared" si="82"/>
        <v>59.989859359279862</v>
      </c>
      <c r="S241" s="277">
        <f t="shared" si="66"/>
        <v>122.07867482271102</v>
      </c>
      <c r="T241" s="277">
        <f t="shared" si="83"/>
        <v>0</v>
      </c>
      <c r="U241" s="277">
        <f t="shared" si="87"/>
        <v>122.07867482271102</v>
      </c>
      <c r="V241" s="277">
        <f t="shared" si="84"/>
        <v>-92.465809775686495</v>
      </c>
      <c r="W241" s="277">
        <f t="shared" si="88"/>
        <v>29.612865047024528</v>
      </c>
      <c r="X241" s="273">
        <f t="shared" si="85"/>
        <v>788.29445229542307</v>
      </c>
      <c r="Y241" s="277">
        <f t="shared" si="86"/>
        <v>0</v>
      </c>
      <c r="AA241" s="278"/>
      <c r="AB241" s="277"/>
      <c r="AG241" s="242"/>
      <c r="AH241" s="174"/>
    </row>
    <row r="242" spans="2:34">
      <c r="B242" s="266">
        <f t="shared" si="67"/>
        <v>17</v>
      </c>
      <c r="C242" s="266"/>
      <c r="D242" s="175">
        <f t="shared" si="73"/>
        <v>197</v>
      </c>
      <c r="E242" s="267">
        <f t="shared" si="74"/>
        <v>48030</v>
      </c>
      <c r="F242" s="268">
        <f t="shared" si="80"/>
        <v>6.4899999999999999E-2</v>
      </c>
      <c r="G242" s="270">
        <f t="shared" si="68"/>
        <v>19.534800000000001</v>
      </c>
      <c r="H242" s="270">
        <f t="shared" si="75"/>
        <v>0</v>
      </c>
      <c r="I242" s="270">
        <f t="shared" si="76"/>
        <v>0</v>
      </c>
      <c r="J242" s="270">
        <f t="shared" si="81"/>
        <v>72.931009775686491</v>
      </c>
      <c r="K242" s="271">
        <f t="shared" si="77"/>
        <v>92.465809775686495</v>
      </c>
      <c r="L242" s="270">
        <f t="shared" si="78"/>
        <v>3539.0579306007571</v>
      </c>
      <c r="M242" s="242">
        <f>IF(D242="","",SUM(G$46:G242))</f>
        <v>9768.0106519999954</v>
      </c>
      <c r="N242" s="242">
        <f>IF(D242="","",SUM(J$46:J242))</f>
        <v>13588.782069399256</v>
      </c>
      <c r="P242" s="245"/>
      <c r="Q242" s="277">
        <f t="shared" si="79"/>
        <v>182.06853418199088</v>
      </c>
      <c r="R242" s="277">
        <f t="shared" si="82"/>
        <v>59.989859359279862</v>
      </c>
      <c r="S242" s="277">
        <f t="shared" si="66"/>
        <v>122.07867482271102</v>
      </c>
      <c r="T242" s="277">
        <f t="shared" si="83"/>
        <v>0</v>
      </c>
      <c r="U242" s="277">
        <f t="shared" si="87"/>
        <v>122.07867482271102</v>
      </c>
      <c r="V242" s="277">
        <f t="shared" si="84"/>
        <v>-92.465809775686495</v>
      </c>
      <c r="W242" s="277">
        <f t="shared" si="88"/>
        <v>29.612865047024528</v>
      </c>
      <c r="X242" s="273">
        <f t="shared" si="85"/>
        <v>817.90731734244764</v>
      </c>
      <c r="Y242" s="277">
        <f t="shared" si="86"/>
        <v>0</v>
      </c>
      <c r="AA242" s="278"/>
      <c r="AB242" s="277"/>
      <c r="AG242" s="242"/>
      <c r="AH242" s="174"/>
    </row>
    <row r="243" spans="2:34">
      <c r="B243" s="266">
        <f t="shared" si="67"/>
        <v>17</v>
      </c>
      <c r="C243" s="266"/>
      <c r="D243" s="175">
        <f t="shared" si="73"/>
        <v>198</v>
      </c>
      <c r="E243" s="267">
        <f t="shared" si="74"/>
        <v>48061</v>
      </c>
      <c r="F243" s="268">
        <f t="shared" si="80"/>
        <v>6.4899999999999999E-2</v>
      </c>
      <c r="G243" s="270">
        <f t="shared" si="68"/>
        <v>19.1404</v>
      </c>
      <c r="H243" s="270">
        <f t="shared" si="75"/>
        <v>0</v>
      </c>
      <c r="I243" s="270">
        <f t="shared" si="76"/>
        <v>0</v>
      </c>
      <c r="J243" s="270">
        <f t="shared" si="81"/>
        <v>73.325409775686495</v>
      </c>
      <c r="K243" s="271">
        <f t="shared" si="77"/>
        <v>92.465809775686495</v>
      </c>
      <c r="L243" s="270">
        <f t="shared" si="78"/>
        <v>3465.7325208250704</v>
      </c>
      <c r="M243" s="242">
        <f>IF(D243="","",SUM(G$46:G243))</f>
        <v>9787.1510519999956</v>
      </c>
      <c r="N243" s="242">
        <f>IF(D243="","",SUM(J$46:J243))</f>
        <v>13662.107479174943</v>
      </c>
      <c r="P243" s="245"/>
      <c r="Q243" s="277">
        <f t="shared" si="79"/>
        <v>182.06853418199088</v>
      </c>
      <c r="R243" s="277">
        <f t="shared" si="82"/>
        <v>59.989859359279862</v>
      </c>
      <c r="S243" s="277">
        <f t="shared" si="66"/>
        <v>122.07867482271102</v>
      </c>
      <c r="T243" s="277">
        <f t="shared" si="83"/>
        <v>0</v>
      </c>
      <c r="U243" s="277">
        <f t="shared" si="87"/>
        <v>122.07867482271102</v>
      </c>
      <c r="V243" s="277">
        <f t="shared" si="84"/>
        <v>-92.465809775686495</v>
      </c>
      <c r="W243" s="277">
        <f t="shared" si="88"/>
        <v>29.612865047024528</v>
      </c>
      <c r="X243" s="273">
        <f t="shared" si="85"/>
        <v>847.52018238947221</v>
      </c>
      <c r="Y243" s="277">
        <f t="shared" si="86"/>
        <v>0</v>
      </c>
      <c r="AA243" s="278"/>
      <c r="AB243" s="277"/>
      <c r="AG243" s="242"/>
      <c r="AH243" s="174"/>
    </row>
    <row r="244" spans="2:34">
      <c r="B244" s="266">
        <f t="shared" si="67"/>
        <v>17</v>
      </c>
      <c r="C244" s="266"/>
      <c r="D244" s="175">
        <f t="shared" si="73"/>
        <v>199</v>
      </c>
      <c r="E244" s="267">
        <f t="shared" si="74"/>
        <v>48092</v>
      </c>
      <c r="F244" s="268">
        <f t="shared" si="80"/>
        <v>6.4899999999999999E-2</v>
      </c>
      <c r="G244" s="270">
        <f t="shared" si="68"/>
        <v>18.7438</v>
      </c>
      <c r="H244" s="270">
        <f t="shared" si="75"/>
        <v>0</v>
      </c>
      <c r="I244" s="270">
        <f t="shared" si="76"/>
        <v>0</v>
      </c>
      <c r="J244" s="270">
        <f t="shared" si="81"/>
        <v>73.722009775686502</v>
      </c>
      <c r="K244" s="271">
        <f t="shared" si="77"/>
        <v>92.465809775686495</v>
      </c>
      <c r="L244" s="270">
        <f t="shared" si="78"/>
        <v>3392.0105110493841</v>
      </c>
      <c r="M244" s="242">
        <f>IF(D244="","",SUM(G$46:G244))</f>
        <v>9805.8948519999958</v>
      </c>
      <c r="N244" s="242">
        <f>IF(D244="","",SUM(J$46:J244))</f>
        <v>13735.829488950631</v>
      </c>
      <c r="P244" s="245"/>
      <c r="Q244" s="277">
        <f t="shared" si="79"/>
        <v>182.06853418199088</v>
      </c>
      <c r="R244" s="277">
        <f t="shared" si="82"/>
        <v>59.989859359279862</v>
      </c>
      <c r="S244" s="277">
        <f t="shared" si="66"/>
        <v>122.07867482271102</v>
      </c>
      <c r="T244" s="277">
        <f t="shared" si="83"/>
        <v>0</v>
      </c>
      <c r="U244" s="277">
        <f t="shared" si="87"/>
        <v>122.07867482271102</v>
      </c>
      <c r="V244" s="277">
        <f t="shared" si="84"/>
        <v>-92.465809775686495</v>
      </c>
      <c r="W244" s="277">
        <f t="shared" si="88"/>
        <v>29.612865047024528</v>
      </c>
      <c r="X244" s="273">
        <f t="shared" si="85"/>
        <v>877.13304743649678</v>
      </c>
      <c r="Y244" s="277">
        <f t="shared" si="86"/>
        <v>0</v>
      </c>
      <c r="AA244" s="278"/>
      <c r="AB244" s="277"/>
      <c r="AG244" s="242"/>
      <c r="AH244" s="174"/>
    </row>
    <row r="245" spans="2:34">
      <c r="B245" s="266">
        <f t="shared" si="67"/>
        <v>17</v>
      </c>
      <c r="C245" s="266"/>
      <c r="D245" s="175">
        <f t="shared" si="73"/>
        <v>200</v>
      </c>
      <c r="E245" s="267">
        <f t="shared" si="74"/>
        <v>48122</v>
      </c>
      <c r="F245" s="268">
        <f t="shared" si="80"/>
        <v>6.4899999999999999E-2</v>
      </c>
      <c r="G245" s="270">
        <f t="shared" si="68"/>
        <v>18.345099999999999</v>
      </c>
      <c r="H245" s="270">
        <f t="shared" si="75"/>
        <v>0</v>
      </c>
      <c r="I245" s="270">
        <f t="shared" si="76"/>
        <v>0</v>
      </c>
      <c r="J245" s="270">
        <f t="shared" si="81"/>
        <v>74.120709775686493</v>
      </c>
      <c r="K245" s="271">
        <f t="shared" si="77"/>
        <v>92.465809775686495</v>
      </c>
      <c r="L245" s="270">
        <f t="shared" si="78"/>
        <v>3317.8898012736977</v>
      </c>
      <c r="M245" s="242">
        <f>IF(D245="","",SUM(G$46:G245))</f>
        <v>9824.2399519999963</v>
      </c>
      <c r="N245" s="242">
        <f>IF(D245="","",SUM(J$46:J245))</f>
        <v>13809.950198726317</v>
      </c>
      <c r="P245" s="245"/>
      <c r="Q245" s="277">
        <f t="shared" si="79"/>
        <v>182.06853418199088</v>
      </c>
      <c r="R245" s="277">
        <f t="shared" si="82"/>
        <v>59.989859359279862</v>
      </c>
      <c r="S245" s="277">
        <f t="shared" si="66"/>
        <v>122.07867482271102</v>
      </c>
      <c r="T245" s="277">
        <f t="shared" si="83"/>
        <v>0</v>
      </c>
      <c r="U245" s="277">
        <f t="shared" si="87"/>
        <v>122.07867482271102</v>
      </c>
      <c r="V245" s="277">
        <f t="shared" si="84"/>
        <v>-92.465809775686495</v>
      </c>
      <c r="W245" s="277">
        <f t="shared" si="88"/>
        <v>29.612865047024528</v>
      </c>
      <c r="X245" s="273">
        <f t="shared" si="85"/>
        <v>906.74591248352135</v>
      </c>
      <c r="Y245" s="277">
        <f t="shared" si="86"/>
        <v>0</v>
      </c>
      <c r="AA245" s="278"/>
      <c r="AB245" s="277"/>
      <c r="AG245" s="242"/>
      <c r="AH245" s="174"/>
    </row>
    <row r="246" spans="2:34">
      <c r="B246" s="266">
        <f t="shared" si="67"/>
        <v>17</v>
      </c>
      <c r="C246" s="266"/>
      <c r="D246" s="175">
        <f t="shared" si="73"/>
        <v>201</v>
      </c>
      <c r="E246" s="267">
        <f t="shared" si="74"/>
        <v>48153</v>
      </c>
      <c r="F246" s="268">
        <f t="shared" si="80"/>
        <v>6.4899999999999999E-2</v>
      </c>
      <c r="G246" s="270">
        <f t="shared" si="68"/>
        <v>17.944299999999998</v>
      </c>
      <c r="H246" s="270">
        <f t="shared" si="75"/>
        <v>0</v>
      </c>
      <c r="I246" s="270">
        <f t="shared" si="76"/>
        <v>0</v>
      </c>
      <c r="J246" s="270">
        <f t="shared" si="81"/>
        <v>74.521509775686496</v>
      </c>
      <c r="K246" s="271">
        <f t="shared" si="77"/>
        <v>92.465809775686495</v>
      </c>
      <c r="L246" s="270">
        <f t="shared" si="78"/>
        <v>3243.3682914980113</v>
      </c>
      <c r="M246" s="242">
        <f>IF(D246="","",SUM(G$46:G246))</f>
        <v>9842.1842519999955</v>
      </c>
      <c r="N246" s="242">
        <f>IF(D246="","",SUM(J$46:J246))</f>
        <v>13884.471708502004</v>
      </c>
      <c r="P246" s="245"/>
      <c r="Q246" s="277">
        <f t="shared" si="79"/>
        <v>182.06853418199088</v>
      </c>
      <c r="R246" s="277">
        <f t="shared" si="82"/>
        <v>59.989859359279862</v>
      </c>
      <c r="S246" s="277">
        <f t="shared" si="66"/>
        <v>122.07867482271102</v>
      </c>
      <c r="T246" s="277">
        <f t="shared" si="83"/>
        <v>0</v>
      </c>
      <c r="U246" s="277">
        <f t="shared" si="87"/>
        <v>122.07867482271102</v>
      </c>
      <c r="V246" s="277">
        <f t="shared" si="84"/>
        <v>-92.465809775686495</v>
      </c>
      <c r="W246" s="277">
        <f t="shared" si="88"/>
        <v>29.612865047024528</v>
      </c>
      <c r="X246" s="273">
        <f t="shared" si="85"/>
        <v>936.35877753054592</v>
      </c>
      <c r="Y246" s="277">
        <f t="shared" si="86"/>
        <v>0</v>
      </c>
      <c r="AA246" s="278"/>
      <c r="AB246" s="277"/>
      <c r="AG246" s="242"/>
      <c r="AH246" s="174"/>
    </row>
    <row r="247" spans="2:34">
      <c r="B247" s="266">
        <f t="shared" si="67"/>
        <v>17</v>
      </c>
      <c r="C247" s="266"/>
      <c r="D247" s="175">
        <f t="shared" si="73"/>
        <v>202</v>
      </c>
      <c r="E247" s="267">
        <f t="shared" si="74"/>
        <v>48183</v>
      </c>
      <c r="F247" s="268">
        <f t="shared" si="80"/>
        <v>6.4899999999999999E-2</v>
      </c>
      <c r="G247" s="270">
        <f t="shared" si="68"/>
        <v>17.5412</v>
      </c>
      <c r="H247" s="270">
        <f t="shared" si="75"/>
        <v>0</v>
      </c>
      <c r="I247" s="270">
        <f t="shared" si="76"/>
        <v>0</v>
      </c>
      <c r="J247" s="270">
        <f t="shared" si="81"/>
        <v>74.924609775686491</v>
      </c>
      <c r="K247" s="271">
        <f t="shared" si="77"/>
        <v>92.465809775686495</v>
      </c>
      <c r="L247" s="270">
        <f t="shared" si="78"/>
        <v>3168.443681722325</v>
      </c>
      <c r="M247" s="242">
        <f>IF(D247="","",SUM(G$46:G247))</f>
        <v>9859.7254519999951</v>
      </c>
      <c r="N247" s="242">
        <f>IF(D247="","",SUM(J$46:J247))</f>
        <v>13959.39631827769</v>
      </c>
      <c r="P247" s="245"/>
      <c r="Q247" s="277">
        <f t="shared" si="79"/>
        <v>182.06853418199088</v>
      </c>
      <c r="R247" s="277">
        <f t="shared" si="82"/>
        <v>59.989859359279862</v>
      </c>
      <c r="S247" s="277">
        <f t="shared" si="66"/>
        <v>122.07867482271102</v>
      </c>
      <c r="T247" s="277">
        <f t="shared" si="83"/>
        <v>0</v>
      </c>
      <c r="U247" s="277">
        <f t="shared" si="87"/>
        <v>122.07867482271102</v>
      </c>
      <c r="V247" s="277">
        <f t="shared" si="84"/>
        <v>-92.465809775686495</v>
      </c>
      <c r="W247" s="277">
        <f t="shared" si="88"/>
        <v>29.612865047024528</v>
      </c>
      <c r="X247" s="273">
        <f t="shared" si="85"/>
        <v>965.97164257757049</v>
      </c>
      <c r="Y247" s="277">
        <f t="shared" si="86"/>
        <v>0</v>
      </c>
      <c r="AA247" s="278"/>
      <c r="AB247" s="277"/>
      <c r="AG247" s="242"/>
      <c r="AH247" s="174"/>
    </row>
    <row r="248" spans="2:34">
      <c r="B248" s="266">
        <f t="shared" si="67"/>
        <v>17</v>
      </c>
      <c r="C248" s="266"/>
      <c r="D248" s="175">
        <f t="shared" si="73"/>
        <v>203</v>
      </c>
      <c r="E248" s="267">
        <f t="shared" si="74"/>
        <v>48214</v>
      </c>
      <c r="F248" s="268">
        <f t="shared" si="80"/>
        <v>6.4899999999999999E-2</v>
      </c>
      <c r="G248" s="270">
        <f t="shared" si="68"/>
        <v>17.135999999999999</v>
      </c>
      <c r="H248" s="270">
        <f t="shared" si="75"/>
        <v>0</v>
      </c>
      <c r="I248" s="270">
        <f t="shared" si="76"/>
        <v>0</v>
      </c>
      <c r="J248" s="270">
        <f t="shared" si="81"/>
        <v>75.329809775686499</v>
      </c>
      <c r="K248" s="271">
        <f t="shared" si="77"/>
        <v>92.465809775686495</v>
      </c>
      <c r="L248" s="270">
        <f t="shared" si="78"/>
        <v>3093.1138719466385</v>
      </c>
      <c r="M248" s="242">
        <f>IF(D248="","",SUM(G$46:G248))</f>
        <v>9876.8614519999956</v>
      </c>
      <c r="N248" s="242">
        <f>IF(D248="","",SUM(J$46:J248))</f>
        <v>14034.726128053377</v>
      </c>
      <c r="P248" s="245"/>
      <c r="Q248" s="277">
        <f t="shared" si="79"/>
        <v>182.06853418199088</v>
      </c>
      <c r="R248" s="277">
        <f t="shared" si="82"/>
        <v>59.989859359279862</v>
      </c>
      <c r="S248" s="277">
        <f t="shared" si="66"/>
        <v>122.07867482271102</v>
      </c>
      <c r="T248" s="277">
        <f t="shared" si="83"/>
        <v>0</v>
      </c>
      <c r="U248" s="277">
        <f t="shared" si="87"/>
        <v>122.07867482271102</v>
      </c>
      <c r="V248" s="277">
        <f t="shared" si="84"/>
        <v>-92.465809775686495</v>
      </c>
      <c r="W248" s="277">
        <f t="shared" si="88"/>
        <v>29.612865047024528</v>
      </c>
      <c r="X248" s="273">
        <f t="shared" si="85"/>
        <v>995.58450762459506</v>
      </c>
      <c r="Y248" s="277">
        <f t="shared" si="86"/>
        <v>0</v>
      </c>
      <c r="AA248" s="278"/>
      <c r="AB248" s="277"/>
      <c r="AG248" s="242"/>
      <c r="AH248" s="174"/>
    </row>
    <row r="249" spans="2:34">
      <c r="B249" s="266">
        <f t="shared" si="67"/>
        <v>17</v>
      </c>
      <c r="C249" s="266"/>
      <c r="D249" s="175">
        <f t="shared" si="73"/>
        <v>204</v>
      </c>
      <c r="E249" s="267">
        <f t="shared" si="74"/>
        <v>48245</v>
      </c>
      <c r="F249" s="268">
        <f t="shared" si="80"/>
        <v>6.4899999999999999E-2</v>
      </c>
      <c r="G249" s="270">
        <f t="shared" si="68"/>
        <v>16.7286</v>
      </c>
      <c r="H249" s="270">
        <f t="shared" si="75"/>
        <v>0</v>
      </c>
      <c r="I249" s="270">
        <f t="shared" si="76"/>
        <v>0</v>
      </c>
      <c r="J249" s="270">
        <f t="shared" si="81"/>
        <v>75.737209775686495</v>
      </c>
      <c r="K249" s="271">
        <f t="shared" si="77"/>
        <v>92.465809775686495</v>
      </c>
      <c r="L249" s="270">
        <f t="shared" si="78"/>
        <v>3017.3766621709519</v>
      </c>
      <c r="M249" s="242">
        <f>IF(D249="","",SUM(G$46:G249))</f>
        <v>9893.5900519999959</v>
      </c>
      <c r="N249" s="242">
        <f>IF(D249="","",SUM(J$46:J249))</f>
        <v>14110.463337829064</v>
      </c>
      <c r="P249" s="245"/>
      <c r="Q249" s="277">
        <f t="shared" si="79"/>
        <v>182.06853418199088</v>
      </c>
      <c r="R249" s="277">
        <f t="shared" si="82"/>
        <v>59.989859359279862</v>
      </c>
      <c r="S249" s="277">
        <f t="shared" si="66"/>
        <v>122.07867482271102</v>
      </c>
      <c r="T249" s="277">
        <f t="shared" si="83"/>
        <v>0</v>
      </c>
      <c r="U249" s="277">
        <f t="shared" si="87"/>
        <v>122.07867482271102</v>
      </c>
      <c r="V249" s="277">
        <f t="shared" si="84"/>
        <v>-92.465809775686495</v>
      </c>
      <c r="W249" s="277">
        <f t="shared" si="88"/>
        <v>29.612865047024528</v>
      </c>
      <c r="X249" s="273">
        <f t="shared" si="85"/>
        <v>1025.1973726716196</v>
      </c>
      <c r="Y249" s="277">
        <f t="shared" si="86"/>
        <v>0</v>
      </c>
      <c r="AA249" s="278"/>
      <c r="AB249" s="277"/>
      <c r="AG249" s="242"/>
      <c r="AH249" s="174"/>
    </row>
    <row r="250" spans="2:34">
      <c r="B250" s="266">
        <f t="shared" si="67"/>
        <v>18</v>
      </c>
      <c r="C250" s="266"/>
      <c r="D250" s="175">
        <f t="shared" si="73"/>
        <v>205</v>
      </c>
      <c r="E250" s="267">
        <f t="shared" si="74"/>
        <v>48274</v>
      </c>
      <c r="F250" s="268">
        <f t="shared" si="80"/>
        <v>6.4899999999999999E-2</v>
      </c>
      <c r="G250" s="270">
        <f t="shared" si="68"/>
        <v>16.318999999999999</v>
      </c>
      <c r="H250" s="270">
        <f t="shared" si="75"/>
        <v>0</v>
      </c>
      <c r="I250" s="270">
        <f t="shared" si="76"/>
        <v>0</v>
      </c>
      <c r="J250" s="270">
        <f t="shared" si="81"/>
        <v>76.146809775686492</v>
      </c>
      <c r="K250" s="271">
        <f t="shared" si="77"/>
        <v>92.465809775686495</v>
      </c>
      <c r="L250" s="270">
        <f t="shared" si="78"/>
        <v>2941.2298523952654</v>
      </c>
      <c r="M250" s="242">
        <f>IF(D250="","",SUM(G$46:G250))</f>
        <v>9909.9090519999954</v>
      </c>
      <c r="N250" s="242">
        <f>IF(D250="","",SUM(J$46:J250))</f>
        <v>14186.61014760475</v>
      </c>
      <c r="P250" s="245"/>
      <c r="Q250" s="277">
        <f t="shared" si="79"/>
        <v>188.44093287836054</v>
      </c>
      <c r="R250" s="277">
        <f>Q250-S250</f>
        <v>62.721261579062173</v>
      </c>
      <c r="S250" s="277">
        <f t="shared" ref="S250:S313" si="89">IF(B250=1,$J$20,((S238*(1+$J$21)*(1-$J$22))))</f>
        <v>125.71967129929837</v>
      </c>
      <c r="T250" s="277">
        <f t="shared" si="83"/>
        <v>0</v>
      </c>
      <c r="U250" s="277">
        <f t="shared" si="87"/>
        <v>125.71967129929837</v>
      </c>
      <c r="V250" s="277">
        <f t="shared" si="84"/>
        <v>-92.465809775686495</v>
      </c>
      <c r="W250" s="277">
        <f t="shared" si="88"/>
        <v>33.253861523611874</v>
      </c>
      <c r="X250" s="273">
        <f t="shared" si="85"/>
        <v>1058.4512341952316</v>
      </c>
      <c r="Y250" s="277">
        <f t="shared" si="86"/>
        <v>0</v>
      </c>
      <c r="AA250" s="278"/>
      <c r="AB250" s="277"/>
      <c r="AG250" s="242"/>
      <c r="AH250" s="174"/>
    </row>
    <row r="251" spans="2:34">
      <c r="B251" s="266">
        <f t="shared" ref="B251:B314" si="90">B239+1</f>
        <v>18</v>
      </c>
      <c r="C251" s="266"/>
      <c r="D251" s="175">
        <f t="shared" si="73"/>
        <v>206</v>
      </c>
      <c r="E251" s="267">
        <f t="shared" si="74"/>
        <v>48305</v>
      </c>
      <c r="F251" s="268">
        <f t="shared" si="80"/>
        <v>6.4899999999999999E-2</v>
      </c>
      <c r="G251" s="270">
        <f t="shared" si="68"/>
        <v>15.9072</v>
      </c>
      <c r="H251" s="270">
        <f t="shared" si="75"/>
        <v>0</v>
      </c>
      <c r="I251" s="270">
        <f t="shared" si="76"/>
        <v>0</v>
      </c>
      <c r="J251" s="270">
        <f t="shared" si="81"/>
        <v>76.558609775686492</v>
      </c>
      <c r="K251" s="271">
        <f t="shared" si="77"/>
        <v>92.465809775686495</v>
      </c>
      <c r="L251" s="270">
        <f t="shared" si="78"/>
        <v>2864.6712426195791</v>
      </c>
      <c r="M251" s="242">
        <f>IF(D251="","",SUM(G$46:G251))</f>
        <v>9925.8162519999951</v>
      </c>
      <c r="N251" s="242">
        <f>IF(D251="","",SUM(J$46:J251))</f>
        <v>14263.168757380436</v>
      </c>
      <c r="P251" s="245"/>
      <c r="Q251" s="277">
        <f t="shared" si="79"/>
        <v>188.44093287836054</v>
      </c>
      <c r="R251" s="277">
        <f t="shared" ref="R251:R261" si="91">Q251-S251</f>
        <v>62.721261579062173</v>
      </c>
      <c r="S251" s="277">
        <f t="shared" si="89"/>
        <v>125.71967129929837</v>
      </c>
      <c r="T251" s="277">
        <f t="shared" si="83"/>
        <v>0</v>
      </c>
      <c r="U251" s="277">
        <f t="shared" si="87"/>
        <v>125.71967129929837</v>
      </c>
      <c r="V251" s="277">
        <f t="shared" si="84"/>
        <v>-92.465809775686495</v>
      </c>
      <c r="W251" s="277">
        <f t="shared" si="88"/>
        <v>33.253861523611874</v>
      </c>
      <c r="X251" s="273">
        <f t="shared" si="85"/>
        <v>1091.7050957188435</v>
      </c>
      <c r="Y251" s="277">
        <f t="shared" si="86"/>
        <v>0</v>
      </c>
      <c r="AA251" s="278"/>
      <c r="AB251" s="277"/>
    </row>
    <row r="252" spans="2:34">
      <c r="B252" s="266">
        <f t="shared" si="90"/>
        <v>18</v>
      </c>
      <c r="C252" s="266"/>
      <c r="D252" s="175">
        <f t="shared" si="73"/>
        <v>207</v>
      </c>
      <c r="E252" s="267">
        <f t="shared" si="74"/>
        <v>48335</v>
      </c>
      <c r="F252" s="268">
        <f t="shared" si="80"/>
        <v>6.4899999999999999E-2</v>
      </c>
      <c r="G252" s="270">
        <f t="shared" si="68"/>
        <v>15.4931</v>
      </c>
      <c r="H252" s="270">
        <f t="shared" si="75"/>
        <v>0</v>
      </c>
      <c r="I252" s="270">
        <f t="shared" si="76"/>
        <v>0</v>
      </c>
      <c r="J252" s="270">
        <f t="shared" si="81"/>
        <v>76.972709775686496</v>
      </c>
      <c r="K252" s="271">
        <f t="shared" si="77"/>
        <v>92.465809775686495</v>
      </c>
      <c r="L252" s="270">
        <f t="shared" si="78"/>
        <v>2787.6985328438927</v>
      </c>
      <c r="M252" s="242">
        <f>IF(D252="","",SUM(G$46:G252))</f>
        <v>9941.3093519999948</v>
      </c>
      <c r="N252" s="242">
        <f>IF(D252="","",SUM(J$46:J252))</f>
        <v>14340.141467156122</v>
      </c>
      <c r="P252" s="245"/>
      <c r="Q252" s="277">
        <f t="shared" si="79"/>
        <v>188.44093287836054</v>
      </c>
      <c r="R252" s="277">
        <f t="shared" si="91"/>
        <v>62.721261579062173</v>
      </c>
      <c r="S252" s="277">
        <f t="shared" si="89"/>
        <v>125.71967129929837</v>
      </c>
      <c r="T252" s="277">
        <f t="shared" si="83"/>
        <v>0</v>
      </c>
      <c r="U252" s="277">
        <f t="shared" si="87"/>
        <v>125.71967129929837</v>
      </c>
      <c r="V252" s="277">
        <f t="shared" si="84"/>
        <v>-92.465809775686495</v>
      </c>
      <c r="W252" s="277">
        <f t="shared" si="88"/>
        <v>33.253861523611874</v>
      </c>
      <c r="X252" s="273">
        <f t="shared" si="85"/>
        <v>1124.9589572424554</v>
      </c>
      <c r="Y252" s="277">
        <f t="shared" si="86"/>
        <v>0</v>
      </c>
      <c r="AA252" s="278"/>
      <c r="AB252" s="277"/>
    </row>
    <row r="253" spans="2:34">
      <c r="B253" s="266">
        <f t="shared" si="90"/>
        <v>18</v>
      </c>
      <c r="C253" s="266"/>
      <c r="D253" s="175">
        <f t="shared" si="73"/>
        <v>208</v>
      </c>
      <c r="E253" s="267">
        <f t="shared" si="74"/>
        <v>48366</v>
      </c>
      <c r="F253" s="268">
        <f t="shared" si="80"/>
        <v>6.4899999999999999E-2</v>
      </c>
      <c r="G253" s="270">
        <f t="shared" ref="G253:G285" si="92">IF(D253="","",ROUND(F253/12*L252,4))</f>
        <v>15.0768</v>
      </c>
      <c r="H253" s="270">
        <f t="shared" si="75"/>
        <v>0</v>
      </c>
      <c r="I253" s="270">
        <f t="shared" si="76"/>
        <v>0</v>
      </c>
      <c r="J253" s="270">
        <f t="shared" si="81"/>
        <v>77.389009775686489</v>
      </c>
      <c r="K253" s="271">
        <f t="shared" si="77"/>
        <v>92.465809775686495</v>
      </c>
      <c r="L253" s="270">
        <f t="shared" si="78"/>
        <v>2710.3095230682061</v>
      </c>
      <c r="M253" s="242">
        <f>IF(D253="","",SUM(G$46:G253))</f>
        <v>9956.3861519999955</v>
      </c>
      <c r="N253" s="242">
        <f>IF(D253="","",SUM(J$46:J253))</f>
        <v>14417.530476931808</v>
      </c>
      <c r="P253" s="245"/>
      <c r="Q253" s="277">
        <f t="shared" si="79"/>
        <v>188.44093287836054</v>
      </c>
      <c r="R253" s="277">
        <f t="shared" si="91"/>
        <v>62.721261579062173</v>
      </c>
      <c r="S253" s="277">
        <f t="shared" si="89"/>
        <v>125.71967129929837</v>
      </c>
      <c r="T253" s="277">
        <f t="shared" si="83"/>
        <v>0</v>
      </c>
      <c r="U253" s="277">
        <f t="shared" si="87"/>
        <v>125.71967129929837</v>
      </c>
      <c r="V253" s="277">
        <f t="shared" si="84"/>
        <v>-92.465809775686495</v>
      </c>
      <c r="W253" s="277">
        <f t="shared" si="88"/>
        <v>33.253861523611874</v>
      </c>
      <c r="X253" s="273">
        <f t="shared" si="85"/>
        <v>1158.2128187660674</v>
      </c>
      <c r="Y253" s="277">
        <f t="shared" si="86"/>
        <v>0</v>
      </c>
      <c r="AA253" s="278"/>
      <c r="AB253" s="277"/>
    </row>
    <row r="254" spans="2:34">
      <c r="B254" s="266">
        <f t="shared" si="90"/>
        <v>18</v>
      </c>
      <c r="C254" s="266"/>
      <c r="D254" s="175">
        <f t="shared" si="73"/>
        <v>209</v>
      </c>
      <c r="E254" s="267">
        <f t="shared" si="74"/>
        <v>48396</v>
      </c>
      <c r="F254" s="268">
        <f t="shared" si="80"/>
        <v>6.4899999999999999E-2</v>
      </c>
      <c r="G254" s="270">
        <f t="shared" si="92"/>
        <v>14.658300000000001</v>
      </c>
      <c r="H254" s="270">
        <f t="shared" si="75"/>
        <v>0</v>
      </c>
      <c r="I254" s="270">
        <f t="shared" si="76"/>
        <v>0</v>
      </c>
      <c r="J254" s="270">
        <f t="shared" si="81"/>
        <v>77.807509775686498</v>
      </c>
      <c r="K254" s="271">
        <f t="shared" si="77"/>
        <v>92.465809775686495</v>
      </c>
      <c r="L254" s="270">
        <f t="shared" si="78"/>
        <v>2632.5020132925197</v>
      </c>
      <c r="M254" s="242">
        <f>IF(D254="","",SUM(G$46:G254))</f>
        <v>9971.0444519999946</v>
      </c>
      <c r="N254" s="242">
        <f>IF(D254="","",SUM(J$46:J254))</f>
        <v>14495.337986707495</v>
      </c>
      <c r="P254" s="245"/>
      <c r="Q254" s="277">
        <f t="shared" si="79"/>
        <v>188.44093287836054</v>
      </c>
      <c r="R254" s="277">
        <f t="shared" si="91"/>
        <v>62.721261579062173</v>
      </c>
      <c r="S254" s="277">
        <f t="shared" si="89"/>
        <v>125.71967129929837</v>
      </c>
      <c r="T254" s="277">
        <f t="shared" si="83"/>
        <v>0</v>
      </c>
      <c r="U254" s="277">
        <f t="shared" si="87"/>
        <v>125.71967129929837</v>
      </c>
      <c r="V254" s="277">
        <f t="shared" si="84"/>
        <v>-92.465809775686495</v>
      </c>
      <c r="W254" s="277">
        <f t="shared" si="88"/>
        <v>33.253861523611874</v>
      </c>
      <c r="X254" s="273">
        <f t="shared" si="85"/>
        <v>1191.4666802896793</v>
      </c>
      <c r="Y254" s="277">
        <f t="shared" si="86"/>
        <v>0</v>
      </c>
      <c r="AA254" s="278"/>
      <c r="AB254" s="277"/>
    </row>
    <row r="255" spans="2:34">
      <c r="B255" s="266">
        <f t="shared" si="90"/>
        <v>18</v>
      </c>
      <c r="C255" s="266"/>
      <c r="D255" s="175">
        <f t="shared" si="73"/>
        <v>210</v>
      </c>
      <c r="E255" s="267">
        <f t="shared" si="74"/>
        <v>48427</v>
      </c>
      <c r="F255" s="268">
        <f t="shared" si="80"/>
        <v>6.4899999999999999E-2</v>
      </c>
      <c r="G255" s="270">
        <f t="shared" si="92"/>
        <v>14.237399999999999</v>
      </c>
      <c r="H255" s="270">
        <f t="shared" si="75"/>
        <v>0</v>
      </c>
      <c r="I255" s="270">
        <f t="shared" si="76"/>
        <v>0</v>
      </c>
      <c r="J255" s="270">
        <f t="shared" si="81"/>
        <v>78.228409775686501</v>
      </c>
      <c r="K255" s="271">
        <f t="shared" si="77"/>
        <v>92.465809775686495</v>
      </c>
      <c r="L255" s="270">
        <f t="shared" si="78"/>
        <v>2554.2736035168332</v>
      </c>
      <c r="M255" s="242">
        <f>IF(D255="","",SUM(G$46:G255))</f>
        <v>9985.2818519999946</v>
      </c>
      <c r="N255" s="242">
        <f>IF(D255="","",SUM(J$46:J255))</f>
        <v>14573.566396483182</v>
      </c>
      <c r="P255" s="245"/>
      <c r="Q255" s="277">
        <f t="shared" si="79"/>
        <v>188.44093287836054</v>
      </c>
      <c r="R255" s="277">
        <f t="shared" si="91"/>
        <v>62.721261579062173</v>
      </c>
      <c r="S255" s="277">
        <f t="shared" si="89"/>
        <v>125.71967129929837</v>
      </c>
      <c r="T255" s="277">
        <f t="shared" si="83"/>
        <v>0</v>
      </c>
      <c r="U255" s="277">
        <f t="shared" si="87"/>
        <v>125.71967129929837</v>
      </c>
      <c r="V255" s="277">
        <f t="shared" si="84"/>
        <v>-92.465809775686495</v>
      </c>
      <c r="W255" s="277">
        <f t="shared" si="88"/>
        <v>33.253861523611874</v>
      </c>
      <c r="X255" s="273">
        <f t="shared" si="85"/>
        <v>1224.7205418132912</v>
      </c>
      <c r="Y255" s="277">
        <f t="shared" si="86"/>
        <v>0</v>
      </c>
      <c r="AA255" s="278"/>
      <c r="AB255" s="277"/>
    </row>
    <row r="256" spans="2:34">
      <c r="B256" s="266">
        <f t="shared" si="90"/>
        <v>18</v>
      </c>
      <c r="C256" s="266"/>
      <c r="D256" s="175">
        <f t="shared" si="73"/>
        <v>211</v>
      </c>
      <c r="E256" s="267">
        <f t="shared" si="74"/>
        <v>48458</v>
      </c>
      <c r="F256" s="268">
        <f t="shared" si="80"/>
        <v>6.4899999999999999E-2</v>
      </c>
      <c r="G256" s="270">
        <f t="shared" si="92"/>
        <v>13.814399999999999</v>
      </c>
      <c r="H256" s="270">
        <f t="shared" si="75"/>
        <v>0</v>
      </c>
      <c r="I256" s="270">
        <f t="shared" si="76"/>
        <v>0</v>
      </c>
      <c r="J256" s="270">
        <f t="shared" si="81"/>
        <v>78.651409775686489</v>
      </c>
      <c r="K256" s="271">
        <f t="shared" si="77"/>
        <v>92.465809775686495</v>
      </c>
      <c r="L256" s="270">
        <f t="shared" si="78"/>
        <v>2475.6221937411465</v>
      </c>
      <c r="M256" s="242">
        <f>IF(D256="","",SUM(G$46:G256))</f>
        <v>9999.0962519999939</v>
      </c>
      <c r="N256" s="242">
        <f>IF(D256="","",SUM(J$46:J256))</f>
        <v>14652.217806258868</v>
      </c>
      <c r="P256" s="245"/>
      <c r="Q256" s="277">
        <f t="shared" si="79"/>
        <v>188.44093287836054</v>
      </c>
      <c r="R256" s="277">
        <f t="shared" si="91"/>
        <v>62.721261579062173</v>
      </c>
      <c r="S256" s="277">
        <f t="shared" si="89"/>
        <v>125.71967129929837</v>
      </c>
      <c r="T256" s="277">
        <f t="shared" si="83"/>
        <v>0</v>
      </c>
      <c r="U256" s="277">
        <f t="shared" si="87"/>
        <v>125.71967129929837</v>
      </c>
      <c r="V256" s="277">
        <f t="shared" si="84"/>
        <v>-92.465809775686495</v>
      </c>
      <c r="W256" s="277">
        <f t="shared" si="88"/>
        <v>33.253861523611874</v>
      </c>
      <c r="X256" s="273">
        <f t="shared" si="85"/>
        <v>1257.9744033369032</v>
      </c>
      <c r="Y256" s="277">
        <f t="shared" si="86"/>
        <v>0</v>
      </c>
      <c r="AA256" s="278"/>
      <c r="AB256" s="277"/>
    </row>
    <row r="257" spans="2:29">
      <c r="B257" s="266">
        <f t="shared" si="90"/>
        <v>18</v>
      </c>
      <c r="C257" s="266"/>
      <c r="D257" s="175">
        <f t="shared" si="73"/>
        <v>212</v>
      </c>
      <c r="E257" s="267">
        <f t="shared" si="74"/>
        <v>48488</v>
      </c>
      <c r="F257" s="268">
        <f t="shared" si="80"/>
        <v>6.4899999999999999E-2</v>
      </c>
      <c r="G257" s="270">
        <f t="shared" si="92"/>
        <v>13.388999999999999</v>
      </c>
      <c r="H257" s="270">
        <f t="shared" si="75"/>
        <v>0</v>
      </c>
      <c r="I257" s="270">
        <f t="shared" si="76"/>
        <v>0</v>
      </c>
      <c r="J257" s="270">
        <f t="shared" si="81"/>
        <v>79.076809775686499</v>
      </c>
      <c r="K257" s="271">
        <f t="shared" si="77"/>
        <v>92.465809775686495</v>
      </c>
      <c r="L257" s="270">
        <f t="shared" si="78"/>
        <v>2396.5453839654601</v>
      </c>
      <c r="M257" s="242">
        <f>IF(D257="","",SUM(G$46:G257))</f>
        <v>10012.485251999993</v>
      </c>
      <c r="N257" s="242">
        <f>IF(D257="","",SUM(J$46:J257))</f>
        <v>14731.294616034555</v>
      </c>
      <c r="P257" s="245"/>
      <c r="Q257" s="277">
        <f t="shared" si="79"/>
        <v>188.44093287836054</v>
      </c>
      <c r="R257" s="277">
        <f t="shared" si="91"/>
        <v>62.721261579062173</v>
      </c>
      <c r="S257" s="277">
        <f t="shared" si="89"/>
        <v>125.71967129929837</v>
      </c>
      <c r="T257" s="277">
        <f t="shared" si="83"/>
        <v>0</v>
      </c>
      <c r="U257" s="277">
        <f t="shared" si="87"/>
        <v>125.71967129929837</v>
      </c>
      <c r="V257" s="277">
        <f t="shared" si="84"/>
        <v>-92.465809775686495</v>
      </c>
      <c r="W257" s="277">
        <f t="shared" si="88"/>
        <v>33.253861523611874</v>
      </c>
      <c r="X257" s="273">
        <f t="shared" si="85"/>
        <v>1291.2282648605151</v>
      </c>
      <c r="Y257" s="277">
        <f t="shared" si="86"/>
        <v>0</v>
      </c>
      <c r="AA257" s="278"/>
      <c r="AB257" s="277"/>
    </row>
    <row r="258" spans="2:29">
      <c r="B258" s="266">
        <f t="shared" si="90"/>
        <v>18</v>
      </c>
      <c r="C258" s="266"/>
      <c r="D258" s="175">
        <f t="shared" si="73"/>
        <v>213</v>
      </c>
      <c r="E258" s="267">
        <f t="shared" si="74"/>
        <v>48519</v>
      </c>
      <c r="F258" s="268">
        <f t="shared" si="80"/>
        <v>6.4899999999999999E-2</v>
      </c>
      <c r="G258" s="270">
        <f t="shared" si="92"/>
        <v>12.9613</v>
      </c>
      <c r="H258" s="270">
        <f t="shared" si="75"/>
        <v>0</v>
      </c>
      <c r="I258" s="270">
        <f t="shared" si="76"/>
        <v>0</v>
      </c>
      <c r="J258" s="270">
        <f t="shared" si="81"/>
        <v>79.5045097756865</v>
      </c>
      <c r="K258" s="271">
        <f t="shared" si="77"/>
        <v>92.465809775686495</v>
      </c>
      <c r="L258" s="270">
        <f t="shared" si="78"/>
        <v>2317.0408741897736</v>
      </c>
      <c r="M258" s="242">
        <f>IF(D258="","",SUM(G$46:G258))</f>
        <v>10025.446551999994</v>
      </c>
      <c r="N258" s="242">
        <f>IF(D258="","",SUM(J$46:J258))</f>
        <v>14810.799125810241</v>
      </c>
      <c r="P258" s="245"/>
      <c r="Q258" s="277">
        <f t="shared" si="79"/>
        <v>188.44093287836054</v>
      </c>
      <c r="R258" s="277">
        <f t="shared" si="91"/>
        <v>62.721261579062173</v>
      </c>
      <c r="S258" s="277">
        <f t="shared" si="89"/>
        <v>125.71967129929837</v>
      </c>
      <c r="T258" s="277">
        <f t="shared" si="83"/>
        <v>0</v>
      </c>
      <c r="U258" s="277">
        <f t="shared" si="87"/>
        <v>125.71967129929837</v>
      </c>
      <c r="V258" s="277">
        <f t="shared" si="84"/>
        <v>-92.465809775686495</v>
      </c>
      <c r="W258" s="277">
        <f t="shared" si="88"/>
        <v>33.253861523611874</v>
      </c>
      <c r="X258" s="273">
        <f t="shared" si="85"/>
        <v>1324.482126384127</v>
      </c>
      <c r="Y258" s="277">
        <f t="shared" si="86"/>
        <v>0</v>
      </c>
      <c r="AA258" s="278"/>
      <c r="AB258" s="277"/>
    </row>
    <row r="259" spans="2:29">
      <c r="B259" s="266">
        <f t="shared" si="90"/>
        <v>18</v>
      </c>
      <c r="C259" s="266"/>
      <c r="D259" s="175">
        <f t="shared" si="73"/>
        <v>214</v>
      </c>
      <c r="E259" s="267">
        <f t="shared" si="74"/>
        <v>48549</v>
      </c>
      <c r="F259" s="268">
        <f t="shared" si="80"/>
        <v>6.4899999999999999E-2</v>
      </c>
      <c r="G259" s="270">
        <f t="shared" si="92"/>
        <v>12.5313</v>
      </c>
      <c r="H259" s="270">
        <f t="shared" si="75"/>
        <v>0</v>
      </c>
      <c r="I259" s="270">
        <f t="shared" si="76"/>
        <v>0</v>
      </c>
      <c r="J259" s="270">
        <f t="shared" si="81"/>
        <v>79.934509775686493</v>
      </c>
      <c r="K259" s="271">
        <f t="shared" si="77"/>
        <v>92.465809775686495</v>
      </c>
      <c r="L259" s="270">
        <f t="shared" si="78"/>
        <v>2237.1063644140872</v>
      </c>
      <c r="M259" s="242">
        <f>IF(D259="","",SUM(G$46:G259))</f>
        <v>10037.977851999995</v>
      </c>
      <c r="N259" s="242">
        <f>IF(D259="","",SUM(J$46:J259))</f>
        <v>14890.733635585928</v>
      </c>
      <c r="P259" s="245"/>
      <c r="Q259" s="277">
        <f t="shared" si="79"/>
        <v>188.44093287836054</v>
      </c>
      <c r="R259" s="277">
        <f t="shared" si="91"/>
        <v>62.721261579062173</v>
      </c>
      <c r="S259" s="277">
        <f t="shared" si="89"/>
        <v>125.71967129929837</v>
      </c>
      <c r="T259" s="277">
        <f t="shared" si="83"/>
        <v>0</v>
      </c>
      <c r="U259" s="277">
        <f t="shared" si="87"/>
        <v>125.71967129929837</v>
      </c>
      <c r="V259" s="277">
        <f t="shared" si="84"/>
        <v>-92.465809775686495</v>
      </c>
      <c r="W259" s="277">
        <f t="shared" si="88"/>
        <v>33.253861523611874</v>
      </c>
      <c r="X259" s="273">
        <f t="shared" si="85"/>
        <v>1357.7359879077389</v>
      </c>
      <c r="Y259" s="277">
        <f t="shared" si="86"/>
        <v>0</v>
      </c>
      <c r="AA259" s="278"/>
      <c r="AB259" s="277"/>
    </row>
    <row r="260" spans="2:29">
      <c r="B260" s="266">
        <f t="shared" si="90"/>
        <v>18</v>
      </c>
      <c r="C260" s="266"/>
      <c r="D260" s="175">
        <f t="shared" si="73"/>
        <v>215</v>
      </c>
      <c r="E260" s="267">
        <f t="shared" si="74"/>
        <v>48580</v>
      </c>
      <c r="F260" s="268">
        <f t="shared" si="80"/>
        <v>6.4899999999999999E-2</v>
      </c>
      <c r="G260" s="270">
        <f t="shared" si="92"/>
        <v>12.099</v>
      </c>
      <c r="H260" s="270">
        <f t="shared" si="75"/>
        <v>0</v>
      </c>
      <c r="I260" s="270">
        <f t="shared" si="76"/>
        <v>0</v>
      </c>
      <c r="J260" s="270">
        <f t="shared" si="81"/>
        <v>80.366809775686491</v>
      </c>
      <c r="K260" s="271">
        <f t="shared" si="77"/>
        <v>92.465809775686495</v>
      </c>
      <c r="L260" s="270">
        <f t="shared" si="78"/>
        <v>2156.7395546384009</v>
      </c>
      <c r="M260" s="242">
        <f>IF(D260="","",SUM(G$46:G260))</f>
        <v>10050.076851999995</v>
      </c>
      <c r="N260" s="242">
        <f>IF(D260="","",SUM(J$46:J260))</f>
        <v>14971.100445361615</v>
      </c>
      <c r="P260" s="245"/>
      <c r="Q260" s="277">
        <f t="shared" si="79"/>
        <v>188.44093287836054</v>
      </c>
      <c r="R260" s="277">
        <f t="shared" si="91"/>
        <v>62.721261579062173</v>
      </c>
      <c r="S260" s="277">
        <f t="shared" si="89"/>
        <v>125.71967129929837</v>
      </c>
      <c r="T260" s="277">
        <f t="shared" si="83"/>
        <v>0</v>
      </c>
      <c r="U260" s="277">
        <f t="shared" si="87"/>
        <v>125.71967129929837</v>
      </c>
      <c r="V260" s="277">
        <f t="shared" si="84"/>
        <v>-92.465809775686495</v>
      </c>
      <c r="W260" s="277">
        <f t="shared" si="88"/>
        <v>33.253861523611874</v>
      </c>
      <c r="X260" s="273">
        <f t="shared" si="85"/>
        <v>1390.9898494313509</v>
      </c>
      <c r="Y260" s="277">
        <f t="shared" si="86"/>
        <v>0</v>
      </c>
      <c r="AA260" s="278"/>
      <c r="AB260" s="277"/>
    </row>
    <row r="261" spans="2:29">
      <c r="B261" s="266">
        <f t="shared" si="90"/>
        <v>18</v>
      </c>
      <c r="C261" s="266"/>
      <c r="D261" s="175">
        <f t="shared" si="73"/>
        <v>216</v>
      </c>
      <c r="E261" s="267">
        <f t="shared" si="74"/>
        <v>48611</v>
      </c>
      <c r="F261" s="268">
        <f t="shared" si="80"/>
        <v>6.4899999999999999E-2</v>
      </c>
      <c r="G261" s="270">
        <f t="shared" si="92"/>
        <v>11.664400000000001</v>
      </c>
      <c r="H261" s="270">
        <f t="shared" si="75"/>
        <v>0</v>
      </c>
      <c r="I261" s="270">
        <f t="shared" si="76"/>
        <v>0</v>
      </c>
      <c r="J261" s="270">
        <f t="shared" si="81"/>
        <v>80.801409775686494</v>
      </c>
      <c r="K261" s="271">
        <f t="shared" si="77"/>
        <v>92.465809775686495</v>
      </c>
      <c r="L261" s="270">
        <f t="shared" si="78"/>
        <v>2075.9381448627146</v>
      </c>
      <c r="M261" s="242">
        <f>IF(D261="","",SUM(G$46:G261))</f>
        <v>10061.741251999994</v>
      </c>
      <c r="N261" s="242">
        <f>IF(D261="","",SUM(J$46:J261))</f>
        <v>15051.901855137301</v>
      </c>
      <c r="P261" s="245"/>
      <c r="Q261" s="277">
        <f t="shared" si="79"/>
        <v>188.44093287836054</v>
      </c>
      <c r="R261" s="277">
        <f t="shared" si="91"/>
        <v>62.721261579062173</v>
      </c>
      <c r="S261" s="277">
        <f t="shared" si="89"/>
        <v>125.71967129929837</v>
      </c>
      <c r="T261" s="277">
        <f t="shared" si="83"/>
        <v>0</v>
      </c>
      <c r="U261" s="277">
        <f t="shared" si="87"/>
        <v>125.71967129929837</v>
      </c>
      <c r="V261" s="277">
        <f t="shared" si="84"/>
        <v>-92.465809775686495</v>
      </c>
      <c r="W261" s="277">
        <f t="shared" si="88"/>
        <v>33.253861523611874</v>
      </c>
      <c r="X261" s="273">
        <f t="shared" si="85"/>
        <v>1424.2437109549628</v>
      </c>
      <c r="Y261" s="277">
        <f t="shared" si="86"/>
        <v>0</v>
      </c>
      <c r="AA261" s="278"/>
      <c r="AB261" s="277"/>
    </row>
    <row r="262" spans="2:29">
      <c r="B262" s="266">
        <f t="shared" si="90"/>
        <v>19</v>
      </c>
      <c r="C262" s="266"/>
      <c r="D262" s="175">
        <f t="shared" si="73"/>
        <v>217</v>
      </c>
      <c r="E262" s="267">
        <f t="shared" si="74"/>
        <v>48639</v>
      </c>
      <c r="F262" s="268">
        <f t="shared" si="80"/>
        <v>6.4899999999999999E-2</v>
      </c>
      <c r="G262" s="270">
        <f t="shared" si="92"/>
        <v>11.227399999999999</v>
      </c>
      <c r="H262" s="270">
        <f t="shared" si="75"/>
        <v>0</v>
      </c>
      <c r="I262" s="270">
        <f t="shared" si="76"/>
        <v>0</v>
      </c>
      <c r="J262" s="270">
        <f t="shared" si="81"/>
        <v>81.238409775686492</v>
      </c>
      <c r="K262" s="271">
        <f t="shared" si="77"/>
        <v>92.465809775686495</v>
      </c>
      <c r="L262" s="270">
        <f t="shared" si="78"/>
        <v>1994.6997350870281</v>
      </c>
      <c r="M262" s="242">
        <f>IF(D262="","",SUM(G$46:G262))</f>
        <v>10072.968651999994</v>
      </c>
      <c r="N262" s="242">
        <f>IF(D262="","",SUM(J$46:J262))</f>
        <v>15133.140264912987</v>
      </c>
      <c r="P262" s="245"/>
      <c r="Q262" s="277">
        <f t="shared" si="79"/>
        <v>195.03636552910316</v>
      </c>
      <c r="R262" s="277">
        <f>Q262-S262</f>
        <v>65.56710503330325</v>
      </c>
      <c r="S262" s="277">
        <f t="shared" si="89"/>
        <v>129.46926049579992</v>
      </c>
      <c r="T262" s="277">
        <f t="shared" si="83"/>
        <v>0</v>
      </c>
      <c r="U262" s="277">
        <f t="shared" si="87"/>
        <v>129.46926049579992</v>
      </c>
      <c r="V262" s="277">
        <f t="shared" si="84"/>
        <v>-92.465809775686495</v>
      </c>
      <c r="W262" s="277">
        <f t="shared" si="88"/>
        <v>37.00345072011342</v>
      </c>
      <c r="X262" s="273">
        <f t="shared" si="85"/>
        <v>1461.2471616750763</v>
      </c>
      <c r="Y262" s="277">
        <f t="shared" si="86"/>
        <v>0</v>
      </c>
      <c r="AA262" s="278"/>
      <c r="AB262" s="277"/>
    </row>
    <row r="263" spans="2:29">
      <c r="B263" s="266">
        <f t="shared" si="90"/>
        <v>19</v>
      </c>
      <c r="C263" s="266"/>
      <c r="D263" s="175">
        <f t="shared" si="73"/>
        <v>218</v>
      </c>
      <c r="E263" s="267">
        <f t="shared" si="74"/>
        <v>48670</v>
      </c>
      <c r="F263" s="268">
        <f t="shared" si="80"/>
        <v>6.4899999999999999E-2</v>
      </c>
      <c r="G263" s="270">
        <f t="shared" si="92"/>
        <v>10.788</v>
      </c>
      <c r="H263" s="270">
        <f t="shared" si="75"/>
        <v>0</v>
      </c>
      <c r="I263" s="270">
        <f t="shared" si="76"/>
        <v>0</v>
      </c>
      <c r="J263" s="270">
        <f t="shared" si="81"/>
        <v>81.677809775686498</v>
      </c>
      <c r="K263" s="271">
        <f t="shared" si="77"/>
        <v>92.465809775686495</v>
      </c>
      <c r="L263" s="270">
        <f t="shared" si="78"/>
        <v>1913.0219253113416</v>
      </c>
      <c r="M263" s="242">
        <f>IF(D263="","",SUM(G$46:G263))</f>
        <v>10083.756651999995</v>
      </c>
      <c r="N263" s="242">
        <f>IF(D263="","",SUM(J$46:J263))</f>
        <v>15214.818074688674</v>
      </c>
      <c r="P263" s="245"/>
      <c r="Q263" s="277">
        <f t="shared" si="79"/>
        <v>195.03636552910316</v>
      </c>
      <c r="R263" s="277">
        <f t="shared" ref="R263:R273" si="93">Q263-S263</f>
        <v>65.56710503330325</v>
      </c>
      <c r="S263" s="277">
        <f t="shared" si="89"/>
        <v>129.46926049579992</v>
      </c>
      <c r="T263" s="277">
        <f t="shared" si="83"/>
        <v>0</v>
      </c>
      <c r="U263" s="277">
        <f t="shared" si="87"/>
        <v>129.46926049579992</v>
      </c>
      <c r="V263" s="277">
        <f t="shared" si="84"/>
        <v>-92.465809775686495</v>
      </c>
      <c r="W263" s="277">
        <f t="shared" si="88"/>
        <v>37.00345072011342</v>
      </c>
      <c r="X263" s="273">
        <f t="shared" si="85"/>
        <v>1498.2506123951898</v>
      </c>
      <c r="Y263" s="277">
        <f t="shared" si="86"/>
        <v>0</v>
      </c>
      <c r="AA263" s="278"/>
      <c r="AB263" s="277"/>
    </row>
    <row r="264" spans="2:29">
      <c r="B264" s="266">
        <f t="shared" si="90"/>
        <v>19</v>
      </c>
      <c r="C264" s="266"/>
      <c r="D264" s="175">
        <f t="shared" si="73"/>
        <v>219</v>
      </c>
      <c r="E264" s="267">
        <f t="shared" si="74"/>
        <v>48700</v>
      </c>
      <c r="F264" s="268">
        <f t="shared" si="80"/>
        <v>6.4899999999999999E-2</v>
      </c>
      <c r="G264" s="270">
        <f t="shared" si="92"/>
        <v>10.346299999999999</v>
      </c>
      <c r="H264" s="270">
        <f t="shared" si="75"/>
        <v>0</v>
      </c>
      <c r="I264" s="270">
        <f t="shared" si="76"/>
        <v>0</v>
      </c>
      <c r="J264" s="270">
        <f t="shared" si="81"/>
        <v>82.119509775686495</v>
      </c>
      <c r="K264" s="271">
        <f t="shared" si="77"/>
        <v>92.465809775686495</v>
      </c>
      <c r="L264" s="270">
        <f t="shared" si="78"/>
        <v>1830.9024155356551</v>
      </c>
      <c r="M264" s="242">
        <f>IF(D264="","",SUM(G$46:G264))</f>
        <v>10094.102951999994</v>
      </c>
      <c r="N264" s="242">
        <f>IF(D264="","",SUM(J$46:J264))</f>
        <v>15296.93758446436</v>
      </c>
      <c r="P264" s="245"/>
      <c r="Q264" s="277">
        <f t="shared" si="79"/>
        <v>195.03636552910316</v>
      </c>
      <c r="R264" s="277">
        <f t="shared" si="93"/>
        <v>65.56710503330325</v>
      </c>
      <c r="S264" s="277">
        <f t="shared" si="89"/>
        <v>129.46926049579992</v>
      </c>
      <c r="T264" s="277">
        <f t="shared" si="83"/>
        <v>0</v>
      </c>
      <c r="U264" s="277">
        <f t="shared" si="87"/>
        <v>129.46926049579992</v>
      </c>
      <c r="V264" s="277">
        <f t="shared" si="84"/>
        <v>-92.465809775686495</v>
      </c>
      <c r="W264" s="277">
        <f t="shared" si="88"/>
        <v>37.00345072011342</v>
      </c>
      <c r="X264" s="273">
        <f t="shared" si="85"/>
        <v>1535.2540631153033</v>
      </c>
      <c r="Y264" s="277">
        <f t="shared" si="86"/>
        <v>0</v>
      </c>
      <c r="AA264" s="278"/>
      <c r="AB264" s="277"/>
    </row>
    <row r="265" spans="2:29">
      <c r="B265" s="266">
        <f t="shared" si="90"/>
        <v>19</v>
      </c>
      <c r="C265" s="266"/>
      <c r="D265" s="175">
        <f t="shared" si="73"/>
        <v>220</v>
      </c>
      <c r="E265" s="267">
        <f t="shared" si="74"/>
        <v>48731</v>
      </c>
      <c r="F265" s="268">
        <f t="shared" si="80"/>
        <v>6.4899999999999999E-2</v>
      </c>
      <c r="G265" s="270">
        <f t="shared" si="92"/>
        <v>9.9021000000000008</v>
      </c>
      <c r="H265" s="270">
        <f t="shared" si="75"/>
        <v>0</v>
      </c>
      <c r="I265" s="270">
        <f t="shared" si="76"/>
        <v>0</v>
      </c>
      <c r="J265" s="270">
        <f t="shared" si="81"/>
        <v>82.56370977568649</v>
      </c>
      <c r="K265" s="271">
        <f t="shared" si="77"/>
        <v>92.465809775686495</v>
      </c>
      <c r="L265" s="270">
        <f t="shared" si="78"/>
        <v>1748.3387057599687</v>
      </c>
      <c r="M265" s="242">
        <f>IF(D265="","",SUM(G$46:G265))</f>
        <v>10104.005051999993</v>
      </c>
      <c r="N265" s="242">
        <f>IF(D265="","",SUM(J$46:J265))</f>
        <v>15379.501294240046</v>
      </c>
      <c r="P265" s="245"/>
      <c r="Q265" s="277">
        <f t="shared" si="79"/>
        <v>195.03636552910316</v>
      </c>
      <c r="R265" s="277">
        <f t="shared" si="93"/>
        <v>65.56710503330325</v>
      </c>
      <c r="S265" s="277">
        <f t="shared" si="89"/>
        <v>129.46926049579992</v>
      </c>
      <c r="T265" s="277">
        <f t="shared" si="83"/>
        <v>0</v>
      </c>
      <c r="U265" s="277">
        <f t="shared" si="87"/>
        <v>129.46926049579992</v>
      </c>
      <c r="V265" s="277">
        <f t="shared" si="84"/>
        <v>-92.465809775686495</v>
      </c>
      <c r="W265" s="277">
        <f t="shared" si="88"/>
        <v>37.00345072011342</v>
      </c>
      <c r="X265" s="273">
        <f t="shared" si="85"/>
        <v>1572.2575138354168</v>
      </c>
      <c r="Y265" s="277">
        <f t="shared" si="86"/>
        <v>0</v>
      </c>
      <c r="AA265" s="278"/>
      <c r="AB265" s="277"/>
    </row>
    <row r="266" spans="2:29">
      <c r="B266" s="266">
        <f t="shared" si="90"/>
        <v>19</v>
      </c>
      <c r="C266" s="266"/>
      <c r="D266" s="175">
        <f t="shared" si="73"/>
        <v>221</v>
      </c>
      <c r="E266" s="267">
        <f t="shared" si="74"/>
        <v>48761</v>
      </c>
      <c r="F266" s="268">
        <f t="shared" si="80"/>
        <v>6.4899999999999999E-2</v>
      </c>
      <c r="G266" s="270">
        <f t="shared" si="92"/>
        <v>9.4556000000000004</v>
      </c>
      <c r="H266" s="270">
        <f t="shared" si="75"/>
        <v>0</v>
      </c>
      <c r="I266" s="270">
        <f t="shared" si="76"/>
        <v>0</v>
      </c>
      <c r="J266" s="270">
        <f t="shared" si="81"/>
        <v>83.010209775686491</v>
      </c>
      <c r="K266" s="271">
        <f t="shared" si="77"/>
        <v>92.465809775686495</v>
      </c>
      <c r="L266" s="270">
        <f t="shared" si="78"/>
        <v>1665.3284959842822</v>
      </c>
      <c r="M266" s="242">
        <f>IF(D266="","",SUM(G$46:G266))</f>
        <v>10113.460651999992</v>
      </c>
      <c r="N266" s="242">
        <f>IF(D266="","",SUM(J$46:J266))</f>
        <v>15462.511504015732</v>
      </c>
      <c r="P266" s="245"/>
      <c r="Q266" s="277">
        <f t="shared" si="79"/>
        <v>195.03636552910316</v>
      </c>
      <c r="R266" s="277">
        <f t="shared" si="93"/>
        <v>65.56710503330325</v>
      </c>
      <c r="S266" s="277">
        <f t="shared" si="89"/>
        <v>129.46926049579992</v>
      </c>
      <c r="T266" s="277">
        <f t="shared" si="83"/>
        <v>0</v>
      </c>
      <c r="U266" s="277">
        <f t="shared" si="87"/>
        <v>129.46926049579992</v>
      </c>
      <c r="V266" s="277">
        <f t="shared" si="84"/>
        <v>-92.465809775686495</v>
      </c>
      <c r="W266" s="277">
        <f t="shared" si="88"/>
        <v>37.00345072011342</v>
      </c>
      <c r="X266" s="273">
        <f t="shared" si="85"/>
        <v>1609.2609645555303</v>
      </c>
      <c r="Y266" s="277">
        <f t="shared" si="86"/>
        <v>0</v>
      </c>
      <c r="AA266" s="278"/>
      <c r="AB266" s="277"/>
    </row>
    <row r="267" spans="2:29">
      <c r="B267" s="266">
        <f t="shared" si="90"/>
        <v>19</v>
      </c>
      <c r="C267" s="266"/>
      <c r="D267" s="175">
        <f t="shared" si="73"/>
        <v>222</v>
      </c>
      <c r="E267" s="267">
        <f t="shared" si="74"/>
        <v>48792</v>
      </c>
      <c r="F267" s="268">
        <f t="shared" si="80"/>
        <v>6.4899999999999999E-2</v>
      </c>
      <c r="G267" s="270">
        <f t="shared" si="92"/>
        <v>9.0067000000000004</v>
      </c>
      <c r="H267" s="270">
        <f t="shared" si="75"/>
        <v>0</v>
      </c>
      <c r="I267" s="270">
        <f t="shared" si="76"/>
        <v>0</v>
      </c>
      <c r="J267" s="270">
        <f t="shared" si="81"/>
        <v>83.4591097756865</v>
      </c>
      <c r="K267" s="271">
        <f t="shared" si="77"/>
        <v>92.465809775686495</v>
      </c>
      <c r="L267" s="270">
        <f t="shared" si="78"/>
        <v>1581.8693862085956</v>
      </c>
      <c r="M267" s="242">
        <f>IF(D267="","",SUM(G$46:G267))</f>
        <v>10122.467351999992</v>
      </c>
      <c r="N267" s="242">
        <f>IF(D267="","",SUM(J$46:J267))</f>
        <v>15545.970613791418</v>
      </c>
      <c r="P267" s="245"/>
      <c r="Q267" s="277">
        <f t="shared" si="79"/>
        <v>195.03636552910316</v>
      </c>
      <c r="R267" s="277">
        <f t="shared" si="93"/>
        <v>65.56710503330325</v>
      </c>
      <c r="S267" s="277">
        <f t="shared" si="89"/>
        <v>129.46926049579992</v>
      </c>
      <c r="T267" s="277">
        <f t="shared" si="83"/>
        <v>0</v>
      </c>
      <c r="U267" s="277">
        <f t="shared" si="87"/>
        <v>129.46926049579992</v>
      </c>
      <c r="V267" s="277">
        <f t="shared" si="84"/>
        <v>-92.465809775686495</v>
      </c>
      <c r="W267" s="277">
        <f t="shared" si="88"/>
        <v>37.00345072011342</v>
      </c>
      <c r="X267" s="273">
        <f t="shared" si="85"/>
        <v>1646.2644152756438</v>
      </c>
      <c r="Y267" s="277">
        <f t="shared" si="86"/>
        <v>0</v>
      </c>
      <c r="AA267" s="278"/>
      <c r="AB267" s="277"/>
    </row>
    <row r="268" spans="2:29">
      <c r="B268" s="266">
        <f t="shared" si="90"/>
        <v>19</v>
      </c>
      <c r="C268" s="266"/>
      <c r="D268" s="175">
        <f t="shared" si="73"/>
        <v>223</v>
      </c>
      <c r="E268" s="267">
        <f t="shared" si="74"/>
        <v>48823</v>
      </c>
      <c r="F268" s="268">
        <f t="shared" si="80"/>
        <v>6.4899999999999999E-2</v>
      </c>
      <c r="G268" s="270">
        <f t="shared" si="92"/>
        <v>8.5553000000000008</v>
      </c>
      <c r="H268" s="270">
        <f t="shared" si="75"/>
        <v>0</v>
      </c>
      <c r="I268" s="270">
        <f t="shared" si="76"/>
        <v>0</v>
      </c>
      <c r="J268" s="270">
        <f t="shared" si="81"/>
        <v>83.910509775686492</v>
      </c>
      <c r="K268" s="271">
        <f t="shared" si="77"/>
        <v>92.465809775686495</v>
      </c>
      <c r="L268" s="270">
        <f t="shared" si="78"/>
        <v>1497.9588764329092</v>
      </c>
      <c r="M268" s="242">
        <f>IF(D268="","",SUM(G$46:G268))</f>
        <v>10131.022651999992</v>
      </c>
      <c r="N268" s="242">
        <f>IF(D268="","",SUM(J$46:J268))</f>
        <v>15629.881123567106</v>
      </c>
      <c r="P268" s="245"/>
      <c r="Q268" s="277">
        <f t="shared" si="79"/>
        <v>195.03636552910316</v>
      </c>
      <c r="R268" s="277">
        <f t="shared" si="93"/>
        <v>65.56710503330325</v>
      </c>
      <c r="S268" s="277">
        <f t="shared" si="89"/>
        <v>129.46926049579992</v>
      </c>
      <c r="T268" s="277">
        <f t="shared" si="83"/>
        <v>0</v>
      </c>
      <c r="U268" s="277">
        <f t="shared" si="87"/>
        <v>129.46926049579992</v>
      </c>
      <c r="V268" s="277">
        <f t="shared" si="84"/>
        <v>-92.465809775686495</v>
      </c>
      <c r="W268" s="277">
        <f t="shared" si="88"/>
        <v>37.00345072011342</v>
      </c>
      <c r="X268" s="273">
        <f t="shared" si="85"/>
        <v>1683.2678659957573</v>
      </c>
      <c r="Y268" s="277">
        <f t="shared" si="86"/>
        <v>0</v>
      </c>
      <c r="AA268" s="278"/>
      <c r="AB268" s="277"/>
      <c r="AC268" s="280"/>
    </row>
    <row r="269" spans="2:29">
      <c r="B269" s="266">
        <f t="shared" si="90"/>
        <v>19</v>
      </c>
      <c r="C269" s="266"/>
      <c r="D269" s="175">
        <f t="shared" si="73"/>
        <v>224</v>
      </c>
      <c r="E269" s="267">
        <f t="shared" si="74"/>
        <v>48853</v>
      </c>
      <c r="F269" s="268">
        <f t="shared" si="80"/>
        <v>6.4899999999999999E-2</v>
      </c>
      <c r="G269" s="270">
        <f t="shared" si="92"/>
        <v>8.1014999999999997</v>
      </c>
      <c r="H269" s="270">
        <f t="shared" si="75"/>
        <v>0</v>
      </c>
      <c r="I269" s="270">
        <f t="shared" si="76"/>
        <v>0</v>
      </c>
      <c r="J269" s="270">
        <f t="shared" si="81"/>
        <v>84.364309775686493</v>
      </c>
      <c r="K269" s="271">
        <f t="shared" si="77"/>
        <v>92.465809775686495</v>
      </c>
      <c r="L269" s="270">
        <f t="shared" si="78"/>
        <v>1413.5945666572227</v>
      </c>
      <c r="M269" s="242">
        <f>IF(D269="","",SUM(G$46:G269))</f>
        <v>10139.124151999993</v>
      </c>
      <c r="N269" s="242">
        <f>IF(D269="","",SUM(J$46:J269))</f>
        <v>15714.245433342792</v>
      </c>
      <c r="P269" s="245"/>
      <c r="Q269" s="277">
        <f t="shared" si="79"/>
        <v>195.03636552910316</v>
      </c>
      <c r="R269" s="277">
        <f t="shared" si="93"/>
        <v>65.56710503330325</v>
      </c>
      <c r="S269" s="277">
        <f t="shared" si="89"/>
        <v>129.46926049579992</v>
      </c>
      <c r="T269" s="277">
        <f t="shared" si="83"/>
        <v>0</v>
      </c>
      <c r="U269" s="277">
        <f t="shared" si="87"/>
        <v>129.46926049579992</v>
      </c>
      <c r="V269" s="277">
        <f t="shared" si="84"/>
        <v>-92.465809775686495</v>
      </c>
      <c r="W269" s="277">
        <f t="shared" si="88"/>
        <v>37.00345072011342</v>
      </c>
      <c r="X269" s="273">
        <f t="shared" si="85"/>
        <v>1720.2713167158709</v>
      </c>
      <c r="Y269" s="277">
        <f t="shared" si="86"/>
        <v>0</v>
      </c>
      <c r="AA269" s="278"/>
      <c r="AB269" s="277"/>
    </row>
    <row r="270" spans="2:29">
      <c r="B270" s="266">
        <f t="shared" si="90"/>
        <v>19</v>
      </c>
      <c r="C270" s="266"/>
      <c r="D270" s="175">
        <f t="shared" si="73"/>
        <v>225</v>
      </c>
      <c r="E270" s="267">
        <f t="shared" si="74"/>
        <v>48884</v>
      </c>
      <c r="F270" s="268">
        <f t="shared" si="80"/>
        <v>6.4899999999999999E-2</v>
      </c>
      <c r="G270" s="270">
        <f t="shared" si="92"/>
        <v>7.6452</v>
      </c>
      <c r="H270" s="270">
        <f t="shared" si="75"/>
        <v>0</v>
      </c>
      <c r="I270" s="270">
        <f t="shared" si="76"/>
        <v>0</v>
      </c>
      <c r="J270" s="270">
        <f t="shared" si="81"/>
        <v>84.820609775686492</v>
      </c>
      <c r="K270" s="271">
        <f t="shared" si="77"/>
        <v>92.465809775686495</v>
      </c>
      <c r="L270" s="270">
        <f t="shared" si="78"/>
        <v>1328.7739568815362</v>
      </c>
      <c r="M270" s="242">
        <f>IF(D270="","",SUM(G$46:G270))</f>
        <v>10146.769351999994</v>
      </c>
      <c r="N270" s="242">
        <f>IF(D270="","",SUM(J$46:J270))</f>
        <v>15799.066043118479</v>
      </c>
      <c r="P270" s="245"/>
      <c r="Q270" s="277">
        <f t="shared" si="79"/>
        <v>195.03636552910316</v>
      </c>
      <c r="R270" s="277">
        <f t="shared" si="93"/>
        <v>65.56710503330325</v>
      </c>
      <c r="S270" s="277">
        <f t="shared" si="89"/>
        <v>129.46926049579992</v>
      </c>
      <c r="T270" s="277">
        <f t="shared" si="83"/>
        <v>0</v>
      </c>
      <c r="U270" s="277">
        <f t="shared" si="87"/>
        <v>129.46926049579992</v>
      </c>
      <c r="V270" s="277">
        <f t="shared" si="84"/>
        <v>-92.465809775686495</v>
      </c>
      <c r="W270" s="277">
        <f t="shared" si="88"/>
        <v>37.00345072011342</v>
      </c>
      <c r="X270" s="273">
        <f t="shared" si="85"/>
        <v>1757.2747674359844</v>
      </c>
      <c r="Y270" s="277">
        <f t="shared" si="86"/>
        <v>0</v>
      </c>
      <c r="AA270" s="278"/>
      <c r="AB270" s="277"/>
    </row>
    <row r="271" spans="2:29">
      <c r="B271" s="266">
        <f t="shared" si="90"/>
        <v>19</v>
      </c>
      <c r="C271" s="266"/>
      <c r="D271" s="175">
        <f t="shared" si="73"/>
        <v>226</v>
      </c>
      <c r="E271" s="267">
        <f t="shared" si="74"/>
        <v>48914</v>
      </c>
      <c r="F271" s="268">
        <f t="shared" si="80"/>
        <v>6.4899999999999999E-2</v>
      </c>
      <c r="G271" s="270">
        <f t="shared" si="92"/>
        <v>7.1864999999999997</v>
      </c>
      <c r="H271" s="270">
        <f t="shared" si="75"/>
        <v>0</v>
      </c>
      <c r="I271" s="270">
        <f t="shared" si="76"/>
        <v>0</v>
      </c>
      <c r="J271" s="270">
        <f t="shared" si="81"/>
        <v>85.2793097756865</v>
      </c>
      <c r="K271" s="271">
        <f t="shared" si="77"/>
        <v>92.465809775686495</v>
      </c>
      <c r="L271" s="270">
        <f t="shared" si="78"/>
        <v>1243.4946471058497</v>
      </c>
      <c r="M271" s="242">
        <f>IF(D271="","",SUM(G$46:G271))</f>
        <v>10153.955851999994</v>
      </c>
      <c r="N271" s="242">
        <f>IF(D271="","",SUM(J$46:J271))</f>
        <v>15884.345352894165</v>
      </c>
      <c r="P271" s="245"/>
      <c r="Q271" s="277">
        <f t="shared" si="79"/>
        <v>195.03636552910316</v>
      </c>
      <c r="R271" s="277">
        <f t="shared" si="93"/>
        <v>65.56710503330325</v>
      </c>
      <c r="S271" s="277">
        <f t="shared" si="89"/>
        <v>129.46926049579992</v>
      </c>
      <c r="T271" s="277">
        <f t="shared" si="83"/>
        <v>0</v>
      </c>
      <c r="U271" s="277">
        <f t="shared" si="87"/>
        <v>129.46926049579992</v>
      </c>
      <c r="V271" s="277">
        <f t="shared" si="84"/>
        <v>-92.465809775686495</v>
      </c>
      <c r="W271" s="277">
        <f t="shared" si="88"/>
        <v>37.00345072011342</v>
      </c>
      <c r="X271" s="273">
        <f t="shared" si="85"/>
        <v>1794.2782181560979</v>
      </c>
      <c r="Y271" s="277">
        <f t="shared" si="86"/>
        <v>0</v>
      </c>
      <c r="AA271" s="278"/>
      <c r="AB271" s="277"/>
    </row>
    <row r="272" spans="2:29">
      <c r="B272" s="266">
        <f t="shared" si="90"/>
        <v>19</v>
      </c>
      <c r="C272" s="266"/>
      <c r="D272" s="175">
        <f t="shared" si="73"/>
        <v>227</v>
      </c>
      <c r="E272" s="267">
        <f t="shared" si="74"/>
        <v>48945</v>
      </c>
      <c r="F272" s="268">
        <f t="shared" si="80"/>
        <v>6.4899999999999999E-2</v>
      </c>
      <c r="G272" s="270">
        <f t="shared" si="92"/>
        <v>6.7252000000000001</v>
      </c>
      <c r="H272" s="270">
        <f t="shared" si="75"/>
        <v>0</v>
      </c>
      <c r="I272" s="270">
        <f t="shared" si="76"/>
        <v>0</v>
      </c>
      <c r="J272" s="270">
        <f t="shared" si="81"/>
        <v>85.740609775686494</v>
      </c>
      <c r="K272" s="271">
        <f t="shared" si="77"/>
        <v>92.465809775686495</v>
      </c>
      <c r="L272" s="270">
        <f t="shared" si="78"/>
        <v>1157.7540373301631</v>
      </c>
      <c r="M272" s="242">
        <f>IF(D272="","",SUM(G$46:G272))</f>
        <v>10160.681051999994</v>
      </c>
      <c r="N272" s="242">
        <f>IF(D272="","",SUM(J$46:J272))</f>
        <v>15970.085962669851</v>
      </c>
      <c r="P272" s="245"/>
      <c r="Q272" s="277">
        <f t="shared" si="79"/>
        <v>195.03636552910316</v>
      </c>
      <c r="R272" s="277">
        <f t="shared" si="93"/>
        <v>65.56710503330325</v>
      </c>
      <c r="S272" s="277">
        <f t="shared" si="89"/>
        <v>129.46926049579992</v>
      </c>
      <c r="T272" s="277">
        <f t="shared" si="83"/>
        <v>0</v>
      </c>
      <c r="U272" s="277">
        <f t="shared" si="87"/>
        <v>129.46926049579992</v>
      </c>
      <c r="V272" s="277">
        <f t="shared" si="84"/>
        <v>-92.465809775686495</v>
      </c>
      <c r="W272" s="277">
        <f t="shared" si="88"/>
        <v>37.00345072011342</v>
      </c>
      <c r="X272" s="273">
        <f t="shared" si="85"/>
        <v>1831.2816688762114</v>
      </c>
      <c r="Y272" s="277">
        <f t="shared" si="86"/>
        <v>0</v>
      </c>
      <c r="AA272" s="278"/>
      <c r="AB272" s="277"/>
    </row>
    <row r="273" spans="2:28">
      <c r="B273" s="266">
        <f t="shared" si="90"/>
        <v>19</v>
      </c>
      <c r="C273" s="266"/>
      <c r="D273" s="175">
        <f t="shared" si="73"/>
        <v>228</v>
      </c>
      <c r="E273" s="267">
        <f t="shared" si="74"/>
        <v>48976</v>
      </c>
      <c r="F273" s="268">
        <f t="shared" si="80"/>
        <v>6.4899999999999999E-2</v>
      </c>
      <c r="G273" s="270">
        <f t="shared" si="92"/>
        <v>6.2614999999999998</v>
      </c>
      <c r="H273" s="270">
        <f t="shared" si="75"/>
        <v>0</v>
      </c>
      <c r="I273" s="270">
        <f t="shared" si="76"/>
        <v>0</v>
      </c>
      <c r="J273" s="270">
        <f t="shared" si="81"/>
        <v>86.204309775686497</v>
      </c>
      <c r="K273" s="271">
        <f t="shared" si="77"/>
        <v>92.465809775686495</v>
      </c>
      <c r="L273" s="270">
        <f t="shared" si="78"/>
        <v>1071.5497275544767</v>
      </c>
      <c r="M273" s="242">
        <f>IF(D273="","",SUM(G$46:G273))</f>
        <v>10166.942551999995</v>
      </c>
      <c r="N273" s="242">
        <f>IF(D273="","",SUM(J$46:J273))</f>
        <v>16056.290272445538</v>
      </c>
      <c r="P273" s="245"/>
      <c r="Q273" s="277">
        <f t="shared" si="79"/>
        <v>195.03636552910316</v>
      </c>
      <c r="R273" s="277">
        <f t="shared" si="93"/>
        <v>65.56710503330325</v>
      </c>
      <c r="S273" s="277">
        <f t="shared" si="89"/>
        <v>129.46926049579992</v>
      </c>
      <c r="T273" s="277">
        <f t="shared" si="83"/>
        <v>0</v>
      </c>
      <c r="U273" s="277">
        <f t="shared" si="87"/>
        <v>129.46926049579992</v>
      </c>
      <c r="V273" s="277">
        <f t="shared" si="84"/>
        <v>-92.465809775686495</v>
      </c>
      <c r="W273" s="277">
        <f t="shared" si="88"/>
        <v>37.00345072011342</v>
      </c>
      <c r="X273" s="273">
        <f t="shared" si="85"/>
        <v>1868.2851195963249</v>
      </c>
      <c r="Y273" s="277">
        <f t="shared" si="86"/>
        <v>0</v>
      </c>
      <c r="AA273" s="278"/>
      <c r="AB273" s="277"/>
    </row>
    <row r="274" spans="2:28">
      <c r="B274" s="266">
        <f t="shared" si="90"/>
        <v>20</v>
      </c>
      <c r="C274" s="266"/>
      <c r="D274" s="175">
        <f t="shared" si="73"/>
        <v>229</v>
      </c>
      <c r="E274" s="267">
        <f t="shared" si="74"/>
        <v>49004</v>
      </c>
      <c r="F274" s="268">
        <f t="shared" si="80"/>
        <v>6.4899999999999999E-2</v>
      </c>
      <c r="G274" s="270">
        <f t="shared" si="92"/>
        <v>5.7953000000000001</v>
      </c>
      <c r="H274" s="270">
        <f t="shared" si="75"/>
        <v>0</v>
      </c>
      <c r="I274" s="270">
        <f t="shared" si="76"/>
        <v>0</v>
      </c>
      <c r="J274" s="270">
        <f t="shared" si="81"/>
        <v>86.670509775686497</v>
      </c>
      <c r="K274" s="271">
        <f t="shared" si="77"/>
        <v>92.465809775686495</v>
      </c>
      <c r="L274" s="270">
        <f t="shared" si="78"/>
        <v>984.87921777879023</v>
      </c>
      <c r="M274" s="242">
        <f>IF(D274="","",SUM(G$46:G274))</f>
        <v>10172.737851999995</v>
      </c>
      <c r="N274" s="242">
        <f>IF(D274="","",SUM(J$46:J274))</f>
        <v>16142.960782221224</v>
      </c>
      <c r="P274" s="245"/>
      <c r="Q274" s="277">
        <f t="shared" si="79"/>
        <v>201.86263832262173</v>
      </c>
      <c r="R274" s="277">
        <f>Q274-S274</f>
        <v>68.531957132534586</v>
      </c>
      <c r="S274" s="277">
        <f t="shared" si="89"/>
        <v>133.33068119008715</v>
      </c>
      <c r="T274" s="277">
        <f t="shared" si="83"/>
        <v>0</v>
      </c>
      <c r="U274" s="277">
        <f t="shared" si="87"/>
        <v>133.33068119008715</v>
      </c>
      <c r="V274" s="277">
        <f t="shared" si="84"/>
        <v>-92.465809775686495</v>
      </c>
      <c r="W274" s="277">
        <f t="shared" si="88"/>
        <v>40.864871414400653</v>
      </c>
      <c r="X274" s="273">
        <f t="shared" si="85"/>
        <v>1909.1499910107254</v>
      </c>
      <c r="Y274" s="277">
        <f t="shared" si="86"/>
        <v>0</v>
      </c>
      <c r="AA274" s="278"/>
      <c r="AB274" s="277"/>
    </row>
    <row r="275" spans="2:28">
      <c r="B275" s="266">
        <f t="shared" si="90"/>
        <v>20</v>
      </c>
      <c r="C275" s="266"/>
      <c r="D275" s="175">
        <f t="shared" si="73"/>
        <v>230</v>
      </c>
      <c r="E275" s="267">
        <f t="shared" si="74"/>
        <v>49035</v>
      </c>
      <c r="F275" s="268">
        <f t="shared" si="80"/>
        <v>6.4899999999999999E-2</v>
      </c>
      <c r="G275" s="270">
        <f t="shared" si="92"/>
        <v>5.3266</v>
      </c>
      <c r="H275" s="270">
        <f t="shared" si="75"/>
        <v>0</v>
      </c>
      <c r="I275" s="270">
        <f t="shared" si="76"/>
        <v>0</v>
      </c>
      <c r="J275" s="270">
        <f t="shared" si="81"/>
        <v>87.139209775686496</v>
      </c>
      <c r="K275" s="271">
        <f t="shared" si="77"/>
        <v>92.465809775686495</v>
      </c>
      <c r="L275" s="270">
        <f t="shared" si="78"/>
        <v>897.74000800310375</v>
      </c>
      <c r="M275" s="242">
        <f>IF(D275="","",SUM(G$46:G275))</f>
        <v>10178.064451999995</v>
      </c>
      <c r="N275" s="242">
        <f>IF(D275="","",SUM(J$46:J275))</f>
        <v>16230.099991996911</v>
      </c>
      <c r="P275" s="245"/>
      <c r="Q275" s="277">
        <f t="shared" si="79"/>
        <v>201.86263832262173</v>
      </c>
      <c r="R275" s="277">
        <f t="shared" ref="R275:R285" si="94">Q275-S275</f>
        <v>68.531957132534586</v>
      </c>
      <c r="S275" s="277">
        <f t="shared" si="89"/>
        <v>133.33068119008715</v>
      </c>
      <c r="T275" s="277">
        <f t="shared" si="83"/>
        <v>0</v>
      </c>
      <c r="U275" s="277">
        <f t="shared" si="87"/>
        <v>133.33068119008715</v>
      </c>
      <c r="V275" s="277">
        <f t="shared" si="84"/>
        <v>-92.465809775686495</v>
      </c>
      <c r="W275" s="277">
        <f t="shared" si="88"/>
        <v>40.864871414400653</v>
      </c>
      <c r="X275" s="273">
        <f t="shared" si="85"/>
        <v>1950.014862425126</v>
      </c>
      <c r="Y275" s="277">
        <f t="shared" si="86"/>
        <v>0</v>
      </c>
      <c r="AA275" s="278"/>
      <c r="AB275" s="277"/>
    </row>
    <row r="276" spans="2:28">
      <c r="B276" s="266">
        <f t="shared" si="90"/>
        <v>20</v>
      </c>
      <c r="C276" s="266"/>
      <c r="D276" s="175">
        <f t="shared" si="73"/>
        <v>231</v>
      </c>
      <c r="E276" s="267">
        <f t="shared" si="74"/>
        <v>49065</v>
      </c>
      <c r="F276" s="268">
        <f t="shared" si="80"/>
        <v>6.4899999999999999E-2</v>
      </c>
      <c r="G276" s="270">
        <f t="shared" si="92"/>
        <v>4.8552999999999997</v>
      </c>
      <c r="H276" s="270">
        <f t="shared" si="75"/>
        <v>0</v>
      </c>
      <c r="I276" s="270">
        <f t="shared" si="76"/>
        <v>0</v>
      </c>
      <c r="J276" s="270">
        <f t="shared" si="81"/>
        <v>87.610509775686495</v>
      </c>
      <c r="K276" s="271">
        <f t="shared" si="77"/>
        <v>92.465809775686495</v>
      </c>
      <c r="L276" s="270">
        <f t="shared" si="78"/>
        <v>810.12949822741723</v>
      </c>
      <c r="M276" s="242">
        <f>IF(D276="","",SUM(G$46:G276))</f>
        <v>10182.919751999994</v>
      </c>
      <c r="N276" s="242">
        <f>IF(D276="","",SUM(J$46:J276))</f>
        <v>16317.710501772597</v>
      </c>
      <c r="P276" s="245"/>
      <c r="Q276" s="277">
        <f t="shared" si="79"/>
        <v>201.86263832262173</v>
      </c>
      <c r="R276" s="277">
        <f t="shared" si="94"/>
        <v>68.531957132534586</v>
      </c>
      <c r="S276" s="277">
        <f t="shared" si="89"/>
        <v>133.33068119008715</v>
      </c>
      <c r="T276" s="277">
        <f t="shared" si="83"/>
        <v>0</v>
      </c>
      <c r="U276" s="277">
        <f t="shared" si="87"/>
        <v>133.33068119008715</v>
      </c>
      <c r="V276" s="277">
        <f t="shared" si="84"/>
        <v>-92.465809775686495</v>
      </c>
      <c r="W276" s="277">
        <f t="shared" si="88"/>
        <v>40.864871414400653</v>
      </c>
      <c r="X276" s="273">
        <f t="shared" si="85"/>
        <v>1990.8797338395266</v>
      </c>
      <c r="Y276" s="277">
        <f t="shared" si="86"/>
        <v>0</v>
      </c>
      <c r="AA276" s="278"/>
      <c r="AB276" s="277"/>
    </row>
    <row r="277" spans="2:28">
      <c r="B277" s="266">
        <f t="shared" si="90"/>
        <v>20</v>
      </c>
      <c r="C277" s="266"/>
      <c r="D277" s="175">
        <f t="shared" si="73"/>
        <v>232</v>
      </c>
      <c r="E277" s="267">
        <f t="shared" si="74"/>
        <v>49096</v>
      </c>
      <c r="F277" s="268">
        <f t="shared" si="80"/>
        <v>6.4899999999999999E-2</v>
      </c>
      <c r="G277" s="270">
        <f t="shared" si="92"/>
        <v>4.3815</v>
      </c>
      <c r="H277" s="270">
        <f t="shared" si="75"/>
        <v>0</v>
      </c>
      <c r="I277" s="270">
        <f t="shared" si="76"/>
        <v>0</v>
      </c>
      <c r="J277" s="270">
        <f t="shared" si="81"/>
        <v>88.084309775686492</v>
      </c>
      <c r="K277" s="271">
        <f t="shared" si="77"/>
        <v>92.465809775686495</v>
      </c>
      <c r="L277" s="270">
        <f t="shared" si="78"/>
        <v>722.04518845173072</v>
      </c>
      <c r="M277" s="242">
        <f>IF(D277="","",SUM(G$46:G277))</f>
        <v>10187.301251999994</v>
      </c>
      <c r="N277" s="242">
        <f>IF(D277="","",SUM(J$46:J277))</f>
        <v>16405.794811548283</v>
      </c>
      <c r="P277" s="245"/>
      <c r="Q277" s="277">
        <f t="shared" si="79"/>
        <v>201.86263832262173</v>
      </c>
      <c r="R277" s="277">
        <f t="shared" si="94"/>
        <v>68.531957132534586</v>
      </c>
      <c r="S277" s="277">
        <f t="shared" si="89"/>
        <v>133.33068119008715</v>
      </c>
      <c r="T277" s="277">
        <f t="shared" si="83"/>
        <v>0</v>
      </c>
      <c r="U277" s="277">
        <f t="shared" si="87"/>
        <v>133.33068119008715</v>
      </c>
      <c r="V277" s="277">
        <f t="shared" si="84"/>
        <v>-92.465809775686495</v>
      </c>
      <c r="W277" s="277">
        <f t="shared" si="88"/>
        <v>40.864871414400653</v>
      </c>
      <c r="X277" s="273">
        <f t="shared" si="85"/>
        <v>2031.7446052539271</v>
      </c>
      <c r="Y277" s="277">
        <f t="shared" si="86"/>
        <v>0</v>
      </c>
      <c r="AA277" s="278"/>
      <c r="AB277" s="277"/>
    </row>
    <row r="278" spans="2:28">
      <c r="B278" s="266">
        <f t="shared" si="90"/>
        <v>20</v>
      </c>
      <c r="C278" s="266"/>
      <c r="D278" s="175">
        <f t="shared" si="73"/>
        <v>233</v>
      </c>
      <c r="E278" s="267">
        <f t="shared" si="74"/>
        <v>49126</v>
      </c>
      <c r="F278" s="268">
        <f t="shared" si="80"/>
        <v>6.4899999999999999E-2</v>
      </c>
      <c r="G278" s="270">
        <f t="shared" si="92"/>
        <v>3.9051</v>
      </c>
      <c r="H278" s="270">
        <f t="shared" si="75"/>
        <v>0</v>
      </c>
      <c r="I278" s="270">
        <f t="shared" si="76"/>
        <v>0</v>
      </c>
      <c r="J278" s="270">
        <f t="shared" si="81"/>
        <v>88.56070977568649</v>
      </c>
      <c r="K278" s="271">
        <f t="shared" si="77"/>
        <v>92.465809775686495</v>
      </c>
      <c r="L278" s="270">
        <f t="shared" si="78"/>
        <v>633.4844786760442</v>
      </c>
      <c r="M278" s="242">
        <f>IF(D278="","",SUM(G$46:G278))</f>
        <v>10191.206351999994</v>
      </c>
      <c r="N278" s="242">
        <f>IF(D278="","",SUM(J$46:J278))</f>
        <v>16494.355521323971</v>
      </c>
      <c r="P278" s="245"/>
      <c r="Q278" s="277">
        <f t="shared" si="79"/>
        <v>201.86263832262173</v>
      </c>
      <c r="R278" s="277">
        <f t="shared" si="94"/>
        <v>68.531957132534586</v>
      </c>
      <c r="S278" s="277">
        <f t="shared" si="89"/>
        <v>133.33068119008715</v>
      </c>
      <c r="T278" s="277">
        <f t="shared" si="83"/>
        <v>0</v>
      </c>
      <c r="U278" s="277">
        <f t="shared" si="87"/>
        <v>133.33068119008715</v>
      </c>
      <c r="V278" s="277">
        <f t="shared" si="84"/>
        <v>-92.465809775686495</v>
      </c>
      <c r="W278" s="277">
        <f t="shared" si="88"/>
        <v>40.864871414400653</v>
      </c>
      <c r="X278" s="273">
        <f t="shared" si="85"/>
        <v>2072.6094766683277</v>
      </c>
      <c r="Y278" s="277">
        <f t="shared" si="86"/>
        <v>0</v>
      </c>
      <c r="AA278" s="278"/>
      <c r="AB278" s="277"/>
    </row>
    <row r="279" spans="2:28">
      <c r="B279" s="266">
        <f t="shared" si="90"/>
        <v>20</v>
      </c>
      <c r="C279" s="266"/>
      <c r="D279" s="175">
        <f t="shared" si="73"/>
        <v>234</v>
      </c>
      <c r="E279" s="267">
        <f t="shared" si="74"/>
        <v>49157</v>
      </c>
      <c r="F279" s="268">
        <f t="shared" si="80"/>
        <v>6.4899999999999999E-2</v>
      </c>
      <c r="G279" s="270">
        <f t="shared" si="92"/>
        <v>3.4260999999999999</v>
      </c>
      <c r="H279" s="270">
        <f t="shared" si="75"/>
        <v>0</v>
      </c>
      <c r="I279" s="270">
        <f t="shared" si="76"/>
        <v>0</v>
      </c>
      <c r="J279" s="270">
        <f t="shared" si="81"/>
        <v>89.039709775686489</v>
      </c>
      <c r="K279" s="271">
        <f t="shared" si="77"/>
        <v>92.465809775686495</v>
      </c>
      <c r="L279" s="270">
        <f t="shared" si="78"/>
        <v>544.44476890035776</v>
      </c>
      <c r="M279" s="242">
        <f>IF(D279="","",SUM(G$46:G279))</f>
        <v>10194.632451999994</v>
      </c>
      <c r="N279" s="242">
        <f>IF(D279="","",SUM(J$46:J279))</f>
        <v>16583.395231099657</v>
      </c>
      <c r="P279" s="245"/>
      <c r="Q279" s="277">
        <f t="shared" si="79"/>
        <v>201.86263832262173</v>
      </c>
      <c r="R279" s="277">
        <f t="shared" si="94"/>
        <v>68.531957132534586</v>
      </c>
      <c r="S279" s="277">
        <f t="shared" si="89"/>
        <v>133.33068119008715</v>
      </c>
      <c r="T279" s="277">
        <f t="shared" si="83"/>
        <v>0</v>
      </c>
      <c r="U279" s="277">
        <f t="shared" si="87"/>
        <v>133.33068119008715</v>
      </c>
      <c r="V279" s="277">
        <f t="shared" si="84"/>
        <v>-92.465809775686495</v>
      </c>
      <c r="W279" s="277">
        <f t="shared" si="88"/>
        <v>40.864871414400653</v>
      </c>
      <c r="X279" s="273">
        <f t="shared" si="85"/>
        <v>2113.4743480827283</v>
      </c>
      <c r="Y279" s="277">
        <f t="shared" si="86"/>
        <v>0</v>
      </c>
      <c r="AA279" s="278"/>
      <c r="AB279" s="277"/>
    </row>
    <row r="280" spans="2:28">
      <c r="B280" s="266">
        <f t="shared" si="90"/>
        <v>20</v>
      </c>
      <c r="C280" s="266"/>
      <c r="D280" s="175">
        <f t="shared" si="73"/>
        <v>235</v>
      </c>
      <c r="E280" s="267">
        <f t="shared" si="74"/>
        <v>49188</v>
      </c>
      <c r="F280" s="268">
        <f t="shared" si="80"/>
        <v>6.4899999999999999E-2</v>
      </c>
      <c r="G280" s="270">
        <f t="shared" si="92"/>
        <v>2.9445000000000001</v>
      </c>
      <c r="H280" s="270">
        <f t="shared" si="75"/>
        <v>0</v>
      </c>
      <c r="I280" s="270">
        <f t="shared" si="76"/>
        <v>0</v>
      </c>
      <c r="J280" s="270">
        <f t="shared" si="81"/>
        <v>89.52130977568649</v>
      </c>
      <c r="K280" s="271">
        <f t="shared" si="77"/>
        <v>92.465809775686495</v>
      </c>
      <c r="L280" s="270">
        <f t="shared" si="78"/>
        <v>454.92345912467124</v>
      </c>
      <c r="M280" s="242">
        <f>IF(D280="","",SUM(G$46:G280))</f>
        <v>10197.576951999994</v>
      </c>
      <c r="N280" s="242">
        <f>IF(D280="","",SUM(J$46:J280))</f>
        <v>16672.916540875343</v>
      </c>
      <c r="P280" s="245"/>
      <c r="Q280" s="277">
        <f t="shared" si="79"/>
        <v>201.86263832262173</v>
      </c>
      <c r="R280" s="277">
        <f t="shared" si="94"/>
        <v>68.531957132534586</v>
      </c>
      <c r="S280" s="277">
        <f t="shared" si="89"/>
        <v>133.33068119008715</v>
      </c>
      <c r="T280" s="277">
        <f t="shared" si="83"/>
        <v>0</v>
      </c>
      <c r="U280" s="277">
        <f t="shared" si="87"/>
        <v>133.33068119008715</v>
      </c>
      <c r="V280" s="277">
        <f t="shared" si="84"/>
        <v>-92.465809775686495</v>
      </c>
      <c r="W280" s="277">
        <f t="shared" si="88"/>
        <v>40.864871414400653</v>
      </c>
      <c r="X280" s="273">
        <f t="shared" si="85"/>
        <v>2154.3392194971289</v>
      </c>
      <c r="Y280" s="277">
        <f t="shared" si="86"/>
        <v>0</v>
      </c>
      <c r="AA280" s="278"/>
      <c r="AB280" s="277"/>
    </row>
    <row r="281" spans="2:28">
      <c r="B281" s="266">
        <f t="shared" si="90"/>
        <v>20</v>
      </c>
      <c r="C281" s="266"/>
      <c r="D281" s="175">
        <f t="shared" si="73"/>
        <v>236</v>
      </c>
      <c r="E281" s="267">
        <f t="shared" si="74"/>
        <v>49218</v>
      </c>
      <c r="F281" s="268">
        <f t="shared" si="80"/>
        <v>6.4899999999999999E-2</v>
      </c>
      <c r="G281" s="270">
        <f t="shared" si="92"/>
        <v>2.4603999999999999</v>
      </c>
      <c r="H281" s="270">
        <f t="shared" si="75"/>
        <v>0</v>
      </c>
      <c r="I281" s="270">
        <f t="shared" si="76"/>
        <v>0</v>
      </c>
      <c r="J281" s="270">
        <f t="shared" si="81"/>
        <v>90.005409775686502</v>
      </c>
      <c r="K281" s="271">
        <f t="shared" si="77"/>
        <v>92.465809775686495</v>
      </c>
      <c r="L281" s="270">
        <f t="shared" si="78"/>
        <v>364.91804934898471</v>
      </c>
      <c r="M281" s="242">
        <f>IF(D281="","",SUM(G$46:G281))</f>
        <v>10200.037351999994</v>
      </c>
      <c r="N281" s="242">
        <f>IF(D281="","",SUM(J$46:J281))</f>
        <v>16762.921950651031</v>
      </c>
      <c r="P281" s="245"/>
      <c r="Q281" s="277">
        <f t="shared" si="79"/>
        <v>201.86263832262173</v>
      </c>
      <c r="R281" s="277">
        <f t="shared" si="94"/>
        <v>68.531957132534586</v>
      </c>
      <c r="S281" s="277">
        <f t="shared" si="89"/>
        <v>133.33068119008715</v>
      </c>
      <c r="T281" s="277">
        <f t="shared" si="83"/>
        <v>0</v>
      </c>
      <c r="U281" s="277">
        <f t="shared" si="87"/>
        <v>133.33068119008715</v>
      </c>
      <c r="V281" s="277">
        <f t="shared" si="84"/>
        <v>-92.465809775686495</v>
      </c>
      <c r="W281" s="277">
        <f t="shared" si="88"/>
        <v>40.864871414400653</v>
      </c>
      <c r="X281" s="273">
        <f t="shared" si="85"/>
        <v>2195.2040909115294</v>
      </c>
      <c r="Y281" s="277">
        <f t="shared" si="86"/>
        <v>0</v>
      </c>
      <c r="AA281" s="278"/>
      <c r="AB281" s="277"/>
    </row>
    <row r="282" spans="2:28">
      <c r="B282" s="266">
        <f t="shared" si="90"/>
        <v>20</v>
      </c>
      <c r="C282" s="266"/>
      <c r="D282" s="175">
        <f t="shared" si="73"/>
        <v>237</v>
      </c>
      <c r="E282" s="267">
        <f t="shared" si="74"/>
        <v>49249</v>
      </c>
      <c r="F282" s="268">
        <f t="shared" si="80"/>
        <v>6.4899999999999999E-2</v>
      </c>
      <c r="G282" s="270">
        <f t="shared" si="92"/>
        <v>1.9736</v>
      </c>
      <c r="H282" s="270">
        <f t="shared" si="75"/>
        <v>0</v>
      </c>
      <c r="I282" s="270">
        <f t="shared" si="76"/>
        <v>0</v>
      </c>
      <c r="J282" s="270">
        <f t="shared" si="81"/>
        <v>90.49220977568649</v>
      </c>
      <c r="K282" s="271">
        <f t="shared" si="77"/>
        <v>92.465809775686495</v>
      </c>
      <c r="L282" s="270">
        <f t="shared" si="78"/>
        <v>274.42583957329822</v>
      </c>
      <c r="M282" s="242">
        <f>IF(D282="","",SUM(G$46:G282))</f>
        <v>10202.010951999993</v>
      </c>
      <c r="N282" s="242">
        <f>IF(D282="","",SUM(J$46:J282))</f>
        <v>16853.414160426717</v>
      </c>
      <c r="P282" s="245"/>
      <c r="Q282" s="277">
        <f t="shared" si="79"/>
        <v>201.86263832262173</v>
      </c>
      <c r="R282" s="277">
        <f t="shared" si="94"/>
        <v>68.531957132534586</v>
      </c>
      <c r="S282" s="277">
        <f t="shared" si="89"/>
        <v>133.33068119008715</v>
      </c>
      <c r="T282" s="277">
        <f t="shared" si="83"/>
        <v>0</v>
      </c>
      <c r="U282" s="277">
        <f t="shared" si="87"/>
        <v>133.33068119008715</v>
      </c>
      <c r="V282" s="277">
        <f t="shared" si="84"/>
        <v>-92.465809775686495</v>
      </c>
      <c r="W282" s="277">
        <f t="shared" si="88"/>
        <v>40.864871414400653</v>
      </c>
      <c r="X282" s="273">
        <f t="shared" si="85"/>
        <v>2236.06896232593</v>
      </c>
      <c r="Y282" s="277">
        <f t="shared" si="86"/>
        <v>0</v>
      </c>
      <c r="AA282" s="278"/>
      <c r="AB282" s="277"/>
    </row>
    <row r="283" spans="2:28">
      <c r="B283" s="266">
        <f t="shared" si="90"/>
        <v>20</v>
      </c>
      <c r="C283" s="266"/>
      <c r="D283" s="175">
        <f t="shared" si="73"/>
        <v>238</v>
      </c>
      <c r="E283" s="267">
        <f t="shared" si="74"/>
        <v>49279</v>
      </c>
      <c r="F283" s="268">
        <f t="shared" si="80"/>
        <v>6.4899999999999999E-2</v>
      </c>
      <c r="G283" s="270">
        <f t="shared" si="92"/>
        <v>1.4842</v>
      </c>
      <c r="H283" s="270">
        <f t="shared" si="75"/>
        <v>0</v>
      </c>
      <c r="I283" s="270">
        <f t="shared" si="76"/>
        <v>0</v>
      </c>
      <c r="J283" s="270">
        <f t="shared" si="81"/>
        <v>90.981609775686493</v>
      </c>
      <c r="K283" s="271">
        <f t="shared" si="77"/>
        <v>92.465809775686495</v>
      </c>
      <c r="L283" s="270">
        <f t="shared" si="78"/>
        <v>183.44422979761174</v>
      </c>
      <c r="M283" s="242">
        <f>IF(D283="","",SUM(G$46:G283))</f>
        <v>10203.495151999994</v>
      </c>
      <c r="N283" s="242">
        <f>IF(D283="","",SUM(J$46:J283))</f>
        <v>16944.395770202402</v>
      </c>
      <c r="P283" s="245"/>
      <c r="Q283" s="277">
        <f t="shared" si="79"/>
        <v>201.86263832262173</v>
      </c>
      <c r="R283" s="277">
        <f t="shared" si="94"/>
        <v>68.531957132534586</v>
      </c>
      <c r="S283" s="277">
        <f t="shared" si="89"/>
        <v>133.33068119008715</v>
      </c>
      <c r="T283" s="277">
        <f t="shared" si="83"/>
        <v>0</v>
      </c>
      <c r="U283" s="277">
        <f t="shared" si="87"/>
        <v>133.33068119008715</v>
      </c>
      <c r="V283" s="277">
        <f t="shared" si="84"/>
        <v>-92.465809775686495</v>
      </c>
      <c r="W283" s="277">
        <f t="shared" si="88"/>
        <v>40.864871414400653</v>
      </c>
      <c r="X283" s="273">
        <f t="shared" si="85"/>
        <v>2276.9338337403306</v>
      </c>
      <c r="Y283" s="277">
        <f t="shared" si="86"/>
        <v>0</v>
      </c>
      <c r="AA283" s="278"/>
      <c r="AB283" s="277"/>
    </row>
    <row r="284" spans="2:28">
      <c r="B284" s="266">
        <f t="shared" si="90"/>
        <v>20</v>
      </c>
      <c r="C284" s="266"/>
      <c r="D284" s="175">
        <f t="shared" si="73"/>
        <v>239</v>
      </c>
      <c r="E284" s="267">
        <f t="shared" si="74"/>
        <v>49310</v>
      </c>
      <c r="F284" s="268">
        <f t="shared" si="80"/>
        <v>6.4899999999999999E-2</v>
      </c>
      <c r="G284" s="270">
        <f t="shared" si="92"/>
        <v>0.99209999999999998</v>
      </c>
      <c r="H284" s="270">
        <f t="shared" si="75"/>
        <v>0</v>
      </c>
      <c r="I284" s="270">
        <f t="shared" si="76"/>
        <v>0</v>
      </c>
      <c r="J284" s="270">
        <f t="shared" si="81"/>
        <v>91.473709775686501</v>
      </c>
      <c r="K284" s="271">
        <f t="shared" si="77"/>
        <v>92.465809775686495</v>
      </c>
      <c r="L284" s="270">
        <f t="shared" si="78"/>
        <v>91.970520021925239</v>
      </c>
      <c r="M284" s="242">
        <f>IF(D284="","",SUM(G$46:G284))</f>
        <v>10204.487251999994</v>
      </c>
      <c r="N284" s="242">
        <f>IF(D284="","",SUM(J$46:J284))</f>
        <v>17035.86947997809</v>
      </c>
      <c r="P284" s="245"/>
      <c r="Q284" s="277">
        <f t="shared" si="79"/>
        <v>201.86263832262173</v>
      </c>
      <c r="R284" s="277">
        <f t="shared" si="94"/>
        <v>68.531957132534586</v>
      </c>
      <c r="S284" s="277">
        <f t="shared" si="89"/>
        <v>133.33068119008715</v>
      </c>
      <c r="T284" s="277">
        <f t="shared" si="83"/>
        <v>0</v>
      </c>
      <c r="U284" s="277">
        <f t="shared" si="87"/>
        <v>133.33068119008715</v>
      </c>
      <c r="V284" s="277">
        <f t="shared" si="84"/>
        <v>-92.465809775686495</v>
      </c>
      <c r="W284" s="277">
        <f t="shared" si="88"/>
        <v>40.864871414400653</v>
      </c>
      <c r="X284" s="273">
        <f t="shared" si="85"/>
        <v>2317.7987051547311</v>
      </c>
      <c r="Y284" s="277">
        <f t="shared" si="86"/>
        <v>0</v>
      </c>
      <c r="AA284" s="278"/>
      <c r="AB284" s="278"/>
    </row>
    <row r="285" spans="2:28">
      <c r="B285" s="285">
        <f t="shared" si="90"/>
        <v>20</v>
      </c>
      <c r="C285" s="285"/>
      <c r="D285" s="207">
        <f t="shared" si="73"/>
        <v>240</v>
      </c>
      <c r="E285" s="286">
        <f t="shared" si="74"/>
        <v>49341</v>
      </c>
      <c r="F285" s="287">
        <f t="shared" si="80"/>
        <v>6.4899999999999999E-2</v>
      </c>
      <c r="G285" s="288">
        <f t="shared" si="92"/>
        <v>0.49740000000000001</v>
      </c>
      <c r="H285" s="288">
        <f t="shared" si="75"/>
        <v>0</v>
      </c>
      <c r="I285" s="288">
        <f t="shared" si="76"/>
        <v>0</v>
      </c>
      <c r="J285" s="270">
        <f t="shared" si="81"/>
        <v>91.968409775686496</v>
      </c>
      <c r="K285" s="271">
        <f t="shared" si="77"/>
        <v>92.465809775686495</v>
      </c>
      <c r="L285" s="288">
        <f t="shared" si="78"/>
        <v>2.1102462387432297E-3</v>
      </c>
      <c r="M285" s="289">
        <f>IF(D285="","",SUM(G$46:G285))</f>
        <v>10204.984651999994</v>
      </c>
      <c r="N285" s="289">
        <f>IF(D285="","",SUM(J$46:J285))</f>
        <v>17127.837889753777</v>
      </c>
      <c r="O285" s="290"/>
      <c r="P285" s="291"/>
      <c r="Q285" s="292">
        <f t="shared" si="79"/>
        <v>201.86263832262173</v>
      </c>
      <c r="R285" s="292">
        <f t="shared" si="94"/>
        <v>68.531957132534586</v>
      </c>
      <c r="S285" s="292">
        <f t="shared" si="89"/>
        <v>133.33068119008715</v>
      </c>
      <c r="T285" s="292">
        <f t="shared" si="83"/>
        <v>0</v>
      </c>
      <c r="U285" s="292">
        <f t="shared" si="87"/>
        <v>133.33068119008715</v>
      </c>
      <c r="V285" s="292">
        <f t="shared" si="84"/>
        <v>-92.467920021925238</v>
      </c>
      <c r="W285" s="292">
        <f t="shared" si="88"/>
        <v>41.360161168161909</v>
      </c>
      <c r="X285" s="273">
        <f t="shared" si="85"/>
        <v>2358.6614663228929</v>
      </c>
      <c r="Y285" s="292">
        <f t="shared" si="86"/>
        <v>0</v>
      </c>
      <c r="AA285" s="278"/>
      <c r="AB285" s="278"/>
    </row>
    <row r="286" spans="2:28">
      <c r="B286" s="266">
        <f t="shared" si="90"/>
        <v>21</v>
      </c>
      <c r="C286" s="266"/>
      <c r="D286" s="293">
        <f>D285+1</f>
        <v>241</v>
      </c>
      <c r="E286" s="294">
        <f t="shared" si="74"/>
        <v>49369</v>
      </c>
      <c r="F286" s="268">
        <f t="shared" si="80"/>
        <v>6.4899999999999999E-2</v>
      </c>
      <c r="G286" s="270">
        <f t="shared" ref="G286:G345" si="95">IF(D286="","",ROUND(F286/12*L285,2))</f>
        <v>0</v>
      </c>
      <c r="H286" s="270">
        <f t="shared" si="75"/>
        <v>0</v>
      </c>
      <c r="I286" s="270">
        <f t="shared" si="76"/>
        <v>0</v>
      </c>
      <c r="J286" s="295">
        <f t="shared" si="81"/>
        <v>2.1102462387432297E-3</v>
      </c>
      <c r="K286" s="296">
        <f t="shared" si="77"/>
        <v>2.1102462387432297E-3</v>
      </c>
      <c r="L286" s="297">
        <f t="shared" si="78"/>
        <v>0</v>
      </c>
      <c r="M286" s="297">
        <f>IF(D286="","",SUM(G$46:G286))</f>
        <v>10204.984651999994</v>
      </c>
      <c r="N286" s="270">
        <f>IF(D286="","",SUM(J$46:J286))</f>
        <v>17127.840000000015</v>
      </c>
      <c r="P286" s="245"/>
      <c r="Q286" s="277">
        <f t="shared" si="79"/>
        <v>208.92783066391348</v>
      </c>
      <c r="R286" s="277">
        <f t="shared" ref="R286:R345" si="96">+IF(B286&gt;1,$J$19*((1+$J$21)^(B286-1)),$J$19)</f>
        <v>57.141761686580338</v>
      </c>
      <c r="S286" s="277">
        <f t="shared" si="89"/>
        <v>137.30726875658149</v>
      </c>
      <c r="T286" s="277">
        <f t="shared" si="83"/>
        <v>0</v>
      </c>
      <c r="U286" s="277">
        <f t="shared" si="87"/>
        <v>137.30726875658149</v>
      </c>
      <c r="V286" s="277">
        <f t="shared" si="84"/>
        <v>-2.1102462387432297E-3</v>
      </c>
      <c r="W286" s="277">
        <f t="shared" si="88"/>
        <v>137.30515851034275</v>
      </c>
      <c r="X286" s="298">
        <f t="shared" si="85"/>
        <v>2495.9666248332355</v>
      </c>
      <c r="AA286" s="278"/>
      <c r="AB286" s="278"/>
    </row>
    <row r="287" spans="2:28">
      <c r="B287" s="266">
        <f t="shared" si="90"/>
        <v>21</v>
      </c>
      <c r="C287" s="266"/>
      <c r="D287" s="293">
        <f t="shared" ref="D287:D345" si="97">D286+1</f>
        <v>242</v>
      </c>
      <c r="E287" s="294">
        <f t="shared" si="74"/>
        <v>49400</v>
      </c>
      <c r="F287" s="268">
        <f t="shared" si="80"/>
        <v>6.4899999999999999E-2</v>
      </c>
      <c r="G287" s="270">
        <f t="shared" si="95"/>
        <v>0</v>
      </c>
      <c r="H287" s="270">
        <f t="shared" si="75"/>
        <v>0</v>
      </c>
      <c r="I287" s="270">
        <f t="shared" si="76"/>
        <v>0</v>
      </c>
      <c r="J287" s="270">
        <f t="shared" si="81"/>
        <v>0</v>
      </c>
      <c r="K287" s="271">
        <f t="shared" si="77"/>
        <v>0</v>
      </c>
      <c r="L287" s="297">
        <f t="shared" si="78"/>
        <v>0</v>
      </c>
      <c r="M287" s="297">
        <f>IF(D287="","",SUM(G$46:G287))</f>
        <v>10204.984651999994</v>
      </c>
      <c r="N287" s="270">
        <f>IF(D287="","",SUM(J$46:J287))</f>
        <v>17127.840000000015</v>
      </c>
      <c r="P287" s="245"/>
      <c r="Q287" s="277">
        <f t="shared" si="79"/>
        <v>208.92783066391348</v>
      </c>
      <c r="R287" s="277">
        <f t="shared" si="96"/>
        <v>57.141761686580338</v>
      </c>
      <c r="S287" s="277">
        <f t="shared" si="89"/>
        <v>137.30726875658149</v>
      </c>
      <c r="T287" s="277">
        <f t="shared" si="83"/>
        <v>0</v>
      </c>
      <c r="U287" s="277">
        <f t="shared" si="87"/>
        <v>137.30726875658149</v>
      </c>
      <c r="V287" s="277">
        <f t="shared" si="84"/>
        <v>0</v>
      </c>
      <c r="W287" s="277">
        <f t="shared" si="88"/>
        <v>137.30726875658149</v>
      </c>
      <c r="X287" s="273">
        <f t="shared" si="85"/>
        <v>2633.2738935898169</v>
      </c>
      <c r="AA287" s="278"/>
      <c r="AB287" s="277"/>
    </row>
    <row r="288" spans="2:28">
      <c r="B288" s="266">
        <f t="shared" si="90"/>
        <v>21</v>
      </c>
      <c r="C288" s="266"/>
      <c r="D288" s="293">
        <f t="shared" si="97"/>
        <v>243</v>
      </c>
      <c r="E288" s="294">
        <f t="shared" si="74"/>
        <v>49430</v>
      </c>
      <c r="F288" s="268">
        <f t="shared" si="80"/>
        <v>6.4899999999999999E-2</v>
      </c>
      <c r="G288" s="270">
        <f t="shared" si="95"/>
        <v>0</v>
      </c>
      <c r="H288" s="270">
        <f t="shared" si="75"/>
        <v>0</v>
      </c>
      <c r="I288" s="270">
        <f t="shared" si="76"/>
        <v>0</v>
      </c>
      <c r="J288" s="270">
        <f t="shared" si="81"/>
        <v>0</v>
      </c>
      <c r="K288" s="271">
        <f t="shared" si="77"/>
        <v>0</v>
      </c>
      <c r="L288" s="297">
        <f t="shared" si="78"/>
        <v>0</v>
      </c>
      <c r="M288" s="297">
        <f>IF(D288="","",SUM(G$46:G288))</f>
        <v>10204.984651999994</v>
      </c>
      <c r="N288" s="270">
        <f>IF(D288="","",SUM(J$46:J288))</f>
        <v>17127.840000000015</v>
      </c>
      <c r="P288" s="245"/>
      <c r="Q288" s="277">
        <f t="shared" si="79"/>
        <v>208.92783066391348</v>
      </c>
      <c r="R288" s="277">
        <f t="shared" si="96"/>
        <v>57.141761686580338</v>
      </c>
      <c r="S288" s="277">
        <f t="shared" si="89"/>
        <v>137.30726875658149</v>
      </c>
      <c r="T288" s="277">
        <f t="shared" si="83"/>
        <v>0</v>
      </c>
      <c r="U288" s="277">
        <f t="shared" si="87"/>
        <v>137.30726875658149</v>
      </c>
      <c r="V288" s="277">
        <f t="shared" si="84"/>
        <v>0</v>
      </c>
      <c r="W288" s="277">
        <f t="shared" si="88"/>
        <v>137.30726875658149</v>
      </c>
      <c r="X288" s="273">
        <f t="shared" si="85"/>
        <v>2770.5811623463983</v>
      </c>
      <c r="AA288" s="278"/>
      <c r="AB288" s="277"/>
    </row>
    <row r="289" spans="2:28">
      <c r="B289" s="266">
        <f t="shared" si="90"/>
        <v>21</v>
      </c>
      <c r="C289" s="266"/>
      <c r="D289" s="293">
        <f t="shared" si="97"/>
        <v>244</v>
      </c>
      <c r="E289" s="294">
        <f t="shared" si="74"/>
        <v>49461</v>
      </c>
      <c r="F289" s="268">
        <f t="shared" si="80"/>
        <v>6.4899999999999999E-2</v>
      </c>
      <c r="G289" s="270">
        <f t="shared" si="95"/>
        <v>0</v>
      </c>
      <c r="H289" s="270">
        <f t="shared" si="75"/>
        <v>0</v>
      </c>
      <c r="I289" s="270">
        <f t="shared" si="76"/>
        <v>0</v>
      </c>
      <c r="J289" s="270">
        <f t="shared" si="81"/>
        <v>0</v>
      </c>
      <c r="K289" s="271">
        <f t="shared" si="77"/>
        <v>0</v>
      </c>
      <c r="L289" s="297">
        <f t="shared" si="78"/>
        <v>0</v>
      </c>
      <c r="M289" s="297">
        <f>IF(D289="","",SUM(G$46:G289))</f>
        <v>10204.984651999994</v>
      </c>
      <c r="N289" s="270">
        <f>IF(D289="","",SUM(J$46:J289))</f>
        <v>17127.840000000015</v>
      </c>
      <c r="P289" s="245"/>
      <c r="Q289" s="277">
        <f t="shared" si="79"/>
        <v>208.92783066391348</v>
      </c>
      <c r="R289" s="277">
        <f t="shared" si="96"/>
        <v>57.141761686580338</v>
      </c>
      <c r="S289" s="277">
        <f t="shared" si="89"/>
        <v>137.30726875658149</v>
      </c>
      <c r="T289" s="277">
        <f t="shared" si="83"/>
        <v>0</v>
      </c>
      <c r="U289" s="277">
        <f t="shared" si="87"/>
        <v>137.30726875658149</v>
      </c>
      <c r="V289" s="277">
        <f t="shared" si="84"/>
        <v>0</v>
      </c>
      <c r="W289" s="277">
        <f t="shared" si="88"/>
        <v>137.30726875658149</v>
      </c>
      <c r="X289" s="273">
        <f t="shared" si="85"/>
        <v>2907.8884311029797</v>
      </c>
      <c r="AA289" s="278"/>
      <c r="AB289" s="277"/>
    </row>
    <row r="290" spans="2:28">
      <c r="B290" s="266">
        <f t="shared" si="90"/>
        <v>21</v>
      </c>
      <c r="C290" s="266"/>
      <c r="D290" s="293">
        <f t="shared" si="97"/>
        <v>245</v>
      </c>
      <c r="E290" s="294">
        <f t="shared" si="74"/>
        <v>49491</v>
      </c>
      <c r="F290" s="268">
        <f t="shared" si="80"/>
        <v>6.4899999999999999E-2</v>
      </c>
      <c r="G290" s="270">
        <f t="shared" si="95"/>
        <v>0</v>
      </c>
      <c r="H290" s="270">
        <f t="shared" si="75"/>
        <v>0</v>
      </c>
      <c r="I290" s="270">
        <f t="shared" si="76"/>
        <v>0</v>
      </c>
      <c r="J290" s="270">
        <f t="shared" si="81"/>
        <v>0</v>
      </c>
      <c r="K290" s="271">
        <f t="shared" si="77"/>
        <v>0</v>
      </c>
      <c r="L290" s="297">
        <f t="shared" si="78"/>
        <v>0</v>
      </c>
      <c r="M290" s="297">
        <f>IF(D290="","",SUM(G$46:G290))</f>
        <v>10204.984651999994</v>
      </c>
      <c r="N290" s="270">
        <f>IF(D290="","",SUM(J$46:J290))</f>
        <v>17127.840000000015</v>
      </c>
      <c r="P290" s="245"/>
      <c r="Q290" s="277">
        <f t="shared" si="79"/>
        <v>208.92783066391348</v>
      </c>
      <c r="R290" s="277">
        <f t="shared" si="96"/>
        <v>57.141761686580338</v>
      </c>
      <c r="S290" s="277">
        <f t="shared" si="89"/>
        <v>137.30726875658149</v>
      </c>
      <c r="T290" s="277">
        <f t="shared" si="83"/>
        <v>0</v>
      </c>
      <c r="U290" s="277">
        <f t="shared" si="87"/>
        <v>137.30726875658149</v>
      </c>
      <c r="V290" s="277">
        <f t="shared" si="84"/>
        <v>0</v>
      </c>
      <c r="W290" s="277">
        <f t="shared" si="88"/>
        <v>137.30726875658149</v>
      </c>
      <c r="X290" s="273">
        <f t="shared" si="85"/>
        <v>3045.195699859561</v>
      </c>
      <c r="AA290" s="278"/>
      <c r="AB290" s="277"/>
    </row>
    <row r="291" spans="2:28">
      <c r="B291" s="266">
        <f t="shared" si="90"/>
        <v>21</v>
      </c>
      <c r="C291" s="266"/>
      <c r="D291" s="293">
        <f t="shared" si="97"/>
        <v>246</v>
      </c>
      <c r="E291" s="294">
        <f t="shared" si="74"/>
        <v>49522</v>
      </c>
      <c r="F291" s="268">
        <f t="shared" si="80"/>
        <v>6.4899999999999999E-2</v>
      </c>
      <c r="G291" s="270">
        <f t="shared" si="95"/>
        <v>0</v>
      </c>
      <c r="H291" s="270">
        <f t="shared" si="75"/>
        <v>0</v>
      </c>
      <c r="I291" s="270">
        <f t="shared" si="76"/>
        <v>0</v>
      </c>
      <c r="J291" s="270">
        <f t="shared" si="81"/>
        <v>0</v>
      </c>
      <c r="K291" s="271">
        <f t="shared" si="77"/>
        <v>0</v>
      </c>
      <c r="L291" s="297">
        <f t="shared" si="78"/>
        <v>0</v>
      </c>
      <c r="M291" s="297">
        <f>IF(D291="","",SUM(G$46:G291))</f>
        <v>10204.984651999994</v>
      </c>
      <c r="N291" s="270">
        <f>IF(D291="","",SUM(J$46:J291))</f>
        <v>17127.840000000015</v>
      </c>
      <c r="P291" s="245"/>
      <c r="Q291" s="277">
        <f t="shared" si="79"/>
        <v>208.92783066391348</v>
      </c>
      <c r="R291" s="277">
        <f t="shared" si="96"/>
        <v>57.141761686580338</v>
      </c>
      <c r="S291" s="277">
        <f t="shared" si="89"/>
        <v>137.30726875658149</v>
      </c>
      <c r="T291" s="277">
        <f t="shared" si="83"/>
        <v>0</v>
      </c>
      <c r="U291" s="277">
        <f t="shared" si="87"/>
        <v>137.30726875658149</v>
      </c>
      <c r="V291" s="277">
        <f t="shared" si="84"/>
        <v>0</v>
      </c>
      <c r="W291" s="277">
        <f t="shared" si="88"/>
        <v>137.30726875658149</v>
      </c>
      <c r="X291" s="273">
        <f t="shared" si="85"/>
        <v>3182.5029686161424</v>
      </c>
      <c r="AA291" s="278"/>
      <c r="AB291" s="277"/>
    </row>
    <row r="292" spans="2:28">
      <c r="B292" s="266">
        <f t="shared" si="90"/>
        <v>21</v>
      </c>
      <c r="C292" s="266"/>
      <c r="D292" s="293">
        <f t="shared" si="97"/>
        <v>247</v>
      </c>
      <c r="E292" s="294">
        <f t="shared" si="74"/>
        <v>49553</v>
      </c>
      <c r="F292" s="268">
        <f t="shared" si="80"/>
        <v>6.4899999999999999E-2</v>
      </c>
      <c r="G292" s="270">
        <f t="shared" si="95"/>
        <v>0</v>
      </c>
      <c r="H292" s="270">
        <f t="shared" si="75"/>
        <v>0</v>
      </c>
      <c r="I292" s="270">
        <f t="shared" si="76"/>
        <v>0</v>
      </c>
      <c r="J292" s="270">
        <f t="shared" si="81"/>
        <v>0</v>
      </c>
      <c r="K292" s="271">
        <f t="shared" si="77"/>
        <v>0</v>
      </c>
      <c r="L292" s="297">
        <f t="shared" si="78"/>
        <v>0</v>
      </c>
      <c r="M292" s="297">
        <f>IF(D292="","",SUM(G$46:G292))</f>
        <v>10204.984651999994</v>
      </c>
      <c r="N292" s="270">
        <f>IF(D292="","",SUM(J$46:J292))</f>
        <v>17127.840000000015</v>
      </c>
      <c r="P292" s="245"/>
      <c r="Q292" s="277">
        <f t="shared" si="79"/>
        <v>208.92783066391348</v>
      </c>
      <c r="R292" s="277">
        <f t="shared" si="96"/>
        <v>57.141761686580338</v>
      </c>
      <c r="S292" s="277">
        <f t="shared" si="89"/>
        <v>137.30726875658149</v>
      </c>
      <c r="T292" s="277">
        <f t="shared" si="83"/>
        <v>0</v>
      </c>
      <c r="U292" s="277">
        <f t="shared" si="87"/>
        <v>137.30726875658149</v>
      </c>
      <c r="V292" s="277">
        <f t="shared" si="84"/>
        <v>0</v>
      </c>
      <c r="W292" s="277">
        <f t="shared" si="88"/>
        <v>137.30726875658149</v>
      </c>
      <c r="X292" s="273">
        <f t="shared" si="85"/>
        <v>3319.8102373727238</v>
      </c>
      <c r="AA292" s="278"/>
      <c r="AB292" s="277"/>
    </row>
    <row r="293" spans="2:28">
      <c r="B293" s="266">
        <f t="shared" si="90"/>
        <v>21</v>
      </c>
      <c r="C293" s="266"/>
      <c r="D293" s="293">
        <f t="shared" si="97"/>
        <v>248</v>
      </c>
      <c r="E293" s="294">
        <f t="shared" si="74"/>
        <v>49583</v>
      </c>
      <c r="F293" s="268">
        <f t="shared" si="80"/>
        <v>6.4899999999999999E-2</v>
      </c>
      <c r="G293" s="270">
        <f t="shared" si="95"/>
        <v>0</v>
      </c>
      <c r="H293" s="270">
        <f t="shared" si="75"/>
        <v>0</v>
      </c>
      <c r="I293" s="270">
        <f t="shared" si="76"/>
        <v>0</v>
      </c>
      <c r="J293" s="270">
        <f t="shared" si="81"/>
        <v>0</v>
      </c>
      <c r="K293" s="271">
        <f t="shared" si="77"/>
        <v>0</v>
      </c>
      <c r="L293" s="297">
        <f t="shared" si="78"/>
        <v>0</v>
      </c>
      <c r="M293" s="297">
        <f>IF(D293="","",SUM(G$46:G293))</f>
        <v>10204.984651999994</v>
      </c>
      <c r="N293" s="270">
        <f>IF(D293="","",SUM(J$46:J293))</f>
        <v>17127.840000000015</v>
      </c>
      <c r="P293" s="245"/>
      <c r="Q293" s="277">
        <f t="shared" si="79"/>
        <v>208.92783066391348</v>
      </c>
      <c r="R293" s="277">
        <f t="shared" si="96"/>
        <v>57.141761686580338</v>
      </c>
      <c r="S293" s="277">
        <f t="shared" si="89"/>
        <v>137.30726875658149</v>
      </c>
      <c r="T293" s="277">
        <f t="shared" si="83"/>
        <v>0</v>
      </c>
      <c r="U293" s="277">
        <f t="shared" si="87"/>
        <v>137.30726875658149</v>
      </c>
      <c r="V293" s="277">
        <f t="shared" si="84"/>
        <v>0</v>
      </c>
      <c r="W293" s="277">
        <f t="shared" si="88"/>
        <v>137.30726875658149</v>
      </c>
      <c r="X293" s="273">
        <f t="shared" si="85"/>
        <v>3457.1175061293052</v>
      </c>
      <c r="AA293" s="278"/>
      <c r="AB293" s="277"/>
    </row>
    <row r="294" spans="2:28">
      <c r="B294" s="266">
        <f t="shared" si="90"/>
        <v>21</v>
      </c>
      <c r="C294" s="266"/>
      <c r="D294" s="293">
        <f t="shared" si="97"/>
        <v>249</v>
      </c>
      <c r="E294" s="294">
        <f t="shared" si="74"/>
        <v>49614</v>
      </c>
      <c r="F294" s="268">
        <f t="shared" si="80"/>
        <v>6.4899999999999999E-2</v>
      </c>
      <c r="G294" s="270">
        <f t="shared" si="95"/>
        <v>0</v>
      </c>
      <c r="H294" s="270">
        <f t="shared" si="75"/>
        <v>0</v>
      </c>
      <c r="I294" s="270">
        <f t="shared" si="76"/>
        <v>0</v>
      </c>
      <c r="J294" s="270">
        <f t="shared" si="81"/>
        <v>0</v>
      </c>
      <c r="K294" s="271">
        <f t="shared" si="77"/>
        <v>0</v>
      </c>
      <c r="L294" s="297">
        <f t="shared" si="78"/>
        <v>0</v>
      </c>
      <c r="M294" s="297">
        <f>IF(D294="","",SUM(G$46:G294))</f>
        <v>10204.984651999994</v>
      </c>
      <c r="N294" s="270">
        <f>IF(D294="","",SUM(J$46:J294))</f>
        <v>17127.840000000015</v>
      </c>
      <c r="P294" s="245"/>
      <c r="Q294" s="277">
        <f t="shared" si="79"/>
        <v>208.92783066391348</v>
      </c>
      <c r="R294" s="277">
        <f t="shared" si="96"/>
        <v>57.141761686580338</v>
      </c>
      <c r="S294" s="277">
        <f t="shared" si="89"/>
        <v>137.30726875658149</v>
      </c>
      <c r="T294" s="277">
        <f t="shared" si="83"/>
        <v>0</v>
      </c>
      <c r="U294" s="277">
        <f t="shared" si="87"/>
        <v>137.30726875658149</v>
      </c>
      <c r="V294" s="277">
        <f t="shared" si="84"/>
        <v>0</v>
      </c>
      <c r="W294" s="277">
        <f t="shared" si="88"/>
        <v>137.30726875658149</v>
      </c>
      <c r="X294" s="273">
        <f t="shared" si="85"/>
        <v>3594.4247748858866</v>
      </c>
      <c r="AA294" s="278"/>
      <c r="AB294" s="277"/>
    </row>
    <row r="295" spans="2:28">
      <c r="B295" s="266">
        <f t="shared" si="90"/>
        <v>21</v>
      </c>
      <c r="C295" s="266"/>
      <c r="D295" s="293">
        <f t="shared" si="97"/>
        <v>250</v>
      </c>
      <c r="E295" s="294">
        <f t="shared" si="74"/>
        <v>49644</v>
      </c>
      <c r="F295" s="268">
        <f t="shared" si="80"/>
        <v>6.4899999999999999E-2</v>
      </c>
      <c r="G295" s="270">
        <f t="shared" si="95"/>
        <v>0</v>
      </c>
      <c r="H295" s="270">
        <f t="shared" si="75"/>
        <v>0</v>
      </c>
      <c r="I295" s="270">
        <f t="shared" si="76"/>
        <v>0</v>
      </c>
      <c r="J295" s="270">
        <f t="shared" si="81"/>
        <v>0</v>
      </c>
      <c r="K295" s="271">
        <f t="shared" si="77"/>
        <v>0</v>
      </c>
      <c r="L295" s="297">
        <f t="shared" si="78"/>
        <v>0</v>
      </c>
      <c r="M295" s="297">
        <f>IF(D295="","",SUM(G$46:G295))</f>
        <v>10204.984651999994</v>
      </c>
      <c r="N295" s="270">
        <f>IF(D295="","",SUM(J$46:J295))</f>
        <v>17127.840000000015</v>
      </c>
      <c r="P295" s="245"/>
      <c r="Q295" s="277">
        <f t="shared" si="79"/>
        <v>208.92783066391348</v>
      </c>
      <c r="R295" s="277">
        <f t="shared" si="96"/>
        <v>57.141761686580338</v>
      </c>
      <c r="S295" s="277">
        <f t="shared" si="89"/>
        <v>137.30726875658149</v>
      </c>
      <c r="T295" s="277">
        <f t="shared" si="83"/>
        <v>0</v>
      </c>
      <c r="U295" s="277">
        <f t="shared" si="87"/>
        <v>137.30726875658149</v>
      </c>
      <c r="V295" s="277">
        <f t="shared" si="84"/>
        <v>0</v>
      </c>
      <c r="W295" s="277">
        <f t="shared" si="88"/>
        <v>137.30726875658149</v>
      </c>
      <c r="X295" s="273">
        <f t="shared" si="85"/>
        <v>3731.7320436424679</v>
      </c>
      <c r="AA295" s="278"/>
      <c r="AB295" s="277"/>
    </row>
    <row r="296" spans="2:28">
      <c r="B296" s="266">
        <f t="shared" si="90"/>
        <v>21</v>
      </c>
      <c r="C296" s="266"/>
      <c r="D296" s="293">
        <f t="shared" si="97"/>
        <v>251</v>
      </c>
      <c r="E296" s="294">
        <f t="shared" si="74"/>
        <v>49675</v>
      </c>
      <c r="F296" s="268">
        <f t="shared" si="80"/>
        <v>6.4899999999999999E-2</v>
      </c>
      <c r="G296" s="270">
        <f t="shared" si="95"/>
        <v>0</v>
      </c>
      <c r="H296" s="270">
        <f t="shared" si="75"/>
        <v>0</v>
      </c>
      <c r="I296" s="270">
        <f t="shared" si="76"/>
        <v>0</v>
      </c>
      <c r="J296" s="270">
        <f t="shared" si="81"/>
        <v>0</v>
      </c>
      <c r="K296" s="271">
        <f t="shared" si="77"/>
        <v>0</v>
      </c>
      <c r="L296" s="297">
        <f t="shared" si="78"/>
        <v>0</v>
      </c>
      <c r="M296" s="297">
        <f>IF(D296="","",SUM(G$46:G296))</f>
        <v>10204.984651999994</v>
      </c>
      <c r="N296" s="270">
        <f>IF(D296="","",SUM(J$46:J296))</f>
        <v>17127.840000000015</v>
      </c>
      <c r="P296" s="245"/>
      <c r="Q296" s="277">
        <f t="shared" si="79"/>
        <v>208.92783066391348</v>
      </c>
      <c r="R296" s="277">
        <f t="shared" si="96"/>
        <v>57.141761686580338</v>
      </c>
      <c r="S296" s="277">
        <f t="shared" si="89"/>
        <v>137.30726875658149</v>
      </c>
      <c r="T296" s="277">
        <f t="shared" si="83"/>
        <v>0</v>
      </c>
      <c r="U296" s="277">
        <f t="shared" si="87"/>
        <v>137.30726875658149</v>
      </c>
      <c r="V296" s="277">
        <f t="shared" si="84"/>
        <v>0</v>
      </c>
      <c r="W296" s="277">
        <f t="shared" si="88"/>
        <v>137.30726875658149</v>
      </c>
      <c r="X296" s="273">
        <f t="shared" si="85"/>
        <v>3869.0393123990493</v>
      </c>
      <c r="AA296" s="278"/>
      <c r="AB296" s="277"/>
    </row>
    <row r="297" spans="2:28">
      <c r="B297" s="266">
        <f t="shared" si="90"/>
        <v>21</v>
      </c>
      <c r="C297" s="266"/>
      <c r="D297" s="293">
        <f t="shared" si="97"/>
        <v>252</v>
      </c>
      <c r="E297" s="294">
        <f t="shared" si="74"/>
        <v>49706</v>
      </c>
      <c r="F297" s="268">
        <f t="shared" si="80"/>
        <v>6.4899999999999999E-2</v>
      </c>
      <c r="G297" s="270">
        <f t="shared" si="95"/>
        <v>0</v>
      </c>
      <c r="H297" s="270">
        <f t="shared" si="75"/>
        <v>0</v>
      </c>
      <c r="I297" s="270">
        <f t="shared" si="76"/>
        <v>0</v>
      </c>
      <c r="J297" s="270">
        <f t="shared" si="81"/>
        <v>0</v>
      </c>
      <c r="K297" s="271">
        <f t="shared" si="77"/>
        <v>0</v>
      </c>
      <c r="L297" s="297">
        <f t="shared" si="78"/>
        <v>0</v>
      </c>
      <c r="M297" s="297">
        <f>IF(D297="","",SUM(G$46:G297))</f>
        <v>10204.984651999994</v>
      </c>
      <c r="N297" s="270">
        <f>IF(D297="","",SUM(J$46:J297))</f>
        <v>17127.840000000015</v>
      </c>
      <c r="P297" s="245"/>
      <c r="Q297" s="277">
        <f t="shared" si="79"/>
        <v>208.92783066391348</v>
      </c>
      <c r="R297" s="277">
        <f t="shared" si="96"/>
        <v>57.141761686580338</v>
      </c>
      <c r="S297" s="277">
        <f t="shared" si="89"/>
        <v>137.30726875658149</v>
      </c>
      <c r="T297" s="277">
        <f t="shared" si="83"/>
        <v>0</v>
      </c>
      <c r="U297" s="277">
        <f t="shared" si="87"/>
        <v>137.30726875658149</v>
      </c>
      <c r="V297" s="277">
        <f t="shared" si="84"/>
        <v>0</v>
      </c>
      <c r="W297" s="277">
        <f t="shared" si="88"/>
        <v>137.30726875658149</v>
      </c>
      <c r="X297" s="273">
        <f t="shared" si="85"/>
        <v>4006.3465811556307</v>
      </c>
      <c r="AA297" s="278"/>
      <c r="AB297" s="277"/>
    </row>
    <row r="298" spans="2:28">
      <c r="B298" s="266">
        <f t="shared" si="90"/>
        <v>22</v>
      </c>
      <c r="C298" s="266"/>
      <c r="D298" s="293">
        <f t="shared" si="97"/>
        <v>253</v>
      </c>
      <c r="E298" s="294">
        <f t="shared" si="74"/>
        <v>49735</v>
      </c>
      <c r="F298" s="268">
        <f t="shared" si="80"/>
        <v>6.4899999999999999E-2</v>
      </c>
      <c r="G298" s="270">
        <f t="shared" si="95"/>
        <v>0</v>
      </c>
      <c r="H298" s="270">
        <f t="shared" si="75"/>
        <v>0</v>
      </c>
      <c r="I298" s="270">
        <f t="shared" si="76"/>
        <v>0</v>
      </c>
      <c r="J298" s="270">
        <f t="shared" si="81"/>
        <v>0</v>
      </c>
      <c r="K298" s="271">
        <f t="shared" si="77"/>
        <v>0</v>
      </c>
      <c r="L298" s="297">
        <f t="shared" si="78"/>
        <v>0</v>
      </c>
      <c r="M298" s="297">
        <f>IF(D298="","",SUM(G$46:G298))</f>
        <v>10204.984651999994</v>
      </c>
      <c r="N298" s="270">
        <f>IF(D298="","",SUM(J$46:J298))</f>
        <v>17127.840000000015</v>
      </c>
      <c r="P298" s="245"/>
      <c r="Q298" s="277">
        <f t="shared" si="79"/>
        <v>216.24030473715041</v>
      </c>
      <c r="R298" s="277">
        <f t="shared" si="96"/>
        <v>59.141723345610643</v>
      </c>
      <c r="S298" s="277">
        <f t="shared" si="89"/>
        <v>141.40245804724651</v>
      </c>
      <c r="T298" s="277">
        <f t="shared" si="83"/>
        <v>0</v>
      </c>
      <c r="U298" s="277">
        <f t="shared" si="87"/>
        <v>141.40245804724651</v>
      </c>
      <c r="V298" s="277">
        <f t="shared" si="84"/>
        <v>0</v>
      </c>
      <c r="W298" s="277">
        <f t="shared" si="88"/>
        <v>141.40245804724651</v>
      </c>
      <c r="X298" s="273">
        <f t="shared" si="85"/>
        <v>4147.7490392028776</v>
      </c>
      <c r="AA298" s="278"/>
      <c r="AB298" s="277"/>
    </row>
    <row r="299" spans="2:28">
      <c r="B299" s="266">
        <f t="shared" si="90"/>
        <v>22</v>
      </c>
      <c r="C299" s="266"/>
      <c r="D299" s="293">
        <f t="shared" si="97"/>
        <v>254</v>
      </c>
      <c r="E299" s="294">
        <f t="shared" si="74"/>
        <v>49766</v>
      </c>
      <c r="F299" s="268">
        <f t="shared" si="80"/>
        <v>6.4899999999999999E-2</v>
      </c>
      <c r="G299" s="270">
        <f t="shared" si="95"/>
        <v>0</v>
      </c>
      <c r="H299" s="270">
        <f t="shared" si="75"/>
        <v>0</v>
      </c>
      <c r="I299" s="270">
        <f t="shared" si="76"/>
        <v>0</v>
      </c>
      <c r="J299" s="270">
        <f t="shared" si="81"/>
        <v>0</v>
      </c>
      <c r="K299" s="271">
        <f t="shared" si="77"/>
        <v>0</v>
      </c>
      <c r="L299" s="297">
        <f t="shared" si="78"/>
        <v>0</v>
      </c>
      <c r="M299" s="297">
        <f>IF(D299="","",SUM(G$46:G299))</f>
        <v>10204.984651999994</v>
      </c>
      <c r="N299" s="270">
        <f>IF(D299="","",SUM(J$46:J299))</f>
        <v>17127.840000000015</v>
      </c>
      <c r="P299" s="245"/>
      <c r="Q299" s="277">
        <f t="shared" si="79"/>
        <v>216.24030473715041</v>
      </c>
      <c r="R299" s="277">
        <f t="shared" si="96"/>
        <v>59.141723345610643</v>
      </c>
      <c r="S299" s="277">
        <f t="shared" si="89"/>
        <v>141.40245804724651</v>
      </c>
      <c r="T299" s="277">
        <f t="shared" si="83"/>
        <v>0</v>
      </c>
      <c r="U299" s="277">
        <f t="shared" si="87"/>
        <v>141.40245804724651</v>
      </c>
      <c r="V299" s="277">
        <f t="shared" si="84"/>
        <v>0</v>
      </c>
      <c r="W299" s="277">
        <f t="shared" si="88"/>
        <v>141.40245804724651</v>
      </c>
      <c r="X299" s="273">
        <f t="shared" si="85"/>
        <v>4289.1514972501245</v>
      </c>
      <c r="AA299" s="278"/>
      <c r="AB299" s="277"/>
    </row>
    <row r="300" spans="2:28">
      <c r="B300" s="266">
        <f t="shared" si="90"/>
        <v>22</v>
      </c>
      <c r="C300" s="266"/>
      <c r="D300" s="293">
        <f t="shared" si="97"/>
        <v>255</v>
      </c>
      <c r="E300" s="294">
        <f t="shared" si="74"/>
        <v>49796</v>
      </c>
      <c r="F300" s="268">
        <f t="shared" si="80"/>
        <v>6.4899999999999999E-2</v>
      </c>
      <c r="G300" s="270">
        <f t="shared" si="95"/>
        <v>0</v>
      </c>
      <c r="H300" s="270">
        <f t="shared" si="75"/>
        <v>0</v>
      </c>
      <c r="I300" s="270">
        <f t="shared" si="76"/>
        <v>0</v>
      </c>
      <c r="J300" s="270">
        <f t="shared" si="81"/>
        <v>0</v>
      </c>
      <c r="K300" s="271">
        <f t="shared" si="77"/>
        <v>0</v>
      </c>
      <c r="L300" s="297">
        <f t="shared" si="78"/>
        <v>0</v>
      </c>
      <c r="M300" s="297">
        <f>IF(D300="","",SUM(G$46:G300))</f>
        <v>10204.984651999994</v>
      </c>
      <c r="N300" s="270">
        <f>IF(D300="","",SUM(J$46:J300))</f>
        <v>17127.840000000015</v>
      </c>
      <c r="P300" s="245"/>
      <c r="Q300" s="277">
        <f t="shared" si="79"/>
        <v>216.24030473715041</v>
      </c>
      <c r="R300" s="277">
        <f t="shared" si="96"/>
        <v>59.141723345610643</v>
      </c>
      <c r="S300" s="277">
        <f t="shared" si="89"/>
        <v>141.40245804724651</v>
      </c>
      <c r="T300" s="277">
        <f t="shared" si="83"/>
        <v>0</v>
      </c>
      <c r="U300" s="277">
        <f t="shared" si="87"/>
        <v>141.40245804724651</v>
      </c>
      <c r="V300" s="277">
        <f t="shared" si="84"/>
        <v>0</v>
      </c>
      <c r="W300" s="277">
        <f t="shared" si="88"/>
        <v>141.40245804724651</v>
      </c>
      <c r="X300" s="273">
        <f t="shared" si="85"/>
        <v>4430.5539552973714</v>
      </c>
      <c r="AA300" s="278"/>
      <c r="AB300" s="277"/>
    </row>
    <row r="301" spans="2:28">
      <c r="B301" s="266">
        <f t="shared" si="90"/>
        <v>22</v>
      </c>
      <c r="C301" s="266"/>
      <c r="D301" s="293">
        <f t="shared" si="97"/>
        <v>256</v>
      </c>
      <c r="E301" s="294">
        <f t="shared" si="74"/>
        <v>49827</v>
      </c>
      <c r="F301" s="268">
        <f t="shared" si="80"/>
        <v>6.4899999999999999E-2</v>
      </c>
      <c r="G301" s="270">
        <f t="shared" si="95"/>
        <v>0</v>
      </c>
      <c r="H301" s="270">
        <f t="shared" si="75"/>
        <v>0</v>
      </c>
      <c r="I301" s="270">
        <f t="shared" si="76"/>
        <v>0</v>
      </c>
      <c r="J301" s="270">
        <f t="shared" si="81"/>
        <v>0</v>
      </c>
      <c r="K301" s="271">
        <f t="shared" si="77"/>
        <v>0</v>
      </c>
      <c r="L301" s="297">
        <f t="shared" si="78"/>
        <v>0</v>
      </c>
      <c r="M301" s="297">
        <f>IF(D301="","",SUM(G$46:G301))</f>
        <v>10204.984651999994</v>
      </c>
      <c r="N301" s="270">
        <f>IF(D301="","",SUM(J$46:J301))</f>
        <v>17127.840000000015</v>
      </c>
      <c r="P301" s="245"/>
      <c r="Q301" s="277">
        <f t="shared" si="79"/>
        <v>216.24030473715041</v>
      </c>
      <c r="R301" s="277">
        <f t="shared" si="96"/>
        <v>59.141723345610643</v>
      </c>
      <c r="S301" s="277">
        <f t="shared" si="89"/>
        <v>141.40245804724651</v>
      </c>
      <c r="T301" s="277">
        <f t="shared" si="83"/>
        <v>0</v>
      </c>
      <c r="U301" s="277">
        <f t="shared" si="87"/>
        <v>141.40245804724651</v>
      </c>
      <c r="V301" s="277">
        <f t="shared" si="84"/>
        <v>0</v>
      </c>
      <c r="W301" s="277">
        <f t="shared" si="88"/>
        <v>141.40245804724651</v>
      </c>
      <c r="X301" s="273">
        <f t="shared" si="85"/>
        <v>4571.9564133446183</v>
      </c>
      <c r="AA301" s="278"/>
      <c r="AB301" s="277"/>
    </row>
    <row r="302" spans="2:28">
      <c r="B302" s="266">
        <f t="shared" si="90"/>
        <v>22</v>
      </c>
      <c r="C302" s="266"/>
      <c r="D302" s="293">
        <f t="shared" si="97"/>
        <v>257</v>
      </c>
      <c r="E302" s="294">
        <f t="shared" ref="E302:E345" si="98">IF(D302="","",DATE(YEAR(fpdate),MONTH(fpdate)+(D302-1),DAY(fpdate)))</f>
        <v>49857</v>
      </c>
      <c r="F302" s="268">
        <f t="shared" si="80"/>
        <v>6.4899999999999999E-2</v>
      </c>
      <c r="G302" s="270">
        <f t="shared" si="95"/>
        <v>0</v>
      </c>
      <c r="H302" s="270">
        <f t="shared" ref="H302:H345" si="99">+IF(AND(D302=$F$30,D302=$F$29,$J$23=1),SUM($F$33:$F$36),IF(AND(D302=$F$30,D302=$F$29,$J$23=0),SUM($F$33:$F$35,$F$38),IF(AND(D302=$F$29,D302&lt;&gt;$F$30),$F$38+IF($F$29=D302,$F$39*$J$23,0),IF(AND(D302=$F$30,D302&lt;&gt;$F$29),SUM($F$33:$F$35),0))))</f>
        <v>0</v>
      </c>
      <c r="I302" s="270">
        <f t="shared" ref="I302:I345" si="100">IF($J$23=1,IF(AND(V302&lt;0,L301+V302&gt;W302),W302,IF(AND(V302&lt;0,L301+V302&lt;W302),L301+V302+G302,0)),0)</f>
        <v>0</v>
      </c>
      <c r="J302" s="270">
        <f t="shared" si="81"/>
        <v>0</v>
      </c>
      <c r="K302" s="271">
        <f t="shared" ref="K302:K345" si="101">IF(D302&lt;=$F$29,(L301*F302/12)+H302+(I302*$J$23),MIN($F$25+(I302*$J$23),L301+G302))</f>
        <v>0</v>
      </c>
      <c r="L302" s="297">
        <f t="shared" ref="L302:L345" si="102">IF(D302="","",L301-J302)</f>
        <v>0</v>
      </c>
      <c r="M302" s="297">
        <f>IF(D302="","",SUM(G$46:G302))</f>
        <v>10204.984651999994</v>
      </c>
      <c r="N302" s="270">
        <f>IF(D302="","",SUM(J$46:J302))</f>
        <v>17127.840000000015</v>
      </c>
      <c r="P302" s="245"/>
      <c r="Q302" s="277">
        <f t="shared" ref="Q302:Q345" si="103">+IF(B302&gt;1,$J$15*((1+$J$21)^(B302-1)),$J$15)</f>
        <v>216.24030473715041</v>
      </c>
      <c r="R302" s="277">
        <f t="shared" si="96"/>
        <v>59.141723345610643</v>
      </c>
      <c r="S302" s="277">
        <f t="shared" si="89"/>
        <v>141.40245804724651</v>
      </c>
      <c r="T302" s="277">
        <f t="shared" si="83"/>
        <v>0</v>
      </c>
      <c r="U302" s="277">
        <f t="shared" si="87"/>
        <v>141.40245804724651</v>
      </c>
      <c r="V302" s="277">
        <f t="shared" si="84"/>
        <v>0</v>
      </c>
      <c r="W302" s="277">
        <f t="shared" si="88"/>
        <v>141.40245804724651</v>
      </c>
      <c r="X302" s="273">
        <f t="shared" si="85"/>
        <v>4713.3588713918653</v>
      </c>
      <c r="AA302" s="278"/>
      <c r="AB302" s="277"/>
    </row>
    <row r="303" spans="2:28">
      <c r="B303" s="266">
        <f t="shared" si="90"/>
        <v>22</v>
      </c>
      <c r="C303" s="266"/>
      <c r="D303" s="293">
        <f t="shared" si="97"/>
        <v>258</v>
      </c>
      <c r="E303" s="294">
        <f t="shared" si="98"/>
        <v>49888</v>
      </c>
      <c r="F303" s="268">
        <f t="shared" ref="F303:F345" si="104">+$F$23</f>
        <v>6.4899999999999999E-2</v>
      </c>
      <c r="G303" s="270">
        <f t="shared" si="95"/>
        <v>0</v>
      </c>
      <c r="H303" s="270">
        <f t="shared" si="99"/>
        <v>0</v>
      </c>
      <c r="I303" s="270">
        <f t="shared" si="100"/>
        <v>0</v>
      </c>
      <c r="J303" s="270">
        <f t="shared" ref="J303:J345" si="105">IF(D303&lt;=$F$29,I303+H303,(K303-G303))</f>
        <v>0</v>
      </c>
      <c r="K303" s="271">
        <f t="shared" si="101"/>
        <v>0</v>
      </c>
      <c r="L303" s="297">
        <f t="shared" si="102"/>
        <v>0</v>
      </c>
      <c r="M303" s="297">
        <f>IF(D303="","",SUM(G$46:G303))</f>
        <v>10204.984651999994</v>
      </c>
      <c r="N303" s="270">
        <f>IF(D303="","",SUM(J$46:J303))</f>
        <v>17127.840000000015</v>
      </c>
      <c r="P303" s="245"/>
      <c r="Q303" s="277">
        <f t="shared" si="103"/>
        <v>216.24030473715041</v>
      </c>
      <c r="R303" s="277">
        <f t="shared" si="96"/>
        <v>59.141723345610643</v>
      </c>
      <c r="S303" s="277">
        <f t="shared" si="89"/>
        <v>141.40245804724651</v>
      </c>
      <c r="T303" s="277">
        <f t="shared" ref="T303:T345" si="106">IFERROR(VLOOKUP(B303,$AD$17:$AH$26,4,FALSE)/12,0)</f>
        <v>0</v>
      </c>
      <c r="U303" s="277">
        <f t="shared" si="87"/>
        <v>141.40245804724651</v>
      </c>
      <c r="V303" s="277">
        <f t="shared" ref="V303:V345" si="107">IF(D303&lt;=$F$29,-G303,IF(L302&gt;$F$25,-$F$25,-L302-G303))</f>
        <v>0</v>
      </c>
      <c r="W303" s="277">
        <f t="shared" si="88"/>
        <v>141.40245804724651</v>
      </c>
      <c r="X303" s="273">
        <f t="shared" ref="X303:X345" si="108">+SUM(U303:V303)+X302</f>
        <v>4854.7613294391122</v>
      </c>
      <c r="AA303" s="278"/>
      <c r="AB303" s="277"/>
    </row>
    <row r="304" spans="2:28">
      <c r="B304" s="266">
        <f t="shared" si="90"/>
        <v>22</v>
      </c>
      <c r="C304" s="266"/>
      <c r="D304" s="293">
        <f t="shared" si="97"/>
        <v>259</v>
      </c>
      <c r="E304" s="294">
        <f t="shared" si="98"/>
        <v>49919</v>
      </c>
      <c r="F304" s="268">
        <f t="shared" si="104"/>
        <v>6.4899999999999999E-2</v>
      </c>
      <c r="G304" s="270">
        <f t="shared" si="95"/>
        <v>0</v>
      </c>
      <c r="H304" s="270">
        <f t="shared" si="99"/>
        <v>0</v>
      </c>
      <c r="I304" s="270">
        <f t="shared" si="100"/>
        <v>0</v>
      </c>
      <c r="J304" s="270">
        <f t="shared" si="105"/>
        <v>0</v>
      </c>
      <c r="K304" s="271">
        <f t="shared" si="101"/>
        <v>0</v>
      </c>
      <c r="L304" s="297">
        <f t="shared" si="102"/>
        <v>0</v>
      </c>
      <c r="M304" s="297">
        <f>IF(D304="","",SUM(G$46:G304))</f>
        <v>10204.984651999994</v>
      </c>
      <c r="N304" s="270">
        <f>IF(D304="","",SUM(J$46:J304))</f>
        <v>17127.840000000015</v>
      </c>
      <c r="P304" s="245"/>
      <c r="Q304" s="277">
        <f t="shared" si="103"/>
        <v>216.24030473715041</v>
      </c>
      <c r="R304" s="277">
        <f t="shared" si="96"/>
        <v>59.141723345610643</v>
      </c>
      <c r="S304" s="277">
        <f t="shared" si="89"/>
        <v>141.40245804724651</v>
      </c>
      <c r="T304" s="277">
        <f t="shared" si="106"/>
        <v>0</v>
      </c>
      <c r="U304" s="277">
        <f t="shared" ref="U304:U345" si="109">S304+T304</f>
        <v>141.40245804724651</v>
      </c>
      <c r="V304" s="277">
        <f t="shared" si="107"/>
        <v>0</v>
      </c>
      <c r="W304" s="277">
        <f t="shared" ref="W304:W345" si="110">+IF(V304&gt;=0,U304+V304,IF(AND(U304&gt;-V304,L303&gt;U304),U304+V304,IF(AND(U304&gt;-V304,L303&lt;U304),(((U304+V304)-(L303+V304))),0)))</f>
        <v>141.40245804724651</v>
      </c>
      <c r="X304" s="273">
        <f t="shared" si="108"/>
        <v>4996.1637874863591</v>
      </c>
      <c r="AA304" s="278"/>
      <c r="AB304" s="277"/>
    </row>
    <row r="305" spans="2:28">
      <c r="B305" s="266">
        <f t="shared" si="90"/>
        <v>22</v>
      </c>
      <c r="C305" s="266"/>
      <c r="D305" s="293">
        <f t="shared" si="97"/>
        <v>260</v>
      </c>
      <c r="E305" s="294">
        <f t="shared" si="98"/>
        <v>49949</v>
      </c>
      <c r="F305" s="268">
        <f t="shared" si="104"/>
        <v>6.4899999999999999E-2</v>
      </c>
      <c r="G305" s="270">
        <f t="shared" si="95"/>
        <v>0</v>
      </c>
      <c r="H305" s="270">
        <f t="shared" si="99"/>
        <v>0</v>
      </c>
      <c r="I305" s="270">
        <f t="shared" si="100"/>
        <v>0</v>
      </c>
      <c r="J305" s="270">
        <f t="shared" si="105"/>
        <v>0</v>
      </c>
      <c r="K305" s="271">
        <f t="shared" si="101"/>
        <v>0</v>
      </c>
      <c r="L305" s="297">
        <f t="shared" si="102"/>
        <v>0</v>
      </c>
      <c r="M305" s="297">
        <f>IF(D305="","",SUM(G$46:G305))</f>
        <v>10204.984651999994</v>
      </c>
      <c r="N305" s="270">
        <f>IF(D305="","",SUM(J$46:J305))</f>
        <v>17127.840000000015</v>
      </c>
      <c r="P305" s="245"/>
      <c r="Q305" s="277">
        <f t="shared" si="103"/>
        <v>216.24030473715041</v>
      </c>
      <c r="R305" s="277">
        <f t="shared" si="96"/>
        <v>59.141723345610643</v>
      </c>
      <c r="S305" s="277">
        <f t="shared" si="89"/>
        <v>141.40245804724651</v>
      </c>
      <c r="T305" s="277">
        <f t="shared" si="106"/>
        <v>0</v>
      </c>
      <c r="U305" s="277">
        <f t="shared" si="109"/>
        <v>141.40245804724651</v>
      </c>
      <c r="V305" s="277">
        <f t="shared" si="107"/>
        <v>0</v>
      </c>
      <c r="W305" s="277">
        <f t="shared" si="110"/>
        <v>141.40245804724651</v>
      </c>
      <c r="X305" s="273">
        <f t="shared" si="108"/>
        <v>5137.566245533606</v>
      </c>
      <c r="AA305" s="278"/>
      <c r="AB305" s="277"/>
    </row>
    <row r="306" spans="2:28">
      <c r="B306" s="266">
        <f t="shared" si="90"/>
        <v>22</v>
      </c>
      <c r="C306" s="266"/>
      <c r="D306" s="293">
        <f t="shared" si="97"/>
        <v>261</v>
      </c>
      <c r="E306" s="294">
        <f t="shared" si="98"/>
        <v>49980</v>
      </c>
      <c r="F306" s="268">
        <f t="shared" si="104"/>
        <v>6.4899999999999999E-2</v>
      </c>
      <c r="G306" s="270">
        <f t="shared" si="95"/>
        <v>0</v>
      </c>
      <c r="H306" s="270">
        <f t="shared" si="99"/>
        <v>0</v>
      </c>
      <c r="I306" s="270">
        <f t="shared" si="100"/>
        <v>0</v>
      </c>
      <c r="J306" s="270">
        <f t="shared" si="105"/>
        <v>0</v>
      </c>
      <c r="K306" s="271">
        <f t="shared" si="101"/>
        <v>0</v>
      </c>
      <c r="L306" s="297">
        <f t="shared" si="102"/>
        <v>0</v>
      </c>
      <c r="M306" s="297">
        <f>IF(D306="","",SUM(G$46:G306))</f>
        <v>10204.984651999994</v>
      </c>
      <c r="N306" s="270">
        <f>IF(D306="","",SUM(J$46:J306))</f>
        <v>17127.840000000015</v>
      </c>
      <c r="P306" s="245"/>
      <c r="Q306" s="277">
        <f t="shared" si="103"/>
        <v>216.24030473715041</v>
      </c>
      <c r="R306" s="277">
        <f t="shared" si="96"/>
        <v>59.141723345610643</v>
      </c>
      <c r="S306" s="277">
        <f t="shared" si="89"/>
        <v>141.40245804724651</v>
      </c>
      <c r="T306" s="277">
        <f t="shared" si="106"/>
        <v>0</v>
      </c>
      <c r="U306" s="277">
        <f t="shared" si="109"/>
        <v>141.40245804724651</v>
      </c>
      <c r="V306" s="277">
        <f t="shared" si="107"/>
        <v>0</v>
      </c>
      <c r="W306" s="277">
        <f t="shared" si="110"/>
        <v>141.40245804724651</v>
      </c>
      <c r="X306" s="273">
        <f t="shared" si="108"/>
        <v>5278.9687035808529</v>
      </c>
      <c r="AA306" s="278"/>
      <c r="AB306" s="277"/>
    </row>
    <row r="307" spans="2:28">
      <c r="B307" s="266">
        <f t="shared" si="90"/>
        <v>22</v>
      </c>
      <c r="C307" s="266"/>
      <c r="D307" s="293">
        <f t="shared" si="97"/>
        <v>262</v>
      </c>
      <c r="E307" s="294">
        <f t="shared" si="98"/>
        <v>50010</v>
      </c>
      <c r="F307" s="268">
        <f t="shared" si="104"/>
        <v>6.4899999999999999E-2</v>
      </c>
      <c r="G307" s="270">
        <f t="shared" si="95"/>
        <v>0</v>
      </c>
      <c r="H307" s="270">
        <f t="shared" si="99"/>
        <v>0</v>
      </c>
      <c r="I307" s="270">
        <f t="shared" si="100"/>
        <v>0</v>
      </c>
      <c r="J307" s="270">
        <f t="shared" si="105"/>
        <v>0</v>
      </c>
      <c r="K307" s="271">
        <f t="shared" si="101"/>
        <v>0</v>
      </c>
      <c r="L307" s="297">
        <f t="shared" si="102"/>
        <v>0</v>
      </c>
      <c r="M307" s="297">
        <f>IF(D307="","",SUM(G$46:G307))</f>
        <v>10204.984651999994</v>
      </c>
      <c r="N307" s="270">
        <f>IF(D307="","",SUM(J$46:J307))</f>
        <v>17127.840000000015</v>
      </c>
      <c r="P307" s="245"/>
      <c r="Q307" s="277">
        <f t="shared" si="103"/>
        <v>216.24030473715041</v>
      </c>
      <c r="R307" s="277">
        <f t="shared" si="96"/>
        <v>59.141723345610643</v>
      </c>
      <c r="S307" s="277">
        <f t="shared" si="89"/>
        <v>141.40245804724651</v>
      </c>
      <c r="T307" s="277">
        <f t="shared" si="106"/>
        <v>0</v>
      </c>
      <c r="U307" s="277">
        <f t="shared" si="109"/>
        <v>141.40245804724651</v>
      </c>
      <c r="V307" s="277">
        <f t="shared" si="107"/>
        <v>0</v>
      </c>
      <c r="W307" s="277">
        <f t="shared" si="110"/>
        <v>141.40245804724651</v>
      </c>
      <c r="X307" s="273">
        <f t="shared" si="108"/>
        <v>5420.3711616280998</v>
      </c>
      <c r="AA307" s="278"/>
      <c r="AB307" s="277"/>
    </row>
    <row r="308" spans="2:28">
      <c r="B308" s="266">
        <f t="shared" si="90"/>
        <v>22</v>
      </c>
      <c r="C308" s="266"/>
      <c r="D308" s="293">
        <f t="shared" si="97"/>
        <v>263</v>
      </c>
      <c r="E308" s="294">
        <f t="shared" si="98"/>
        <v>50041</v>
      </c>
      <c r="F308" s="268">
        <f t="shared" si="104"/>
        <v>6.4899999999999999E-2</v>
      </c>
      <c r="G308" s="270">
        <f t="shared" si="95"/>
        <v>0</v>
      </c>
      <c r="H308" s="270">
        <f t="shared" si="99"/>
        <v>0</v>
      </c>
      <c r="I308" s="270">
        <f t="shared" si="100"/>
        <v>0</v>
      </c>
      <c r="J308" s="270">
        <f t="shared" si="105"/>
        <v>0</v>
      </c>
      <c r="K308" s="271">
        <f t="shared" si="101"/>
        <v>0</v>
      </c>
      <c r="L308" s="297">
        <f t="shared" si="102"/>
        <v>0</v>
      </c>
      <c r="M308" s="297">
        <f>IF(D308="","",SUM(G$46:G308))</f>
        <v>10204.984651999994</v>
      </c>
      <c r="N308" s="270">
        <f>IF(D308="","",SUM(J$46:J308))</f>
        <v>17127.840000000015</v>
      </c>
      <c r="P308" s="245"/>
      <c r="Q308" s="277">
        <f t="shared" si="103"/>
        <v>216.24030473715041</v>
      </c>
      <c r="R308" s="277">
        <f t="shared" si="96"/>
        <v>59.141723345610643</v>
      </c>
      <c r="S308" s="277">
        <f t="shared" si="89"/>
        <v>141.40245804724651</v>
      </c>
      <c r="T308" s="277">
        <f t="shared" si="106"/>
        <v>0</v>
      </c>
      <c r="U308" s="277">
        <f t="shared" si="109"/>
        <v>141.40245804724651</v>
      </c>
      <c r="V308" s="277">
        <f t="shared" si="107"/>
        <v>0</v>
      </c>
      <c r="W308" s="277">
        <f t="shared" si="110"/>
        <v>141.40245804724651</v>
      </c>
      <c r="X308" s="273">
        <f t="shared" si="108"/>
        <v>5561.7736196753467</v>
      </c>
      <c r="AA308" s="278"/>
      <c r="AB308" s="277"/>
    </row>
    <row r="309" spans="2:28">
      <c r="B309" s="266">
        <f t="shared" si="90"/>
        <v>22</v>
      </c>
      <c r="C309" s="266"/>
      <c r="D309" s="293">
        <f t="shared" si="97"/>
        <v>264</v>
      </c>
      <c r="E309" s="294">
        <f t="shared" si="98"/>
        <v>50072</v>
      </c>
      <c r="F309" s="268">
        <f t="shared" si="104"/>
        <v>6.4899999999999999E-2</v>
      </c>
      <c r="G309" s="270">
        <f t="shared" si="95"/>
        <v>0</v>
      </c>
      <c r="H309" s="270">
        <f t="shared" si="99"/>
        <v>0</v>
      </c>
      <c r="I309" s="270">
        <f t="shared" si="100"/>
        <v>0</v>
      </c>
      <c r="J309" s="270">
        <f t="shared" si="105"/>
        <v>0</v>
      </c>
      <c r="K309" s="271">
        <f t="shared" si="101"/>
        <v>0</v>
      </c>
      <c r="L309" s="297">
        <f t="shared" si="102"/>
        <v>0</v>
      </c>
      <c r="M309" s="297">
        <f>IF(D309="","",SUM(G$46:G309))</f>
        <v>10204.984651999994</v>
      </c>
      <c r="N309" s="270">
        <f>IF(D309="","",SUM(J$46:J309))</f>
        <v>17127.840000000015</v>
      </c>
      <c r="P309" s="245"/>
      <c r="Q309" s="277">
        <f t="shared" si="103"/>
        <v>216.24030473715041</v>
      </c>
      <c r="R309" s="277">
        <f t="shared" si="96"/>
        <v>59.141723345610643</v>
      </c>
      <c r="S309" s="277">
        <f t="shared" si="89"/>
        <v>141.40245804724651</v>
      </c>
      <c r="T309" s="277">
        <f t="shared" si="106"/>
        <v>0</v>
      </c>
      <c r="U309" s="277">
        <f t="shared" si="109"/>
        <v>141.40245804724651</v>
      </c>
      <c r="V309" s="277">
        <f t="shared" si="107"/>
        <v>0</v>
      </c>
      <c r="W309" s="277">
        <f t="shared" si="110"/>
        <v>141.40245804724651</v>
      </c>
      <c r="X309" s="273">
        <f t="shared" si="108"/>
        <v>5703.1760777225936</v>
      </c>
      <c r="AA309" s="278"/>
      <c r="AB309" s="277"/>
    </row>
    <row r="310" spans="2:28">
      <c r="B310" s="266">
        <f t="shared" si="90"/>
        <v>23</v>
      </c>
      <c r="C310" s="266"/>
      <c r="D310" s="293">
        <f t="shared" si="97"/>
        <v>265</v>
      </c>
      <c r="E310" s="294">
        <f t="shared" si="98"/>
        <v>50100</v>
      </c>
      <c r="F310" s="268">
        <f t="shared" si="104"/>
        <v>6.4899999999999999E-2</v>
      </c>
      <c r="G310" s="270">
        <f t="shared" si="95"/>
        <v>0</v>
      </c>
      <c r="H310" s="270">
        <f t="shared" si="99"/>
        <v>0</v>
      </c>
      <c r="I310" s="270">
        <f t="shared" si="100"/>
        <v>0</v>
      </c>
      <c r="J310" s="270">
        <f t="shared" si="105"/>
        <v>0</v>
      </c>
      <c r="K310" s="271">
        <f t="shared" si="101"/>
        <v>0</v>
      </c>
      <c r="L310" s="297">
        <f t="shared" si="102"/>
        <v>0</v>
      </c>
      <c r="M310" s="297">
        <f>IF(D310="","",SUM(G$46:G310))</f>
        <v>10204.984651999994</v>
      </c>
      <c r="N310" s="270">
        <f>IF(D310="","",SUM(J$46:J310))</f>
        <v>17127.840000000015</v>
      </c>
      <c r="P310" s="245"/>
      <c r="Q310" s="277">
        <f t="shared" si="103"/>
        <v>223.8087154029507</v>
      </c>
      <c r="R310" s="277">
        <f t="shared" si="96"/>
        <v>61.211683662707017</v>
      </c>
      <c r="S310" s="277">
        <f t="shared" si="89"/>
        <v>145.61978635850562</v>
      </c>
      <c r="T310" s="277">
        <f t="shared" si="106"/>
        <v>0</v>
      </c>
      <c r="U310" s="277">
        <f t="shared" si="109"/>
        <v>145.61978635850562</v>
      </c>
      <c r="V310" s="277">
        <f t="shared" si="107"/>
        <v>0</v>
      </c>
      <c r="W310" s="277">
        <f t="shared" si="110"/>
        <v>145.61978635850562</v>
      </c>
      <c r="X310" s="273">
        <f t="shared" si="108"/>
        <v>5848.7958640810994</v>
      </c>
      <c r="AA310" s="278"/>
      <c r="AB310" s="277"/>
    </row>
    <row r="311" spans="2:28">
      <c r="B311" s="266">
        <f t="shared" si="90"/>
        <v>23</v>
      </c>
      <c r="C311" s="266"/>
      <c r="D311" s="293">
        <f t="shared" si="97"/>
        <v>266</v>
      </c>
      <c r="E311" s="294">
        <f t="shared" si="98"/>
        <v>50131</v>
      </c>
      <c r="F311" s="268">
        <f t="shared" si="104"/>
        <v>6.4899999999999999E-2</v>
      </c>
      <c r="G311" s="270">
        <f t="shared" si="95"/>
        <v>0</v>
      </c>
      <c r="H311" s="270">
        <f t="shared" si="99"/>
        <v>0</v>
      </c>
      <c r="I311" s="270">
        <f t="shared" si="100"/>
        <v>0</v>
      </c>
      <c r="J311" s="270">
        <f t="shared" si="105"/>
        <v>0</v>
      </c>
      <c r="K311" s="271">
        <f t="shared" si="101"/>
        <v>0</v>
      </c>
      <c r="L311" s="297">
        <f t="shared" si="102"/>
        <v>0</v>
      </c>
      <c r="M311" s="297">
        <f>IF(D311="","",SUM(G$46:G311))</f>
        <v>10204.984651999994</v>
      </c>
      <c r="N311" s="270">
        <f>IF(D311="","",SUM(J$46:J311))</f>
        <v>17127.840000000015</v>
      </c>
      <c r="P311" s="245"/>
      <c r="Q311" s="277">
        <f t="shared" si="103"/>
        <v>223.8087154029507</v>
      </c>
      <c r="R311" s="277">
        <f t="shared" si="96"/>
        <v>61.211683662707017</v>
      </c>
      <c r="S311" s="277">
        <f t="shared" si="89"/>
        <v>145.61978635850562</v>
      </c>
      <c r="T311" s="277">
        <f t="shared" si="106"/>
        <v>0</v>
      </c>
      <c r="U311" s="277">
        <f t="shared" si="109"/>
        <v>145.61978635850562</v>
      </c>
      <c r="V311" s="277">
        <f t="shared" si="107"/>
        <v>0</v>
      </c>
      <c r="W311" s="277">
        <f t="shared" si="110"/>
        <v>145.61978635850562</v>
      </c>
      <c r="X311" s="273">
        <f t="shared" si="108"/>
        <v>5994.4156504396051</v>
      </c>
      <c r="AA311" s="278"/>
      <c r="AB311" s="277"/>
    </row>
    <row r="312" spans="2:28">
      <c r="B312" s="266">
        <f t="shared" si="90"/>
        <v>23</v>
      </c>
      <c r="C312" s="266"/>
      <c r="D312" s="293">
        <f t="shared" si="97"/>
        <v>267</v>
      </c>
      <c r="E312" s="294">
        <f t="shared" si="98"/>
        <v>50161</v>
      </c>
      <c r="F312" s="268">
        <f t="shared" si="104"/>
        <v>6.4899999999999999E-2</v>
      </c>
      <c r="G312" s="270">
        <f t="shared" si="95"/>
        <v>0</v>
      </c>
      <c r="H312" s="270">
        <f t="shared" si="99"/>
        <v>0</v>
      </c>
      <c r="I312" s="270">
        <f t="shared" si="100"/>
        <v>0</v>
      </c>
      <c r="J312" s="270">
        <f t="shared" si="105"/>
        <v>0</v>
      </c>
      <c r="K312" s="271">
        <f t="shared" si="101"/>
        <v>0</v>
      </c>
      <c r="L312" s="297">
        <f t="shared" si="102"/>
        <v>0</v>
      </c>
      <c r="M312" s="297">
        <f>IF(D312="","",SUM(G$46:G312))</f>
        <v>10204.984651999994</v>
      </c>
      <c r="N312" s="270">
        <f>IF(D312="","",SUM(J$46:J312))</f>
        <v>17127.840000000015</v>
      </c>
      <c r="P312" s="245"/>
      <c r="Q312" s="277">
        <f t="shared" si="103"/>
        <v>223.8087154029507</v>
      </c>
      <c r="R312" s="277">
        <f t="shared" si="96"/>
        <v>61.211683662707017</v>
      </c>
      <c r="S312" s="277">
        <f t="shared" si="89"/>
        <v>145.61978635850562</v>
      </c>
      <c r="T312" s="277">
        <f t="shared" si="106"/>
        <v>0</v>
      </c>
      <c r="U312" s="277">
        <f t="shared" si="109"/>
        <v>145.61978635850562</v>
      </c>
      <c r="V312" s="277">
        <f t="shared" si="107"/>
        <v>0</v>
      </c>
      <c r="W312" s="277">
        <f t="shared" si="110"/>
        <v>145.61978635850562</v>
      </c>
      <c r="X312" s="273">
        <f t="shared" si="108"/>
        <v>6140.0354367981108</v>
      </c>
      <c r="AA312" s="278"/>
      <c r="AB312" s="277"/>
    </row>
    <row r="313" spans="2:28">
      <c r="B313" s="266">
        <f t="shared" si="90"/>
        <v>23</v>
      </c>
      <c r="C313" s="266"/>
      <c r="D313" s="293">
        <f t="shared" si="97"/>
        <v>268</v>
      </c>
      <c r="E313" s="294">
        <f t="shared" si="98"/>
        <v>50192</v>
      </c>
      <c r="F313" s="268">
        <f t="shared" si="104"/>
        <v>6.4899999999999999E-2</v>
      </c>
      <c r="G313" s="270">
        <f t="shared" si="95"/>
        <v>0</v>
      </c>
      <c r="H313" s="270">
        <f t="shared" si="99"/>
        <v>0</v>
      </c>
      <c r="I313" s="270">
        <f t="shared" si="100"/>
        <v>0</v>
      </c>
      <c r="J313" s="270">
        <f t="shared" si="105"/>
        <v>0</v>
      </c>
      <c r="K313" s="271">
        <f t="shared" si="101"/>
        <v>0</v>
      </c>
      <c r="L313" s="297">
        <f t="shared" si="102"/>
        <v>0</v>
      </c>
      <c r="M313" s="297">
        <f>IF(D313="","",SUM(G$46:G313))</f>
        <v>10204.984651999994</v>
      </c>
      <c r="N313" s="270">
        <f>IF(D313="","",SUM(J$46:J313))</f>
        <v>17127.840000000015</v>
      </c>
      <c r="P313" s="245"/>
      <c r="Q313" s="277">
        <f t="shared" si="103"/>
        <v>223.8087154029507</v>
      </c>
      <c r="R313" s="277">
        <f t="shared" si="96"/>
        <v>61.211683662707017</v>
      </c>
      <c r="S313" s="277">
        <f t="shared" si="89"/>
        <v>145.61978635850562</v>
      </c>
      <c r="T313" s="277">
        <f t="shared" si="106"/>
        <v>0</v>
      </c>
      <c r="U313" s="277">
        <f t="shared" si="109"/>
        <v>145.61978635850562</v>
      </c>
      <c r="V313" s="277">
        <f t="shared" si="107"/>
        <v>0</v>
      </c>
      <c r="W313" s="277">
        <f t="shared" si="110"/>
        <v>145.61978635850562</v>
      </c>
      <c r="X313" s="273">
        <f t="shared" si="108"/>
        <v>6285.6552231566166</v>
      </c>
      <c r="AA313" s="278"/>
      <c r="AB313" s="277"/>
    </row>
    <row r="314" spans="2:28">
      <c r="B314" s="266">
        <f t="shared" si="90"/>
        <v>23</v>
      </c>
      <c r="C314" s="266"/>
      <c r="D314" s="293">
        <f t="shared" si="97"/>
        <v>269</v>
      </c>
      <c r="E314" s="294">
        <f t="shared" si="98"/>
        <v>50222</v>
      </c>
      <c r="F314" s="268">
        <f t="shared" si="104"/>
        <v>6.4899999999999999E-2</v>
      </c>
      <c r="G314" s="270">
        <f t="shared" si="95"/>
        <v>0</v>
      </c>
      <c r="H314" s="270">
        <f t="shared" si="99"/>
        <v>0</v>
      </c>
      <c r="I314" s="270">
        <f t="shared" si="100"/>
        <v>0</v>
      </c>
      <c r="J314" s="270">
        <f t="shared" si="105"/>
        <v>0</v>
      </c>
      <c r="K314" s="271">
        <f t="shared" si="101"/>
        <v>0</v>
      </c>
      <c r="L314" s="297">
        <f t="shared" si="102"/>
        <v>0</v>
      </c>
      <c r="M314" s="297">
        <f>IF(D314="","",SUM(G$46:G314))</f>
        <v>10204.984651999994</v>
      </c>
      <c r="N314" s="270">
        <f>IF(D314="","",SUM(J$46:J314))</f>
        <v>17127.840000000015</v>
      </c>
      <c r="P314" s="245"/>
      <c r="Q314" s="277">
        <f t="shared" si="103"/>
        <v>223.8087154029507</v>
      </c>
      <c r="R314" s="277">
        <f t="shared" si="96"/>
        <v>61.211683662707017</v>
      </c>
      <c r="S314" s="277">
        <f t="shared" ref="S314:S345" si="111">IF(B314=1,$J$20,((S302*(1+$J$21)*(1-$J$22))))</f>
        <v>145.61978635850562</v>
      </c>
      <c r="T314" s="277">
        <f t="shared" si="106"/>
        <v>0</v>
      </c>
      <c r="U314" s="277">
        <f t="shared" si="109"/>
        <v>145.61978635850562</v>
      </c>
      <c r="V314" s="277">
        <f t="shared" si="107"/>
        <v>0</v>
      </c>
      <c r="W314" s="277">
        <f t="shared" si="110"/>
        <v>145.61978635850562</v>
      </c>
      <c r="X314" s="273">
        <f t="shared" si="108"/>
        <v>6431.2750095151223</v>
      </c>
      <c r="AA314" s="278"/>
      <c r="AB314" s="277"/>
    </row>
    <row r="315" spans="2:28">
      <c r="B315" s="266">
        <f t="shared" ref="B315:B345" si="112">B303+1</f>
        <v>23</v>
      </c>
      <c r="C315" s="266"/>
      <c r="D315" s="293">
        <f t="shared" si="97"/>
        <v>270</v>
      </c>
      <c r="E315" s="294">
        <f t="shared" si="98"/>
        <v>50253</v>
      </c>
      <c r="F315" s="268">
        <f t="shared" si="104"/>
        <v>6.4899999999999999E-2</v>
      </c>
      <c r="G315" s="270">
        <f t="shared" si="95"/>
        <v>0</v>
      </c>
      <c r="H315" s="270">
        <f t="shared" si="99"/>
        <v>0</v>
      </c>
      <c r="I315" s="270">
        <f t="shared" si="100"/>
        <v>0</v>
      </c>
      <c r="J315" s="270">
        <f t="shared" si="105"/>
        <v>0</v>
      </c>
      <c r="K315" s="271">
        <f t="shared" si="101"/>
        <v>0</v>
      </c>
      <c r="L315" s="297">
        <f t="shared" si="102"/>
        <v>0</v>
      </c>
      <c r="M315" s="297">
        <f>IF(D315="","",SUM(G$46:G315))</f>
        <v>10204.984651999994</v>
      </c>
      <c r="N315" s="270">
        <f>IF(D315="","",SUM(J$46:J315))</f>
        <v>17127.840000000015</v>
      </c>
      <c r="P315" s="245"/>
      <c r="Q315" s="277">
        <f t="shared" si="103"/>
        <v>223.8087154029507</v>
      </c>
      <c r="R315" s="277">
        <f t="shared" si="96"/>
        <v>61.211683662707017</v>
      </c>
      <c r="S315" s="277">
        <f t="shared" si="111"/>
        <v>145.61978635850562</v>
      </c>
      <c r="T315" s="277">
        <f t="shared" si="106"/>
        <v>0</v>
      </c>
      <c r="U315" s="277">
        <f t="shared" si="109"/>
        <v>145.61978635850562</v>
      </c>
      <c r="V315" s="277">
        <f t="shared" si="107"/>
        <v>0</v>
      </c>
      <c r="W315" s="277">
        <f t="shared" si="110"/>
        <v>145.61978635850562</v>
      </c>
      <c r="X315" s="273">
        <f t="shared" si="108"/>
        <v>6576.894795873628</v>
      </c>
      <c r="AA315" s="278"/>
      <c r="AB315" s="277"/>
    </row>
    <row r="316" spans="2:28">
      <c r="B316" s="266">
        <f t="shared" si="112"/>
        <v>23</v>
      </c>
      <c r="C316" s="266"/>
      <c r="D316" s="293">
        <f t="shared" si="97"/>
        <v>271</v>
      </c>
      <c r="E316" s="294">
        <f t="shared" si="98"/>
        <v>50284</v>
      </c>
      <c r="F316" s="268">
        <f t="shared" si="104"/>
        <v>6.4899999999999999E-2</v>
      </c>
      <c r="G316" s="270">
        <f t="shared" si="95"/>
        <v>0</v>
      </c>
      <c r="H316" s="270">
        <f t="shared" si="99"/>
        <v>0</v>
      </c>
      <c r="I316" s="270">
        <f t="shared" si="100"/>
        <v>0</v>
      </c>
      <c r="J316" s="270">
        <f t="shared" si="105"/>
        <v>0</v>
      </c>
      <c r="K316" s="271">
        <f t="shared" si="101"/>
        <v>0</v>
      </c>
      <c r="L316" s="297">
        <f t="shared" si="102"/>
        <v>0</v>
      </c>
      <c r="M316" s="297">
        <f>IF(D316="","",SUM(G$46:G316))</f>
        <v>10204.984651999994</v>
      </c>
      <c r="N316" s="270">
        <f>IF(D316="","",SUM(J$46:J316))</f>
        <v>17127.840000000015</v>
      </c>
      <c r="P316" s="245"/>
      <c r="Q316" s="277">
        <f t="shared" si="103"/>
        <v>223.8087154029507</v>
      </c>
      <c r="R316" s="277">
        <f t="shared" si="96"/>
        <v>61.211683662707017</v>
      </c>
      <c r="S316" s="277">
        <f t="shared" si="111"/>
        <v>145.61978635850562</v>
      </c>
      <c r="T316" s="277">
        <f t="shared" si="106"/>
        <v>0</v>
      </c>
      <c r="U316" s="277">
        <f t="shared" si="109"/>
        <v>145.61978635850562</v>
      </c>
      <c r="V316" s="277">
        <f t="shared" si="107"/>
        <v>0</v>
      </c>
      <c r="W316" s="277">
        <f t="shared" si="110"/>
        <v>145.61978635850562</v>
      </c>
      <c r="X316" s="273">
        <f t="shared" si="108"/>
        <v>6722.5145822321338</v>
      </c>
      <c r="AA316" s="278"/>
      <c r="AB316" s="277"/>
    </row>
    <row r="317" spans="2:28">
      <c r="B317" s="266">
        <f t="shared" si="112"/>
        <v>23</v>
      </c>
      <c r="C317" s="266"/>
      <c r="D317" s="293">
        <f t="shared" si="97"/>
        <v>272</v>
      </c>
      <c r="E317" s="294">
        <f t="shared" si="98"/>
        <v>50314</v>
      </c>
      <c r="F317" s="268">
        <f t="shared" si="104"/>
        <v>6.4899999999999999E-2</v>
      </c>
      <c r="G317" s="270">
        <f t="shared" si="95"/>
        <v>0</v>
      </c>
      <c r="H317" s="270">
        <f t="shared" si="99"/>
        <v>0</v>
      </c>
      <c r="I317" s="270">
        <f t="shared" si="100"/>
        <v>0</v>
      </c>
      <c r="J317" s="270">
        <f t="shared" si="105"/>
        <v>0</v>
      </c>
      <c r="K317" s="271">
        <f t="shared" si="101"/>
        <v>0</v>
      </c>
      <c r="L317" s="297">
        <f t="shared" si="102"/>
        <v>0</v>
      </c>
      <c r="M317" s="297">
        <f>IF(D317="","",SUM(G$46:G317))</f>
        <v>10204.984651999994</v>
      </c>
      <c r="N317" s="270">
        <f>IF(D317="","",SUM(J$46:J317))</f>
        <v>17127.840000000015</v>
      </c>
      <c r="P317" s="245"/>
      <c r="Q317" s="277">
        <f t="shared" si="103"/>
        <v>223.8087154029507</v>
      </c>
      <c r="R317" s="277">
        <f t="shared" si="96"/>
        <v>61.211683662707017</v>
      </c>
      <c r="S317" s="277">
        <f t="shared" si="111"/>
        <v>145.61978635850562</v>
      </c>
      <c r="T317" s="277">
        <f t="shared" si="106"/>
        <v>0</v>
      </c>
      <c r="U317" s="277">
        <f t="shared" si="109"/>
        <v>145.61978635850562</v>
      </c>
      <c r="V317" s="277">
        <f t="shared" si="107"/>
        <v>0</v>
      </c>
      <c r="W317" s="277">
        <f t="shared" si="110"/>
        <v>145.61978635850562</v>
      </c>
      <c r="X317" s="273">
        <f t="shared" si="108"/>
        <v>6868.1343685906395</v>
      </c>
      <c r="AA317" s="278"/>
      <c r="AB317" s="277"/>
    </row>
    <row r="318" spans="2:28">
      <c r="B318" s="266">
        <f t="shared" si="112"/>
        <v>23</v>
      </c>
      <c r="C318" s="266"/>
      <c r="D318" s="293">
        <f t="shared" si="97"/>
        <v>273</v>
      </c>
      <c r="E318" s="294">
        <f t="shared" si="98"/>
        <v>50345</v>
      </c>
      <c r="F318" s="268">
        <f t="shared" si="104"/>
        <v>6.4899999999999999E-2</v>
      </c>
      <c r="G318" s="270">
        <f t="shared" si="95"/>
        <v>0</v>
      </c>
      <c r="H318" s="270">
        <f t="shared" si="99"/>
        <v>0</v>
      </c>
      <c r="I318" s="270">
        <f t="shared" si="100"/>
        <v>0</v>
      </c>
      <c r="J318" s="270">
        <f t="shared" si="105"/>
        <v>0</v>
      </c>
      <c r="K318" s="271">
        <f t="shared" si="101"/>
        <v>0</v>
      </c>
      <c r="L318" s="297">
        <f t="shared" si="102"/>
        <v>0</v>
      </c>
      <c r="M318" s="297">
        <f>IF(D318="","",SUM(G$46:G318))</f>
        <v>10204.984651999994</v>
      </c>
      <c r="N318" s="270">
        <f>IF(D318="","",SUM(J$46:J318))</f>
        <v>17127.840000000015</v>
      </c>
      <c r="P318" s="245"/>
      <c r="Q318" s="277">
        <f t="shared" si="103"/>
        <v>223.8087154029507</v>
      </c>
      <c r="R318" s="277">
        <f t="shared" si="96"/>
        <v>61.211683662707017</v>
      </c>
      <c r="S318" s="277">
        <f t="shared" si="111"/>
        <v>145.61978635850562</v>
      </c>
      <c r="T318" s="277">
        <f t="shared" si="106"/>
        <v>0</v>
      </c>
      <c r="U318" s="277">
        <f t="shared" si="109"/>
        <v>145.61978635850562</v>
      </c>
      <c r="V318" s="277">
        <f t="shared" si="107"/>
        <v>0</v>
      </c>
      <c r="W318" s="277">
        <f t="shared" si="110"/>
        <v>145.61978635850562</v>
      </c>
      <c r="X318" s="273">
        <f t="shared" si="108"/>
        <v>7013.7541549491452</v>
      </c>
      <c r="AA318" s="278"/>
      <c r="AB318" s="277"/>
    </row>
    <row r="319" spans="2:28">
      <c r="B319" s="266">
        <f t="shared" si="112"/>
        <v>23</v>
      </c>
      <c r="C319" s="266"/>
      <c r="D319" s="293">
        <f t="shared" si="97"/>
        <v>274</v>
      </c>
      <c r="E319" s="294">
        <f t="shared" si="98"/>
        <v>50375</v>
      </c>
      <c r="F319" s="268">
        <f t="shared" si="104"/>
        <v>6.4899999999999999E-2</v>
      </c>
      <c r="G319" s="270">
        <f t="shared" si="95"/>
        <v>0</v>
      </c>
      <c r="H319" s="270">
        <f t="shared" si="99"/>
        <v>0</v>
      </c>
      <c r="I319" s="270">
        <f t="shared" si="100"/>
        <v>0</v>
      </c>
      <c r="J319" s="270">
        <f t="shared" si="105"/>
        <v>0</v>
      </c>
      <c r="K319" s="271">
        <f t="shared" si="101"/>
        <v>0</v>
      </c>
      <c r="L319" s="297">
        <f t="shared" si="102"/>
        <v>0</v>
      </c>
      <c r="M319" s="297">
        <f>IF(D319="","",SUM(G$46:G319))</f>
        <v>10204.984651999994</v>
      </c>
      <c r="N319" s="270">
        <f>IF(D319="","",SUM(J$46:J319))</f>
        <v>17127.840000000015</v>
      </c>
      <c r="P319" s="245"/>
      <c r="Q319" s="277">
        <f t="shared" si="103"/>
        <v>223.8087154029507</v>
      </c>
      <c r="R319" s="277">
        <f t="shared" si="96"/>
        <v>61.211683662707017</v>
      </c>
      <c r="S319" s="277">
        <f t="shared" si="111"/>
        <v>145.61978635850562</v>
      </c>
      <c r="T319" s="277">
        <f t="shared" si="106"/>
        <v>0</v>
      </c>
      <c r="U319" s="277">
        <f t="shared" si="109"/>
        <v>145.61978635850562</v>
      </c>
      <c r="V319" s="277">
        <f t="shared" si="107"/>
        <v>0</v>
      </c>
      <c r="W319" s="277">
        <f t="shared" si="110"/>
        <v>145.61978635850562</v>
      </c>
      <c r="X319" s="273">
        <f t="shared" si="108"/>
        <v>7159.373941307651</v>
      </c>
      <c r="AA319" s="278"/>
      <c r="AB319" s="277"/>
    </row>
    <row r="320" spans="2:28">
      <c r="B320" s="266">
        <f t="shared" si="112"/>
        <v>23</v>
      </c>
      <c r="C320" s="266"/>
      <c r="D320" s="293">
        <f t="shared" si="97"/>
        <v>275</v>
      </c>
      <c r="E320" s="294">
        <f t="shared" si="98"/>
        <v>50406</v>
      </c>
      <c r="F320" s="268">
        <f t="shared" si="104"/>
        <v>6.4899999999999999E-2</v>
      </c>
      <c r="G320" s="270">
        <f t="shared" si="95"/>
        <v>0</v>
      </c>
      <c r="H320" s="270">
        <f t="shared" si="99"/>
        <v>0</v>
      </c>
      <c r="I320" s="270">
        <f t="shared" si="100"/>
        <v>0</v>
      </c>
      <c r="J320" s="270">
        <f t="shared" si="105"/>
        <v>0</v>
      </c>
      <c r="K320" s="271">
        <f t="shared" si="101"/>
        <v>0</v>
      </c>
      <c r="L320" s="297">
        <f t="shared" si="102"/>
        <v>0</v>
      </c>
      <c r="M320" s="297">
        <f>IF(D320="","",SUM(G$46:G320))</f>
        <v>10204.984651999994</v>
      </c>
      <c r="N320" s="270">
        <f>IF(D320="","",SUM(J$46:J320))</f>
        <v>17127.840000000015</v>
      </c>
      <c r="P320" s="245"/>
      <c r="Q320" s="277">
        <f t="shared" si="103"/>
        <v>223.8087154029507</v>
      </c>
      <c r="R320" s="277">
        <f t="shared" si="96"/>
        <v>61.211683662707017</v>
      </c>
      <c r="S320" s="277">
        <f t="shared" si="111"/>
        <v>145.61978635850562</v>
      </c>
      <c r="T320" s="277">
        <f t="shared" si="106"/>
        <v>0</v>
      </c>
      <c r="U320" s="277">
        <f t="shared" si="109"/>
        <v>145.61978635850562</v>
      </c>
      <c r="V320" s="277">
        <f t="shared" si="107"/>
        <v>0</v>
      </c>
      <c r="W320" s="277">
        <f t="shared" si="110"/>
        <v>145.61978635850562</v>
      </c>
      <c r="X320" s="273">
        <f t="shared" si="108"/>
        <v>7304.9937276661567</v>
      </c>
      <c r="AA320" s="278"/>
      <c r="AB320" s="277"/>
    </row>
    <row r="321" spans="2:28">
      <c r="B321" s="266">
        <f t="shared" si="112"/>
        <v>23</v>
      </c>
      <c r="C321" s="266"/>
      <c r="D321" s="293">
        <f t="shared" si="97"/>
        <v>276</v>
      </c>
      <c r="E321" s="294">
        <f t="shared" si="98"/>
        <v>50437</v>
      </c>
      <c r="F321" s="268">
        <f t="shared" si="104"/>
        <v>6.4899999999999999E-2</v>
      </c>
      <c r="G321" s="270">
        <f t="shared" si="95"/>
        <v>0</v>
      </c>
      <c r="H321" s="270">
        <f t="shared" si="99"/>
        <v>0</v>
      </c>
      <c r="I321" s="270">
        <f t="shared" si="100"/>
        <v>0</v>
      </c>
      <c r="J321" s="270">
        <f t="shared" si="105"/>
        <v>0</v>
      </c>
      <c r="K321" s="271">
        <f t="shared" si="101"/>
        <v>0</v>
      </c>
      <c r="L321" s="297">
        <f t="shared" si="102"/>
        <v>0</v>
      </c>
      <c r="M321" s="297">
        <f>IF(D321="","",SUM(G$46:G321))</f>
        <v>10204.984651999994</v>
      </c>
      <c r="N321" s="270">
        <f>IF(D321="","",SUM(J$46:J321))</f>
        <v>17127.840000000015</v>
      </c>
      <c r="P321" s="245"/>
      <c r="Q321" s="277">
        <f t="shared" si="103"/>
        <v>223.8087154029507</v>
      </c>
      <c r="R321" s="277">
        <f t="shared" si="96"/>
        <v>61.211683662707017</v>
      </c>
      <c r="S321" s="277">
        <f t="shared" si="111"/>
        <v>145.61978635850562</v>
      </c>
      <c r="T321" s="277">
        <f t="shared" si="106"/>
        <v>0</v>
      </c>
      <c r="U321" s="277">
        <f t="shared" si="109"/>
        <v>145.61978635850562</v>
      </c>
      <c r="V321" s="277">
        <f t="shared" si="107"/>
        <v>0</v>
      </c>
      <c r="W321" s="277">
        <f t="shared" si="110"/>
        <v>145.61978635850562</v>
      </c>
      <c r="X321" s="273">
        <f t="shared" si="108"/>
        <v>7450.6135140246624</v>
      </c>
      <c r="AA321" s="278"/>
      <c r="AB321" s="277"/>
    </row>
    <row r="322" spans="2:28">
      <c r="B322" s="266">
        <f t="shared" si="112"/>
        <v>24</v>
      </c>
      <c r="C322" s="266"/>
      <c r="D322" s="293">
        <f t="shared" si="97"/>
        <v>277</v>
      </c>
      <c r="E322" s="294">
        <f t="shared" si="98"/>
        <v>50465</v>
      </c>
      <c r="F322" s="268">
        <f t="shared" si="104"/>
        <v>6.4899999999999999E-2</v>
      </c>
      <c r="G322" s="270">
        <f t="shared" si="95"/>
        <v>0</v>
      </c>
      <c r="H322" s="270">
        <f t="shared" si="99"/>
        <v>0</v>
      </c>
      <c r="I322" s="270">
        <f t="shared" si="100"/>
        <v>0</v>
      </c>
      <c r="J322" s="270">
        <f t="shared" si="105"/>
        <v>0</v>
      </c>
      <c r="K322" s="271">
        <f t="shared" si="101"/>
        <v>0</v>
      </c>
      <c r="L322" s="297">
        <f t="shared" si="102"/>
        <v>0</v>
      </c>
      <c r="M322" s="297">
        <f>IF(D322="","",SUM(G$46:G322))</f>
        <v>10204.984651999994</v>
      </c>
      <c r="N322" s="270">
        <f>IF(D322="","",SUM(J$46:J322))</f>
        <v>17127.840000000015</v>
      </c>
      <c r="P322" s="245"/>
      <c r="Q322" s="277">
        <f t="shared" si="103"/>
        <v>231.64202044205396</v>
      </c>
      <c r="R322" s="277">
        <f t="shared" si="96"/>
        <v>63.354092590901764</v>
      </c>
      <c r="S322" s="277">
        <f t="shared" si="111"/>
        <v>149.96289648664805</v>
      </c>
      <c r="T322" s="277">
        <f t="shared" si="106"/>
        <v>0</v>
      </c>
      <c r="U322" s="277">
        <f t="shared" si="109"/>
        <v>149.96289648664805</v>
      </c>
      <c r="V322" s="277">
        <f t="shared" si="107"/>
        <v>0</v>
      </c>
      <c r="W322" s="277">
        <f t="shared" si="110"/>
        <v>149.96289648664805</v>
      </c>
      <c r="X322" s="273">
        <f t="shared" si="108"/>
        <v>7600.5764105113103</v>
      </c>
      <c r="AA322" s="278"/>
      <c r="AB322" s="277"/>
    </row>
    <row r="323" spans="2:28">
      <c r="B323" s="266">
        <f t="shared" si="112"/>
        <v>24</v>
      </c>
      <c r="C323" s="266"/>
      <c r="D323" s="293">
        <f t="shared" si="97"/>
        <v>278</v>
      </c>
      <c r="E323" s="294">
        <f t="shared" si="98"/>
        <v>50496</v>
      </c>
      <c r="F323" s="268">
        <f t="shared" si="104"/>
        <v>6.4899999999999999E-2</v>
      </c>
      <c r="G323" s="270">
        <f t="shared" si="95"/>
        <v>0</v>
      </c>
      <c r="H323" s="270">
        <f t="shared" si="99"/>
        <v>0</v>
      </c>
      <c r="I323" s="270">
        <f t="shared" si="100"/>
        <v>0</v>
      </c>
      <c r="J323" s="270">
        <f t="shared" si="105"/>
        <v>0</v>
      </c>
      <c r="K323" s="271">
        <f t="shared" si="101"/>
        <v>0</v>
      </c>
      <c r="L323" s="297">
        <f t="shared" si="102"/>
        <v>0</v>
      </c>
      <c r="M323" s="297">
        <f>IF(D323="","",SUM(G$46:G323))</f>
        <v>10204.984651999994</v>
      </c>
      <c r="N323" s="270">
        <f>IF(D323="","",SUM(J$46:J323))</f>
        <v>17127.840000000015</v>
      </c>
      <c r="P323" s="245"/>
      <c r="Q323" s="277">
        <f t="shared" si="103"/>
        <v>231.64202044205396</v>
      </c>
      <c r="R323" s="277">
        <f t="shared" si="96"/>
        <v>63.354092590901764</v>
      </c>
      <c r="S323" s="277">
        <f t="shared" si="111"/>
        <v>149.96289648664805</v>
      </c>
      <c r="T323" s="277">
        <f t="shared" si="106"/>
        <v>0</v>
      </c>
      <c r="U323" s="277">
        <f t="shared" si="109"/>
        <v>149.96289648664805</v>
      </c>
      <c r="V323" s="277">
        <f t="shared" si="107"/>
        <v>0</v>
      </c>
      <c r="W323" s="277">
        <f t="shared" si="110"/>
        <v>149.96289648664805</v>
      </c>
      <c r="X323" s="273">
        <f t="shared" si="108"/>
        <v>7750.5393069979582</v>
      </c>
      <c r="AA323" s="278"/>
      <c r="AB323" s="277"/>
    </row>
    <row r="324" spans="2:28">
      <c r="B324" s="266">
        <f t="shared" si="112"/>
        <v>24</v>
      </c>
      <c r="C324" s="266"/>
      <c r="D324" s="293">
        <f t="shared" si="97"/>
        <v>279</v>
      </c>
      <c r="E324" s="294">
        <f t="shared" si="98"/>
        <v>50526</v>
      </c>
      <c r="F324" s="268">
        <f t="shared" si="104"/>
        <v>6.4899999999999999E-2</v>
      </c>
      <c r="G324" s="270">
        <f t="shared" si="95"/>
        <v>0</v>
      </c>
      <c r="H324" s="270">
        <f t="shared" si="99"/>
        <v>0</v>
      </c>
      <c r="I324" s="270">
        <f t="shared" si="100"/>
        <v>0</v>
      </c>
      <c r="J324" s="270">
        <f t="shared" si="105"/>
        <v>0</v>
      </c>
      <c r="K324" s="271">
        <f t="shared" si="101"/>
        <v>0</v>
      </c>
      <c r="L324" s="297">
        <f t="shared" si="102"/>
        <v>0</v>
      </c>
      <c r="M324" s="297">
        <f>IF(D324="","",SUM(G$46:G324))</f>
        <v>10204.984651999994</v>
      </c>
      <c r="N324" s="270">
        <f>IF(D324="","",SUM(J$46:J324))</f>
        <v>17127.840000000015</v>
      </c>
      <c r="P324" s="245"/>
      <c r="Q324" s="277">
        <f t="shared" si="103"/>
        <v>231.64202044205396</v>
      </c>
      <c r="R324" s="277">
        <f t="shared" si="96"/>
        <v>63.354092590901764</v>
      </c>
      <c r="S324" s="277">
        <f t="shared" si="111"/>
        <v>149.96289648664805</v>
      </c>
      <c r="T324" s="277">
        <f t="shared" si="106"/>
        <v>0</v>
      </c>
      <c r="U324" s="277">
        <f t="shared" si="109"/>
        <v>149.96289648664805</v>
      </c>
      <c r="V324" s="277">
        <f t="shared" si="107"/>
        <v>0</v>
      </c>
      <c r="W324" s="277">
        <f t="shared" si="110"/>
        <v>149.96289648664805</v>
      </c>
      <c r="X324" s="273">
        <f t="shared" si="108"/>
        <v>7900.5022034846061</v>
      </c>
      <c r="AA324" s="278"/>
      <c r="AB324" s="277"/>
    </row>
    <row r="325" spans="2:28">
      <c r="B325" s="266">
        <f t="shared" si="112"/>
        <v>24</v>
      </c>
      <c r="C325" s="266"/>
      <c r="D325" s="293">
        <f t="shared" si="97"/>
        <v>280</v>
      </c>
      <c r="E325" s="294">
        <f t="shared" si="98"/>
        <v>50557</v>
      </c>
      <c r="F325" s="268">
        <f t="shared" si="104"/>
        <v>6.4899999999999999E-2</v>
      </c>
      <c r="G325" s="270">
        <f t="shared" si="95"/>
        <v>0</v>
      </c>
      <c r="H325" s="270">
        <f t="shared" si="99"/>
        <v>0</v>
      </c>
      <c r="I325" s="270">
        <f t="shared" si="100"/>
        <v>0</v>
      </c>
      <c r="J325" s="270">
        <f t="shared" si="105"/>
        <v>0</v>
      </c>
      <c r="K325" s="271">
        <f t="shared" si="101"/>
        <v>0</v>
      </c>
      <c r="L325" s="297">
        <f t="shared" si="102"/>
        <v>0</v>
      </c>
      <c r="M325" s="297">
        <f>IF(D325="","",SUM(G$46:G325))</f>
        <v>10204.984651999994</v>
      </c>
      <c r="N325" s="270">
        <f>IF(D325="","",SUM(J$46:J325))</f>
        <v>17127.840000000015</v>
      </c>
      <c r="P325" s="245"/>
      <c r="Q325" s="277">
        <f t="shared" si="103"/>
        <v>231.64202044205396</v>
      </c>
      <c r="R325" s="277">
        <f t="shared" si="96"/>
        <v>63.354092590901764</v>
      </c>
      <c r="S325" s="277">
        <f t="shared" si="111"/>
        <v>149.96289648664805</v>
      </c>
      <c r="T325" s="277">
        <f t="shared" si="106"/>
        <v>0</v>
      </c>
      <c r="U325" s="277">
        <f t="shared" si="109"/>
        <v>149.96289648664805</v>
      </c>
      <c r="V325" s="277">
        <f t="shared" si="107"/>
        <v>0</v>
      </c>
      <c r="W325" s="277">
        <f t="shared" si="110"/>
        <v>149.96289648664805</v>
      </c>
      <c r="X325" s="273">
        <f t="shared" si="108"/>
        <v>8050.4650999712539</v>
      </c>
      <c r="AA325" s="278"/>
      <c r="AB325" s="277"/>
    </row>
    <row r="326" spans="2:28">
      <c r="B326" s="266">
        <f t="shared" si="112"/>
        <v>24</v>
      </c>
      <c r="C326" s="266"/>
      <c r="D326" s="293">
        <f t="shared" si="97"/>
        <v>281</v>
      </c>
      <c r="E326" s="294">
        <f t="shared" si="98"/>
        <v>50587</v>
      </c>
      <c r="F326" s="268">
        <f t="shared" si="104"/>
        <v>6.4899999999999999E-2</v>
      </c>
      <c r="G326" s="270">
        <f t="shared" si="95"/>
        <v>0</v>
      </c>
      <c r="H326" s="270">
        <f t="shared" si="99"/>
        <v>0</v>
      </c>
      <c r="I326" s="270">
        <f t="shared" si="100"/>
        <v>0</v>
      </c>
      <c r="J326" s="270">
        <f t="shared" si="105"/>
        <v>0</v>
      </c>
      <c r="K326" s="271">
        <f t="shared" si="101"/>
        <v>0</v>
      </c>
      <c r="L326" s="297">
        <f t="shared" si="102"/>
        <v>0</v>
      </c>
      <c r="M326" s="297">
        <f>IF(D326="","",SUM(G$46:G326))</f>
        <v>10204.984651999994</v>
      </c>
      <c r="N326" s="270">
        <f>IF(D326="","",SUM(J$46:J326))</f>
        <v>17127.840000000015</v>
      </c>
      <c r="P326" s="245"/>
      <c r="Q326" s="277">
        <f t="shared" si="103"/>
        <v>231.64202044205396</v>
      </c>
      <c r="R326" s="277">
        <f t="shared" si="96"/>
        <v>63.354092590901764</v>
      </c>
      <c r="S326" s="277">
        <f t="shared" si="111"/>
        <v>149.96289648664805</v>
      </c>
      <c r="T326" s="277">
        <f t="shared" si="106"/>
        <v>0</v>
      </c>
      <c r="U326" s="277">
        <f t="shared" si="109"/>
        <v>149.96289648664805</v>
      </c>
      <c r="V326" s="277">
        <f t="shared" si="107"/>
        <v>0</v>
      </c>
      <c r="W326" s="277">
        <f t="shared" si="110"/>
        <v>149.96289648664805</v>
      </c>
      <c r="X326" s="273">
        <f t="shared" si="108"/>
        <v>8200.4279964579018</v>
      </c>
      <c r="AA326" s="278"/>
      <c r="AB326" s="277"/>
    </row>
    <row r="327" spans="2:28">
      <c r="B327" s="266">
        <f t="shared" si="112"/>
        <v>24</v>
      </c>
      <c r="C327" s="266"/>
      <c r="D327" s="293">
        <f t="shared" si="97"/>
        <v>282</v>
      </c>
      <c r="E327" s="294">
        <f t="shared" si="98"/>
        <v>50618</v>
      </c>
      <c r="F327" s="268">
        <f t="shared" si="104"/>
        <v>6.4899999999999999E-2</v>
      </c>
      <c r="G327" s="270">
        <f t="shared" si="95"/>
        <v>0</v>
      </c>
      <c r="H327" s="270">
        <f t="shared" si="99"/>
        <v>0</v>
      </c>
      <c r="I327" s="270">
        <f t="shared" si="100"/>
        <v>0</v>
      </c>
      <c r="J327" s="270">
        <f t="shared" si="105"/>
        <v>0</v>
      </c>
      <c r="K327" s="271">
        <f t="shared" si="101"/>
        <v>0</v>
      </c>
      <c r="L327" s="297">
        <f t="shared" si="102"/>
        <v>0</v>
      </c>
      <c r="M327" s="297">
        <f>IF(D327="","",SUM(G$46:G327))</f>
        <v>10204.984651999994</v>
      </c>
      <c r="N327" s="270">
        <f>IF(D327="","",SUM(J$46:J327))</f>
        <v>17127.840000000015</v>
      </c>
      <c r="P327" s="245"/>
      <c r="Q327" s="277">
        <f t="shared" si="103"/>
        <v>231.64202044205396</v>
      </c>
      <c r="R327" s="277">
        <f t="shared" si="96"/>
        <v>63.354092590901764</v>
      </c>
      <c r="S327" s="277">
        <f t="shared" si="111"/>
        <v>149.96289648664805</v>
      </c>
      <c r="T327" s="277">
        <f t="shared" si="106"/>
        <v>0</v>
      </c>
      <c r="U327" s="277">
        <f t="shared" si="109"/>
        <v>149.96289648664805</v>
      </c>
      <c r="V327" s="277">
        <f t="shared" si="107"/>
        <v>0</v>
      </c>
      <c r="W327" s="277">
        <f t="shared" si="110"/>
        <v>149.96289648664805</v>
      </c>
      <c r="X327" s="273">
        <f t="shared" si="108"/>
        <v>8350.3908929445497</v>
      </c>
      <c r="AA327" s="278"/>
      <c r="AB327" s="277"/>
    </row>
    <row r="328" spans="2:28">
      <c r="B328" s="266">
        <f t="shared" si="112"/>
        <v>24</v>
      </c>
      <c r="C328" s="266"/>
      <c r="D328" s="293">
        <f t="shared" si="97"/>
        <v>283</v>
      </c>
      <c r="E328" s="294">
        <f t="shared" si="98"/>
        <v>50649</v>
      </c>
      <c r="F328" s="268">
        <f t="shared" si="104"/>
        <v>6.4899999999999999E-2</v>
      </c>
      <c r="G328" s="270">
        <f t="shared" si="95"/>
        <v>0</v>
      </c>
      <c r="H328" s="270">
        <f t="shared" si="99"/>
        <v>0</v>
      </c>
      <c r="I328" s="270">
        <f t="shared" si="100"/>
        <v>0</v>
      </c>
      <c r="J328" s="270">
        <f t="shared" si="105"/>
        <v>0</v>
      </c>
      <c r="K328" s="271">
        <f t="shared" si="101"/>
        <v>0</v>
      </c>
      <c r="L328" s="297">
        <f t="shared" si="102"/>
        <v>0</v>
      </c>
      <c r="M328" s="297">
        <f>IF(D328="","",SUM(G$46:G328))</f>
        <v>10204.984651999994</v>
      </c>
      <c r="N328" s="270">
        <f>IF(D328="","",SUM(J$46:J328))</f>
        <v>17127.840000000015</v>
      </c>
      <c r="P328" s="245"/>
      <c r="Q328" s="277">
        <f t="shared" si="103"/>
        <v>231.64202044205396</v>
      </c>
      <c r="R328" s="277">
        <f t="shared" si="96"/>
        <v>63.354092590901764</v>
      </c>
      <c r="S328" s="277">
        <f t="shared" si="111"/>
        <v>149.96289648664805</v>
      </c>
      <c r="T328" s="277">
        <f t="shared" si="106"/>
        <v>0</v>
      </c>
      <c r="U328" s="277">
        <f t="shared" si="109"/>
        <v>149.96289648664805</v>
      </c>
      <c r="V328" s="277">
        <f t="shared" si="107"/>
        <v>0</v>
      </c>
      <c r="W328" s="277">
        <f t="shared" si="110"/>
        <v>149.96289648664805</v>
      </c>
      <c r="X328" s="273">
        <f t="shared" si="108"/>
        <v>8500.3537894311976</v>
      </c>
      <c r="AA328" s="278"/>
      <c r="AB328" s="277"/>
    </row>
    <row r="329" spans="2:28">
      <c r="B329" s="266">
        <f t="shared" si="112"/>
        <v>24</v>
      </c>
      <c r="C329" s="266"/>
      <c r="D329" s="293">
        <f t="shared" si="97"/>
        <v>284</v>
      </c>
      <c r="E329" s="294">
        <f t="shared" si="98"/>
        <v>50679</v>
      </c>
      <c r="F329" s="268">
        <f t="shared" si="104"/>
        <v>6.4899999999999999E-2</v>
      </c>
      <c r="G329" s="270">
        <f t="shared" si="95"/>
        <v>0</v>
      </c>
      <c r="H329" s="270">
        <f t="shared" si="99"/>
        <v>0</v>
      </c>
      <c r="I329" s="270">
        <f t="shared" si="100"/>
        <v>0</v>
      </c>
      <c r="J329" s="270">
        <f t="shared" si="105"/>
        <v>0</v>
      </c>
      <c r="K329" s="271">
        <f t="shared" si="101"/>
        <v>0</v>
      </c>
      <c r="L329" s="297">
        <f t="shared" si="102"/>
        <v>0</v>
      </c>
      <c r="M329" s="297">
        <f>IF(D329="","",SUM(G$46:G329))</f>
        <v>10204.984651999994</v>
      </c>
      <c r="N329" s="270">
        <f>IF(D329="","",SUM(J$46:J329))</f>
        <v>17127.840000000015</v>
      </c>
      <c r="P329" s="245"/>
      <c r="Q329" s="277">
        <f t="shared" si="103"/>
        <v>231.64202044205396</v>
      </c>
      <c r="R329" s="277">
        <f t="shared" si="96"/>
        <v>63.354092590901764</v>
      </c>
      <c r="S329" s="277">
        <f t="shared" si="111"/>
        <v>149.96289648664805</v>
      </c>
      <c r="T329" s="277">
        <f t="shared" si="106"/>
        <v>0</v>
      </c>
      <c r="U329" s="277">
        <f t="shared" si="109"/>
        <v>149.96289648664805</v>
      </c>
      <c r="V329" s="277">
        <f t="shared" si="107"/>
        <v>0</v>
      </c>
      <c r="W329" s="277">
        <f t="shared" si="110"/>
        <v>149.96289648664805</v>
      </c>
      <c r="X329" s="273">
        <f t="shared" si="108"/>
        <v>8650.3166859178455</v>
      </c>
      <c r="AA329" s="278"/>
      <c r="AB329" s="277"/>
    </row>
    <row r="330" spans="2:28">
      <c r="B330" s="266">
        <f t="shared" si="112"/>
        <v>24</v>
      </c>
      <c r="C330" s="266"/>
      <c r="D330" s="293">
        <f t="shared" si="97"/>
        <v>285</v>
      </c>
      <c r="E330" s="294">
        <f t="shared" si="98"/>
        <v>50710</v>
      </c>
      <c r="F330" s="268">
        <f t="shared" si="104"/>
        <v>6.4899999999999999E-2</v>
      </c>
      <c r="G330" s="270">
        <f t="shared" si="95"/>
        <v>0</v>
      </c>
      <c r="H330" s="270">
        <f t="shared" si="99"/>
        <v>0</v>
      </c>
      <c r="I330" s="270">
        <f t="shared" si="100"/>
        <v>0</v>
      </c>
      <c r="J330" s="270">
        <f t="shared" si="105"/>
        <v>0</v>
      </c>
      <c r="K330" s="271">
        <f t="shared" si="101"/>
        <v>0</v>
      </c>
      <c r="L330" s="297">
        <f t="shared" si="102"/>
        <v>0</v>
      </c>
      <c r="M330" s="297">
        <f>IF(D330="","",SUM(G$46:G330))</f>
        <v>10204.984651999994</v>
      </c>
      <c r="N330" s="270">
        <f>IF(D330="","",SUM(J$46:J330))</f>
        <v>17127.840000000015</v>
      </c>
      <c r="P330" s="245"/>
      <c r="Q330" s="277">
        <f t="shared" si="103"/>
        <v>231.64202044205396</v>
      </c>
      <c r="R330" s="277">
        <f t="shared" si="96"/>
        <v>63.354092590901764</v>
      </c>
      <c r="S330" s="277">
        <f t="shared" si="111"/>
        <v>149.96289648664805</v>
      </c>
      <c r="T330" s="277">
        <f t="shared" si="106"/>
        <v>0</v>
      </c>
      <c r="U330" s="277">
        <f t="shared" si="109"/>
        <v>149.96289648664805</v>
      </c>
      <c r="V330" s="277">
        <f t="shared" si="107"/>
        <v>0</v>
      </c>
      <c r="W330" s="277">
        <f t="shared" si="110"/>
        <v>149.96289648664805</v>
      </c>
      <c r="X330" s="273">
        <f t="shared" si="108"/>
        <v>8800.2795824044933</v>
      </c>
      <c r="AA330" s="278"/>
      <c r="AB330" s="277"/>
    </row>
    <row r="331" spans="2:28">
      <c r="B331" s="266">
        <f t="shared" si="112"/>
        <v>24</v>
      </c>
      <c r="C331" s="266"/>
      <c r="D331" s="293">
        <f t="shared" si="97"/>
        <v>286</v>
      </c>
      <c r="E331" s="294">
        <f t="shared" si="98"/>
        <v>50740</v>
      </c>
      <c r="F331" s="268">
        <f t="shared" si="104"/>
        <v>6.4899999999999999E-2</v>
      </c>
      <c r="G331" s="270">
        <f t="shared" si="95"/>
        <v>0</v>
      </c>
      <c r="H331" s="270">
        <f t="shared" si="99"/>
        <v>0</v>
      </c>
      <c r="I331" s="270">
        <f t="shared" si="100"/>
        <v>0</v>
      </c>
      <c r="J331" s="270">
        <f t="shared" si="105"/>
        <v>0</v>
      </c>
      <c r="K331" s="271">
        <f t="shared" si="101"/>
        <v>0</v>
      </c>
      <c r="L331" s="297">
        <f t="shared" si="102"/>
        <v>0</v>
      </c>
      <c r="M331" s="297">
        <f>IF(D331="","",SUM(G$46:G331))</f>
        <v>10204.984651999994</v>
      </c>
      <c r="N331" s="270">
        <f>IF(D331="","",SUM(J$46:J331))</f>
        <v>17127.840000000015</v>
      </c>
      <c r="P331" s="245"/>
      <c r="Q331" s="277">
        <f t="shared" si="103"/>
        <v>231.64202044205396</v>
      </c>
      <c r="R331" s="277">
        <f t="shared" si="96"/>
        <v>63.354092590901764</v>
      </c>
      <c r="S331" s="277">
        <f t="shared" si="111"/>
        <v>149.96289648664805</v>
      </c>
      <c r="T331" s="277">
        <f t="shared" si="106"/>
        <v>0</v>
      </c>
      <c r="U331" s="277">
        <f t="shared" si="109"/>
        <v>149.96289648664805</v>
      </c>
      <c r="V331" s="277">
        <f t="shared" si="107"/>
        <v>0</v>
      </c>
      <c r="W331" s="277">
        <f t="shared" si="110"/>
        <v>149.96289648664805</v>
      </c>
      <c r="X331" s="273">
        <f t="shared" si="108"/>
        <v>8950.2424788911412</v>
      </c>
      <c r="AA331" s="278"/>
      <c r="AB331" s="277"/>
    </row>
    <row r="332" spans="2:28">
      <c r="B332" s="266">
        <f t="shared" si="112"/>
        <v>24</v>
      </c>
      <c r="C332" s="266"/>
      <c r="D332" s="293">
        <f t="shared" si="97"/>
        <v>287</v>
      </c>
      <c r="E332" s="294">
        <f t="shared" si="98"/>
        <v>50771</v>
      </c>
      <c r="F332" s="268">
        <f t="shared" si="104"/>
        <v>6.4899999999999999E-2</v>
      </c>
      <c r="G332" s="270">
        <f t="shared" si="95"/>
        <v>0</v>
      </c>
      <c r="H332" s="270">
        <f t="shared" si="99"/>
        <v>0</v>
      </c>
      <c r="I332" s="270">
        <f t="shared" si="100"/>
        <v>0</v>
      </c>
      <c r="J332" s="270">
        <f t="shared" si="105"/>
        <v>0</v>
      </c>
      <c r="K332" s="271">
        <f t="shared" si="101"/>
        <v>0</v>
      </c>
      <c r="L332" s="297">
        <f t="shared" si="102"/>
        <v>0</v>
      </c>
      <c r="M332" s="297">
        <f>IF(D332="","",SUM(G$46:G332))</f>
        <v>10204.984651999994</v>
      </c>
      <c r="N332" s="270">
        <f>IF(D332="","",SUM(J$46:J332))</f>
        <v>17127.840000000015</v>
      </c>
      <c r="P332" s="245"/>
      <c r="Q332" s="277">
        <f t="shared" si="103"/>
        <v>231.64202044205396</v>
      </c>
      <c r="R332" s="277">
        <f t="shared" si="96"/>
        <v>63.354092590901764</v>
      </c>
      <c r="S332" s="277">
        <f t="shared" si="111"/>
        <v>149.96289648664805</v>
      </c>
      <c r="T332" s="277">
        <f t="shared" si="106"/>
        <v>0</v>
      </c>
      <c r="U332" s="277">
        <f t="shared" si="109"/>
        <v>149.96289648664805</v>
      </c>
      <c r="V332" s="277">
        <f t="shared" si="107"/>
        <v>0</v>
      </c>
      <c r="W332" s="277">
        <f t="shared" si="110"/>
        <v>149.96289648664805</v>
      </c>
      <c r="X332" s="273">
        <f t="shared" si="108"/>
        <v>9100.2053753777891</v>
      </c>
      <c r="AA332" s="278"/>
      <c r="AB332" s="277"/>
    </row>
    <row r="333" spans="2:28">
      <c r="B333" s="266">
        <f t="shared" si="112"/>
        <v>24</v>
      </c>
      <c r="C333" s="266"/>
      <c r="D333" s="293">
        <f t="shared" si="97"/>
        <v>288</v>
      </c>
      <c r="E333" s="294">
        <f t="shared" si="98"/>
        <v>50802</v>
      </c>
      <c r="F333" s="268">
        <f t="shared" si="104"/>
        <v>6.4899999999999999E-2</v>
      </c>
      <c r="G333" s="270">
        <f t="shared" si="95"/>
        <v>0</v>
      </c>
      <c r="H333" s="270">
        <f t="shared" si="99"/>
        <v>0</v>
      </c>
      <c r="I333" s="270">
        <f t="shared" si="100"/>
        <v>0</v>
      </c>
      <c r="J333" s="270">
        <f t="shared" si="105"/>
        <v>0</v>
      </c>
      <c r="K333" s="271">
        <f t="shared" si="101"/>
        <v>0</v>
      </c>
      <c r="L333" s="297">
        <f t="shared" si="102"/>
        <v>0</v>
      </c>
      <c r="M333" s="297">
        <f>IF(D333="","",SUM(G$46:G333))</f>
        <v>10204.984651999994</v>
      </c>
      <c r="N333" s="270">
        <f>IF(D333="","",SUM(J$46:J333))</f>
        <v>17127.840000000015</v>
      </c>
      <c r="P333" s="245"/>
      <c r="Q333" s="277">
        <f t="shared" si="103"/>
        <v>231.64202044205396</v>
      </c>
      <c r="R333" s="277">
        <f t="shared" si="96"/>
        <v>63.354092590901764</v>
      </c>
      <c r="S333" s="277">
        <f t="shared" si="111"/>
        <v>149.96289648664805</v>
      </c>
      <c r="T333" s="277">
        <f t="shared" si="106"/>
        <v>0</v>
      </c>
      <c r="U333" s="277">
        <f t="shared" si="109"/>
        <v>149.96289648664805</v>
      </c>
      <c r="V333" s="277">
        <f t="shared" si="107"/>
        <v>0</v>
      </c>
      <c r="W333" s="277">
        <f t="shared" si="110"/>
        <v>149.96289648664805</v>
      </c>
      <c r="X333" s="273">
        <f t="shared" si="108"/>
        <v>9250.168271864437</v>
      </c>
      <c r="AA333" s="278"/>
      <c r="AB333" s="277"/>
    </row>
    <row r="334" spans="2:28">
      <c r="B334" s="266">
        <f t="shared" si="112"/>
        <v>25</v>
      </c>
      <c r="C334" s="266"/>
      <c r="D334" s="293">
        <f t="shared" si="97"/>
        <v>289</v>
      </c>
      <c r="E334" s="294">
        <f t="shared" si="98"/>
        <v>50830</v>
      </c>
      <c r="F334" s="268">
        <f t="shared" si="104"/>
        <v>6.4899999999999999E-2</v>
      </c>
      <c r="G334" s="270">
        <f t="shared" si="95"/>
        <v>0</v>
      </c>
      <c r="H334" s="270">
        <f t="shared" si="99"/>
        <v>0</v>
      </c>
      <c r="I334" s="270">
        <f t="shared" si="100"/>
        <v>0</v>
      </c>
      <c r="J334" s="270">
        <f t="shared" si="105"/>
        <v>0</v>
      </c>
      <c r="K334" s="271">
        <f t="shared" si="101"/>
        <v>0</v>
      </c>
      <c r="L334" s="297">
        <f t="shared" si="102"/>
        <v>0</v>
      </c>
      <c r="M334" s="297">
        <f>IF(D334="","",SUM(G$46:G334))</f>
        <v>10204.984651999994</v>
      </c>
      <c r="N334" s="270">
        <f>IF(D334="","",SUM(J$46:J334))</f>
        <v>17127.840000000015</v>
      </c>
      <c r="P334" s="245"/>
      <c r="Q334" s="277">
        <f t="shared" si="103"/>
        <v>239.7494911575258</v>
      </c>
      <c r="R334" s="277">
        <f t="shared" si="96"/>
        <v>65.571485831583303</v>
      </c>
      <c r="S334" s="277">
        <f t="shared" si="111"/>
        <v>154.43553987436229</v>
      </c>
      <c r="T334" s="277">
        <f t="shared" si="106"/>
        <v>0</v>
      </c>
      <c r="U334" s="277">
        <f t="shared" si="109"/>
        <v>154.43553987436229</v>
      </c>
      <c r="V334" s="277">
        <f t="shared" si="107"/>
        <v>0</v>
      </c>
      <c r="W334" s="277">
        <f t="shared" si="110"/>
        <v>154.43553987436229</v>
      </c>
      <c r="X334" s="273">
        <f t="shared" si="108"/>
        <v>9404.6038117387998</v>
      </c>
      <c r="AA334" s="278"/>
      <c r="AB334" s="277"/>
    </row>
    <row r="335" spans="2:28">
      <c r="B335" s="266">
        <f t="shared" si="112"/>
        <v>25</v>
      </c>
      <c r="C335" s="266"/>
      <c r="D335" s="293">
        <f t="shared" si="97"/>
        <v>290</v>
      </c>
      <c r="E335" s="294">
        <f t="shared" si="98"/>
        <v>50861</v>
      </c>
      <c r="F335" s="268">
        <f t="shared" si="104"/>
        <v>6.4899999999999999E-2</v>
      </c>
      <c r="G335" s="270">
        <f t="shared" si="95"/>
        <v>0</v>
      </c>
      <c r="H335" s="270">
        <f t="shared" si="99"/>
        <v>0</v>
      </c>
      <c r="I335" s="270">
        <f t="shared" si="100"/>
        <v>0</v>
      </c>
      <c r="J335" s="270">
        <f t="shared" si="105"/>
        <v>0</v>
      </c>
      <c r="K335" s="271">
        <f t="shared" si="101"/>
        <v>0</v>
      </c>
      <c r="L335" s="297">
        <f t="shared" si="102"/>
        <v>0</v>
      </c>
      <c r="M335" s="297">
        <f>IF(D335="","",SUM(G$46:G335))</f>
        <v>10204.984651999994</v>
      </c>
      <c r="N335" s="270">
        <f>IF(D335="","",SUM(J$46:J335))</f>
        <v>17127.840000000015</v>
      </c>
      <c r="P335" s="245"/>
      <c r="Q335" s="277">
        <f t="shared" si="103"/>
        <v>239.7494911575258</v>
      </c>
      <c r="R335" s="277">
        <f t="shared" si="96"/>
        <v>65.571485831583303</v>
      </c>
      <c r="S335" s="277">
        <f t="shared" si="111"/>
        <v>154.43553987436229</v>
      </c>
      <c r="T335" s="277">
        <f t="shared" si="106"/>
        <v>0</v>
      </c>
      <c r="U335" s="277">
        <f t="shared" si="109"/>
        <v>154.43553987436229</v>
      </c>
      <c r="V335" s="277">
        <f t="shared" si="107"/>
        <v>0</v>
      </c>
      <c r="W335" s="277">
        <f t="shared" si="110"/>
        <v>154.43553987436229</v>
      </c>
      <c r="X335" s="273">
        <f t="shared" si="108"/>
        <v>9559.0393516131626</v>
      </c>
      <c r="AA335" s="278"/>
      <c r="AB335" s="277"/>
    </row>
    <row r="336" spans="2:28">
      <c r="B336" s="266">
        <f t="shared" si="112"/>
        <v>25</v>
      </c>
      <c r="C336" s="266"/>
      <c r="D336" s="293">
        <f t="shared" si="97"/>
        <v>291</v>
      </c>
      <c r="E336" s="294">
        <f t="shared" si="98"/>
        <v>50891</v>
      </c>
      <c r="F336" s="268">
        <f t="shared" si="104"/>
        <v>6.4899999999999999E-2</v>
      </c>
      <c r="G336" s="270">
        <f t="shared" si="95"/>
        <v>0</v>
      </c>
      <c r="H336" s="270">
        <f t="shared" si="99"/>
        <v>0</v>
      </c>
      <c r="I336" s="270">
        <f t="shared" si="100"/>
        <v>0</v>
      </c>
      <c r="J336" s="270">
        <f t="shared" si="105"/>
        <v>0</v>
      </c>
      <c r="K336" s="271">
        <f t="shared" si="101"/>
        <v>0</v>
      </c>
      <c r="L336" s="297">
        <f t="shared" si="102"/>
        <v>0</v>
      </c>
      <c r="M336" s="297">
        <f>IF(D336="","",SUM(G$46:G336))</f>
        <v>10204.984651999994</v>
      </c>
      <c r="N336" s="270">
        <f>IF(D336="","",SUM(J$46:J336))</f>
        <v>17127.840000000015</v>
      </c>
      <c r="P336" s="245"/>
      <c r="Q336" s="277">
        <f t="shared" si="103"/>
        <v>239.7494911575258</v>
      </c>
      <c r="R336" s="277">
        <f t="shared" si="96"/>
        <v>65.571485831583303</v>
      </c>
      <c r="S336" s="277">
        <f t="shared" si="111"/>
        <v>154.43553987436229</v>
      </c>
      <c r="T336" s="277">
        <f t="shared" si="106"/>
        <v>0</v>
      </c>
      <c r="U336" s="277">
        <f t="shared" si="109"/>
        <v>154.43553987436229</v>
      </c>
      <c r="V336" s="277">
        <f t="shared" si="107"/>
        <v>0</v>
      </c>
      <c r="W336" s="277">
        <f t="shared" si="110"/>
        <v>154.43553987436229</v>
      </c>
      <c r="X336" s="273">
        <f t="shared" si="108"/>
        <v>9713.4748914875254</v>
      </c>
      <c r="AA336" s="278"/>
      <c r="AB336" s="277"/>
    </row>
    <row r="337" spans="2:28">
      <c r="B337" s="266">
        <f t="shared" si="112"/>
        <v>25</v>
      </c>
      <c r="C337" s="266"/>
      <c r="D337" s="293">
        <f t="shared" si="97"/>
        <v>292</v>
      </c>
      <c r="E337" s="294">
        <f t="shared" si="98"/>
        <v>50922</v>
      </c>
      <c r="F337" s="268">
        <f t="shared" si="104"/>
        <v>6.4899999999999999E-2</v>
      </c>
      <c r="G337" s="270">
        <f t="shared" si="95"/>
        <v>0</v>
      </c>
      <c r="H337" s="270">
        <f t="shared" si="99"/>
        <v>0</v>
      </c>
      <c r="I337" s="270">
        <f t="shared" si="100"/>
        <v>0</v>
      </c>
      <c r="J337" s="270">
        <f t="shared" si="105"/>
        <v>0</v>
      </c>
      <c r="K337" s="271">
        <f t="shared" si="101"/>
        <v>0</v>
      </c>
      <c r="L337" s="297">
        <f t="shared" si="102"/>
        <v>0</v>
      </c>
      <c r="M337" s="297">
        <f>IF(D337="","",SUM(G$46:G337))</f>
        <v>10204.984651999994</v>
      </c>
      <c r="N337" s="270">
        <f>IF(D337="","",SUM(J$46:J337))</f>
        <v>17127.840000000015</v>
      </c>
      <c r="P337" s="245"/>
      <c r="Q337" s="277">
        <f t="shared" si="103"/>
        <v>239.7494911575258</v>
      </c>
      <c r="R337" s="277">
        <f t="shared" si="96"/>
        <v>65.571485831583303</v>
      </c>
      <c r="S337" s="277">
        <f t="shared" si="111"/>
        <v>154.43553987436229</v>
      </c>
      <c r="T337" s="277">
        <f t="shared" si="106"/>
        <v>0</v>
      </c>
      <c r="U337" s="277">
        <f t="shared" si="109"/>
        <v>154.43553987436229</v>
      </c>
      <c r="V337" s="277">
        <f t="shared" si="107"/>
        <v>0</v>
      </c>
      <c r="W337" s="277">
        <f t="shared" si="110"/>
        <v>154.43553987436229</v>
      </c>
      <c r="X337" s="273">
        <f t="shared" si="108"/>
        <v>9867.9104313618882</v>
      </c>
      <c r="AA337" s="278"/>
      <c r="AB337" s="277"/>
    </row>
    <row r="338" spans="2:28">
      <c r="B338" s="266">
        <f t="shared" si="112"/>
        <v>25</v>
      </c>
      <c r="C338" s="266"/>
      <c r="D338" s="293">
        <f t="shared" si="97"/>
        <v>293</v>
      </c>
      <c r="E338" s="294">
        <f t="shared" si="98"/>
        <v>50952</v>
      </c>
      <c r="F338" s="268">
        <f t="shared" si="104"/>
        <v>6.4899999999999999E-2</v>
      </c>
      <c r="G338" s="270">
        <f t="shared" si="95"/>
        <v>0</v>
      </c>
      <c r="H338" s="270">
        <f t="shared" si="99"/>
        <v>0</v>
      </c>
      <c r="I338" s="270">
        <f t="shared" si="100"/>
        <v>0</v>
      </c>
      <c r="J338" s="270">
        <f t="shared" si="105"/>
        <v>0</v>
      </c>
      <c r="K338" s="271">
        <f t="shared" si="101"/>
        <v>0</v>
      </c>
      <c r="L338" s="297">
        <f t="shared" si="102"/>
        <v>0</v>
      </c>
      <c r="M338" s="297">
        <f>IF(D338="","",SUM(G$46:G338))</f>
        <v>10204.984651999994</v>
      </c>
      <c r="N338" s="270">
        <f>IF(D338="","",SUM(J$46:J338))</f>
        <v>17127.840000000015</v>
      </c>
      <c r="P338" s="245"/>
      <c r="Q338" s="277">
        <f t="shared" si="103"/>
        <v>239.7494911575258</v>
      </c>
      <c r="R338" s="277">
        <f t="shared" si="96"/>
        <v>65.571485831583303</v>
      </c>
      <c r="S338" s="277">
        <f t="shared" si="111"/>
        <v>154.43553987436229</v>
      </c>
      <c r="T338" s="277">
        <f t="shared" si="106"/>
        <v>0</v>
      </c>
      <c r="U338" s="277">
        <f t="shared" si="109"/>
        <v>154.43553987436229</v>
      </c>
      <c r="V338" s="277">
        <f t="shared" si="107"/>
        <v>0</v>
      </c>
      <c r="W338" s="277">
        <f t="shared" si="110"/>
        <v>154.43553987436229</v>
      </c>
      <c r="X338" s="273">
        <f t="shared" si="108"/>
        <v>10022.345971236251</v>
      </c>
      <c r="AA338" s="278"/>
      <c r="AB338" s="277"/>
    </row>
    <row r="339" spans="2:28">
      <c r="B339" s="266">
        <f t="shared" si="112"/>
        <v>25</v>
      </c>
      <c r="C339" s="266"/>
      <c r="D339" s="293">
        <f t="shared" si="97"/>
        <v>294</v>
      </c>
      <c r="E339" s="294">
        <f t="shared" si="98"/>
        <v>50983</v>
      </c>
      <c r="F339" s="268">
        <f t="shared" si="104"/>
        <v>6.4899999999999999E-2</v>
      </c>
      <c r="G339" s="270">
        <f t="shared" si="95"/>
        <v>0</v>
      </c>
      <c r="H339" s="270">
        <f t="shared" si="99"/>
        <v>0</v>
      </c>
      <c r="I339" s="270">
        <f t="shared" si="100"/>
        <v>0</v>
      </c>
      <c r="J339" s="270">
        <f t="shared" si="105"/>
        <v>0</v>
      </c>
      <c r="K339" s="271">
        <f t="shared" si="101"/>
        <v>0</v>
      </c>
      <c r="L339" s="297">
        <f t="shared" si="102"/>
        <v>0</v>
      </c>
      <c r="M339" s="297">
        <f>IF(D339="","",SUM(G$46:G339))</f>
        <v>10204.984651999994</v>
      </c>
      <c r="N339" s="270">
        <f>IF(D339="","",SUM(J$46:J339))</f>
        <v>17127.840000000015</v>
      </c>
      <c r="P339" s="245"/>
      <c r="Q339" s="277">
        <f t="shared" si="103"/>
        <v>239.7494911575258</v>
      </c>
      <c r="R339" s="277">
        <f t="shared" si="96"/>
        <v>65.571485831583303</v>
      </c>
      <c r="S339" s="277">
        <f t="shared" si="111"/>
        <v>154.43553987436229</v>
      </c>
      <c r="T339" s="277">
        <f t="shared" si="106"/>
        <v>0</v>
      </c>
      <c r="U339" s="277">
        <f t="shared" si="109"/>
        <v>154.43553987436229</v>
      </c>
      <c r="V339" s="277">
        <f t="shared" si="107"/>
        <v>0</v>
      </c>
      <c r="W339" s="277">
        <f t="shared" si="110"/>
        <v>154.43553987436229</v>
      </c>
      <c r="X339" s="273">
        <f t="shared" si="108"/>
        <v>10176.781511110614</v>
      </c>
      <c r="AA339" s="278"/>
      <c r="AB339" s="277"/>
    </row>
    <row r="340" spans="2:28">
      <c r="B340" s="266">
        <f t="shared" si="112"/>
        <v>25</v>
      </c>
      <c r="C340" s="266"/>
      <c r="D340" s="293">
        <f t="shared" si="97"/>
        <v>295</v>
      </c>
      <c r="E340" s="294">
        <f t="shared" si="98"/>
        <v>51014</v>
      </c>
      <c r="F340" s="268">
        <f t="shared" si="104"/>
        <v>6.4899999999999999E-2</v>
      </c>
      <c r="G340" s="270">
        <f t="shared" si="95"/>
        <v>0</v>
      </c>
      <c r="H340" s="270">
        <f t="shared" si="99"/>
        <v>0</v>
      </c>
      <c r="I340" s="270">
        <f t="shared" si="100"/>
        <v>0</v>
      </c>
      <c r="J340" s="270">
        <f t="shared" si="105"/>
        <v>0</v>
      </c>
      <c r="K340" s="271">
        <f t="shared" si="101"/>
        <v>0</v>
      </c>
      <c r="L340" s="297">
        <f t="shared" si="102"/>
        <v>0</v>
      </c>
      <c r="M340" s="297">
        <f>IF(D340="","",SUM(G$46:G340))</f>
        <v>10204.984651999994</v>
      </c>
      <c r="N340" s="270">
        <f>IF(D340="","",SUM(J$46:J340))</f>
        <v>17127.840000000015</v>
      </c>
      <c r="P340" s="245"/>
      <c r="Q340" s="277">
        <f t="shared" si="103"/>
        <v>239.7494911575258</v>
      </c>
      <c r="R340" s="277">
        <f t="shared" si="96"/>
        <v>65.571485831583303</v>
      </c>
      <c r="S340" s="277">
        <f t="shared" si="111"/>
        <v>154.43553987436229</v>
      </c>
      <c r="T340" s="277">
        <f t="shared" si="106"/>
        <v>0</v>
      </c>
      <c r="U340" s="277">
        <f t="shared" si="109"/>
        <v>154.43553987436229</v>
      </c>
      <c r="V340" s="277">
        <f t="shared" si="107"/>
        <v>0</v>
      </c>
      <c r="W340" s="277">
        <f t="shared" si="110"/>
        <v>154.43553987436229</v>
      </c>
      <c r="X340" s="273">
        <f t="shared" si="108"/>
        <v>10331.217050984977</v>
      </c>
      <c r="AA340" s="278"/>
      <c r="AB340" s="277"/>
    </row>
    <row r="341" spans="2:28">
      <c r="B341" s="266">
        <f t="shared" si="112"/>
        <v>25</v>
      </c>
      <c r="C341" s="266"/>
      <c r="D341" s="293">
        <f t="shared" si="97"/>
        <v>296</v>
      </c>
      <c r="E341" s="294">
        <f t="shared" si="98"/>
        <v>51044</v>
      </c>
      <c r="F341" s="268">
        <f t="shared" si="104"/>
        <v>6.4899999999999999E-2</v>
      </c>
      <c r="G341" s="270">
        <f t="shared" si="95"/>
        <v>0</v>
      </c>
      <c r="H341" s="270">
        <f t="shared" si="99"/>
        <v>0</v>
      </c>
      <c r="I341" s="270">
        <f t="shared" si="100"/>
        <v>0</v>
      </c>
      <c r="J341" s="270">
        <f t="shared" si="105"/>
        <v>0</v>
      </c>
      <c r="K341" s="271">
        <f t="shared" si="101"/>
        <v>0</v>
      </c>
      <c r="L341" s="297">
        <f t="shared" si="102"/>
        <v>0</v>
      </c>
      <c r="M341" s="297">
        <f>IF(D341="","",SUM(G$46:G341))</f>
        <v>10204.984651999994</v>
      </c>
      <c r="N341" s="270">
        <f>IF(D341="","",SUM(J$46:J341))</f>
        <v>17127.840000000015</v>
      </c>
      <c r="P341" s="245"/>
      <c r="Q341" s="277">
        <f t="shared" si="103"/>
        <v>239.7494911575258</v>
      </c>
      <c r="R341" s="277">
        <f t="shared" si="96"/>
        <v>65.571485831583303</v>
      </c>
      <c r="S341" s="277">
        <f t="shared" si="111"/>
        <v>154.43553987436229</v>
      </c>
      <c r="T341" s="277">
        <f t="shared" si="106"/>
        <v>0</v>
      </c>
      <c r="U341" s="277">
        <f t="shared" si="109"/>
        <v>154.43553987436229</v>
      </c>
      <c r="V341" s="277">
        <f t="shared" si="107"/>
        <v>0</v>
      </c>
      <c r="W341" s="277">
        <f t="shared" si="110"/>
        <v>154.43553987436229</v>
      </c>
      <c r="X341" s="273">
        <f t="shared" si="108"/>
        <v>10485.652590859339</v>
      </c>
      <c r="AA341" s="278"/>
      <c r="AB341" s="277"/>
    </row>
    <row r="342" spans="2:28">
      <c r="B342" s="266">
        <f t="shared" si="112"/>
        <v>25</v>
      </c>
      <c r="C342" s="266"/>
      <c r="D342" s="293">
        <f t="shared" si="97"/>
        <v>297</v>
      </c>
      <c r="E342" s="294">
        <f t="shared" si="98"/>
        <v>51075</v>
      </c>
      <c r="F342" s="268">
        <f t="shared" si="104"/>
        <v>6.4899999999999999E-2</v>
      </c>
      <c r="G342" s="270">
        <f t="shared" si="95"/>
        <v>0</v>
      </c>
      <c r="H342" s="270">
        <f t="shared" si="99"/>
        <v>0</v>
      </c>
      <c r="I342" s="270">
        <f t="shared" si="100"/>
        <v>0</v>
      </c>
      <c r="J342" s="270">
        <f t="shared" si="105"/>
        <v>0</v>
      </c>
      <c r="K342" s="271">
        <f t="shared" si="101"/>
        <v>0</v>
      </c>
      <c r="L342" s="297">
        <f t="shared" si="102"/>
        <v>0</v>
      </c>
      <c r="M342" s="297">
        <f>IF(D342="","",SUM(G$46:G342))</f>
        <v>10204.984651999994</v>
      </c>
      <c r="N342" s="270">
        <f>IF(D342="","",SUM(J$46:J342))</f>
        <v>17127.840000000015</v>
      </c>
      <c r="P342" s="245"/>
      <c r="Q342" s="277">
        <f t="shared" si="103"/>
        <v>239.7494911575258</v>
      </c>
      <c r="R342" s="277">
        <f t="shared" si="96"/>
        <v>65.571485831583303</v>
      </c>
      <c r="S342" s="277">
        <f t="shared" si="111"/>
        <v>154.43553987436229</v>
      </c>
      <c r="T342" s="277">
        <f t="shared" si="106"/>
        <v>0</v>
      </c>
      <c r="U342" s="277">
        <f t="shared" si="109"/>
        <v>154.43553987436229</v>
      </c>
      <c r="V342" s="277">
        <f t="shared" si="107"/>
        <v>0</v>
      </c>
      <c r="W342" s="277">
        <f t="shared" si="110"/>
        <v>154.43553987436229</v>
      </c>
      <c r="X342" s="273">
        <f t="shared" si="108"/>
        <v>10640.088130733702</v>
      </c>
      <c r="AA342" s="278"/>
      <c r="AB342" s="277"/>
    </row>
    <row r="343" spans="2:28">
      <c r="B343" s="266">
        <f t="shared" si="112"/>
        <v>25</v>
      </c>
      <c r="C343" s="266"/>
      <c r="D343" s="293">
        <f t="shared" si="97"/>
        <v>298</v>
      </c>
      <c r="E343" s="294">
        <f t="shared" si="98"/>
        <v>51105</v>
      </c>
      <c r="F343" s="268">
        <f t="shared" si="104"/>
        <v>6.4899999999999999E-2</v>
      </c>
      <c r="G343" s="270">
        <f t="shared" si="95"/>
        <v>0</v>
      </c>
      <c r="H343" s="270">
        <f t="shared" si="99"/>
        <v>0</v>
      </c>
      <c r="I343" s="270">
        <f t="shared" si="100"/>
        <v>0</v>
      </c>
      <c r="J343" s="270">
        <f t="shared" si="105"/>
        <v>0</v>
      </c>
      <c r="K343" s="271">
        <f t="shared" si="101"/>
        <v>0</v>
      </c>
      <c r="L343" s="297">
        <f t="shared" si="102"/>
        <v>0</v>
      </c>
      <c r="M343" s="297">
        <f>IF(D343="","",SUM(G$46:G343))</f>
        <v>10204.984651999994</v>
      </c>
      <c r="N343" s="270">
        <f>IF(D343="","",SUM(J$46:J343))</f>
        <v>17127.840000000015</v>
      </c>
      <c r="P343" s="245"/>
      <c r="Q343" s="277">
        <f t="shared" si="103"/>
        <v>239.7494911575258</v>
      </c>
      <c r="R343" s="277">
        <f t="shared" si="96"/>
        <v>65.571485831583303</v>
      </c>
      <c r="S343" s="277">
        <f t="shared" si="111"/>
        <v>154.43553987436229</v>
      </c>
      <c r="T343" s="277">
        <f t="shared" si="106"/>
        <v>0</v>
      </c>
      <c r="U343" s="277">
        <f t="shared" si="109"/>
        <v>154.43553987436229</v>
      </c>
      <c r="V343" s="277">
        <f t="shared" si="107"/>
        <v>0</v>
      </c>
      <c r="W343" s="277">
        <f t="shared" si="110"/>
        <v>154.43553987436229</v>
      </c>
      <c r="X343" s="273">
        <f t="shared" si="108"/>
        <v>10794.523670608065</v>
      </c>
      <c r="AA343" s="278"/>
      <c r="AB343" s="277"/>
    </row>
    <row r="344" spans="2:28">
      <c r="B344" s="266">
        <f t="shared" si="112"/>
        <v>25</v>
      </c>
      <c r="C344" s="266"/>
      <c r="D344" s="293">
        <f t="shared" si="97"/>
        <v>299</v>
      </c>
      <c r="E344" s="294">
        <f t="shared" si="98"/>
        <v>51136</v>
      </c>
      <c r="F344" s="268">
        <f t="shared" si="104"/>
        <v>6.4899999999999999E-2</v>
      </c>
      <c r="G344" s="270">
        <f t="shared" si="95"/>
        <v>0</v>
      </c>
      <c r="H344" s="270">
        <f t="shared" si="99"/>
        <v>0</v>
      </c>
      <c r="I344" s="270">
        <f t="shared" si="100"/>
        <v>0</v>
      </c>
      <c r="J344" s="270">
        <f t="shared" si="105"/>
        <v>0</v>
      </c>
      <c r="K344" s="271">
        <f t="shared" si="101"/>
        <v>0</v>
      </c>
      <c r="L344" s="297">
        <f t="shared" si="102"/>
        <v>0</v>
      </c>
      <c r="M344" s="297">
        <f>IF(D344="","",SUM(G$46:G344))</f>
        <v>10204.984651999994</v>
      </c>
      <c r="N344" s="270">
        <f>IF(D344="","",SUM(J$46:J344))</f>
        <v>17127.840000000015</v>
      </c>
      <c r="P344" s="245"/>
      <c r="Q344" s="277">
        <f t="shared" si="103"/>
        <v>239.7494911575258</v>
      </c>
      <c r="R344" s="277">
        <f t="shared" si="96"/>
        <v>65.571485831583303</v>
      </c>
      <c r="S344" s="277">
        <f t="shared" si="111"/>
        <v>154.43553987436229</v>
      </c>
      <c r="T344" s="277">
        <f t="shared" si="106"/>
        <v>0</v>
      </c>
      <c r="U344" s="277">
        <f t="shared" si="109"/>
        <v>154.43553987436229</v>
      </c>
      <c r="V344" s="277">
        <f t="shared" si="107"/>
        <v>0</v>
      </c>
      <c r="W344" s="277">
        <f t="shared" si="110"/>
        <v>154.43553987436229</v>
      </c>
      <c r="X344" s="273">
        <f t="shared" si="108"/>
        <v>10948.959210482428</v>
      </c>
      <c r="AA344" s="278"/>
      <c r="AB344" s="277"/>
    </row>
    <row r="345" spans="2:28">
      <c r="B345" s="266">
        <f t="shared" si="112"/>
        <v>25</v>
      </c>
      <c r="C345" s="266"/>
      <c r="D345" s="293">
        <f t="shared" si="97"/>
        <v>300</v>
      </c>
      <c r="E345" s="294">
        <f t="shared" si="98"/>
        <v>51167</v>
      </c>
      <c r="F345" s="268">
        <f t="shared" si="104"/>
        <v>6.4899999999999999E-2</v>
      </c>
      <c r="G345" s="270">
        <f t="shared" si="95"/>
        <v>0</v>
      </c>
      <c r="H345" s="270">
        <f t="shared" si="99"/>
        <v>0</v>
      </c>
      <c r="I345" s="270">
        <f t="shared" si="100"/>
        <v>0</v>
      </c>
      <c r="J345" s="270">
        <f t="shared" si="105"/>
        <v>0</v>
      </c>
      <c r="K345" s="271">
        <f t="shared" si="101"/>
        <v>0</v>
      </c>
      <c r="L345" s="297">
        <f t="shared" si="102"/>
        <v>0</v>
      </c>
      <c r="M345" s="297">
        <f>IF(D345="","",SUM(G$46:G345))</f>
        <v>10204.984651999994</v>
      </c>
      <c r="N345" s="270">
        <f>IF(D345="","",SUM(J$46:J345))</f>
        <v>17127.840000000015</v>
      </c>
      <c r="P345" s="245"/>
      <c r="Q345" s="277">
        <f t="shared" si="103"/>
        <v>239.7494911575258</v>
      </c>
      <c r="R345" s="277">
        <f t="shared" si="96"/>
        <v>65.571485831583303</v>
      </c>
      <c r="S345" s="277">
        <f t="shared" si="111"/>
        <v>154.43553987436229</v>
      </c>
      <c r="T345" s="277">
        <f t="shared" si="106"/>
        <v>0</v>
      </c>
      <c r="U345" s="277">
        <f t="shared" si="109"/>
        <v>154.43553987436229</v>
      </c>
      <c r="V345" s="277">
        <f t="shared" si="107"/>
        <v>0</v>
      </c>
      <c r="W345" s="277">
        <f t="shared" si="110"/>
        <v>154.43553987436229</v>
      </c>
      <c r="X345" s="273">
        <f t="shared" si="108"/>
        <v>11103.394750356791</v>
      </c>
      <c r="AA345" s="278"/>
      <c r="AB345" s="277"/>
    </row>
    <row r="346" spans="2:28" ht="6" customHeight="1">
      <c r="B346" s="266"/>
      <c r="C346" s="266"/>
      <c r="D346" s="175"/>
      <c r="E346" s="267"/>
      <c r="F346" s="268"/>
      <c r="G346" s="270"/>
      <c r="H346" s="270"/>
      <c r="I346" s="299"/>
      <c r="J346" s="270"/>
      <c r="K346" s="271"/>
      <c r="L346" s="297"/>
      <c r="M346" s="300"/>
      <c r="N346" s="242"/>
      <c r="P346" s="245"/>
      <c r="Q346" s="277"/>
      <c r="R346" s="277"/>
      <c r="S346" s="277"/>
      <c r="T346" s="273"/>
      <c r="U346" s="178"/>
      <c r="V346" s="277"/>
      <c r="W346" s="273"/>
    </row>
    <row r="347" spans="2:28">
      <c r="B347" s="266"/>
      <c r="C347" s="266"/>
      <c r="D347" s="175"/>
      <c r="E347" s="267"/>
      <c r="F347" s="268"/>
      <c r="G347" s="270"/>
      <c r="H347" s="270"/>
      <c r="I347" s="299"/>
      <c r="J347" s="270"/>
      <c r="K347" s="271"/>
      <c r="L347" s="297"/>
      <c r="M347" s="300"/>
      <c r="N347" s="242"/>
      <c r="P347" s="245"/>
      <c r="Q347" s="277"/>
      <c r="R347" s="277"/>
      <c r="S347" s="277"/>
      <c r="T347" s="277"/>
      <c r="U347" s="277"/>
      <c r="V347" s="277"/>
      <c r="W347" s="273"/>
    </row>
    <row r="348" spans="2:28">
      <c r="B348" s="266"/>
      <c r="C348" s="266"/>
      <c r="D348" s="175"/>
      <c r="E348" s="267"/>
      <c r="F348" s="268"/>
      <c r="G348" s="270"/>
      <c r="H348" s="270"/>
      <c r="I348" s="299"/>
      <c r="J348" s="270"/>
      <c r="K348" s="271"/>
      <c r="L348" s="297"/>
      <c r="M348" s="300"/>
      <c r="N348" s="242"/>
      <c r="P348" s="245"/>
      <c r="Q348" s="277"/>
      <c r="R348" s="277"/>
      <c r="S348" s="277"/>
      <c r="T348" s="277"/>
      <c r="U348" s="277"/>
      <c r="V348" s="277"/>
      <c r="W348" s="273"/>
    </row>
    <row r="349" spans="2:28">
      <c r="B349" s="266"/>
      <c r="C349" s="266"/>
      <c r="D349" s="175"/>
      <c r="E349" s="267"/>
      <c r="F349" s="268"/>
      <c r="G349" s="270"/>
      <c r="H349" s="270"/>
      <c r="I349" s="299"/>
      <c r="J349" s="270"/>
      <c r="K349" s="271"/>
      <c r="L349" s="297"/>
      <c r="M349" s="300"/>
      <c r="N349" s="242"/>
      <c r="P349" s="245"/>
      <c r="Q349" s="277"/>
      <c r="R349" s="277"/>
      <c r="S349" s="277"/>
      <c r="T349" s="277"/>
      <c r="U349" s="277"/>
      <c r="V349" s="277"/>
      <c r="W349" s="273"/>
    </row>
    <row r="350" spans="2:28">
      <c r="B350" s="266"/>
      <c r="C350" s="266"/>
      <c r="D350" s="175"/>
      <c r="E350" s="267"/>
      <c r="F350" s="268"/>
      <c r="G350" s="270"/>
      <c r="H350" s="270"/>
      <c r="I350" s="299"/>
      <c r="J350" s="270"/>
      <c r="K350" s="271"/>
      <c r="L350" s="297"/>
      <c r="M350" s="300"/>
      <c r="N350" s="242"/>
      <c r="P350" s="245"/>
      <c r="Q350" s="277"/>
      <c r="R350" s="277"/>
      <c r="S350" s="277"/>
      <c r="T350" s="277"/>
      <c r="U350" s="277"/>
      <c r="V350" s="277"/>
      <c r="W350" s="273"/>
    </row>
    <row r="351" spans="2:28">
      <c r="B351" s="266"/>
      <c r="C351" s="266"/>
      <c r="D351" s="175"/>
      <c r="E351" s="267"/>
      <c r="F351" s="268"/>
      <c r="G351" s="270"/>
      <c r="H351" s="270"/>
      <c r="I351" s="299"/>
      <c r="J351" s="270"/>
      <c r="K351" s="271"/>
      <c r="L351" s="297"/>
      <c r="M351" s="300"/>
      <c r="N351" s="242"/>
      <c r="P351" s="245"/>
      <c r="Q351" s="277"/>
      <c r="R351" s="277"/>
      <c r="S351" s="277"/>
      <c r="T351" s="277"/>
      <c r="U351" s="277"/>
      <c r="V351" s="277"/>
      <c r="W351" s="273"/>
    </row>
    <row r="352" spans="2:28">
      <c r="B352" s="266"/>
      <c r="C352" s="266"/>
      <c r="D352" s="175"/>
      <c r="E352" s="267"/>
      <c r="F352" s="268"/>
      <c r="G352" s="270"/>
      <c r="H352" s="270"/>
      <c r="I352" s="299"/>
      <c r="J352" s="270"/>
      <c r="K352" s="271"/>
      <c r="L352" s="297"/>
      <c r="M352" s="300"/>
      <c r="N352" s="242"/>
      <c r="P352" s="245"/>
      <c r="Q352" s="277"/>
      <c r="R352" s="277"/>
      <c r="S352" s="277"/>
      <c r="T352" s="277"/>
      <c r="U352" s="277"/>
      <c r="V352" s="277"/>
      <c r="W352" s="273"/>
    </row>
    <row r="353" spans="2:23">
      <c r="B353" s="266"/>
      <c r="C353" s="266"/>
      <c r="D353" s="175"/>
      <c r="E353" s="267"/>
      <c r="F353" s="268"/>
      <c r="G353" s="270"/>
      <c r="H353" s="270"/>
      <c r="I353" s="299"/>
      <c r="J353" s="270"/>
      <c r="K353" s="271"/>
      <c r="L353" s="297"/>
      <c r="M353" s="300"/>
      <c r="N353" s="242"/>
      <c r="P353" s="245"/>
      <c r="Q353" s="277"/>
      <c r="R353" s="277"/>
      <c r="S353" s="277"/>
      <c r="T353" s="277"/>
      <c r="U353" s="277"/>
      <c r="V353" s="277"/>
      <c r="W353" s="273"/>
    </row>
    <row r="354" spans="2:23">
      <c r="B354" s="266"/>
      <c r="C354" s="266"/>
      <c r="D354" s="175"/>
      <c r="E354" s="267"/>
      <c r="F354" s="268"/>
      <c r="G354" s="270"/>
      <c r="H354" s="270"/>
      <c r="I354" s="299"/>
      <c r="J354" s="270"/>
      <c r="K354" s="271"/>
      <c r="L354" s="297"/>
      <c r="M354" s="300"/>
      <c r="N354" s="242"/>
      <c r="P354" s="245"/>
      <c r="Q354" s="277"/>
      <c r="R354" s="277"/>
      <c r="S354" s="277"/>
      <c r="T354" s="277"/>
      <c r="U354" s="277"/>
      <c r="V354" s="277"/>
      <c r="W354" s="273"/>
    </row>
    <row r="355" spans="2:23">
      <c r="B355" s="266"/>
      <c r="C355" s="266"/>
      <c r="D355" s="175"/>
      <c r="E355" s="267"/>
      <c r="F355" s="268"/>
      <c r="G355" s="270"/>
      <c r="H355" s="270"/>
      <c r="I355" s="299"/>
      <c r="J355" s="270"/>
      <c r="K355" s="271"/>
      <c r="L355" s="297"/>
      <c r="M355" s="300"/>
      <c r="N355" s="242"/>
      <c r="P355" s="245"/>
      <c r="Q355" s="277"/>
      <c r="R355" s="277"/>
      <c r="S355" s="277"/>
      <c r="T355" s="277"/>
      <c r="U355" s="277"/>
      <c r="V355" s="277"/>
      <c r="W355" s="273"/>
    </row>
    <row r="356" spans="2:23">
      <c r="B356" s="266"/>
      <c r="C356" s="266"/>
      <c r="D356" s="175"/>
      <c r="E356" s="267"/>
      <c r="F356" s="268"/>
      <c r="G356" s="270"/>
      <c r="H356" s="270"/>
      <c r="I356" s="299"/>
      <c r="J356" s="270"/>
      <c r="K356" s="271"/>
      <c r="L356" s="297"/>
      <c r="M356" s="300"/>
      <c r="N356" s="242"/>
      <c r="P356" s="245"/>
      <c r="Q356" s="277"/>
      <c r="R356" s="277"/>
      <c r="S356" s="277"/>
      <c r="T356" s="277"/>
      <c r="U356" s="277"/>
      <c r="V356" s="277"/>
      <c r="W356" s="273"/>
    </row>
    <row r="357" spans="2:23">
      <c r="B357" s="266"/>
      <c r="C357" s="266"/>
      <c r="D357" s="175"/>
      <c r="E357" s="267"/>
      <c r="F357" s="268"/>
      <c r="G357" s="270"/>
      <c r="H357" s="270"/>
      <c r="I357" s="299"/>
      <c r="J357" s="270"/>
      <c r="K357" s="271"/>
      <c r="L357" s="297"/>
      <c r="M357" s="300"/>
      <c r="N357" s="242"/>
      <c r="P357" s="245"/>
      <c r="Q357" s="277"/>
      <c r="R357" s="277"/>
      <c r="S357" s="277"/>
      <c r="T357" s="277"/>
      <c r="U357" s="277"/>
      <c r="V357" s="277"/>
      <c r="W357" s="273"/>
    </row>
    <row r="358" spans="2:23">
      <c r="B358" s="266"/>
      <c r="C358" s="266"/>
      <c r="D358" s="175"/>
      <c r="E358" s="267"/>
      <c r="F358" s="268"/>
      <c r="G358" s="270"/>
      <c r="H358" s="270"/>
      <c r="I358" s="299"/>
      <c r="J358" s="270"/>
      <c r="K358" s="271"/>
      <c r="L358" s="297"/>
      <c r="M358" s="300"/>
      <c r="N358" s="242"/>
      <c r="P358" s="245"/>
      <c r="Q358" s="277"/>
      <c r="R358" s="277"/>
      <c r="S358" s="277"/>
      <c r="T358" s="277"/>
      <c r="U358" s="277"/>
      <c r="V358" s="277"/>
      <c r="W358" s="273"/>
    </row>
    <row r="359" spans="2:23">
      <c r="B359" s="266"/>
      <c r="C359" s="266"/>
      <c r="D359" s="175"/>
      <c r="E359" s="267"/>
      <c r="F359" s="268"/>
      <c r="G359" s="270"/>
      <c r="H359" s="270"/>
      <c r="I359" s="299"/>
      <c r="J359" s="270"/>
      <c r="K359" s="271"/>
      <c r="L359" s="297"/>
      <c r="M359" s="300"/>
      <c r="N359" s="242"/>
      <c r="P359" s="245"/>
      <c r="Q359" s="277"/>
      <c r="R359" s="277"/>
      <c r="S359" s="277"/>
      <c r="T359" s="277"/>
      <c r="U359" s="277"/>
      <c r="V359" s="277"/>
      <c r="W359" s="273"/>
    </row>
    <row r="360" spans="2:23">
      <c r="B360" s="266"/>
      <c r="C360" s="266"/>
      <c r="D360" s="175"/>
      <c r="E360" s="267"/>
      <c r="F360" s="268"/>
      <c r="G360" s="270"/>
      <c r="H360" s="270"/>
      <c r="I360" s="299"/>
      <c r="J360" s="270"/>
      <c r="K360" s="271"/>
      <c r="L360" s="297"/>
      <c r="M360" s="300"/>
      <c r="N360" s="242"/>
      <c r="P360" s="245"/>
      <c r="Q360" s="277"/>
      <c r="R360" s="277"/>
      <c r="S360" s="277"/>
      <c r="T360" s="277"/>
      <c r="U360" s="277"/>
      <c r="V360" s="277"/>
      <c r="W360" s="273"/>
    </row>
    <row r="361" spans="2:23">
      <c r="B361" s="266"/>
      <c r="C361" s="266"/>
      <c r="D361" s="175"/>
      <c r="E361" s="267"/>
      <c r="F361" s="268"/>
      <c r="G361" s="270"/>
      <c r="H361" s="270"/>
      <c r="I361" s="299"/>
      <c r="J361" s="270"/>
      <c r="K361" s="271"/>
      <c r="L361" s="297"/>
      <c r="M361" s="300"/>
      <c r="N361" s="242"/>
      <c r="P361" s="245"/>
      <c r="Q361" s="277"/>
      <c r="R361" s="277"/>
      <c r="S361" s="277"/>
      <c r="T361" s="277"/>
      <c r="U361" s="277"/>
      <c r="V361" s="277"/>
      <c r="W361" s="273"/>
    </row>
    <row r="362" spans="2:23">
      <c r="B362" s="266"/>
      <c r="C362" s="266"/>
      <c r="D362" s="175"/>
      <c r="E362" s="267"/>
      <c r="F362" s="268"/>
      <c r="G362" s="270"/>
      <c r="H362" s="270"/>
      <c r="I362" s="299"/>
      <c r="J362" s="270"/>
      <c r="K362" s="271"/>
      <c r="L362" s="297"/>
      <c r="M362" s="300"/>
      <c r="N362" s="242"/>
      <c r="P362" s="245"/>
      <c r="Q362" s="277"/>
      <c r="R362" s="277"/>
      <c r="S362" s="277"/>
      <c r="T362" s="277"/>
      <c r="U362" s="277"/>
      <c r="V362" s="277"/>
      <c r="W362" s="273"/>
    </row>
    <row r="363" spans="2:23">
      <c r="B363" s="266"/>
      <c r="C363" s="266"/>
      <c r="D363" s="175"/>
      <c r="E363" s="267"/>
      <c r="F363" s="268"/>
      <c r="G363" s="270"/>
      <c r="H363" s="270"/>
      <c r="I363" s="299"/>
      <c r="J363" s="270"/>
      <c r="K363" s="271"/>
      <c r="L363" s="297"/>
      <c r="M363" s="300"/>
      <c r="N363" s="242"/>
      <c r="P363" s="245"/>
      <c r="Q363" s="277"/>
      <c r="R363" s="277"/>
      <c r="S363" s="277"/>
      <c r="T363" s="277"/>
      <c r="U363" s="277"/>
      <c r="V363" s="277"/>
      <c r="W363" s="273"/>
    </row>
    <row r="364" spans="2:23">
      <c r="B364" s="266"/>
      <c r="C364" s="266"/>
      <c r="D364" s="175"/>
      <c r="E364" s="267"/>
      <c r="F364" s="268"/>
      <c r="G364" s="270"/>
      <c r="H364" s="270"/>
      <c r="I364" s="299"/>
      <c r="J364" s="270"/>
      <c r="K364" s="271"/>
      <c r="L364" s="297"/>
      <c r="M364" s="300"/>
      <c r="N364" s="242"/>
      <c r="P364" s="245"/>
      <c r="Q364" s="277"/>
      <c r="R364" s="277"/>
      <c r="S364" s="277"/>
      <c r="T364" s="277"/>
      <c r="U364" s="277"/>
      <c r="V364" s="277"/>
      <c r="W364" s="273"/>
    </row>
    <row r="365" spans="2:23">
      <c r="B365" s="266"/>
      <c r="C365" s="266"/>
      <c r="D365" s="175"/>
      <c r="E365" s="267"/>
      <c r="F365" s="268"/>
      <c r="G365" s="270"/>
      <c r="H365" s="270"/>
      <c r="I365" s="299"/>
      <c r="J365" s="270"/>
      <c r="K365" s="271"/>
      <c r="L365" s="297"/>
      <c r="M365" s="300"/>
      <c r="N365" s="242"/>
      <c r="P365" s="245"/>
      <c r="Q365" s="277"/>
      <c r="R365" s="277"/>
      <c r="S365" s="277"/>
      <c r="T365" s="277"/>
      <c r="U365" s="277"/>
      <c r="V365" s="277"/>
      <c r="W365" s="273"/>
    </row>
    <row r="366" spans="2:23">
      <c r="B366" s="266"/>
      <c r="C366" s="266"/>
      <c r="D366" s="175"/>
      <c r="E366" s="267"/>
      <c r="F366" s="268"/>
      <c r="G366" s="270"/>
      <c r="H366" s="270"/>
      <c r="I366" s="299"/>
      <c r="J366" s="270"/>
      <c r="K366" s="271"/>
      <c r="L366" s="297"/>
      <c r="M366" s="300"/>
      <c r="N366" s="242"/>
      <c r="P366" s="245"/>
      <c r="Q366" s="277"/>
      <c r="R366" s="277"/>
      <c r="S366" s="277"/>
      <c r="T366" s="277"/>
      <c r="U366" s="277"/>
      <c r="V366" s="277"/>
      <c r="W366" s="273"/>
    </row>
    <row r="367" spans="2:23">
      <c r="B367" s="266"/>
      <c r="C367" s="266"/>
      <c r="D367" s="175"/>
      <c r="E367" s="267"/>
      <c r="F367" s="268"/>
      <c r="G367" s="270"/>
      <c r="H367" s="270"/>
      <c r="I367" s="299"/>
      <c r="J367" s="270"/>
      <c r="K367" s="271"/>
      <c r="L367" s="297"/>
      <c r="M367" s="300"/>
      <c r="N367" s="242"/>
      <c r="P367" s="245"/>
      <c r="Q367" s="277"/>
      <c r="R367" s="277"/>
      <c r="S367" s="277"/>
      <c r="T367" s="277"/>
      <c r="U367" s="277"/>
      <c r="V367" s="277"/>
      <c r="W367" s="273"/>
    </row>
    <row r="368" spans="2:23">
      <c r="B368" s="266"/>
      <c r="C368" s="266"/>
      <c r="D368" s="175"/>
      <c r="E368" s="267"/>
      <c r="F368" s="268"/>
      <c r="G368" s="270"/>
      <c r="H368" s="270"/>
      <c r="I368" s="299"/>
      <c r="J368" s="270"/>
      <c r="K368" s="271"/>
      <c r="L368" s="297"/>
      <c r="M368" s="300"/>
      <c r="N368" s="242"/>
      <c r="P368" s="245"/>
      <c r="Q368" s="277"/>
      <c r="R368" s="277"/>
      <c r="S368" s="277"/>
      <c r="T368" s="277"/>
      <c r="U368" s="277"/>
      <c r="V368" s="277"/>
      <c r="W368" s="273"/>
    </row>
    <row r="369" spans="2:23">
      <c r="B369" s="266"/>
      <c r="C369" s="266"/>
      <c r="D369" s="175"/>
      <c r="E369" s="267"/>
      <c r="F369" s="268"/>
      <c r="G369" s="270"/>
      <c r="H369" s="270"/>
      <c r="I369" s="299"/>
      <c r="J369" s="270"/>
      <c r="K369" s="271"/>
      <c r="L369" s="297"/>
      <c r="M369" s="300"/>
      <c r="N369" s="242"/>
      <c r="P369" s="245"/>
      <c r="Q369" s="277"/>
      <c r="R369" s="277"/>
      <c r="S369" s="277"/>
      <c r="T369" s="277"/>
      <c r="U369" s="277"/>
      <c r="V369" s="277"/>
      <c r="W369" s="273"/>
    </row>
    <row r="370" spans="2:23">
      <c r="B370" s="266"/>
      <c r="C370" s="266"/>
      <c r="D370" s="175"/>
      <c r="E370" s="267"/>
      <c r="F370" s="268"/>
      <c r="G370" s="270"/>
      <c r="H370" s="270"/>
      <c r="I370" s="299"/>
      <c r="J370" s="270"/>
      <c r="K370" s="271"/>
      <c r="L370" s="297"/>
      <c r="M370" s="300"/>
      <c r="N370" s="242"/>
      <c r="P370" s="245"/>
      <c r="Q370" s="277"/>
      <c r="R370" s="277"/>
      <c r="S370" s="277"/>
      <c r="T370" s="277"/>
      <c r="U370" s="277"/>
      <c r="V370" s="277"/>
      <c r="W370" s="273"/>
    </row>
    <row r="371" spans="2:23">
      <c r="B371" s="266"/>
      <c r="C371" s="266"/>
      <c r="D371" s="175"/>
      <c r="E371" s="267"/>
      <c r="F371" s="268"/>
      <c r="G371" s="270"/>
      <c r="H371" s="270"/>
      <c r="I371" s="299"/>
      <c r="J371" s="270"/>
      <c r="K371" s="271"/>
      <c r="L371" s="297"/>
      <c r="M371" s="300"/>
      <c r="N371" s="242"/>
      <c r="P371" s="245"/>
      <c r="Q371" s="277"/>
      <c r="R371" s="277"/>
      <c r="S371" s="277"/>
      <c r="T371" s="277"/>
      <c r="U371" s="277"/>
      <c r="V371" s="277"/>
      <c r="W371" s="273"/>
    </row>
    <row r="372" spans="2:23">
      <c r="B372" s="266"/>
      <c r="C372" s="266"/>
      <c r="D372" s="175"/>
      <c r="E372" s="267"/>
      <c r="F372" s="268"/>
      <c r="G372" s="270"/>
      <c r="H372" s="270"/>
      <c r="I372" s="299"/>
      <c r="J372" s="270"/>
      <c r="K372" s="271"/>
      <c r="L372" s="297"/>
      <c r="M372" s="300"/>
      <c r="N372" s="242"/>
      <c r="P372" s="245"/>
      <c r="Q372" s="277"/>
      <c r="R372" s="277"/>
      <c r="S372" s="277"/>
      <c r="T372" s="277"/>
      <c r="U372" s="277"/>
      <c r="V372" s="277"/>
      <c r="W372" s="273"/>
    </row>
    <row r="373" spans="2:23">
      <c r="B373" s="266"/>
      <c r="C373" s="266"/>
      <c r="D373" s="175"/>
      <c r="E373" s="267"/>
      <c r="F373" s="268"/>
      <c r="G373" s="270"/>
      <c r="H373" s="270"/>
      <c r="I373" s="299"/>
      <c r="J373" s="270"/>
      <c r="K373" s="271"/>
      <c r="L373" s="297"/>
      <c r="M373" s="300"/>
      <c r="N373" s="242"/>
      <c r="P373" s="245"/>
      <c r="Q373" s="277"/>
      <c r="R373" s="277"/>
      <c r="S373" s="277"/>
      <c r="T373" s="277"/>
      <c r="U373" s="277"/>
      <c r="V373" s="277"/>
      <c r="W373" s="273"/>
    </row>
    <row r="374" spans="2:23">
      <c r="B374" s="266"/>
      <c r="C374" s="266"/>
      <c r="D374" s="175"/>
      <c r="E374" s="267"/>
      <c r="F374" s="268"/>
      <c r="G374" s="270"/>
      <c r="H374" s="270"/>
      <c r="I374" s="299"/>
      <c r="J374" s="270"/>
      <c r="K374" s="271"/>
      <c r="L374" s="297"/>
      <c r="M374" s="300"/>
      <c r="N374" s="242"/>
      <c r="P374" s="245"/>
      <c r="Q374" s="277"/>
      <c r="R374" s="277"/>
      <c r="S374" s="277"/>
      <c r="T374" s="277"/>
      <c r="U374" s="277"/>
      <c r="V374" s="277"/>
      <c r="W374" s="273"/>
    </row>
    <row r="375" spans="2:23">
      <c r="B375" s="266"/>
      <c r="C375" s="266"/>
      <c r="D375" s="175"/>
      <c r="E375" s="267"/>
      <c r="F375" s="268"/>
      <c r="G375" s="270"/>
      <c r="H375" s="270"/>
      <c r="I375" s="299"/>
      <c r="J375" s="270"/>
      <c r="K375" s="271"/>
      <c r="L375" s="297"/>
      <c r="M375" s="300"/>
      <c r="N375" s="242"/>
      <c r="P375" s="245"/>
      <c r="Q375" s="277"/>
      <c r="R375" s="277"/>
      <c r="S375" s="277"/>
      <c r="T375" s="277"/>
      <c r="U375" s="277"/>
      <c r="V375" s="277"/>
      <c r="W375" s="273"/>
    </row>
    <row r="376" spans="2:23">
      <c r="B376" s="266"/>
      <c r="C376" s="266"/>
      <c r="D376" s="175"/>
      <c r="E376" s="267"/>
      <c r="F376" s="268"/>
      <c r="G376" s="270"/>
      <c r="H376" s="270"/>
      <c r="I376" s="299"/>
      <c r="J376" s="270"/>
      <c r="K376" s="271"/>
      <c r="L376" s="297"/>
      <c r="M376" s="300"/>
      <c r="N376" s="242"/>
      <c r="P376" s="245"/>
      <c r="Q376" s="277"/>
      <c r="R376" s="277"/>
      <c r="S376" s="277"/>
      <c r="T376" s="277"/>
      <c r="U376" s="277"/>
      <c r="V376" s="277"/>
      <c r="W376" s="273"/>
    </row>
    <row r="377" spans="2:23">
      <c r="B377" s="266"/>
      <c r="C377" s="266"/>
      <c r="D377" s="175"/>
      <c r="E377" s="267"/>
      <c r="F377" s="268"/>
      <c r="G377" s="270"/>
      <c r="H377" s="270"/>
      <c r="I377" s="299"/>
      <c r="J377" s="270"/>
      <c r="K377" s="271"/>
      <c r="L377" s="297"/>
      <c r="M377" s="300"/>
      <c r="N377" s="242"/>
      <c r="P377" s="245"/>
      <c r="Q377" s="277"/>
      <c r="R377" s="277"/>
      <c r="S377" s="277"/>
      <c r="T377" s="277"/>
      <c r="U377" s="277"/>
      <c r="V377" s="277"/>
      <c r="W377" s="273"/>
    </row>
    <row r="378" spans="2:23">
      <c r="B378" s="266"/>
      <c r="C378" s="266"/>
      <c r="D378" s="175"/>
      <c r="E378" s="267"/>
      <c r="F378" s="268"/>
      <c r="G378" s="270"/>
      <c r="H378" s="270"/>
      <c r="I378" s="299"/>
      <c r="J378" s="270"/>
      <c r="K378" s="271"/>
      <c r="L378" s="297"/>
      <c r="M378" s="300"/>
      <c r="N378" s="242"/>
      <c r="P378" s="245"/>
      <c r="Q378" s="277"/>
      <c r="R378" s="277"/>
      <c r="S378" s="277"/>
      <c r="T378" s="277"/>
      <c r="U378" s="277"/>
      <c r="V378" s="277"/>
      <c r="W378" s="273"/>
    </row>
    <row r="379" spans="2:23">
      <c r="B379" s="266"/>
      <c r="C379" s="266"/>
      <c r="D379" s="175"/>
      <c r="E379" s="267"/>
      <c r="F379" s="268"/>
      <c r="G379" s="270"/>
      <c r="H379" s="270"/>
      <c r="I379" s="299"/>
      <c r="J379" s="270"/>
      <c r="K379" s="271"/>
      <c r="L379" s="297"/>
      <c r="M379" s="300"/>
      <c r="N379" s="242"/>
      <c r="P379" s="245"/>
      <c r="Q379" s="277"/>
      <c r="R379" s="277"/>
      <c r="S379" s="277"/>
      <c r="T379" s="277"/>
      <c r="U379" s="277"/>
      <c r="V379" s="277"/>
      <c r="W379" s="273"/>
    </row>
    <row r="380" spans="2:23">
      <c r="B380" s="266"/>
      <c r="C380" s="266"/>
      <c r="D380" s="175"/>
      <c r="E380" s="267"/>
      <c r="F380" s="268"/>
      <c r="G380" s="270"/>
      <c r="H380" s="270"/>
      <c r="I380" s="299"/>
      <c r="J380" s="270"/>
      <c r="K380" s="271"/>
      <c r="L380" s="297"/>
      <c r="M380" s="300"/>
      <c r="N380" s="242"/>
      <c r="P380" s="245"/>
      <c r="Q380" s="277"/>
      <c r="R380" s="277"/>
      <c r="S380" s="277"/>
      <c r="T380" s="277"/>
      <c r="U380" s="277"/>
      <c r="V380" s="277"/>
      <c r="W380" s="273"/>
    </row>
    <row r="381" spans="2:23">
      <c r="B381" s="266"/>
      <c r="C381" s="266"/>
      <c r="D381" s="175"/>
      <c r="E381" s="267"/>
      <c r="F381" s="268"/>
      <c r="G381" s="270"/>
      <c r="H381" s="270"/>
      <c r="I381" s="299"/>
      <c r="J381" s="270"/>
      <c r="K381" s="271"/>
      <c r="L381" s="297"/>
      <c r="M381" s="300"/>
      <c r="N381" s="242"/>
      <c r="P381" s="245"/>
      <c r="Q381" s="277"/>
      <c r="R381" s="277"/>
      <c r="S381" s="277"/>
      <c r="T381" s="277"/>
      <c r="U381" s="277"/>
      <c r="V381" s="277"/>
      <c r="W381" s="273"/>
    </row>
    <row r="382" spans="2:23">
      <c r="B382" s="266"/>
      <c r="C382" s="266"/>
      <c r="D382" s="175"/>
      <c r="E382" s="267"/>
      <c r="F382" s="268"/>
      <c r="G382" s="270"/>
      <c r="H382" s="270"/>
      <c r="I382" s="299"/>
      <c r="J382" s="270"/>
      <c r="K382" s="271"/>
      <c r="L382" s="297"/>
      <c r="M382" s="300"/>
      <c r="N382" s="242"/>
      <c r="P382" s="245"/>
      <c r="Q382" s="277"/>
      <c r="R382" s="277"/>
      <c r="S382" s="277"/>
      <c r="T382" s="277"/>
      <c r="U382" s="277"/>
      <c r="V382" s="277"/>
      <c r="W382" s="273"/>
    </row>
    <row r="383" spans="2:23">
      <c r="B383" s="266"/>
      <c r="C383" s="266"/>
      <c r="D383" s="175"/>
      <c r="E383" s="267"/>
      <c r="F383" s="268"/>
      <c r="G383" s="270"/>
      <c r="H383" s="270"/>
      <c r="I383" s="299"/>
      <c r="J383" s="270"/>
      <c r="K383" s="271"/>
      <c r="L383" s="297"/>
      <c r="M383" s="300"/>
      <c r="N383" s="242"/>
      <c r="P383" s="245"/>
      <c r="Q383" s="277"/>
      <c r="R383" s="277"/>
      <c r="S383" s="277"/>
      <c r="T383" s="277"/>
      <c r="U383" s="277"/>
      <c r="V383" s="277"/>
      <c r="W383" s="273"/>
    </row>
    <row r="384" spans="2:23">
      <c r="B384" s="266"/>
      <c r="C384" s="266"/>
      <c r="D384" s="175"/>
      <c r="E384" s="267"/>
      <c r="F384" s="268"/>
      <c r="G384" s="270"/>
      <c r="H384" s="270"/>
      <c r="I384" s="299"/>
      <c r="J384" s="270"/>
      <c r="K384" s="271"/>
      <c r="L384" s="297"/>
      <c r="M384" s="300"/>
      <c r="N384" s="242"/>
      <c r="P384" s="245"/>
      <c r="Q384" s="277"/>
      <c r="R384" s="277"/>
      <c r="S384" s="277"/>
      <c r="T384" s="277"/>
      <c r="U384" s="277"/>
      <c r="V384" s="277"/>
      <c r="W384" s="273"/>
    </row>
    <row r="385" spans="2:23">
      <c r="B385" s="266"/>
      <c r="C385" s="266"/>
      <c r="D385" s="175"/>
      <c r="E385" s="267"/>
      <c r="F385" s="268"/>
      <c r="G385" s="270"/>
      <c r="H385" s="270"/>
      <c r="I385" s="299"/>
      <c r="J385" s="270"/>
      <c r="K385" s="271"/>
      <c r="L385" s="297"/>
      <c r="M385" s="300"/>
      <c r="N385" s="242"/>
      <c r="P385" s="245"/>
      <c r="Q385" s="277"/>
      <c r="R385" s="277"/>
      <c r="S385" s="277"/>
      <c r="T385" s="277"/>
      <c r="U385" s="277"/>
      <c r="V385" s="277"/>
      <c r="W385" s="273"/>
    </row>
    <row r="386" spans="2:23">
      <c r="B386" s="266"/>
      <c r="C386" s="266"/>
      <c r="D386" s="175"/>
      <c r="E386" s="267"/>
      <c r="F386" s="268"/>
      <c r="G386" s="270"/>
      <c r="H386" s="270"/>
      <c r="I386" s="299"/>
      <c r="J386" s="270"/>
      <c r="K386" s="271"/>
      <c r="L386" s="297"/>
      <c r="M386" s="300"/>
      <c r="N386" s="242"/>
      <c r="P386" s="245"/>
      <c r="Q386" s="277"/>
      <c r="R386" s="277"/>
      <c r="S386" s="277"/>
      <c r="T386" s="277"/>
      <c r="U386" s="277"/>
      <c r="V386" s="277"/>
      <c r="W386" s="273"/>
    </row>
    <row r="387" spans="2:23">
      <c r="B387" s="266"/>
      <c r="C387" s="266"/>
      <c r="D387" s="175"/>
      <c r="E387" s="267"/>
      <c r="F387" s="268"/>
      <c r="G387" s="270"/>
      <c r="H387" s="270"/>
      <c r="I387" s="299"/>
      <c r="J387" s="270"/>
      <c r="K387" s="271"/>
      <c r="L387" s="297"/>
      <c r="M387" s="300"/>
      <c r="N387" s="242"/>
      <c r="P387" s="245"/>
      <c r="Q387" s="277"/>
      <c r="R387" s="277"/>
      <c r="S387" s="277"/>
      <c r="T387" s="277"/>
      <c r="U387" s="277"/>
      <c r="V387" s="277"/>
      <c r="W387" s="273"/>
    </row>
    <row r="388" spans="2:23">
      <c r="B388" s="266"/>
      <c r="C388" s="266"/>
      <c r="D388" s="175"/>
      <c r="E388" s="267"/>
      <c r="F388" s="268"/>
      <c r="G388" s="270"/>
      <c r="H388" s="270"/>
      <c r="I388" s="299"/>
      <c r="J388" s="270"/>
      <c r="K388" s="271"/>
      <c r="L388" s="297"/>
      <c r="M388" s="300"/>
      <c r="N388" s="242"/>
      <c r="P388" s="245"/>
      <c r="Q388" s="277"/>
      <c r="R388" s="277"/>
      <c r="S388" s="277"/>
      <c r="T388" s="277"/>
      <c r="U388" s="277"/>
      <c r="V388" s="277"/>
      <c r="W388" s="273"/>
    </row>
    <row r="389" spans="2:23">
      <c r="B389" s="266"/>
      <c r="C389" s="266"/>
      <c r="D389" s="175"/>
      <c r="E389" s="267"/>
      <c r="F389" s="268"/>
      <c r="G389" s="270"/>
      <c r="H389" s="270"/>
      <c r="I389" s="299"/>
      <c r="J389" s="270"/>
      <c r="K389" s="271"/>
      <c r="L389" s="297"/>
      <c r="M389" s="300"/>
      <c r="N389" s="242"/>
      <c r="P389" s="245"/>
      <c r="Q389" s="277"/>
      <c r="R389" s="277"/>
      <c r="S389" s="277"/>
      <c r="T389" s="277"/>
      <c r="U389" s="277"/>
      <c r="V389" s="277"/>
      <c r="W389" s="273"/>
    </row>
    <row r="390" spans="2:23">
      <c r="B390" s="266"/>
      <c r="C390" s="266"/>
      <c r="D390" s="175"/>
      <c r="E390" s="267"/>
      <c r="F390" s="268"/>
      <c r="G390" s="270"/>
      <c r="H390" s="270"/>
      <c r="I390" s="299"/>
      <c r="J390" s="270"/>
      <c r="K390" s="271"/>
      <c r="L390" s="297"/>
      <c r="M390" s="300"/>
      <c r="N390" s="242"/>
      <c r="P390" s="245"/>
      <c r="Q390" s="277"/>
      <c r="R390" s="277"/>
      <c r="S390" s="277"/>
      <c r="T390" s="277"/>
      <c r="U390" s="277"/>
      <c r="V390" s="277"/>
      <c r="W390" s="273"/>
    </row>
    <row r="391" spans="2:23">
      <c r="B391" s="266"/>
      <c r="C391" s="266"/>
      <c r="D391" s="175"/>
      <c r="E391" s="267"/>
      <c r="F391" s="268"/>
      <c r="G391" s="270"/>
      <c r="H391" s="270"/>
      <c r="I391" s="299"/>
      <c r="J391" s="270"/>
      <c r="K391" s="271"/>
      <c r="L391" s="297"/>
      <c r="M391" s="300"/>
      <c r="N391" s="242"/>
      <c r="P391" s="245"/>
      <c r="Q391" s="277"/>
      <c r="R391" s="277"/>
      <c r="S391" s="277"/>
      <c r="T391" s="277"/>
      <c r="U391" s="277"/>
      <c r="V391" s="277"/>
      <c r="W391" s="273"/>
    </row>
    <row r="392" spans="2:23">
      <c r="B392" s="266"/>
      <c r="C392" s="266"/>
      <c r="D392" s="175"/>
      <c r="E392" s="267"/>
      <c r="F392" s="268"/>
      <c r="G392" s="270"/>
      <c r="H392" s="270"/>
      <c r="I392" s="299"/>
      <c r="J392" s="270"/>
      <c r="K392" s="271"/>
      <c r="L392" s="270"/>
      <c r="M392" s="242"/>
      <c r="N392" s="242"/>
      <c r="P392" s="245"/>
      <c r="Q392" s="277"/>
      <c r="R392" s="277"/>
      <c r="S392" s="277"/>
      <c r="T392" s="277"/>
      <c r="U392" s="277"/>
      <c r="V392" s="277"/>
      <c r="W392" s="273"/>
    </row>
    <row r="393" spans="2:23">
      <c r="B393" s="266"/>
      <c r="C393" s="266"/>
      <c r="D393" s="175"/>
      <c r="E393" s="267"/>
      <c r="F393" s="268"/>
      <c r="G393" s="270"/>
      <c r="H393" s="270"/>
      <c r="I393" s="299"/>
      <c r="J393" s="270"/>
      <c r="K393" s="271"/>
      <c r="L393" s="270"/>
      <c r="M393" s="242"/>
      <c r="N393" s="242"/>
      <c r="P393" s="245"/>
      <c r="Q393" s="277"/>
      <c r="R393" s="277"/>
      <c r="S393" s="277"/>
      <c r="T393" s="277"/>
      <c r="U393" s="277"/>
      <c r="V393" s="277"/>
      <c r="W393" s="273"/>
    </row>
    <row r="394" spans="2:23">
      <c r="B394" s="266"/>
      <c r="C394" s="266"/>
      <c r="D394" s="175"/>
      <c r="E394" s="267"/>
      <c r="F394" s="268"/>
      <c r="G394" s="270"/>
      <c r="H394" s="270"/>
      <c r="I394" s="299"/>
      <c r="J394" s="270"/>
      <c r="K394" s="271"/>
      <c r="L394" s="270"/>
      <c r="M394" s="242"/>
      <c r="N394" s="242"/>
      <c r="P394" s="245"/>
      <c r="Q394" s="277"/>
      <c r="R394" s="277"/>
      <c r="S394" s="277"/>
      <c r="T394" s="277"/>
      <c r="U394" s="277"/>
      <c r="V394" s="277"/>
      <c r="W394" s="273"/>
    </row>
    <row r="395" spans="2:23">
      <c r="B395" s="266"/>
      <c r="C395" s="266"/>
      <c r="D395" s="175"/>
      <c r="E395" s="267"/>
      <c r="F395" s="268"/>
      <c r="G395" s="270"/>
      <c r="H395" s="270"/>
      <c r="I395" s="299"/>
      <c r="J395" s="270"/>
      <c r="K395" s="271"/>
      <c r="L395" s="270"/>
      <c r="M395" s="242"/>
      <c r="N395" s="242"/>
      <c r="P395" s="245"/>
      <c r="Q395" s="277"/>
      <c r="R395" s="277"/>
      <c r="S395" s="277"/>
      <c r="T395" s="277"/>
      <c r="U395" s="277"/>
      <c r="V395" s="277"/>
      <c r="W395" s="273"/>
    </row>
    <row r="396" spans="2:23">
      <c r="B396" s="266"/>
      <c r="C396" s="266"/>
      <c r="D396" s="175"/>
      <c r="E396" s="267"/>
      <c r="F396" s="268"/>
      <c r="G396" s="270"/>
      <c r="H396" s="270"/>
      <c r="I396" s="299"/>
      <c r="J396" s="270"/>
      <c r="K396" s="271"/>
      <c r="L396" s="270"/>
      <c r="M396" s="242"/>
      <c r="N396" s="242"/>
      <c r="P396" s="245"/>
      <c r="Q396" s="277"/>
      <c r="R396" s="277"/>
      <c r="S396" s="277"/>
      <c r="T396" s="277"/>
      <c r="U396" s="277"/>
      <c r="V396" s="277"/>
      <c r="W396" s="273"/>
    </row>
    <row r="397" spans="2:23">
      <c r="B397" s="266"/>
      <c r="C397" s="266"/>
      <c r="D397" s="175"/>
      <c r="E397" s="267"/>
      <c r="F397" s="268"/>
      <c r="G397" s="270"/>
      <c r="H397" s="270"/>
      <c r="I397" s="299"/>
      <c r="J397" s="270"/>
      <c r="K397" s="271"/>
      <c r="L397" s="270"/>
      <c r="M397" s="242"/>
      <c r="N397" s="242"/>
      <c r="P397" s="245"/>
      <c r="Q397" s="277"/>
      <c r="R397" s="277"/>
      <c r="S397" s="277"/>
      <c r="T397" s="277"/>
      <c r="U397" s="277"/>
      <c r="V397" s="277"/>
      <c r="W397" s="273"/>
    </row>
    <row r="398" spans="2:23">
      <c r="B398" s="266"/>
      <c r="C398" s="266"/>
      <c r="D398" s="175"/>
      <c r="E398" s="267"/>
      <c r="F398" s="268"/>
      <c r="G398" s="270"/>
      <c r="H398" s="270"/>
      <c r="I398" s="299"/>
      <c r="J398" s="270"/>
      <c r="K398" s="271"/>
      <c r="L398" s="270"/>
      <c r="M398" s="242"/>
      <c r="N398" s="242"/>
      <c r="P398" s="245"/>
      <c r="Q398" s="277"/>
      <c r="R398" s="277"/>
      <c r="S398" s="277"/>
      <c r="T398" s="277"/>
      <c r="U398" s="277"/>
      <c r="V398" s="277"/>
      <c r="W398" s="273"/>
    </row>
    <row r="399" spans="2:23">
      <c r="B399" s="266"/>
      <c r="C399" s="266"/>
      <c r="D399" s="175"/>
      <c r="E399" s="267"/>
      <c r="F399" s="268"/>
      <c r="G399" s="270"/>
      <c r="H399" s="270"/>
      <c r="I399" s="299"/>
      <c r="J399" s="270"/>
      <c r="K399" s="271"/>
      <c r="L399" s="270"/>
      <c r="M399" s="242"/>
      <c r="N399" s="242"/>
      <c r="P399" s="245"/>
      <c r="Q399" s="277"/>
      <c r="R399" s="277"/>
      <c r="S399" s="277"/>
      <c r="T399" s="277"/>
      <c r="U399" s="277"/>
      <c r="V399" s="277"/>
      <c r="W399" s="273"/>
    </row>
    <row r="400" spans="2:23">
      <c r="B400" s="266"/>
      <c r="C400" s="266"/>
      <c r="D400" s="175"/>
      <c r="E400" s="267"/>
      <c r="F400" s="268"/>
      <c r="G400" s="270"/>
      <c r="H400" s="270"/>
      <c r="I400" s="299"/>
      <c r="J400" s="270"/>
      <c r="K400" s="271"/>
      <c r="L400" s="270"/>
      <c r="M400" s="242"/>
      <c r="N400" s="242"/>
      <c r="P400" s="245"/>
      <c r="Q400" s="277"/>
      <c r="R400" s="277"/>
      <c r="S400" s="277"/>
      <c r="T400" s="277"/>
      <c r="U400" s="277"/>
      <c r="V400" s="277"/>
      <c r="W400" s="273"/>
    </row>
    <row r="401" spans="2:23">
      <c r="B401" s="266"/>
      <c r="C401" s="266"/>
      <c r="D401" s="175"/>
      <c r="E401" s="267"/>
      <c r="F401" s="268"/>
      <c r="G401" s="270"/>
      <c r="H401" s="270"/>
      <c r="I401" s="299"/>
      <c r="J401" s="270"/>
      <c r="K401" s="271"/>
      <c r="L401" s="270"/>
      <c r="M401" s="242"/>
      <c r="N401" s="242"/>
      <c r="P401" s="245"/>
      <c r="Q401" s="277"/>
      <c r="R401" s="277"/>
      <c r="S401" s="277"/>
      <c r="T401" s="277"/>
      <c r="U401" s="277"/>
      <c r="V401" s="277"/>
      <c r="W401" s="273"/>
    </row>
    <row r="402" spans="2:23">
      <c r="B402" s="266"/>
      <c r="C402" s="266"/>
      <c r="D402" s="175"/>
      <c r="E402" s="267"/>
      <c r="F402" s="268"/>
      <c r="G402" s="270"/>
      <c r="H402" s="270"/>
      <c r="I402" s="299"/>
      <c r="J402" s="270"/>
      <c r="K402" s="271"/>
      <c r="L402" s="270"/>
      <c r="M402" s="242"/>
      <c r="N402" s="242"/>
      <c r="P402" s="245"/>
      <c r="Q402" s="277"/>
      <c r="R402" s="277"/>
      <c r="S402" s="277"/>
      <c r="T402" s="277"/>
      <c r="U402" s="277"/>
      <c r="V402" s="277"/>
      <c r="W402" s="273"/>
    </row>
    <row r="403" spans="2:23">
      <c r="B403" s="266"/>
      <c r="C403" s="266"/>
      <c r="D403" s="175"/>
      <c r="E403" s="267"/>
      <c r="F403" s="268"/>
      <c r="G403" s="270"/>
      <c r="H403" s="270"/>
      <c r="I403" s="299"/>
      <c r="J403" s="270"/>
      <c r="K403" s="271"/>
      <c r="L403" s="270"/>
      <c r="M403" s="242"/>
      <c r="N403" s="242"/>
      <c r="P403" s="245"/>
      <c r="Q403" s="277"/>
      <c r="R403" s="277"/>
      <c r="S403" s="277"/>
      <c r="T403" s="277"/>
      <c r="U403" s="277"/>
      <c r="V403" s="277"/>
      <c r="W403" s="273"/>
    </row>
    <row r="404" spans="2:23">
      <c r="B404" s="266"/>
      <c r="C404" s="266"/>
      <c r="D404" s="175"/>
      <c r="E404" s="267"/>
      <c r="F404" s="268"/>
      <c r="G404" s="270"/>
      <c r="H404" s="270"/>
      <c r="I404" s="299"/>
      <c r="J404" s="270"/>
      <c r="K404" s="271"/>
      <c r="L404" s="270"/>
      <c r="M404" s="242"/>
      <c r="N404" s="242"/>
      <c r="P404" s="245"/>
      <c r="Q404" s="277"/>
      <c r="R404" s="277"/>
      <c r="S404" s="277"/>
      <c r="T404" s="277"/>
      <c r="U404" s="277"/>
      <c r="V404" s="277"/>
      <c r="W404" s="273"/>
    </row>
    <row r="405" spans="2:23">
      <c r="B405" s="266"/>
      <c r="C405" s="266"/>
      <c r="D405" s="175"/>
      <c r="E405" s="267"/>
      <c r="F405" s="268"/>
      <c r="G405" s="270"/>
      <c r="H405" s="270"/>
      <c r="I405" s="299"/>
      <c r="J405" s="270"/>
      <c r="K405" s="271"/>
      <c r="L405" s="270"/>
      <c r="M405" s="242"/>
      <c r="N405" s="242"/>
      <c r="P405" s="245"/>
      <c r="Q405" s="277"/>
      <c r="R405" s="277"/>
      <c r="S405" s="277"/>
      <c r="T405" s="277"/>
      <c r="U405" s="277"/>
      <c r="V405" s="277"/>
      <c r="W405" s="273"/>
    </row>
    <row r="406" spans="2:23">
      <c r="B406" s="266"/>
      <c r="C406" s="266"/>
      <c r="D406" s="175"/>
      <c r="E406" s="267"/>
      <c r="F406" s="268"/>
      <c r="G406" s="270"/>
      <c r="H406" s="270"/>
      <c r="I406" s="299"/>
      <c r="J406" s="270"/>
      <c r="K406" s="271"/>
      <c r="L406" s="270"/>
      <c r="M406" s="242"/>
      <c r="N406" s="242"/>
      <c r="P406" s="245"/>
      <c r="Q406" s="277"/>
      <c r="R406" s="277"/>
      <c r="S406" s="277"/>
      <c r="T406" s="277"/>
      <c r="U406" s="277"/>
      <c r="V406" s="277"/>
      <c r="W406" s="273"/>
    </row>
    <row r="407" spans="2:23">
      <c r="B407" s="266"/>
      <c r="C407" s="266"/>
      <c r="D407" s="175"/>
      <c r="E407" s="267"/>
      <c r="F407" s="268"/>
      <c r="G407" s="270"/>
      <c r="H407" s="270"/>
      <c r="I407" s="299"/>
      <c r="J407" s="270"/>
      <c r="K407" s="271"/>
      <c r="L407" s="270"/>
      <c r="M407" s="242"/>
      <c r="N407" s="242"/>
      <c r="P407" s="245"/>
      <c r="Q407" s="277"/>
      <c r="R407" s="277"/>
      <c r="S407" s="277"/>
      <c r="T407" s="277"/>
      <c r="U407" s="277"/>
      <c r="V407" s="277"/>
      <c r="W407" s="273"/>
    </row>
    <row r="408" spans="2:23">
      <c r="B408" s="266"/>
      <c r="C408" s="266"/>
      <c r="D408" s="175"/>
      <c r="E408" s="267"/>
      <c r="F408" s="268"/>
      <c r="G408" s="270"/>
      <c r="H408" s="270"/>
      <c r="I408" s="299"/>
      <c r="J408" s="270"/>
      <c r="K408" s="271"/>
      <c r="L408" s="270"/>
      <c r="M408" s="242"/>
      <c r="N408" s="242"/>
      <c r="P408" s="245"/>
      <c r="Q408" s="277"/>
      <c r="R408" s="277"/>
      <c r="S408" s="277"/>
      <c r="T408" s="277"/>
      <c r="U408" s="277"/>
      <c r="V408" s="277"/>
      <c r="W408" s="273"/>
    </row>
    <row r="409" spans="2:23">
      <c r="B409" s="266"/>
      <c r="C409" s="266"/>
      <c r="D409" s="175"/>
      <c r="E409" s="267"/>
      <c r="F409" s="268"/>
      <c r="G409" s="270"/>
      <c r="H409" s="270"/>
      <c r="I409" s="299"/>
      <c r="J409" s="270"/>
      <c r="K409" s="271"/>
      <c r="L409" s="270"/>
      <c r="M409" s="242"/>
      <c r="N409" s="242"/>
      <c r="P409" s="245"/>
      <c r="Q409" s="277"/>
      <c r="R409" s="277"/>
      <c r="S409" s="277"/>
      <c r="T409" s="277"/>
      <c r="U409" s="277"/>
      <c r="V409" s="277"/>
      <c r="W409" s="273"/>
    </row>
    <row r="410" spans="2:23">
      <c r="B410" s="266"/>
      <c r="C410" s="266"/>
      <c r="D410" s="175"/>
      <c r="E410" s="267"/>
      <c r="F410" s="268"/>
      <c r="G410" s="270"/>
      <c r="H410" s="270"/>
      <c r="I410" s="299"/>
      <c r="J410" s="270"/>
      <c r="K410" s="271"/>
      <c r="L410" s="270"/>
      <c r="M410" s="242"/>
      <c r="N410" s="242"/>
      <c r="P410" s="245"/>
      <c r="Q410" s="277"/>
      <c r="R410" s="277"/>
      <c r="S410" s="277"/>
      <c r="T410" s="277"/>
      <c r="U410" s="277"/>
      <c r="V410" s="277"/>
      <c r="W410" s="273"/>
    </row>
    <row r="411" spans="2:23">
      <c r="B411" s="266"/>
      <c r="C411" s="266"/>
      <c r="D411" s="175"/>
      <c r="E411" s="267"/>
      <c r="F411" s="268"/>
      <c r="G411" s="270"/>
      <c r="H411" s="270"/>
      <c r="I411" s="299"/>
      <c r="J411" s="270"/>
      <c r="K411" s="271"/>
      <c r="L411" s="270"/>
      <c r="M411" s="242"/>
      <c r="N411" s="242"/>
      <c r="P411" s="245"/>
      <c r="Q411" s="277"/>
      <c r="R411" s="277"/>
      <c r="S411" s="277"/>
      <c r="T411" s="277"/>
      <c r="U411" s="277"/>
      <c r="V411" s="277"/>
      <c r="W411" s="273"/>
    </row>
    <row r="412" spans="2:23">
      <c r="B412" s="266"/>
      <c r="C412" s="266"/>
      <c r="D412" s="175"/>
      <c r="E412" s="267"/>
      <c r="F412" s="268"/>
      <c r="G412" s="270"/>
      <c r="H412" s="270"/>
      <c r="I412" s="299"/>
      <c r="J412" s="270"/>
      <c r="K412" s="271"/>
      <c r="L412" s="270"/>
      <c r="M412" s="242"/>
      <c r="N412" s="242"/>
      <c r="P412" s="245"/>
      <c r="Q412" s="277"/>
      <c r="R412" s="277"/>
      <c r="S412" s="277"/>
      <c r="T412" s="277"/>
      <c r="U412" s="277"/>
      <c r="V412" s="277"/>
      <c r="W412" s="273"/>
    </row>
    <row r="413" spans="2:23">
      <c r="B413" s="266"/>
      <c r="C413" s="266"/>
      <c r="D413" s="175"/>
      <c r="E413" s="267"/>
      <c r="F413" s="268"/>
      <c r="G413" s="270"/>
      <c r="H413" s="270"/>
      <c r="I413" s="299"/>
      <c r="J413" s="270"/>
      <c r="K413" s="271"/>
      <c r="L413" s="270"/>
      <c r="M413" s="242"/>
      <c r="N413" s="242"/>
      <c r="P413" s="245"/>
      <c r="Q413" s="277"/>
      <c r="R413" s="277"/>
      <c r="S413" s="277"/>
      <c r="T413" s="277"/>
      <c r="U413" s="277"/>
      <c r="V413" s="277"/>
      <c r="W413" s="273"/>
    </row>
    <row r="414" spans="2:23">
      <c r="B414" s="266"/>
      <c r="C414" s="266"/>
      <c r="D414" s="175"/>
      <c r="E414" s="267"/>
      <c r="F414" s="268"/>
      <c r="G414" s="270"/>
      <c r="H414" s="270"/>
      <c r="I414" s="299"/>
      <c r="J414" s="270"/>
      <c r="K414" s="271"/>
      <c r="L414" s="270"/>
      <c r="M414" s="242"/>
      <c r="N414" s="242"/>
      <c r="P414" s="245"/>
      <c r="Q414" s="277"/>
      <c r="R414" s="277"/>
      <c r="S414" s="277"/>
      <c r="T414" s="277"/>
      <c r="U414" s="277"/>
      <c r="V414" s="277"/>
      <c r="W414" s="273"/>
    </row>
    <row r="415" spans="2:23">
      <c r="B415" s="266"/>
      <c r="C415" s="266"/>
      <c r="D415" s="175"/>
      <c r="E415" s="267"/>
      <c r="F415" s="268"/>
      <c r="G415" s="270"/>
      <c r="H415" s="270"/>
      <c r="I415" s="299"/>
      <c r="J415" s="270"/>
      <c r="K415" s="271"/>
      <c r="L415" s="270"/>
      <c r="M415" s="242"/>
      <c r="N415" s="242"/>
      <c r="P415" s="245"/>
      <c r="Q415" s="277"/>
      <c r="R415" s="277"/>
      <c r="S415" s="277"/>
      <c r="T415" s="277"/>
      <c r="U415" s="277"/>
      <c r="V415" s="277"/>
      <c r="W415" s="273"/>
    </row>
    <row r="416" spans="2:23">
      <c r="B416" s="266"/>
      <c r="C416" s="266"/>
      <c r="D416" s="175"/>
      <c r="E416" s="267"/>
      <c r="F416" s="268"/>
      <c r="G416" s="270"/>
      <c r="H416" s="270"/>
      <c r="I416" s="299"/>
      <c r="J416" s="270"/>
      <c r="K416" s="271"/>
      <c r="L416" s="270"/>
      <c r="M416" s="242"/>
      <c r="N416" s="242"/>
      <c r="P416" s="245"/>
      <c r="Q416" s="277"/>
      <c r="R416" s="277"/>
      <c r="S416" s="277"/>
      <c r="T416" s="277"/>
      <c r="U416" s="277"/>
      <c r="V416" s="277"/>
      <c r="W416" s="273"/>
    </row>
    <row r="417" spans="2:23">
      <c r="B417" s="266"/>
      <c r="C417" s="266"/>
      <c r="D417" s="175"/>
      <c r="E417" s="267"/>
      <c r="F417" s="268"/>
      <c r="G417" s="270"/>
      <c r="H417" s="270"/>
      <c r="I417" s="299"/>
      <c r="J417" s="270"/>
      <c r="K417" s="271"/>
      <c r="L417" s="270"/>
      <c r="M417" s="242"/>
      <c r="N417" s="242"/>
      <c r="P417" s="245"/>
      <c r="Q417" s="277"/>
      <c r="R417" s="277"/>
      <c r="S417" s="277"/>
      <c r="T417" s="277"/>
      <c r="U417" s="277"/>
      <c r="V417" s="277"/>
      <c r="W417" s="273"/>
    </row>
    <row r="418" spans="2:23">
      <c r="B418" s="266"/>
      <c r="C418" s="266"/>
      <c r="D418" s="175"/>
      <c r="E418" s="267"/>
      <c r="F418" s="268"/>
      <c r="G418" s="270"/>
      <c r="H418" s="270"/>
      <c r="I418" s="299"/>
      <c r="J418" s="270"/>
      <c r="K418" s="271"/>
      <c r="L418" s="270"/>
      <c r="M418" s="242"/>
      <c r="N418" s="242"/>
      <c r="P418" s="245"/>
      <c r="Q418" s="277"/>
      <c r="R418" s="277"/>
      <c r="S418" s="277"/>
      <c r="T418" s="277"/>
      <c r="U418" s="277"/>
      <c r="V418" s="277"/>
      <c r="W418" s="273"/>
    </row>
    <row r="419" spans="2:23">
      <c r="B419" s="266"/>
      <c r="C419" s="266"/>
      <c r="D419" s="175"/>
      <c r="E419" s="267"/>
      <c r="F419" s="268"/>
      <c r="G419" s="270"/>
      <c r="H419" s="270"/>
      <c r="I419" s="299"/>
      <c r="J419" s="270"/>
      <c r="K419" s="271"/>
      <c r="L419" s="270"/>
      <c r="M419" s="242"/>
      <c r="N419" s="242"/>
      <c r="P419" s="245"/>
      <c r="Q419" s="277"/>
      <c r="R419" s="277"/>
      <c r="S419" s="277"/>
      <c r="T419" s="277"/>
      <c r="U419" s="277"/>
      <c r="V419" s="277"/>
      <c r="W419" s="273"/>
    </row>
    <row r="420" spans="2:23">
      <c r="B420" s="266"/>
      <c r="C420" s="266"/>
      <c r="D420" s="175"/>
      <c r="E420" s="267"/>
      <c r="F420" s="268"/>
      <c r="G420" s="270"/>
      <c r="H420" s="270"/>
      <c r="I420" s="299"/>
      <c r="J420" s="270"/>
      <c r="K420" s="271"/>
      <c r="L420" s="270"/>
      <c r="M420" s="242"/>
      <c r="N420" s="242"/>
      <c r="P420" s="245"/>
      <c r="Q420" s="277"/>
      <c r="R420" s="277"/>
      <c r="S420" s="277"/>
      <c r="T420" s="277"/>
      <c r="U420" s="277"/>
      <c r="V420" s="277"/>
      <c r="W420" s="273"/>
    </row>
    <row r="421" spans="2:23">
      <c r="B421" s="266"/>
      <c r="C421" s="266"/>
      <c r="D421" s="175"/>
      <c r="E421" s="267"/>
      <c r="F421" s="268"/>
      <c r="G421" s="270"/>
      <c r="H421" s="270"/>
      <c r="I421" s="299"/>
      <c r="J421" s="270"/>
      <c r="K421" s="271"/>
      <c r="L421" s="270"/>
      <c r="M421" s="242"/>
      <c r="N421" s="242"/>
      <c r="P421" s="245"/>
      <c r="Q421" s="277"/>
      <c r="R421" s="277"/>
      <c r="S421" s="277"/>
      <c r="T421" s="277"/>
      <c r="U421" s="277"/>
      <c r="V421" s="277"/>
      <c r="W421" s="273"/>
    </row>
    <row r="422" spans="2:23">
      <c r="B422" s="266"/>
      <c r="C422" s="266"/>
      <c r="D422" s="175"/>
      <c r="E422" s="267"/>
      <c r="F422" s="268"/>
      <c r="G422" s="270"/>
      <c r="H422" s="270"/>
      <c r="I422" s="299"/>
      <c r="J422" s="270"/>
      <c r="K422" s="271"/>
      <c r="L422" s="270"/>
      <c r="M422" s="242"/>
      <c r="N422" s="242"/>
      <c r="P422" s="245"/>
      <c r="Q422" s="277"/>
      <c r="R422" s="277"/>
      <c r="S422" s="277"/>
      <c r="T422" s="277"/>
      <c r="U422" s="277"/>
      <c r="V422" s="277"/>
      <c r="W422" s="273"/>
    </row>
    <row r="423" spans="2:23">
      <c r="B423" s="266"/>
      <c r="C423" s="266"/>
      <c r="D423" s="175"/>
      <c r="E423" s="267"/>
      <c r="F423" s="268"/>
      <c r="G423" s="270"/>
      <c r="H423" s="270"/>
      <c r="I423" s="299"/>
      <c r="J423" s="270"/>
      <c r="K423" s="271"/>
      <c r="L423" s="270"/>
      <c r="M423" s="242"/>
      <c r="N423" s="242"/>
      <c r="P423" s="245"/>
      <c r="Q423" s="277"/>
      <c r="R423" s="277"/>
      <c r="S423" s="277"/>
      <c r="T423" s="277"/>
      <c r="U423" s="277"/>
      <c r="V423" s="277"/>
      <c r="W423" s="273"/>
    </row>
    <row r="424" spans="2:23">
      <c r="B424" s="266"/>
      <c r="C424" s="266"/>
      <c r="D424" s="175"/>
      <c r="E424" s="267"/>
      <c r="F424" s="268"/>
      <c r="G424" s="270"/>
      <c r="H424" s="270"/>
      <c r="I424" s="299"/>
      <c r="J424" s="270"/>
      <c r="K424" s="271"/>
      <c r="L424" s="270"/>
      <c r="M424" s="242"/>
      <c r="N424" s="242"/>
      <c r="P424" s="245"/>
      <c r="Q424" s="277"/>
      <c r="R424" s="277"/>
      <c r="S424" s="277"/>
      <c r="T424" s="277"/>
      <c r="U424" s="277"/>
      <c r="V424" s="277"/>
      <c r="W424" s="273"/>
    </row>
    <row r="425" spans="2:23">
      <c r="B425" s="266"/>
      <c r="C425" s="266"/>
      <c r="D425" s="175"/>
      <c r="E425" s="267"/>
      <c r="F425" s="268"/>
      <c r="G425" s="270"/>
      <c r="H425" s="270"/>
      <c r="I425" s="299"/>
      <c r="J425" s="270"/>
      <c r="K425" s="271"/>
      <c r="L425" s="270"/>
      <c r="M425" s="242"/>
      <c r="N425" s="242"/>
      <c r="P425" s="245"/>
      <c r="Q425" s="277"/>
      <c r="R425" s="277"/>
      <c r="S425" s="277"/>
      <c r="T425" s="277"/>
      <c r="U425" s="277"/>
      <c r="V425" s="277"/>
      <c r="W425" s="273"/>
    </row>
    <row r="426" spans="2:23">
      <c r="B426" s="266"/>
      <c r="C426" s="266"/>
      <c r="D426" s="175"/>
      <c r="E426" s="267"/>
      <c r="F426" s="268"/>
      <c r="G426" s="270"/>
      <c r="H426" s="270"/>
      <c r="I426" s="299"/>
      <c r="J426" s="270"/>
      <c r="K426" s="271"/>
      <c r="L426" s="270"/>
      <c r="M426" s="242"/>
      <c r="N426" s="242"/>
      <c r="P426" s="245"/>
      <c r="Q426" s="277"/>
      <c r="R426" s="277"/>
      <c r="S426" s="277"/>
      <c r="T426" s="277"/>
      <c r="U426" s="277"/>
      <c r="V426" s="277"/>
      <c r="W426" s="273"/>
    </row>
    <row r="427" spans="2:23">
      <c r="B427" s="266"/>
      <c r="C427" s="266"/>
      <c r="D427" s="175"/>
      <c r="E427" s="267"/>
      <c r="F427" s="268"/>
      <c r="G427" s="270"/>
      <c r="H427" s="270"/>
      <c r="I427" s="299"/>
      <c r="J427" s="270"/>
      <c r="K427" s="271"/>
      <c r="L427" s="270"/>
      <c r="M427" s="242"/>
      <c r="N427" s="242"/>
      <c r="P427" s="245"/>
      <c r="Q427" s="277"/>
      <c r="R427" s="277"/>
      <c r="S427" s="277"/>
      <c r="T427" s="277"/>
      <c r="U427" s="277"/>
      <c r="V427" s="277"/>
      <c r="W427" s="273"/>
    </row>
    <row r="428" spans="2:23">
      <c r="B428" s="266"/>
      <c r="C428" s="266"/>
      <c r="D428" s="175"/>
      <c r="E428" s="267"/>
      <c r="F428" s="268"/>
      <c r="G428" s="270"/>
      <c r="H428" s="270"/>
      <c r="I428" s="299"/>
      <c r="J428" s="270"/>
      <c r="K428" s="271"/>
      <c r="L428" s="270"/>
      <c r="M428" s="242"/>
      <c r="N428" s="242"/>
      <c r="P428" s="245"/>
      <c r="Q428" s="277"/>
      <c r="R428" s="277"/>
      <c r="S428" s="277"/>
      <c r="T428" s="277"/>
      <c r="U428" s="277"/>
      <c r="V428" s="277"/>
      <c r="W428" s="273"/>
    </row>
    <row r="429" spans="2:23">
      <c r="B429" s="266"/>
      <c r="C429" s="266"/>
      <c r="D429" s="175"/>
      <c r="E429" s="267"/>
      <c r="F429" s="268"/>
      <c r="G429" s="270"/>
      <c r="H429" s="270"/>
      <c r="I429" s="299"/>
      <c r="J429" s="270"/>
      <c r="K429" s="271"/>
      <c r="L429" s="270"/>
      <c r="M429" s="242"/>
      <c r="N429" s="242"/>
      <c r="P429" s="245"/>
      <c r="Q429" s="277"/>
      <c r="R429" s="277"/>
      <c r="S429" s="277"/>
      <c r="T429" s="277"/>
      <c r="U429" s="277"/>
      <c r="V429" s="277"/>
      <c r="W429" s="273"/>
    </row>
    <row r="430" spans="2:23">
      <c r="B430" s="266"/>
      <c r="C430" s="266"/>
      <c r="D430" s="175"/>
      <c r="E430" s="267"/>
      <c r="F430" s="268"/>
      <c r="G430" s="270"/>
      <c r="H430" s="270"/>
      <c r="I430" s="299"/>
      <c r="J430" s="270"/>
      <c r="K430" s="271"/>
      <c r="L430" s="270"/>
      <c r="M430" s="242"/>
      <c r="N430" s="242"/>
      <c r="P430" s="245"/>
      <c r="Q430" s="277"/>
      <c r="R430" s="277"/>
      <c r="S430" s="277"/>
      <c r="T430" s="277"/>
      <c r="U430" s="277"/>
      <c r="V430" s="277"/>
      <c r="W430" s="273"/>
    </row>
    <row r="431" spans="2:23">
      <c r="B431" s="266"/>
      <c r="C431" s="266"/>
      <c r="D431" s="175"/>
      <c r="E431" s="267"/>
      <c r="F431" s="268"/>
      <c r="G431" s="270"/>
      <c r="H431" s="270"/>
      <c r="I431" s="299"/>
      <c r="J431" s="270"/>
      <c r="K431" s="271"/>
      <c r="L431" s="270"/>
      <c r="M431" s="242"/>
      <c r="N431" s="242"/>
      <c r="P431" s="245"/>
      <c r="Q431" s="277"/>
      <c r="R431" s="277"/>
      <c r="S431" s="277"/>
      <c r="T431" s="277"/>
      <c r="U431" s="277"/>
      <c r="V431" s="277"/>
      <c r="W431" s="273"/>
    </row>
    <row r="432" spans="2:23">
      <c r="B432" s="266"/>
      <c r="C432" s="266"/>
      <c r="D432" s="175"/>
      <c r="E432" s="267"/>
      <c r="F432" s="268"/>
      <c r="G432" s="270"/>
      <c r="H432" s="270"/>
      <c r="I432" s="299"/>
      <c r="J432" s="270"/>
      <c r="K432" s="271"/>
      <c r="L432" s="270"/>
      <c r="M432" s="242"/>
      <c r="N432" s="242"/>
      <c r="P432" s="245"/>
      <c r="Q432" s="277"/>
      <c r="R432" s="277"/>
      <c r="S432" s="277"/>
      <c r="T432" s="277"/>
      <c r="U432" s="277"/>
      <c r="V432" s="277"/>
      <c r="W432" s="273"/>
    </row>
    <row r="433" spans="2:23">
      <c r="B433" s="266"/>
      <c r="C433" s="266"/>
      <c r="D433" s="175"/>
      <c r="E433" s="267"/>
      <c r="F433" s="268"/>
      <c r="G433" s="270"/>
      <c r="H433" s="270"/>
      <c r="I433" s="299"/>
      <c r="J433" s="270"/>
      <c r="K433" s="271"/>
      <c r="L433" s="270"/>
      <c r="M433" s="242"/>
      <c r="N433" s="242"/>
      <c r="P433" s="245"/>
      <c r="Q433" s="277"/>
      <c r="R433" s="277"/>
      <c r="S433" s="277"/>
      <c r="T433" s="277"/>
      <c r="U433" s="277"/>
      <c r="V433" s="277"/>
      <c r="W433" s="273"/>
    </row>
    <row r="434" spans="2:23">
      <c r="B434" s="266"/>
      <c r="C434" s="266"/>
      <c r="D434" s="175"/>
      <c r="E434" s="267"/>
      <c r="F434" s="268"/>
      <c r="G434" s="270"/>
      <c r="H434" s="270"/>
      <c r="I434" s="299"/>
      <c r="J434" s="270"/>
      <c r="K434" s="271"/>
      <c r="L434" s="270"/>
      <c r="M434" s="242"/>
      <c r="N434" s="242"/>
      <c r="P434" s="245"/>
      <c r="Q434" s="277"/>
      <c r="R434" s="277"/>
      <c r="S434" s="277"/>
      <c r="T434" s="277"/>
      <c r="U434" s="277"/>
      <c r="V434" s="277"/>
      <c r="W434" s="273"/>
    </row>
    <row r="435" spans="2:23">
      <c r="B435" s="266"/>
      <c r="C435" s="266"/>
      <c r="D435" s="175"/>
      <c r="E435" s="267"/>
      <c r="F435" s="268"/>
      <c r="G435" s="270"/>
      <c r="H435" s="270"/>
      <c r="I435" s="299"/>
      <c r="J435" s="270"/>
      <c r="K435" s="271"/>
      <c r="L435" s="270"/>
      <c r="M435" s="242"/>
      <c r="N435" s="242"/>
      <c r="P435" s="245"/>
      <c r="Q435" s="277"/>
      <c r="R435" s="277"/>
      <c r="S435" s="277"/>
      <c r="T435" s="277"/>
      <c r="U435" s="277"/>
      <c r="V435" s="277"/>
      <c r="W435" s="273"/>
    </row>
    <row r="436" spans="2:23">
      <c r="B436" s="266"/>
      <c r="C436" s="266"/>
      <c r="D436" s="175"/>
      <c r="E436" s="267"/>
      <c r="F436" s="268"/>
      <c r="G436" s="270"/>
      <c r="H436" s="270"/>
      <c r="I436" s="299"/>
      <c r="J436" s="270"/>
      <c r="K436" s="271"/>
      <c r="L436" s="270"/>
      <c r="M436" s="242"/>
      <c r="N436" s="242"/>
      <c r="P436" s="245"/>
      <c r="Q436" s="277"/>
      <c r="R436" s="277"/>
      <c r="S436" s="277"/>
      <c r="T436" s="277"/>
      <c r="U436" s="277"/>
      <c r="V436" s="277"/>
      <c r="W436" s="273"/>
    </row>
    <row r="437" spans="2:23">
      <c r="B437" s="266"/>
      <c r="C437" s="266"/>
      <c r="D437" s="175"/>
      <c r="E437" s="267"/>
      <c r="F437" s="268"/>
      <c r="G437" s="270"/>
      <c r="H437" s="270"/>
      <c r="I437" s="299"/>
      <c r="J437" s="270"/>
      <c r="K437" s="271"/>
      <c r="L437" s="270"/>
      <c r="M437" s="242"/>
      <c r="N437" s="242"/>
      <c r="P437" s="245"/>
      <c r="Q437" s="277"/>
      <c r="R437" s="277"/>
      <c r="S437" s="277"/>
      <c r="T437" s="277"/>
      <c r="U437" s="277"/>
      <c r="V437" s="277"/>
      <c r="W437" s="273"/>
    </row>
    <row r="438" spans="2:23">
      <c r="B438" s="266"/>
      <c r="C438" s="266"/>
      <c r="D438" s="175"/>
      <c r="E438" s="267"/>
      <c r="F438" s="268"/>
      <c r="G438" s="270"/>
      <c r="H438" s="270"/>
      <c r="I438" s="299"/>
      <c r="J438" s="270"/>
      <c r="K438" s="271"/>
      <c r="L438" s="270"/>
      <c r="M438" s="242"/>
      <c r="N438" s="242"/>
      <c r="P438" s="245"/>
      <c r="Q438" s="277"/>
      <c r="R438" s="277"/>
      <c r="S438" s="277"/>
      <c r="T438" s="277"/>
      <c r="U438" s="277"/>
      <c r="V438" s="277"/>
      <c r="W438" s="273"/>
    </row>
    <row r="439" spans="2:23">
      <c r="B439" s="266"/>
      <c r="C439" s="266"/>
      <c r="D439" s="175"/>
      <c r="E439" s="267"/>
      <c r="F439" s="268"/>
      <c r="G439" s="270"/>
      <c r="H439" s="270"/>
      <c r="I439" s="299"/>
      <c r="J439" s="270"/>
      <c r="K439" s="271"/>
      <c r="L439" s="270"/>
      <c r="M439" s="242"/>
      <c r="N439" s="242"/>
      <c r="P439" s="245"/>
      <c r="Q439" s="277"/>
      <c r="R439" s="277"/>
      <c r="S439" s="277"/>
      <c r="T439" s="277"/>
      <c r="U439" s="277"/>
      <c r="V439" s="277"/>
      <c r="W439" s="273"/>
    </row>
    <row r="440" spans="2:23">
      <c r="B440" s="266"/>
      <c r="C440" s="266"/>
      <c r="D440" s="175"/>
      <c r="E440" s="267"/>
      <c r="F440" s="268"/>
      <c r="G440" s="270"/>
      <c r="H440" s="270"/>
      <c r="I440" s="299"/>
      <c r="J440" s="270"/>
      <c r="K440" s="271"/>
      <c r="L440" s="270"/>
      <c r="M440" s="242"/>
      <c r="N440" s="242"/>
      <c r="P440" s="245"/>
      <c r="Q440" s="277"/>
      <c r="R440" s="277"/>
      <c r="S440" s="277"/>
      <c r="T440" s="277"/>
      <c r="U440" s="277"/>
      <c r="V440" s="277"/>
      <c r="W440" s="273"/>
    </row>
    <row r="441" spans="2:23">
      <c r="B441" s="266"/>
      <c r="C441" s="266"/>
      <c r="D441" s="175"/>
      <c r="E441" s="267"/>
      <c r="F441" s="268"/>
      <c r="G441" s="270"/>
      <c r="H441" s="270"/>
      <c r="I441" s="299"/>
      <c r="J441" s="270"/>
      <c r="K441" s="271"/>
      <c r="L441" s="270"/>
      <c r="M441" s="242"/>
      <c r="N441" s="242"/>
      <c r="P441" s="245"/>
      <c r="Q441" s="277"/>
      <c r="R441" s="277"/>
      <c r="S441" s="277"/>
      <c r="T441" s="277"/>
      <c r="U441" s="277"/>
      <c r="V441" s="277"/>
      <c r="W441" s="273"/>
    </row>
    <row r="442" spans="2:23">
      <c r="B442" s="266"/>
      <c r="C442" s="266"/>
      <c r="D442" s="175"/>
      <c r="E442" s="267"/>
      <c r="F442" s="268"/>
      <c r="G442" s="270"/>
      <c r="H442" s="270"/>
      <c r="I442" s="299"/>
      <c r="J442" s="270"/>
      <c r="K442" s="271"/>
      <c r="L442" s="270"/>
      <c r="M442" s="242"/>
      <c r="N442" s="242"/>
      <c r="P442" s="245"/>
      <c r="Q442" s="277"/>
      <c r="R442" s="277"/>
      <c r="S442" s="277"/>
      <c r="T442" s="277"/>
      <c r="U442" s="277"/>
      <c r="V442" s="277"/>
      <c r="W442" s="273"/>
    </row>
    <row r="443" spans="2:23">
      <c r="B443" s="266"/>
      <c r="C443" s="266"/>
      <c r="D443" s="175"/>
      <c r="E443" s="267"/>
      <c r="F443" s="268"/>
      <c r="G443" s="270"/>
      <c r="H443" s="270"/>
      <c r="I443" s="299"/>
      <c r="J443" s="270"/>
      <c r="K443" s="271"/>
      <c r="L443" s="270"/>
      <c r="M443" s="242"/>
      <c r="N443" s="242"/>
      <c r="P443" s="245"/>
      <c r="Q443" s="277"/>
      <c r="R443" s="277"/>
      <c r="S443" s="277"/>
      <c r="T443" s="277"/>
      <c r="U443" s="277"/>
      <c r="V443" s="277"/>
      <c r="W443" s="273"/>
    </row>
    <row r="444" spans="2:23">
      <c r="B444" s="266"/>
      <c r="C444" s="266"/>
      <c r="D444" s="175"/>
      <c r="E444" s="267"/>
      <c r="F444" s="268"/>
      <c r="G444" s="270"/>
      <c r="H444" s="270"/>
      <c r="I444" s="299"/>
      <c r="J444" s="270"/>
      <c r="K444" s="271"/>
      <c r="L444" s="270"/>
      <c r="M444" s="242"/>
      <c r="N444" s="242"/>
      <c r="P444" s="245"/>
      <c r="Q444" s="277"/>
      <c r="R444" s="277"/>
      <c r="S444" s="277"/>
      <c r="T444" s="277"/>
      <c r="U444" s="277"/>
      <c r="V444" s="277"/>
      <c r="W444" s="273"/>
    </row>
    <row r="445" spans="2:23">
      <c r="B445" s="266"/>
      <c r="C445" s="266"/>
      <c r="D445" s="175"/>
      <c r="E445" s="267"/>
      <c r="F445" s="268"/>
      <c r="G445" s="270"/>
      <c r="H445" s="270"/>
      <c r="I445" s="299"/>
      <c r="J445" s="270"/>
      <c r="K445" s="271"/>
      <c r="L445" s="270"/>
      <c r="M445" s="242"/>
      <c r="N445" s="242"/>
      <c r="P445" s="245"/>
      <c r="Q445" s="277"/>
      <c r="R445" s="277"/>
      <c r="S445" s="277"/>
      <c r="T445" s="277"/>
      <c r="U445" s="277"/>
      <c r="V445" s="277"/>
      <c r="W445" s="273"/>
    </row>
    <row r="446" spans="2:23">
      <c r="B446" s="266"/>
      <c r="C446" s="266"/>
      <c r="D446" s="175"/>
      <c r="E446" s="267"/>
      <c r="F446" s="268"/>
      <c r="G446" s="270"/>
      <c r="H446" s="270"/>
      <c r="I446" s="299"/>
      <c r="J446" s="270"/>
      <c r="K446" s="271"/>
      <c r="L446" s="270"/>
      <c r="M446" s="242"/>
      <c r="N446" s="242"/>
      <c r="P446" s="245"/>
      <c r="Q446" s="277"/>
      <c r="R446" s="277"/>
      <c r="S446" s="277"/>
      <c r="T446" s="277"/>
      <c r="U446" s="277"/>
      <c r="V446" s="277"/>
      <c r="W446" s="273"/>
    </row>
    <row r="447" spans="2:23">
      <c r="B447" s="266"/>
      <c r="C447" s="266"/>
      <c r="D447" s="175"/>
      <c r="E447" s="267"/>
      <c r="F447" s="268"/>
      <c r="G447" s="270"/>
      <c r="H447" s="270"/>
      <c r="I447" s="299"/>
      <c r="J447" s="270"/>
      <c r="K447" s="271"/>
      <c r="L447" s="270"/>
      <c r="M447" s="242"/>
      <c r="N447" s="242"/>
      <c r="P447" s="245"/>
      <c r="Q447" s="277"/>
      <c r="R447" s="277"/>
      <c r="S447" s="277"/>
      <c r="T447" s="277"/>
      <c r="U447" s="277"/>
      <c r="V447" s="277"/>
      <c r="W447" s="273"/>
    </row>
    <row r="448" spans="2:23">
      <c r="B448" s="266"/>
      <c r="C448" s="266"/>
      <c r="D448" s="175"/>
      <c r="E448" s="267"/>
      <c r="F448" s="268"/>
      <c r="G448" s="270"/>
      <c r="H448" s="270"/>
      <c r="I448" s="299"/>
      <c r="J448" s="270"/>
      <c r="K448" s="271"/>
      <c r="L448" s="270"/>
      <c r="M448" s="242"/>
      <c r="N448" s="242"/>
      <c r="P448" s="245"/>
      <c r="Q448" s="277"/>
      <c r="R448" s="277"/>
      <c r="S448" s="277"/>
      <c r="T448" s="277"/>
      <c r="U448" s="277"/>
      <c r="V448" s="277"/>
      <c r="W448" s="273"/>
    </row>
    <row r="449" spans="2:23">
      <c r="B449" s="266"/>
      <c r="C449" s="266"/>
      <c r="D449" s="175"/>
      <c r="E449" s="267"/>
      <c r="F449" s="268"/>
      <c r="G449" s="270"/>
      <c r="H449" s="270"/>
      <c r="I449" s="299"/>
      <c r="J449" s="270"/>
      <c r="K449" s="271"/>
      <c r="L449" s="270"/>
      <c r="M449" s="242"/>
      <c r="N449" s="242"/>
      <c r="P449" s="245"/>
      <c r="Q449" s="277"/>
      <c r="R449" s="277"/>
      <c r="S449" s="277"/>
      <c r="T449" s="277"/>
      <c r="U449" s="277"/>
      <c r="V449" s="277"/>
      <c r="W449" s="273"/>
    </row>
    <row r="450" spans="2:23">
      <c r="B450" s="266"/>
      <c r="C450" s="266"/>
      <c r="D450" s="175"/>
      <c r="E450" s="267"/>
      <c r="F450" s="268"/>
      <c r="G450" s="270"/>
      <c r="H450" s="270"/>
      <c r="I450" s="299"/>
      <c r="J450" s="270"/>
      <c r="K450" s="271"/>
      <c r="L450" s="270"/>
      <c r="M450" s="242"/>
      <c r="N450" s="242"/>
      <c r="P450" s="245"/>
      <c r="Q450" s="277"/>
      <c r="R450" s="277"/>
      <c r="S450" s="277"/>
      <c r="T450" s="277"/>
      <c r="U450" s="277"/>
      <c r="V450" s="277"/>
      <c r="W450" s="273"/>
    </row>
    <row r="451" spans="2:23">
      <c r="B451" s="266"/>
      <c r="C451" s="266"/>
      <c r="D451" s="175"/>
      <c r="E451" s="267"/>
      <c r="F451" s="268"/>
      <c r="G451" s="270"/>
      <c r="H451" s="270"/>
      <c r="I451" s="299"/>
      <c r="J451" s="270"/>
      <c r="K451" s="271"/>
      <c r="L451" s="270"/>
      <c r="M451" s="242"/>
      <c r="N451" s="242"/>
      <c r="P451" s="245"/>
      <c r="Q451" s="277"/>
      <c r="R451" s="277"/>
      <c r="S451" s="277"/>
      <c r="T451" s="277"/>
      <c r="U451" s="277"/>
      <c r="V451" s="277"/>
      <c r="W451" s="273"/>
    </row>
    <row r="452" spans="2:23">
      <c r="B452" s="266"/>
      <c r="C452" s="266"/>
      <c r="D452" s="175"/>
      <c r="E452" s="267"/>
      <c r="F452" s="268"/>
      <c r="G452" s="270"/>
      <c r="H452" s="270"/>
      <c r="I452" s="299"/>
      <c r="J452" s="270"/>
      <c r="K452" s="271"/>
      <c r="L452" s="270"/>
      <c r="M452" s="242"/>
      <c r="N452" s="242"/>
      <c r="P452" s="245"/>
      <c r="Q452" s="277"/>
      <c r="R452" s="277"/>
      <c r="S452" s="277"/>
      <c r="T452" s="277"/>
      <c r="U452" s="277"/>
      <c r="V452" s="277"/>
      <c r="W452" s="273"/>
    </row>
    <row r="453" spans="2:23">
      <c r="B453" s="266"/>
      <c r="C453" s="266"/>
      <c r="D453" s="175"/>
      <c r="E453" s="267"/>
      <c r="F453" s="268"/>
      <c r="G453" s="270"/>
      <c r="H453" s="270"/>
      <c r="I453" s="299"/>
      <c r="J453" s="270"/>
      <c r="K453" s="271"/>
      <c r="L453" s="270"/>
      <c r="M453" s="242"/>
      <c r="N453" s="242"/>
      <c r="P453" s="245"/>
      <c r="Q453" s="277"/>
      <c r="R453" s="277"/>
      <c r="S453" s="277"/>
      <c r="T453" s="277"/>
      <c r="U453" s="277"/>
      <c r="V453" s="277"/>
      <c r="W453" s="273"/>
    </row>
    <row r="454" spans="2:23">
      <c r="B454" s="266"/>
      <c r="C454" s="266"/>
      <c r="D454" s="175"/>
      <c r="E454" s="267"/>
      <c r="F454" s="268"/>
      <c r="G454" s="270"/>
      <c r="H454" s="270"/>
      <c r="I454" s="299"/>
      <c r="J454" s="270"/>
      <c r="K454" s="271"/>
      <c r="L454" s="270"/>
      <c r="M454" s="242"/>
      <c r="N454" s="242"/>
      <c r="P454" s="245"/>
      <c r="Q454" s="277"/>
      <c r="R454" s="277"/>
      <c r="S454" s="277"/>
      <c r="T454" s="277"/>
      <c r="U454" s="277"/>
      <c r="V454" s="277"/>
      <c r="W454" s="273"/>
    </row>
    <row r="455" spans="2:23">
      <c r="B455" s="266"/>
      <c r="C455" s="266"/>
      <c r="D455" s="175"/>
      <c r="E455" s="267"/>
      <c r="F455" s="268"/>
      <c r="G455" s="270"/>
      <c r="H455" s="270"/>
      <c r="I455" s="299"/>
      <c r="J455" s="270"/>
      <c r="K455" s="271"/>
      <c r="L455" s="270"/>
      <c r="M455" s="242"/>
      <c r="N455" s="242"/>
      <c r="P455" s="245"/>
      <c r="Q455" s="277"/>
      <c r="R455" s="277"/>
      <c r="S455" s="277"/>
      <c r="T455" s="277"/>
      <c r="U455" s="277"/>
      <c r="V455" s="277"/>
      <c r="W455" s="273"/>
    </row>
    <row r="456" spans="2:23">
      <c r="B456" s="266"/>
      <c r="C456" s="266"/>
      <c r="D456" s="175"/>
      <c r="E456" s="267"/>
      <c r="F456" s="268"/>
      <c r="G456" s="270"/>
      <c r="H456" s="270"/>
      <c r="I456" s="299"/>
      <c r="J456" s="270"/>
      <c r="K456" s="271"/>
      <c r="L456" s="270"/>
      <c r="M456" s="242"/>
      <c r="N456" s="242"/>
      <c r="P456" s="245"/>
      <c r="Q456" s="277"/>
      <c r="R456" s="277"/>
      <c r="S456" s="277"/>
      <c r="T456" s="277"/>
      <c r="U456" s="277"/>
      <c r="V456" s="277"/>
      <c r="W456" s="273"/>
    </row>
    <row r="457" spans="2:23">
      <c r="B457" s="266"/>
      <c r="C457" s="266"/>
      <c r="D457" s="175"/>
      <c r="E457" s="267"/>
      <c r="F457" s="268"/>
      <c r="G457" s="270"/>
      <c r="H457" s="270"/>
      <c r="I457" s="299"/>
      <c r="J457" s="270"/>
      <c r="K457" s="271"/>
      <c r="L457" s="270"/>
      <c r="M457" s="242"/>
      <c r="N457" s="242"/>
      <c r="P457" s="245"/>
      <c r="Q457" s="277"/>
      <c r="R457" s="277"/>
      <c r="S457" s="277"/>
      <c r="T457" s="277"/>
      <c r="U457" s="277"/>
      <c r="V457" s="277"/>
      <c r="W457" s="273"/>
    </row>
    <row r="458" spans="2:23">
      <c r="B458" s="266"/>
      <c r="C458" s="266"/>
      <c r="D458" s="175"/>
      <c r="E458" s="267"/>
      <c r="F458" s="268"/>
      <c r="G458" s="270"/>
      <c r="H458" s="270"/>
      <c r="I458" s="299"/>
      <c r="J458" s="270"/>
      <c r="K458" s="271"/>
      <c r="L458" s="270"/>
      <c r="M458" s="242"/>
      <c r="N458" s="242"/>
      <c r="P458" s="245"/>
      <c r="Q458" s="277"/>
      <c r="R458" s="277"/>
      <c r="S458" s="277"/>
      <c r="T458" s="277"/>
      <c r="U458" s="277"/>
      <c r="V458" s="277"/>
      <c r="W458" s="273"/>
    </row>
    <row r="459" spans="2:23">
      <c r="B459" s="266"/>
      <c r="C459" s="266"/>
      <c r="D459" s="175"/>
      <c r="E459" s="267"/>
      <c r="F459" s="268"/>
      <c r="G459" s="270"/>
      <c r="H459" s="270"/>
      <c r="I459" s="299"/>
      <c r="J459" s="270"/>
      <c r="K459" s="271"/>
      <c r="L459" s="270"/>
      <c r="M459" s="242"/>
      <c r="N459" s="242"/>
      <c r="P459" s="245"/>
      <c r="Q459" s="277"/>
      <c r="R459" s="277"/>
      <c r="S459" s="277"/>
      <c r="T459" s="277"/>
      <c r="U459" s="277"/>
      <c r="V459" s="277"/>
      <c r="W459" s="273"/>
    </row>
    <row r="460" spans="2:23">
      <c r="B460" s="266"/>
      <c r="C460" s="266"/>
      <c r="D460" s="175"/>
      <c r="E460" s="267"/>
      <c r="F460" s="268"/>
      <c r="G460" s="270"/>
      <c r="H460" s="270"/>
      <c r="I460" s="299"/>
      <c r="J460" s="270"/>
      <c r="K460" s="271"/>
      <c r="L460" s="270"/>
      <c r="M460" s="242"/>
      <c r="N460" s="242"/>
      <c r="P460" s="245"/>
      <c r="Q460" s="277"/>
      <c r="R460" s="277"/>
      <c r="S460" s="277"/>
      <c r="T460" s="277"/>
      <c r="U460" s="277"/>
      <c r="V460" s="277"/>
      <c r="W460" s="273"/>
    </row>
    <row r="461" spans="2:23">
      <c r="B461" s="266"/>
      <c r="C461" s="266"/>
      <c r="D461" s="175"/>
      <c r="E461" s="267"/>
      <c r="F461" s="268"/>
      <c r="G461" s="270"/>
      <c r="H461" s="270"/>
      <c r="I461" s="299"/>
      <c r="J461" s="270"/>
      <c r="K461" s="271"/>
      <c r="L461" s="270"/>
      <c r="M461" s="242"/>
      <c r="N461" s="242"/>
      <c r="P461" s="245"/>
      <c r="Q461" s="277"/>
      <c r="R461" s="277"/>
      <c r="S461" s="277"/>
      <c r="T461" s="277"/>
      <c r="U461" s="277"/>
      <c r="V461" s="277"/>
      <c r="W461" s="273"/>
    </row>
    <row r="462" spans="2:23">
      <c r="B462" s="266"/>
      <c r="C462" s="266"/>
      <c r="D462" s="175"/>
      <c r="E462" s="267"/>
      <c r="F462" s="268"/>
      <c r="G462" s="270"/>
      <c r="H462" s="270"/>
      <c r="I462" s="299"/>
      <c r="J462" s="270"/>
      <c r="K462" s="271"/>
      <c r="L462" s="270"/>
      <c r="M462" s="242"/>
      <c r="N462" s="242"/>
      <c r="P462" s="245"/>
      <c r="Q462" s="277"/>
      <c r="R462" s="277"/>
      <c r="S462" s="277"/>
      <c r="T462" s="277"/>
      <c r="U462" s="277"/>
      <c r="V462" s="277"/>
      <c r="W462" s="273"/>
    </row>
    <row r="463" spans="2:23">
      <c r="B463" s="266"/>
      <c r="C463" s="266"/>
      <c r="D463" s="175"/>
      <c r="E463" s="267"/>
      <c r="F463" s="268"/>
      <c r="G463" s="270"/>
      <c r="H463" s="270"/>
      <c r="I463" s="299"/>
      <c r="J463" s="270"/>
      <c r="K463" s="271"/>
      <c r="L463" s="270"/>
      <c r="M463" s="242"/>
      <c r="N463" s="242"/>
      <c r="P463" s="245"/>
      <c r="Q463" s="277"/>
      <c r="R463" s="277"/>
      <c r="S463" s="277"/>
      <c r="T463" s="277"/>
      <c r="U463" s="277"/>
      <c r="V463" s="277"/>
      <c r="W463" s="273"/>
    </row>
    <row r="464" spans="2:23">
      <c r="B464" s="266"/>
      <c r="C464" s="266"/>
      <c r="D464" s="175"/>
      <c r="E464" s="267"/>
      <c r="F464" s="268"/>
      <c r="G464" s="270"/>
      <c r="H464" s="270"/>
      <c r="I464" s="299"/>
      <c r="J464" s="270"/>
      <c r="K464" s="271"/>
      <c r="L464" s="270"/>
      <c r="M464" s="242"/>
      <c r="N464" s="242"/>
      <c r="P464" s="245"/>
      <c r="Q464" s="277"/>
      <c r="R464" s="277"/>
      <c r="S464" s="277"/>
      <c r="T464" s="277"/>
      <c r="U464" s="277"/>
      <c r="V464" s="277"/>
      <c r="W464" s="273"/>
    </row>
    <row r="465" spans="2:23">
      <c r="B465" s="266"/>
      <c r="C465" s="266"/>
      <c r="D465" s="175"/>
      <c r="E465" s="267"/>
      <c r="F465" s="268"/>
      <c r="G465" s="270"/>
      <c r="H465" s="270"/>
      <c r="I465" s="299"/>
      <c r="J465" s="270"/>
      <c r="K465" s="271"/>
      <c r="L465" s="270"/>
      <c r="M465" s="242"/>
      <c r="N465" s="242"/>
      <c r="P465" s="245"/>
      <c r="Q465" s="277"/>
      <c r="R465" s="277"/>
      <c r="S465" s="277"/>
      <c r="T465" s="277"/>
      <c r="U465" s="277"/>
      <c r="V465" s="277"/>
      <c r="W465" s="273"/>
    </row>
    <row r="466" spans="2:23">
      <c r="B466" s="266"/>
      <c r="C466" s="266"/>
      <c r="D466" s="175"/>
      <c r="E466" s="267"/>
      <c r="F466" s="268"/>
      <c r="G466" s="270"/>
      <c r="H466" s="270"/>
      <c r="I466" s="299"/>
      <c r="J466" s="270"/>
      <c r="K466" s="271"/>
      <c r="L466" s="270"/>
      <c r="M466" s="242"/>
      <c r="N466" s="242"/>
      <c r="P466" s="245"/>
      <c r="Q466" s="277"/>
      <c r="R466" s="277"/>
      <c r="S466" s="277"/>
      <c r="T466" s="277"/>
      <c r="U466" s="277"/>
      <c r="V466" s="277"/>
      <c r="W466" s="273"/>
    </row>
    <row r="467" spans="2:23">
      <c r="B467" s="266"/>
      <c r="C467" s="266"/>
      <c r="D467" s="175"/>
      <c r="E467" s="267"/>
      <c r="F467" s="268"/>
      <c r="G467" s="270"/>
      <c r="H467" s="270"/>
      <c r="I467" s="299"/>
      <c r="J467" s="270"/>
      <c r="K467" s="271"/>
      <c r="L467" s="270"/>
      <c r="M467" s="242"/>
      <c r="N467" s="242"/>
      <c r="P467" s="245"/>
      <c r="Q467" s="277"/>
      <c r="R467" s="277"/>
      <c r="S467" s="277"/>
      <c r="T467" s="277"/>
      <c r="U467" s="277"/>
      <c r="V467" s="277"/>
      <c r="W467" s="273"/>
    </row>
    <row r="468" spans="2:23">
      <c r="B468" s="266"/>
      <c r="C468" s="266"/>
      <c r="D468" s="175"/>
      <c r="E468" s="267"/>
      <c r="F468" s="268"/>
      <c r="G468" s="270"/>
      <c r="H468" s="270"/>
      <c r="I468" s="299"/>
      <c r="J468" s="270"/>
      <c r="K468" s="271"/>
      <c r="L468" s="270"/>
      <c r="M468" s="242"/>
      <c r="N468" s="242"/>
      <c r="P468" s="245"/>
      <c r="Q468" s="277"/>
      <c r="R468" s="277"/>
      <c r="S468" s="277"/>
      <c r="T468" s="277"/>
      <c r="U468" s="277"/>
      <c r="V468" s="277"/>
      <c r="W468" s="273"/>
    </row>
    <row r="469" spans="2:23">
      <c r="B469" s="266"/>
      <c r="C469" s="266"/>
      <c r="D469" s="175"/>
      <c r="E469" s="267"/>
      <c r="F469" s="268"/>
      <c r="G469" s="270"/>
      <c r="H469" s="270"/>
      <c r="I469" s="299"/>
      <c r="J469" s="270"/>
      <c r="K469" s="271"/>
      <c r="L469" s="270"/>
      <c r="M469" s="242"/>
      <c r="N469" s="242"/>
      <c r="P469" s="245"/>
      <c r="Q469" s="277"/>
      <c r="R469" s="277"/>
      <c r="S469" s="277"/>
      <c r="T469" s="277"/>
      <c r="U469" s="277"/>
      <c r="V469" s="277"/>
      <c r="W469" s="273"/>
    </row>
    <row r="470" spans="2:23">
      <c r="B470" s="266"/>
      <c r="C470" s="266"/>
      <c r="D470" s="175"/>
      <c r="E470" s="267"/>
      <c r="F470" s="268"/>
      <c r="G470" s="270"/>
      <c r="H470" s="270"/>
      <c r="I470" s="299"/>
      <c r="J470" s="270"/>
      <c r="K470" s="271"/>
      <c r="L470" s="270"/>
      <c r="M470" s="242"/>
      <c r="N470" s="242"/>
      <c r="P470" s="245"/>
      <c r="Q470" s="277"/>
      <c r="R470" s="277"/>
      <c r="S470" s="277"/>
      <c r="T470" s="277"/>
      <c r="U470" s="277"/>
      <c r="V470" s="277"/>
      <c r="W470" s="273"/>
    </row>
    <row r="471" spans="2:23">
      <c r="B471" s="266"/>
      <c r="C471" s="266"/>
      <c r="D471" s="175"/>
      <c r="E471" s="267"/>
      <c r="F471" s="268"/>
      <c r="G471" s="270"/>
      <c r="H471" s="270"/>
      <c r="I471" s="299"/>
      <c r="J471" s="270"/>
      <c r="K471" s="271"/>
      <c r="L471" s="270"/>
      <c r="M471" s="242"/>
      <c r="N471" s="242"/>
      <c r="P471" s="245"/>
      <c r="Q471" s="277"/>
      <c r="R471" s="277"/>
      <c r="S471" s="277"/>
      <c r="T471" s="277"/>
      <c r="U471" s="277"/>
      <c r="V471" s="277"/>
      <c r="W471" s="273"/>
    </row>
    <row r="472" spans="2:23">
      <c r="B472" s="266"/>
      <c r="C472" s="266"/>
      <c r="D472" s="175"/>
      <c r="E472" s="267"/>
      <c r="F472" s="268"/>
      <c r="G472" s="270"/>
      <c r="H472" s="270"/>
      <c r="I472" s="299"/>
      <c r="J472" s="270"/>
      <c r="K472" s="271"/>
      <c r="L472" s="270"/>
      <c r="M472" s="242"/>
      <c r="N472" s="242"/>
      <c r="P472" s="245"/>
      <c r="Q472" s="277"/>
      <c r="R472" s="277"/>
      <c r="S472" s="277"/>
      <c r="T472" s="277"/>
      <c r="U472" s="277"/>
      <c r="V472" s="277"/>
      <c r="W472" s="273"/>
    </row>
    <row r="473" spans="2:23">
      <c r="B473" s="266"/>
      <c r="C473" s="266"/>
      <c r="D473" s="175"/>
      <c r="E473" s="267"/>
      <c r="F473" s="268"/>
      <c r="G473" s="270"/>
      <c r="H473" s="270"/>
      <c r="I473" s="299"/>
      <c r="J473" s="270"/>
      <c r="K473" s="271"/>
      <c r="L473" s="270"/>
      <c r="M473" s="242"/>
      <c r="N473" s="242"/>
      <c r="P473" s="245"/>
      <c r="Q473" s="277"/>
      <c r="R473" s="277"/>
      <c r="S473" s="277"/>
      <c r="T473" s="277"/>
      <c r="U473" s="277"/>
      <c r="V473" s="277"/>
      <c r="W473" s="273"/>
    </row>
    <row r="474" spans="2:23">
      <c r="B474" s="266"/>
      <c r="C474" s="266"/>
      <c r="D474" s="175"/>
      <c r="E474" s="267"/>
      <c r="F474" s="268"/>
      <c r="G474" s="270"/>
      <c r="H474" s="270"/>
      <c r="I474" s="299"/>
      <c r="J474" s="270"/>
      <c r="K474" s="271"/>
      <c r="L474" s="270"/>
      <c r="M474" s="242"/>
      <c r="N474" s="242"/>
      <c r="P474" s="245"/>
      <c r="Q474" s="277"/>
      <c r="R474" s="277"/>
      <c r="S474" s="277"/>
      <c r="T474" s="277"/>
      <c r="U474" s="277"/>
      <c r="V474" s="277"/>
      <c r="W474" s="273"/>
    </row>
    <row r="475" spans="2:23">
      <c r="B475" s="266"/>
      <c r="C475" s="266"/>
      <c r="D475" s="175"/>
      <c r="E475" s="267"/>
      <c r="F475" s="268"/>
      <c r="G475" s="270"/>
      <c r="H475" s="270"/>
      <c r="I475" s="299"/>
      <c r="J475" s="270"/>
      <c r="K475" s="271"/>
      <c r="L475" s="270"/>
      <c r="M475" s="242"/>
      <c r="N475" s="242"/>
      <c r="P475" s="245"/>
      <c r="Q475" s="277"/>
      <c r="R475" s="277"/>
      <c r="S475" s="277"/>
      <c r="T475" s="277"/>
      <c r="U475" s="277"/>
      <c r="V475" s="277"/>
      <c r="W475" s="273"/>
    </row>
    <row r="476" spans="2:23">
      <c r="B476" s="266"/>
      <c r="C476" s="266"/>
      <c r="D476" s="175"/>
      <c r="E476" s="267"/>
      <c r="F476" s="268"/>
      <c r="G476" s="270"/>
      <c r="H476" s="270"/>
      <c r="I476" s="299"/>
      <c r="J476" s="270"/>
      <c r="K476" s="271"/>
      <c r="L476" s="270"/>
      <c r="M476" s="242"/>
      <c r="N476" s="242"/>
      <c r="P476" s="245"/>
      <c r="Q476" s="277"/>
      <c r="R476" s="277"/>
      <c r="S476" s="277"/>
      <c r="T476" s="277"/>
      <c r="U476" s="277"/>
      <c r="V476" s="277"/>
      <c r="W476" s="273"/>
    </row>
    <row r="477" spans="2:23">
      <c r="B477" s="266"/>
      <c r="C477" s="266"/>
      <c r="D477" s="175"/>
      <c r="E477" s="267"/>
      <c r="F477" s="268"/>
      <c r="G477" s="270"/>
      <c r="H477" s="270"/>
      <c r="I477" s="299"/>
      <c r="J477" s="270"/>
      <c r="K477" s="271"/>
      <c r="L477" s="270"/>
      <c r="M477" s="242"/>
      <c r="N477" s="242"/>
      <c r="P477" s="245"/>
      <c r="Q477" s="277"/>
      <c r="R477" s="277"/>
      <c r="S477" s="277"/>
      <c r="T477" s="277"/>
      <c r="U477" s="277"/>
      <c r="V477" s="277"/>
      <c r="W477" s="273"/>
    </row>
    <row r="478" spans="2:23">
      <c r="B478" s="266"/>
      <c r="C478" s="266"/>
      <c r="D478" s="175"/>
      <c r="E478" s="267"/>
      <c r="F478" s="268"/>
      <c r="G478" s="270"/>
      <c r="H478" s="270"/>
      <c r="I478" s="299"/>
      <c r="J478" s="270"/>
      <c r="K478" s="271"/>
      <c r="L478" s="270"/>
      <c r="M478" s="242"/>
      <c r="N478" s="242"/>
      <c r="P478" s="245"/>
      <c r="Q478" s="277"/>
      <c r="R478" s="277"/>
      <c r="S478" s="277"/>
      <c r="T478" s="277"/>
      <c r="U478" s="277"/>
      <c r="V478" s="277"/>
      <c r="W478" s="273"/>
    </row>
    <row r="479" spans="2:23">
      <c r="B479" s="266"/>
      <c r="C479" s="266"/>
      <c r="D479" s="175"/>
      <c r="E479" s="267"/>
      <c r="F479" s="268"/>
      <c r="G479" s="270"/>
      <c r="H479" s="270"/>
      <c r="I479" s="299"/>
      <c r="J479" s="270"/>
      <c r="K479" s="271"/>
      <c r="L479" s="270"/>
      <c r="M479" s="242"/>
      <c r="N479" s="242"/>
      <c r="P479" s="245"/>
      <c r="Q479" s="277"/>
      <c r="R479" s="277"/>
      <c r="S479" s="277"/>
      <c r="T479" s="277"/>
      <c r="U479" s="277"/>
      <c r="V479" s="277"/>
      <c r="W479" s="273"/>
    </row>
    <row r="480" spans="2:23">
      <c r="B480" s="266"/>
      <c r="C480" s="266"/>
      <c r="D480" s="175"/>
      <c r="E480" s="267"/>
      <c r="F480" s="268"/>
      <c r="G480" s="270"/>
      <c r="H480" s="270"/>
      <c r="I480" s="299"/>
      <c r="J480" s="270"/>
      <c r="K480" s="271"/>
      <c r="L480" s="270"/>
      <c r="M480" s="242"/>
      <c r="N480" s="242"/>
      <c r="P480" s="245"/>
      <c r="Q480" s="277"/>
      <c r="R480" s="277"/>
      <c r="S480" s="277"/>
      <c r="T480" s="277"/>
      <c r="U480" s="277"/>
      <c r="V480" s="277"/>
      <c r="W480" s="273"/>
    </row>
    <row r="481" spans="2:23">
      <c r="B481" s="266"/>
      <c r="C481" s="266"/>
      <c r="D481" s="175"/>
      <c r="E481" s="267"/>
      <c r="F481" s="268"/>
      <c r="G481" s="270"/>
      <c r="H481" s="270"/>
      <c r="I481" s="299"/>
      <c r="J481" s="270"/>
      <c r="K481" s="271"/>
      <c r="L481" s="270"/>
      <c r="M481" s="242"/>
      <c r="N481" s="242"/>
      <c r="P481" s="245"/>
      <c r="Q481" s="277"/>
      <c r="R481" s="277"/>
      <c r="S481" s="277"/>
      <c r="T481" s="277"/>
      <c r="U481" s="277"/>
      <c r="V481" s="277"/>
      <c r="W481" s="273"/>
    </row>
    <row r="482" spans="2:23">
      <c r="B482" s="266"/>
      <c r="C482" s="266"/>
      <c r="D482" s="175"/>
      <c r="E482" s="267"/>
      <c r="F482" s="268"/>
      <c r="G482" s="270"/>
      <c r="H482" s="270"/>
      <c r="I482" s="299"/>
      <c r="J482" s="270"/>
      <c r="K482" s="271"/>
      <c r="L482" s="270"/>
      <c r="M482" s="242"/>
      <c r="N482" s="242"/>
      <c r="P482" s="245"/>
      <c r="Q482" s="277"/>
      <c r="R482" s="277"/>
      <c r="S482" s="277"/>
      <c r="T482" s="277"/>
      <c r="U482" s="277"/>
      <c r="V482" s="277"/>
      <c r="W482" s="273"/>
    </row>
    <row r="483" spans="2:23">
      <c r="B483" s="266"/>
      <c r="C483" s="266"/>
      <c r="D483" s="175"/>
      <c r="E483" s="267"/>
      <c r="F483" s="268"/>
      <c r="G483" s="270"/>
      <c r="H483" s="270"/>
      <c r="I483" s="299"/>
      <c r="J483" s="270"/>
      <c r="K483" s="271"/>
      <c r="L483" s="270"/>
      <c r="M483" s="242"/>
      <c r="N483" s="242"/>
      <c r="P483" s="245"/>
      <c r="Q483" s="277"/>
      <c r="R483" s="277"/>
      <c r="S483" s="277"/>
      <c r="T483" s="277"/>
      <c r="U483" s="277"/>
      <c r="V483" s="277"/>
      <c r="W483" s="273"/>
    </row>
    <row r="484" spans="2:23">
      <c r="B484" s="266"/>
      <c r="C484" s="266"/>
      <c r="D484" s="175"/>
      <c r="E484" s="267"/>
      <c r="F484" s="268"/>
      <c r="G484" s="270"/>
      <c r="H484" s="270"/>
      <c r="I484" s="299"/>
      <c r="J484" s="270"/>
      <c r="K484" s="271"/>
      <c r="L484" s="270"/>
      <c r="M484" s="242"/>
      <c r="N484" s="242"/>
      <c r="P484" s="245"/>
      <c r="Q484" s="277"/>
      <c r="R484" s="277"/>
      <c r="S484" s="277"/>
      <c r="T484" s="277"/>
      <c r="U484" s="277"/>
      <c r="V484" s="277"/>
      <c r="W484" s="273"/>
    </row>
    <row r="485" spans="2:23">
      <c r="B485" s="266"/>
      <c r="C485" s="266"/>
      <c r="D485" s="175"/>
      <c r="E485" s="267"/>
      <c r="F485" s="268"/>
      <c r="G485" s="270"/>
      <c r="H485" s="270"/>
      <c r="I485" s="299"/>
      <c r="J485" s="270"/>
      <c r="K485" s="271"/>
      <c r="L485" s="270"/>
      <c r="M485" s="242"/>
      <c r="N485" s="242"/>
      <c r="P485" s="245"/>
      <c r="Q485" s="277"/>
      <c r="R485" s="277"/>
      <c r="S485" s="277"/>
      <c r="T485" s="277"/>
      <c r="U485" s="277"/>
      <c r="V485" s="277"/>
      <c r="W485" s="273"/>
    </row>
    <row r="486" spans="2:23">
      <c r="B486" s="266"/>
      <c r="C486" s="266"/>
      <c r="D486" s="175"/>
      <c r="E486" s="267"/>
      <c r="F486" s="268"/>
      <c r="G486" s="270"/>
      <c r="H486" s="270"/>
      <c r="I486" s="299"/>
      <c r="J486" s="270"/>
      <c r="K486" s="271"/>
      <c r="L486" s="270"/>
      <c r="M486" s="242"/>
      <c r="N486" s="242"/>
      <c r="P486" s="245"/>
      <c r="Q486" s="277"/>
      <c r="R486" s="277"/>
      <c r="S486" s="277"/>
      <c r="T486" s="277"/>
      <c r="U486" s="277"/>
      <c r="V486" s="277"/>
      <c r="W486" s="273"/>
    </row>
    <row r="487" spans="2:23">
      <c r="B487" s="266"/>
      <c r="C487" s="266"/>
      <c r="D487" s="175"/>
      <c r="E487" s="267"/>
      <c r="F487" s="268"/>
      <c r="G487" s="270"/>
      <c r="H487" s="270"/>
      <c r="I487" s="299"/>
      <c r="J487" s="270"/>
      <c r="K487" s="271"/>
      <c r="L487" s="270"/>
      <c r="M487" s="242"/>
      <c r="N487" s="242"/>
      <c r="P487" s="245"/>
      <c r="Q487" s="277"/>
      <c r="R487" s="277"/>
      <c r="S487" s="277"/>
      <c r="T487" s="277"/>
      <c r="U487" s="277"/>
      <c r="V487" s="277"/>
      <c r="W487" s="273"/>
    </row>
    <row r="488" spans="2:23">
      <c r="B488" s="266"/>
      <c r="C488" s="266"/>
      <c r="D488" s="175"/>
      <c r="E488" s="267"/>
      <c r="F488" s="268"/>
      <c r="G488" s="270"/>
      <c r="H488" s="270"/>
      <c r="I488" s="299"/>
      <c r="J488" s="270"/>
      <c r="K488" s="271"/>
      <c r="L488" s="270"/>
      <c r="M488" s="242"/>
      <c r="N488" s="242"/>
      <c r="P488" s="245"/>
      <c r="Q488" s="277"/>
      <c r="R488" s="277"/>
      <c r="S488" s="277"/>
      <c r="T488" s="277"/>
      <c r="U488" s="277"/>
      <c r="V488" s="277"/>
      <c r="W488" s="273"/>
    </row>
    <row r="489" spans="2:23">
      <c r="B489" s="266"/>
      <c r="C489" s="266"/>
      <c r="D489" s="175"/>
      <c r="E489" s="267"/>
      <c r="F489" s="268"/>
      <c r="G489" s="270"/>
      <c r="H489" s="270"/>
      <c r="I489" s="299"/>
      <c r="J489" s="270"/>
      <c r="K489" s="271"/>
      <c r="L489" s="270"/>
      <c r="M489" s="242"/>
      <c r="N489" s="242"/>
      <c r="P489" s="245"/>
      <c r="Q489" s="277"/>
      <c r="R489" s="277"/>
      <c r="S489" s="277"/>
      <c r="T489" s="277"/>
      <c r="U489" s="277"/>
      <c r="V489" s="277"/>
      <c r="W489" s="273"/>
    </row>
    <row r="490" spans="2:23">
      <c r="B490" s="266"/>
      <c r="C490" s="266"/>
      <c r="D490" s="175"/>
      <c r="E490" s="267"/>
      <c r="F490" s="268"/>
      <c r="G490" s="270"/>
      <c r="H490" s="270"/>
      <c r="I490" s="299"/>
      <c r="J490" s="270"/>
      <c r="K490" s="271"/>
      <c r="L490" s="270"/>
      <c r="M490" s="242"/>
      <c r="N490" s="242"/>
      <c r="P490" s="245"/>
      <c r="Q490" s="277"/>
      <c r="R490" s="277"/>
      <c r="S490" s="277"/>
      <c r="T490" s="277"/>
      <c r="U490" s="277"/>
      <c r="V490" s="277"/>
      <c r="W490" s="273"/>
    </row>
    <row r="491" spans="2:23">
      <c r="B491" s="266"/>
      <c r="C491" s="266"/>
      <c r="D491" s="175"/>
      <c r="E491" s="267"/>
      <c r="F491" s="268"/>
      <c r="G491" s="270"/>
      <c r="H491" s="270"/>
      <c r="I491" s="299"/>
      <c r="J491" s="270"/>
      <c r="K491" s="271"/>
      <c r="L491" s="270"/>
      <c r="M491" s="242"/>
      <c r="N491" s="242"/>
      <c r="P491" s="245"/>
      <c r="Q491" s="277"/>
      <c r="R491" s="277"/>
      <c r="S491" s="277"/>
      <c r="T491" s="277"/>
      <c r="U491" s="277"/>
      <c r="V491" s="277"/>
      <c r="W491" s="273"/>
    </row>
    <row r="492" spans="2:23">
      <c r="B492" s="266"/>
      <c r="C492" s="266"/>
      <c r="D492" s="175"/>
      <c r="E492" s="267"/>
      <c r="F492" s="268"/>
      <c r="G492" s="270"/>
      <c r="H492" s="270"/>
      <c r="I492" s="299"/>
      <c r="J492" s="270"/>
      <c r="K492" s="271"/>
      <c r="L492" s="270"/>
      <c r="M492" s="242"/>
      <c r="N492" s="242"/>
      <c r="P492" s="245"/>
      <c r="Q492" s="277"/>
      <c r="R492" s="277"/>
      <c r="S492" s="277"/>
      <c r="T492" s="277"/>
      <c r="U492" s="277"/>
      <c r="V492" s="277"/>
      <c r="W492" s="273"/>
    </row>
    <row r="493" spans="2:23">
      <c r="B493" s="266"/>
      <c r="C493" s="266"/>
      <c r="D493" s="175"/>
      <c r="E493" s="267"/>
      <c r="F493" s="268"/>
      <c r="G493" s="270"/>
      <c r="H493" s="270"/>
      <c r="I493" s="299"/>
      <c r="J493" s="270"/>
      <c r="K493" s="271"/>
      <c r="L493" s="270"/>
      <c r="M493" s="242"/>
      <c r="N493" s="242"/>
      <c r="P493" s="245"/>
      <c r="Q493" s="277"/>
      <c r="R493" s="277"/>
      <c r="S493" s="277"/>
      <c r="T493" s="277"/>
      <c r="U493" s="277"/>
      <c r="V493" s="277"/>
      <c r="W493" s="273"/>
    </row>
    <row r="494" spans="2:23">
      <c r="B494" s="266"/>
      <c r="C494" s="266"/>
      <c r="D494" s="175"/>
      <c r="E494" s="267"/>
      <c r="F494" s="268"/>
      <c r="G494" s="270"/>
      <c r="H494" s="270"/>
      <c r="I494" s="299"/>
      <c r="J494" s="270"/>
      <c r="K494" s="271"/>
      <c r="L494" s="270"/>
      <c r="M494" s="242"/>
      <c r="N494" s="242"/>
      <c r="P494" s="245"/>
      <c r="Q494" s="277"/>
      <c r="R494" s="277"/>
      <c r="S494" s="277"/>
      <c r="T494" s="277"/>
      <c r="U494" s="277"/>
      <c r="V494" s="277"/>
      <c r="W494" s="273"/>
    </row>
    <row r="495" spans="2:23">
      <c r="B495" s="266"/>
      <c r="C495" s="266"/>
      <c r="D495" s="175"/>
      <c r="E495" s="267"/>
      <c r="F495" s="268"/>
      <c r="G495" s="270"/>
      <c r="H495" s="270"/>
      <c r="I495" s="299"/>
      <c r="J495" s="270"/>
      <c r="K495" s="271"/>
      <c r="L495" s="270"/>
      <c r="M495" s="242"/>
      <c r="N495" s="242"/>
      <c r="P495" s="245"/>
      <c r="Q495" s="277"/>
      <c r="R495" s="277"/>
      <c r="S495" s="277"/>
      <c r="T495" s="277"/>
      <c r="U495" s="277"/>
      <c r="V495" s="277"/>
      <c r="W495" s="273"/>
    </row>
    <row r="496" spans="2:23">
      <c r="B496" s="266"/>
      <c r="C496" s="266"/>
      <c r="D496" s="175"/>
      <c r="E496" s="267"/>
      <c r="F496" s="268"/>
      <c r="G496" s="270"/>
      <c r="H496" s="270"/>
      <c r="I496" s="299"/>
      <c r="J496" s="270"/>
      <c r="K496" s="271"/>
      <c r="L496" s="270"/>
      <c r="M496" s="242"/>
      <c r="N496" s="242"/>
      <c r="P496" s="245"/>
      <c r="Q496" s="277"/>
      <c r="R496" s="277"/>
      <c r="S496" s="277"/>
      <c r="T496" s="277"/>
      <c r="U496" s="277"/>
      <c r="V496" s="277"/>
      <c r="W496" s="273"/>
    </row>
    <row r="497" spans="2:23">
      <c r="B497" s="266"/>
      <c r="C497" s="266"/>
      <c r="D497" s="175"/>
      <c r="E497" s="267"/>
      <c r="F497" s="268"/>
      <c r="G497" s="270"/>
      <c r="H497" s="270"/>
      <c r="I497" s="299"/>
      <c r="J497" s="270"/>
      <c r="K497" s="271"/>
      <c r="L497" s="270"/>
      <c r="M497" s="242"/>
      <c r="N497" s="242"/>
      <c r="P497" s="245"/>
      <c r="Q497" s="277"/>
      <c r="R497" s="277"/>
      <c r="S497" s="277"/>
      <c r="T497" s="277"/>
      <c r="U497" s="277"/>
      <c r="V497" s="277"/>
      <c r="W497" s="273"/>
    </row>
    <row r="498" spans="2:23">
      <c r="B498" s="266"/>
      <c r="C498" s="266"/>
      <c r="D498" s="175"/>
      <c r="E498" s="267"/>
      <c r="F498" s="268"/>
      <c r="G498" s="270"/>
      <c r="H498" s="270"/>
      <c r="I498" s="299"/>
      <c r="J498" s="270"/>
      <c r="K498" s="271"/>
      <c r="L498" s="270"/>
      <c r="M498" s="242"/>
      <c r="N498" s="242"/>
      <c r="P498" s="245"/>
      <c r="Q498" s="277"/>
      <c r="R498" s="277"/>
      <c r="S498" s="277"/>
      <c r="T498" s="277"/>
      <c r="U498" s="277"/>
      <c r="V498" s="277"/>
      <c r="W498" s="273"/>
    </row>
    <row r="499" spans="2:23">
      <c r="B499" s="266"/>
      <c r="C499" s="266"/>
      <c r="D499" s="175"/>
      <c r="E499" s="267"/>
      <c r="F499" s="268"/>
      <c r="G499" s="270"/>
      <c r="H499" s="270"/>
      <c r="I499" s="299"/>
      <c r="J499" s="270"/>
      <c r="K499" s="271"/>
      <c r="L499" s="270"/>
      <c r="M499" s="242"/>
      <c r="N499" s="242"/>
      <c r="P499" s="245"/>
      <c r="Q499" s="277"/>
      <c r="R499" s="277"/>
      <c r="S499" s="277"/>
      <c r="T499" s="277"/>
      <c r="U499" s="277"/>
      <c r="V499" s="277"/>
      <c r="W499" s="273"/>
    </row>
    <row r="500" spans="2:23">
      <c r="B500" s="266"/>
      <c r="C500" s="266"/>
      <c r="D500" s="175"/>
      <c r="E500" s="267"/>
      <c r="F500" s="268"/>
      <c r="G500" s="270"/>
      <c r="H500" s="270"/>
      <c r="I500" s="299"/>
      <c r="J500" s="270"/>
      <c r="K500" s="271"/>
      <c r="L500" s="270"/>
      <c r="M500" s="242"/>
      <c r="N500" s="242"/>
      <c r="P500" s="245"/>
      <c r="Q500" s="277"/>
      <c r="R500" s="277"/>
      <c r="S500" s="277"/>
      <c r="T500" s="277"/>
      <c r="U500" s="277"/>
      <c r="V500" s="277"/>
      <c r="W500" s="273"/>
    </row>
    <row r="501" spans="2:23">
      <c r="B501" s="266"/>
      <c r="C501" s="266"/>
      <c r="D501" s="175"/>
      <c r="E501" s="267"/>
      <c r="F501" s="268"/>
      <c r="G501" s="270"/>
      <c r="H501" s="270"/>
      <c r="I501" s="299"/>
      <c r="J501" s="270"/>
      <c r="K501" s="271"/>
      <c r="L501" s="270"/>
      <c r="M501" s="242"/>
      <c r="N501" s="242"/>
      <c r="P501" s="245"/>
      <c r="Q501" s="277"/>
      <c r="R501" s="277"/>
      <c r="S501" s="277"/>
      <c r="T501" s="277"/>
      <c r="U501" s="277"/>
      <c r="V501" s="277"/>
      <c r="W501" s="273"/>
    </row>
    <row r="502" spans="2:23">
      <c r="B502" s="266"/>
      <c r="C502" s="266"/>
      <c r="D502" s="175"/>
      <c r="E502" s="267"/>
      <c r="F502" s="268"/>
      <c r="G502" s="270"/>
      <c r="H502" s="270"/>
      <c r="I502" s="299"/>
      <c r="J502" s="270"/>
      <c r="K502" s="271"/>
      <c r="L502" s="270"/>
      <c r="M502" s="242"/>
      <c r="N502" s="242"/>
      <c r="P502" s="245"/>
      <c r="Q502" s="277"/>
      <c r="R502" s="277"/>
      <c r="S502" s="277"/>
      <c r="T502" s="277"/>
      <c r="U502" s="277"/>
      <c r="V502" s="277"/>
      <c r="W502" s="273"/>
    </row>
    <row r="503" spans="2:23">
      <c r="B503" s="266"/>
      <c r="C503" s="266"/>
      <c r="D503" s="175"/>
      <c r="E503" s="267"/>
      <c r="F503" s="268"/>
      <c r="G503" s="270"/>
      <c r="H503" s="270"/>
      <c r="I503" s="299"/>
      <c r="J503" s="270"/>
      <c r="K503" s="271"/>
      <c r="L503" s="270"/>
      <c r="M503" s="242"/>
      <c r="N503" s="242"/>
      <c r="P503" s="245"/>
      <c r="Q503" s="277"/>
      <c r="R503" s="277"/>
      <c r="S503" s="277"/>
      <c r="T503" s="277"/>
      <c r="U503" s="277"/>
      <c r="V503" s="277"/>
      <c r="W503" s="273"/>
    </row>
    <row r="504" spans="2:23">
      <c r="B504" s="266"/>
      <c r="C504" s="266"/>
      <c r="D504" s="175"/>
      <c r="E504" s="267"/>
      <c r="F504" s="268"/>
      <c r="G504" s="270"/>
      <c r="H504" s="270"/>
      <c r="I504" s="299"/>
      <c r="J504" s="270"/>
      <c r="K504" s="271"/>
      <c r="L504" s="270"/>
      <c r="M504" s="242"/>
      <c r="N504" s="242"/>
      <c r="P504" s="245"/>
      <c r="Q504" s="277"/>
      <c r="R504" s="277"/>
      <c r="S504" s="277"/>
      <c r="T504" s="277"/>
      <c r="U504" s="277"/>
      <c r="V504" s="277"/>
      <c r="W504" s="273"/>
    </row>
    <row r="505" spans="2:23">
      <c r="B505" s="266"/>
      <c r="C505" s="266"/>
      <c r="D505" s="175"/>
      <c r="E505" s="267"/>
      <c r="F505" s="268"/>
      <c r="G505" s="270"/>
      <c r="H505" s="270"/>
      <c r="I505" s="299"/>
      <c r="J505" s="270"/>
      <c r="K505" s="271"/>
      <c r="L505" s="270"/>
      <c r="M505" s="242"/>
      <c r="N505" s="242"/>
      <c r="P505" s="245"/>
      <c r="Q505" s="277"/>
      <c r="R505" s="277"/>
      <c r="S505" s="277"/>
      <c r="T505" s="277"/>
      <c r="U505" s="277"/>
      <c r="V505" s="277"/>
      <c r="W505" s="273"/>
    </row>
    <row r="506" spans="2:23">
      <c r="B506" s="266"/>
      <c r="C506" s="266"/>
      <c r="D506" s="175"/>
      <c r="E506" s="267"/>
      <c r="F506" s="268"/>
      <c r="G506" s="270"/>
      <c r="H506" s="270"/>
      <c r="I506" s="299"/>
      <c r="J506" s="270"/>
      <c r="K506" s="271"/>
      <c r="L506" s="270"/>
      <c r="M506" s="242"/>
      <c r="N506" s="242"/>
      <c r="P506" s="245"/>
      <c r="Q506" s="277"/>
      <c r="R506" s="277"/>
      <c r="S506" s="277"/>
      <c r="T506" s="277"/>
      <c r="U506" s="277"/>
      <c r="V506" s="277"/>
      <c r="W506" s="273"/>
    </row>
    <row r="507" spans="2:23">
      <c r="B507" s="266"/>
      <c r="C507" s="266"/>
      <c r="D507" s="175"/>
      <c r="E507" s="267"/>
      <c r="F507" s="268"/>
      <c r="G507" s="270"/>
      <c r="H507" s="270"/>
      <c r="I507" s="299"/>
      <c r="J507" s="270"/>
      <c r="K507" s="271"/>
      <c r="L507" s="270"/>
      <c r="M507" s="242"/>
      <c r="N507" s="242"/>
      <c r="P507" s="245"/>
      <c r="Q507" s="277"/>
      <c r="R507" s="277"/>
      <c r="S507" s="277"/>
      <c r="T507" s="277"/>
      <c r="U507" s="277"/>
      <c r="V507" s="277"/>
      <c r="W507" s="273"/>
    </row>
    <row r="508" spans="2:23">
      <c r="B508" s="266"/>
      <c r="C508" s="266"/>
      <c r="D508" s="175"/>
      <c r="E508" s="267"/>
      <c r="F508" s="268"/>
      <c r="G508" s="270"/>
      <c r="H508" s="270"/>
      <c r="I508" s="299"/>
      <c r="J508" s="270"/>
      <c r="K508" s="271"/>
      <c r="L508" s="270"/>
      <c r="M508" s="242"/>
      <c r="N508" s="242"/>
      <c r="P508" s="245"/>
      <c r="Q508" s="277"/>
      <c r="R508" s="277"/>
      <c r="S508" s="277"/>
      <c r="T508" s="277"/>
      <c r="U508" s="277"/>
      <c r="V508" s="277"/>
      <c r="W508" s="273"/>
    </row>
    <row r="509" spans="2:23">
      <c r="B509" s="266"/>
      <c r="C509" s="266"/>
      <c r="D509" s="175"/>
      <c r="E509" s="267"/>
      <c r="F509" s="268"/>
      <c r="G509" s="270"/>
      <c r="H509" s="270"/>
      <c r="I509" s="299"/>
      <c r="J509" s="270"/>
      <c r="K509" s="271"/>
      <c r="L509" s="270"/>
      <c r="M509" s="242"/>
      <c r="N509" s="242"/>
      <c r="P509" s="245"/>
      <c r="Q509" s="277"/>
      <c r="R509" s="277"/>
      <c r="S509" s="277"/>
      <c r="T509" s="277"/>
      <c r="U509" s="277"/>
      <c r="V509" s="277"/>
      <c r="W509" s="273"/>
    </row>
    <row r="510" spans="2:23">
      <c r="B510" s="266"/>
      <c r="C510" s="266"/>
      <c r="D510" s="175"/>
      <c r="E510" s="267"/>
      <c r="F510" s="268"/>
      <c r="G510" s="270"/>
      <c r="H510" s="270"/>
      <c r="I510" s="299"/>
      <c r="J510" s="270"/>
      <c r="K510" s="271"/>
      <c r="L510" s="270"/>
      <c r="M510" s="242"/>
      <c r="N510" s="242"/>
      <c r="P510" s="245"/>
      <c r="Q510" s="277"/>
      <c r="R510" s="277"/>
      <c r="S510" s="277"/>
      <c r="T510" s="277"/>
      <c r="U510" s="277"/>
      <c r="V510" s="277"/>
      <c r="W510" s="273"/>
    </row>
    <row r="511" spans="2:23">
      <c r="B511" s="266"/>
      <c r="C511" s="266"/>
      <c r="D511" s="175"/>
      <c r="E511" s="267"/>
      <c r="F511" s="268"/>
      <c r="G511" s="270"/>
      <c r="H511" s="270"/>
      <c r="I511" s="299"/>
      <c r="J511" s="270"/>
      <c r="K511" s="271"/>
      <c r="L511" s="270"/>
      <c r="M511" s="242"/>
      <c r="N511" s="242"/>
      <c r="P511" s="245"/>
      <c r="Q511" s="277"/>
      <c r="R511" s="277"/>
      <c r="S511" s="277"/>
      <c r="T511" s="277"/>
      <c r="U511" s="277"/>
      <c r="V511" s="277"/>
      <c r="W511" s="273"/>
    </row>
    <row r="512" spans="2:23">
      <c r="B512" s="266"/>
      <c r="C512" s="266"/>
      <c r="D512" s="175"/>
      <c r="E512" s="267"/>
      <c r="F512" s="268"/>
      <c r="G512" s="270"/>
      <c r="H512" s="270"/>
      <c r="I512" s="299"/>
      <c r="J512" s="270"/>
      <c r="K512" s="271"/>
      <c r="L512" s="270"/>
      <c r="M512" s="242"/>
      <c r="N512" s="242"/>
      <c r="P512" s="245"/>
      <c r="Q512" s="277"/>
      <c r="R512" s="277"/>
      <c r="S512" s="277"/>
      <c r="T512" s="277"/>
      <c r="U512" s="277"/>
      <c r="V512" s="277"/>
      <c r="W512" s="273"/>
    </row>
    <row r="513" spans="2:23">
      <c r="B513" s="266"/>
      <c r="C513" s="266"/>
      <c r="D513" s="175"/>
      <c r="E513" s="267"/>
      <c r="F513" s="268"/>
      <c r="G513" s="270"/>
      <c r="H513" s="270"/>
      <c r="I513" s="299"/>
      <c r="J513" s="270"/>
      <c r="K513" s="271"/>
      <c r="L513" s="270"/>
      <c r="M513" s="242"/>
      <c r="N513" s="242"/>
      <c r="P513" s="245"/>
      <c r="Q513" s="277"/>
      <c r="R513" s="277"/>
      <c r="S513" s="277"/>
      <c r="T513" s="277"/>
      <c r="U513" s="277"/>
      <c r="V513" s="277"/>
      <c r="W513" s="273"/>
    </row>
    <row r="514" spans="2:23">
      <c r="B514" s="266"/>
      <c r="C514" s="266"/>
      <c r="D514" s="175"/>
      <c r="E514" s="267"/>
      <c r="F514" s="268"/>
      <c r="G514" s="270"/>
      <c r="H514" s="270"/>
      <c r="I514" s="299"/>
      <c r="J514" s="270"/>
      <c r="K514" s="271"/>
      <c r="L514" s="270"/>
      <c r="M514" s="242"/>
      <c r="N514" s="242"/>
      <c r="P514" s="245"/>
      <c r="Q514" s="277"/>
      <c r="R514" s="277"/>
      <c r="S514" s="277"/>
      <c r="T514" s="277"/>
      <c r="U514" s="277"/>
      <c r="V514" s="277"/>
      <c r="W514" s="273"/>
    </row>
    <row r="515" spans="2:23">
      <c r="B515" s="266"/>
      <c r="C515" s="266"/>
      <c r="D515" s="175"/>
      <c r="E515" s="267"/>
      <c r="F515" s="268"/>
      <c r="G515" s="270"/>
      <c r="H515" s="270"/>
      <c r="I515" s="299"/>
      <c r="J515" s="270"/>
      <c r="K515" s="271"/>
      <c r="L515" s="270"/>
      <c r="M515" s="242"/>
      <c r="N515" s="242"/>
      <c r="P515" s="245"/>
      <c r="Q515" s="277"/>
      <c r="R515" s="277"/>
      <c r="S515" s="277"/>
      <c r="T515" s="277"/>
      <c r="U515" s="277"/>
      <c r="V515" s="277"/>
      <c r="W515" s="273"/>
    </row>
    <row r="516" spans="2:23">
      <c r="B516" s="266"/>
      <c r="C516" s="266"/>
      <c r="D516" s="175"/>
      <c r="E516" s="267"/>
      <c r="F516" s="268"/>
      <c r="G516" s="270"/>
      <c r="H516" s="270"/>
      <c r="I516" s="299"/>
      <c r="J516" s="270"/>
      <c r="K516" s="271"/>
      <c r="L516" s="270"/>
      <c r="M516" s="242"/>
      <c r="N516" s="242"/>
      <c r="P516" s="245"/>
      <c r="Q516" s="277"/>
      <c r="R516" s="277"/>
      <c r="S516" s="277"/>
      <c r="T516" s="277"/>
      <c r="U516" s="277"/>
      <c r="V516" s="277"/>
      <c r="W516" s="273"/>
    </row>
    <row r="517" spans="2:23">
      <c r="B517" s="266"/>
      <c r="C517" s="266"/>
      <c r="D517" s="175"/>
      <c r="E517" s="267"/>
      <c r="F517" s="268"/>
      <c r="G517" s="270"/>
      <c r="H517" s="270"/>
      <c r="I517" s="299"/>
      <c r="J517" s="270"/>
      <c r="K517" s="271"/>
      <c r="L517" s="270"/>
      <c r="M517" s="242"/>
      <c r="N517" s="242"/>
      <c r="P517" s="245"/>
      <c r="Q517" s="277"/>
      <c r="R517" s="277"/>
      <c r="S517" s="277"/>
      <c r="T517" s="277"/>
      <c r="U517" s="277"/>
      <c r="V517" s="277"/>
      <c r="W517" s="273"/>
    </row>
    <row r="518" spans="2:23">
      <c r="B518" s="266"/>
      <c r="C518" s="266"/>
      <c r="D518" s="175"/>
      <c r="E518" s="267"/>
      <c r="F518" s="268"/>
      <c r="G518" s="270"/>
      <c r="H518" s="270"/>
      <c r="I518" s="299"/>
      <c r="J518" s="270"/>
      <c r="K518" s="271"/>
      <c r="L518" s="270"/>
      <c r="M518" s="242"/>
      <c r="N518" s="242"/>
      <c r="P518" s="245"/>
      <c r="Q518" s="277"/>
      <c r="R518" s="277"/>
      <c r="S518" s="277"/>
      <c r="T518" s="277"/>
      <c r="U518" s="277"/>
      <c r="V518" s="277"/>
      <c r="W518" s="273"/>
    </row>
    <row r="519" spans="2:23">
      <c r="B519" s="266"/>
      <c r="C519" s="266"/>
      <c r="D519" s="175"/>
      <c r="E519" s="267"/>
      <c r="F519" s="268"/>
      <c r="G519" s="270"/>
      <c r="H519" s="270"/>
      <c r="I519" s="299"/>
      <c r="J519" s="270"/>
      <c r="K519" s="271"/>
      <c r="L519" s="270"/>
      <c r="M519" s="242"/>
      <c r="N519" s="242"/>
      <c r="P519" s="245"/>
      <c r="Q519" s="277"/>
      <c r="R519" s="277"/>
      <c r="S519" s="277"/>
      <c r="T519" s="277"/>
      <c r="U519" s="277"/>
      <c r="V519" s="277"/>
      <c r="W519" s="273"/>
    </row>
    <row r="520" spans="2:23">
      <c r="B520" s="266"/>
      <c r="C520" s="266"/>
      <c r="D520" s="175"/>
      <c r="E520" s="267"/>
      <c r="F520" s="268"/>
      <c r="G520" s="270"/>
      <c r="H520" s="270"/>
      <c r="I520" s="299"/>
      <c r="J520" s="270"/>
      <c r="K520" s="271"/>
      <c r="L520" s="270"/>
      <c r="M520" s="242"/>
      <c r="N520" s="242"/>
      <c r="P520" s="245"/>
      <c r="Q520" s="277"/>
      <c r="R520" s="277"/>
      <c r="S520" s="277"/>
      <c r="T520" s="277"/>
      <c r="U520" s="277"/>
      <c r="V520" s="277"/>
      <c r="W520" s="273"/>
    </row>
    <row r="521" spans="2:23">
      <c r="B521" s="266"/>
      <c r="C521" s="266"/>
      <c r="D521" s="175"/>
      <c r="E521" s="267"/>
      <c r="F521" s="268"/>
      <c r="G521" s="270"/>
      <c r="H521" s="270"/>
      <c r="I521" s="299"/>
      <c r="J521" s="270"/>
      <c r="K521" s="271"/>
      <c r="L521" s="270"/>
      <c r="M521" s="242"/>
      <c r="N521" s="242"/>
      <c r="P521" s="245"/>
      <c r="Q521" s="277"/>
      <c r="R521" s="277"/>
      <c r="S521" s="277"/>
      <c r="T521" s="277"/>
      <c r="U521" s="277"/>
      <c r="V521" s="277"/>
      <c r="W521" s="273"/>
    </row>
    <row r="522" spans="2:23">
      <c r="B522" s="266"/>
      <c r="C522" s="266"/>
      <c r="D522" s="175"/>
      <c r="E522" s="267"/>
      <c r="F522" s="268"/>
      <c r="G522" s="270"/>
      <c r="H522" s="270"/>
      <c r="I522" s="299"/>
      <c r="J522" s="270"/>
      <c r="K522" s="271"/>
      <c r="L522" s="270"/>
      <c r="M522" s="242"/>
      <c r="N522" s="242"/>
      <c r="P522" s="245"/>
      <c r="Q522" s="277"/>
      <c r="R522" s="277"/>
      <c r="S522" s="277"/>
      <c r="T522" s="277"/>
      <c r="U522" s="277"/>
      <c r="V522" s="277"/>
      <c r="W522" s="273"/>
    </row>
    <row r="523" spans="2:23">
      <c r="B523" s="266"/>
      <c r="C523" s="266"/>
      <c r="D523" s="175"/>
      <c r="E523" s="267"/>
      <c r="F523" s="268"/>
      <c r="G523" s="270"/>
      <c r="H523" s="270"/>
      <c r="I523" s="299"/>
      <c r="J523" s="270"/>
      <c r="K523" s="271"/>
      <c r="L523" s="270"/>
      <c r="M523" s="242"/>
      <c r="N523" s="242"/>
      <c r="P523" s="245"/>
      <c r="Q523" s="277"/>
      <c r="R523" s="277"/>
      <c r="S523" s="277"/>
      <c r="T523" s="277"/>
      <c r="U523" s="277"/>
      <c r="V523" s="277"/>
      <c r="W523" s="273"/>
    </row>
    <row r="524" spans="2:23">
      <c r="B524" s="266"/>
      <c r="C524" s="266"/>
      <c r="D524" s="175"/>
      <c r="E524" s="267"/>
      <c r="F524" s="268"/>
      <c r="G524" s="270"/>
      <c r="H524" s="270"/>
      <c r="I524" s="299"/>
      <c r="J524" s="270"/>
      <c r="K524" s="271"/>
      <c r="L524" s="270"/>
      <c r="M524" s="242"/>
      <c r="N524" s="242"/>
      <c r="P524" s="245"/>
      <c r="Q524" s="277"/>
      <c r="R524" s="277"/>
      <c r="S524" s="277"/>
      <c r="T524" s="277"/>
      <c r="U524" s="277"/>
      <c r="V524" s="277"/>
      <c r="W524" s="273"/>
    </row>
    <row r="525" spans="2:23">
      <c r="B525" s="266"/>
      <c r="C525" s="266"/>
      <c r="D525" s="175"/>
      <c r="E525" s="267"/>
      <c r="F525" s="268"/>
      <c r="G525" s="270"/>
      <c r="H525" s="270"/>
      <c r="I525" s="299"/>
      <c r="J525" s="270"/>
      <c r="K525" s="271"/>
      <c r="L525" s="270"/>
      <c r="M525" s="242"/>
      <c r="N525" s="242"/>
      <c r="P525" s="245"/>
      <c r="Q525" s="277"/>
      <c r="R525" s="277"/>
      <c r="S525" s="277"/>
      <c r="T525" s="277"/>
      <c r="U525" s="277"/>
      <c r="V525" s="277"/>
      <c r="W525" s="273"/>
    </row>
    <row r="526" spans="2:23">
      <c r="B526" s="266"/>
      <c r="C526" s="266"/>
      <c r="D526" s="175"/>
      <c r="E526" s="267"/>
      <c r="F526" s="268"/>
      <c r="G526" s="270"/>
      <c r="H526" s="270"/>
      <c r="I526" s="299"/>
      <c r="J526" s="270"/>
      <c r="K526" s="271"/>
      <c r="L526" s="270"/>
      <c r="M526" s="242"/>
      <c r="N526" s="242"/>
      <c r="P526" s="245"/>
      <c r="Q526" s="277"/>
      <c r="R526" s="277"/>
      <c r="S526" s="277"/>
      <c r="T526" s="277"/>
      <c r="U526" s="277"/>
      <c r="V526" s="277"/>
      <c r="W526" s="273"/>
    </row>
    <row r="527" spans="2:23">
      <c r="B527" s="266"/>
      <c r="C527" s="266"/>
      <c r="D527" s="175"/>
      <c r="E527" s="267"/>
      <c r="F527" s="268"/>
      <c r="G527" s="270"/>
      <c r="H527" s="270"/>
      <c r="I527" s="299"/>
      <c r="J527" s="270"/>
      <c r="K527" s="271"/>
      <c r="L527" s="270"/>
      <c r="M527" s="242"/>
      <c r="N527" s="242"/>
      <c r="P527" s="245"/>
      <c r="Q527" s="277"/>
      <c r="R527" s="277"/>
      <c r="S527" s="277"/>
      <c r="T527" s="277"/>
      <c r="U527" s="277"/>
      <c r="V527" s="277"/>
      <c r="W527" s="273"/>
    </row>
    <row r="528" spans="2:23">
      <c r="B528" s="266"/>
      <c r="C528" s="266"/>
      <c r="D528" s="175"/>
      <c r="E528" s="267"/>
      <c r="F528" s="268"/>
      <c r="G528" s="270"/>
      <c r="H528" s="270"/>
      <c r="I528" s="299"/>
      <c r="J528" s="270"/>
      <c r="K528" s="271"/>
      <c r="L528" s="270"/>
      <c r="M528" s="242"/>
      <c r="N528" s="242"/>
      <c r="P528" s="245"/>
      <c r="Q528" s="277"/>
      <c r="R528" s="277"/>
      <c r="S528" s="277"/>
      <c r="T528" s="277"/>
      <c r="U528" s="277"/>
      <c r="V528" s="277"/>
      <c r="W528" s="273"/>
    </row>
    <row r="529" spans="2:23">
      <c r="B529" s="266"/>
      <c r="C529" s="266"/>
      <c r="D529" s="175"/>
      <c r="E529" s="267"/>
      <c r="F529" s="268"/>
      <c r="G529" s="270"/>
      <c r="H529" s="270"/>
      <c r="I529" s="299"/>
      <c r="J529" s="270"/>
      <c r="K529" s="271"/>
      <c r="L529" s="270"/>
      <c r="M529" s="242"/>
      <c r="N529" s="242"/>
      <c r="P529" s="245"/>
      <c r="Q529" s="277"/>
      <c r="R529" s="277"/>
      <c r="S529" s="277"/>
      <c r="T529" s="277"/>
      <c r="U529" s="277"/>
      <c r="V529" s="277"/>
      <c r="W529" s="273"/>
    </row>
    <row r="530" spans="2:23">
      <c r="B530" s="266"/>
      <c r="C530" s="266"/>
      <c r="D530" s="175"/>
      <c r="E530" s="267"/>
      <c r="F530" s="268"/>
      <c r="G530" s="270"/>
      <c r="H530" s="270"/>
      <c r="I530" s="299"/>
      <c r="J530" s="270"/>
      <c r="K530" s="271"/>
      <c r="L530" s="270"/>
      <c r="M530" s="242"/>
      <c r="N530" s="242"/>
      <c r="P530" s="245"/>
      <c r="Q530" s="277"/>
      <c r="R530" s="277"/>
      <c r="S530" s="277"/>
      <c r="T530" s="277"/>
      <c r="U530" s="277"/>
      <c r="V530" s="277"/>
      <c r="W530" s="273"/>
    </row>
    <row r="531" spans="2:23">
      <c r="B531" s="266"/>
      <c r="C531" s="266"/>
      <c r="D531" s="175"/>
      <c r="E531" s="267"/>
      <c r="F531" s="268"/>
      <c r="G531" s="270"/>
      <c r="H531" s="270"/>
      <c r="I531" s="299"/>
      <c r="J531" s="270"/>
      <c r="K531" s="271"/>
      <c r="L531" s="270"/>
      <c r="M531" s="242"/>
      <c r="N531" s="242"/>
      <c r="P531" s="245"/>
      <c r="Q531" s="277"/>
      <c r="R531" s="277"/>
      <c r="S531" s="277"/>
      <c r="T531" s="277"/>
      <c r="U531" s="277"/>
      <c r="V531" s="277"/>
      <c r="W531" s="273"/>
    </row>
    <row r="532" spans="2:23">
      <c r="B532" s="266"/>
      <c r="C532" s="266"/>
      <c r="D532" s="175"/>
      <c r="E532" s="267"/>
      <c r="F532" s="268"/>
      <c r="G532" s="270"/>
      <c r="H532" s="270"/>
      <c r="I532" s="299"/>
      <c r="J532" s="270"/>
      <c r="K532" s="271"/>
      <c r="L532" s="270"/>
      <c r="M532" s="242"/>
      <c r="N532" s="242"/>
      <c r="P532" s="245"/>
      <c r="Q532" s="277"/>
      <c r="R532" s="277"/>
      <c r="S532" s="277"/>
      <c r="T532" s="277"/>
      <c r="U532" s="277"/>
      <c r="V532" s="277"/>
      <c r="W532" s="273"/>
    </row>
    <row r="533" spans="2:23">
      <c r="B533" s="266"/>
      <c r="C533" s="266"/>
      <c r="D533" s="175"/>
      <c r="E533" s="267"/>
      <c r="F533" s="268"/>
      <c r="G533" s="270"/>
      <c r="H533" s="270"/>
      <c r="I533" s="299"/>
      <c r="J533" s="270"/>
      <c r="K533" s="271"/>
      <c r="L533" s="270"/>
      <c r="M533" s="242"/>
      <c r="N533" s="242"/>
      <c r="P533" s="245"/>
      <c r="Q533" s="277"/>
      <c r="R533" s="277"/>
      <c r="S533" s="277"/>
      <c r="T533" s="277"/>
      <c r="U533" s="277"/>
      <c r="V533" s="277"/>
      <c r="W533" s="273"/>
    </row>
    <row r="534" spans="2:23">
      <c r="B534" s="266"/>
      <c r="C534" s="266"/>
      <c r="D534" s="175"/>
      <c r="E534" s="267"/>
      <c r="F534" s="268"/>
      <c r="G534" s="270"/>
      <c r="H534" s="270"/>
      <c r="I534" s="299"/>
      <c r="J534" s="270"/>
      <c r="K534" s="271"/>
      <c r="L534" s="270"/>
      <c r="M534" s="242"/>
      <c r="N534" s="242"/>
      <c r="P534" s="245"/>
      <c r="Q534" s="277"/>
      <c r="R534" s="277"/>
      <c r="S534" s="277"/>
      <c r="T534" s="277"/>
      <c r="U534" s="277"/>
      <c r="V534" s="277"/>
      <c r="W534" s="273"/>
    </row>
    <row r="535" spans="2:23">
      <c r="B535" s="266"/>
      <c r="C535" s="266"/>
      <c r="D535" s="175"/>
      <c r="E535" s="267"/>
      <c r="F535" s="268"/>
      <c r="G535" s="270"/>
      <c r="H535" s="270"/>
      <c r="I535" s="299"/>
      <c r="J535" s="270"/>
      <c r="K535" s="271"/>
      <c r="L535" s="270"/>
      <c r="M535" s="242"/>
      <c r="N535" s="242"/>
      <c r="P535" s="245"/>
      <c r="Q535" s="277"/>
      <c r="R535" s="277"/>
      <c r="S535" s="277"/>
      <c r="T535" s="277"/>
      <c r="U535" s="277"/>
      <c r="V535" s="277"/>
      <c r="W535" s="273"/>
    </row>
    <row r="536" spans="2:23">
      <c r="B536" s="266"/>
      <c r="C536" s="266"/>
      <c r="D536" s="175"/>
      <c r="E536" s="267"/>
      <c r="F536" s="268"/>
      <c r="G536" s="270"/>
      <c r="H536" s="270"/>
      <c r="I536" s="299"/>
      <c r="J536" s="270"/>
      <c r="K536" s="271"/>
      <c r="L536" s="270"/>
      <c r="M536" s="242"/>
      <c r="N536" s="242"/>
      <c r="P536" s="245"/>
      <c r="Q536" s="277"/>
      <c r="R536" s="277"/>
      <c r="S536" s="277"/>
      <c r="T536" s="277"/>
      <c r="U536" s="277"/>
      <c r="V536" s="277"/>
      <c r="W536" s="273"/>
    </row>
    <row r="537" spans="2:23">
      <c r="B537" s="266"/>
      <c r="C537" s="266"/>
      <c r="D537" s="175"/>
      <c r="E537" s="267"/>
      <c r="F537" s="268"/>
      <c r="G537" s="270"/>
      <c r="H537" s="270"/>
      <c r="I537" s="299"/>
      <c r="J537" s="270"/>
      <c r="K537" s="271"/>
      <c r="L537" s="270"/>
      <c r="M537" s="242"/>
      <c r="N537" s="242"/>
      <c r="P537" s="245"/>
      <c r="Q537" s="277"/>
      <c r="R537" s="277"/>
      <c r="S537" s="277"/>
      <c r="T537" s="277"/>
      <c r="U537" s="277"/>
      <c r="V537" s="277"/>
      <c r="W537" s="273"/>
    </row>
    <row r="538" spans="2:23">
      <c r="B538" s="266"/>
      <c r="C538" s="266"/>
      <c r="D538" s="175"/>
      <c r="E538" s="267"/>
      <c r="F538" s="268"/>
      <c r="G538" s="270"/>
      <c r="H538" s="270"/>
      <c r="I538" s="299"/>
      <c r="J538" s="270"/>
      <c r="K538" s="271"/>
      <c r="L538" s="270"/>
      <c r="M538" s="242"/>
      <c r="N538" s="242"/>
      <c r="P538" s="245"/>
      <c r="Q538" s="277"/>
      <c r="R538" s="277"/>
      <c r="S538" s="277"/>
      <c r="T538" s="277"/>
      <c r="U538" s="277"/>
      <c r="V538" s="277"/>
      <c r="W538" s="273"/>
    </row>
    <row r="539" spans="2:23">
      <c r="B539" s="266"/>
      <c r="C539" s="266"/>
      <c r="D539" s="175"/>
      <c r="E539" s="267"/>
      <c r="F539" s="268"/>
      <c r="G539" s="270"/>
      <c r="H539" s="270"/>
      <c r="I539" s="299"/>
      <c r="J539" s="270"/>
      <c r="K539" s="271"/>
      <c r="L539" s="270"/>
      <c r="M539" s="242"/>
      <c r="N539" s="242"/>
      <c r="P539" s="245"/>
      <c r="Q539" s="277"/>
      <c r="R539" s="277"/>
      <c r="S539" s="277"/>
      <c r="T539" s="277"/>
      <c r="U539" s="277"/>
      <c r="V539" s="277"/>
      <c r="W539" s="273"/>
    </row>
    <row r="540" spans="2:23">
      <c r="B540" s="266"/>
      <c r="C540" s="266"/>
      <c r="D540" s="175"/>
      <c r="E540" s="267"/>
      <c r="F540" s="268"/>
      <c r="G540" s="270"/>
      <c r="H540" s="270"/>
      <c r="I540" s="299"/>
      <c r="J540" s="270"/>
      <c r="K540" s="271"/>
      <c r="L540" s="270"/>
      <c r="M540" s="242"/>
      <c r="N540" s="242"/>
      <c r="P540" s="245"/>
      <c r="Q540" s="277"/>
      <c r="R540" s="277"/>
      <c r="S540" s="277"/>
      <c r="T540" s="277"/>
      <c r="U540" s="277"/>
      <c r="V540" s="277"/>
      <c r="W540" s="273"/>
    </row>
    <row r="541" spans="2:23">
      <c r="B541" s="266"/>
      <c r="C541" s="266"/>
      <c r="D541" s="175"/>
      <c r="E541" s="267"/>
      <c r="F541" s="268"/>
      <c r="G541" s="270"/>
      <c r="H541" s="270"/>
      <c r="I541" s="299"/>
      <c r="J541" s="270"/>
      <c r="K541" s="271"/>
      <c r="L541" s="270"/>
      <c r="M541" s="242"/>
      <c r="N541" s="242"/>
      <c r="P541" s="245"/>
      <c r="Q541" s="277"/>
      <c r="R541" s="277"/>
      <c r="S541" s="277"/>
      <c r="T541" s="277"/>
      <c r="U541" s="277"/>
      <c r="V541" s="277"/>
      <c r="W541" s="273"/>
    </row>
    <row r="542" spans="2:23">
      <c r="B542" s="266"/>
      <c r="C542" s="266"/>
      <c r="D542" s="175"/>
      <c r="E542" s="267"/>
      <c r="F542" s="268"/>
      <c r="G542" s="270"/>
      <c r="H542" s="270"/>
      <c r="I542" s="299"/>
      <c r="J542" s="270"/>
      <c r="K542" s="271"/>
      <c r="L542" s="270"/>
      <c r="M542" s="242"/>
      <c r="N542" s="242"/>
      <c r="P542" s="245"/>
      <c r="Q542" s="277"/>
      <c r="R542" s="277"/>
      <c r="S542" s="277"/>
      <c r="T542" s="277"/>
      <c r="U542" s="277"/>
      <c r="V542" s="277"/>
      <c r="W542" s="273"/>
    </row>
    <row r="543" spans="2:23">
      <c r="B543" s="266"/>
      <c r="C543" s="266"/>
      <c r="D543" s="175"/>
      <c r="E543" s="267"/>
      <c r="F543" s="268"/>
      <c r="G543" s="270"/>
      <c r="H543" s="270"/>
      <c r="I543" s="299"/>
      <c r="J543" s="270"/>
      <c r="K543" s="271"/>
      <c r="L543" s="270"/>
      <c r="M543" s="242"/>
      <c r="N543" s="242"/>
      <c r="P543" s="245"/>
      <c r="Q543" s="277"/>
      <c r="R543" s="277"/>
      <c r="S543" s="277"/>
      <c r="T543" s="277"/>
      <c r="U543" s="277"/>
      <c r="V543" s="277"/>
      <c r="W543" s="273"/>
    </row>
    <row r="544" spans="2:23">
      <c r="B544" s="266"/>
      <c r="C544" s="266"/>
      <c r="D544" s="175"/>
      <c r="E544" s="267"/>
      <c r="F544" s="268"/>
      <c r="G544" s="270"/>
      <c r="H544" s="270"/>
      <c r="I544" s="299"/>
      <c r="J544" s="270"/>
      <c r="K544" s="271"/>
      <c r="L544" s="270"/>
      <c r="M544" s="242"/>
      <c r="N544" s="242"/>
      <c r="P544" s="245"/>
      <c r="Q544" s="277"/>
      <c r="R544" s="277"/>
      <c r="S544" s="277"/>
      <c r="T544" s="277"/>
      <c r="U544" s="277"/>
      <c r="V544" s="277"/>
      <c r="W544" s="273"/>
    </row>
    <row r="545" spans="2:23">
      <c r="B545" s="266"/>
      <c r="C545" s="266"/>
      <c r="D545" s="175"/>
      <c r="E545" s="267"/>
      <c r="F545" s="268"/>
      <c r="G545" s="270"/>
      <c r="H545" s="270"/>
      <c r="I545" s="299"/>
      <c r="J545" s="270"/>
      <c r="K545" s="271"/>
      <c r="L545" s="270"/>
      <c r="M545" s="242"/>
      <c r="N545" s="242"/>
      <c r="P545" s="245"/>
      <c r="Q545" s="277"/>
      <c r="R545" s="277"/>
      <c r="S545" s="277"/>
      <c r="T545" s="277"/>
      <c r="U545" s="277"/>
      <c r="V545" s="277"/>
      <c r="W545" s="273"/>
    </row>
    <row r="546" spans="2:23">
      <c r="B546" s="266"/>
      <c r="C546" s="266"/>
      <c r="D546" s="175"/>
      <c r="E546" s="267"/>
      <c r="F546" s="268"/>
      <c r="G546" s="270"/>
      <c r="H546" s="270"/>
      <c r="I546" s="299"/>
      <c r="J546" s="270"/>
      <c r="K546" s="271"/>
      <c r="L546" s="270"/>
      <c r="M546" s="242"/>
      <c r="N546" s="242"/>
      <c r="P546" s="245"/>
      <c r="Q546" s="277"/>
      <c r="R546" s="277"/>
      <c r="S546" s="277"/>
      <c r="T546" s="277"/>
      <c r="U546" s="277"/>
      <c r="V546" s="277"/>
      <c r="W546" s="273"/>
    </row>
    <row r="547" spans="2:23">
      <c r="B547" s="266"/>
      <c r="C547" s="266"/>
      <c r="D547" s="175"/>
      <c r="E547" s="267"/>
      <c r="F547" s="268"/>
      <c r="G547" s="270"/>
      <c r="H547" s="270"/>
      <c r="I547" s="299"/>
      <c r="J547" s="270"/>
      <c r="K547" s="271"/>
      <c r="L547" s="270"/>
      <c r="M547" s="242"/>
      <c r="N547" s="242"/>
      <c r="P547" s="245"/>
      <c r="Q547" s="277"/>
      <c r="R547" s="277"/>
      <c r="S547" s="277"/>
      <c r="T547" s="277"/>
      <c r="U547" s="277"/>
      <c r="V547" s="277"/>
      <c r="W547" s="273"/>
    </row>
    <row r="548" spans="2:23">
      <c r="B548" s="266"/>
      <c r="C548" s="266"/>
      <c r="D548" s="175"/>
      <c r="E548" s="267"/>
      <c r="F548" s="268"/>
      <c r="G548" s="270"/>
      <c r="H548" s="270"/>
      <c r="I548" s="299"/>
      <c r="J548" s="270"/>
      <c r="K548" s="271"/>
      <c r="L548" s="270"/>
      <c r="M548" s="242"/>
      <c r="N548" s="242"/>
      <c r="P548" s="245"/>
      <c r="Q548" s="277"/>
      <c r="R548" s="277"/>
      <c r="S548" s="277"/>
      <c r="T548" s="277"/>
      <c r="U548" s="277"/>
      <c r="V548" s="277"/>
      <c r="W548" s="273"/>
    </row>
    <row r="549" spans="2:23">
      <c r="B549" s="266"/>
      <c r="C549" s="266"/>
      <c r="D549" s="175"/>
      <c r="E549" s="267"/>
      <c r="F549" s="268"/>
      <c r="G549" s="270"/>
      <c r="H549" s="270"/>
      <c r="I549" s="299"/>
      <c r="J549" s="270"/>
      <c r="K549" s="271"/>
      <c r="L549" s="270"/>
      <c r="M549" s="242"/>
      <c r="N549" s="242"/>
      <c r="P549" s="245"/>
      <c r="Q549" s="277"/>
      <c r="R549" s="277"/>
      <c r="S549" s="277"/>
      <c r="T549" s="277"/>
      <c r="U549" s="277"/>
      <c r="V549" s="277"/>
      <c r="W549" s="273"/>
    </row>
    <row r="550" spans="2:23">
      <c r="B550" s="266"/>
      <c r="C550" s="266"/>
      <c r="D550" s="175"/>
      <c r="E550" s="267"/>
      <c r="F550" s="268"/>
      <c r="G550" s="270"/>
      <c r="H550" s="270"/>
      <c r="I550" s="299"/>
      <c r="J550" s="270"/>
      <c r="K550" s="271"/>
      <c r="L550" s="270"/>
      <c r="M550" s="242"/>
      <c r="N550" s="242"/>
      <c r="P550" s="245"/>
      <c r="Q550" s="277"/>
      <c r="R550" s="277"/>
      <c r="S550" s="277"/>
      <c r="T550" s="277"/>
      <c r="U550" s="277"/>
      <c r="V550" s="277"/>
      <c r="W550" s="273"/>
    </row>
    <row r="551" spans="2:23">
      <c r="B551" s="266"/>
      <c r="C551" s="266"/>
      <c r="D551" s="175"/>
      <c r="E551" s="267"/>
      <c r="F551" s="268"/>
      <c r="G551" s="270"/>
      <c r="H551" s="270"/>
      <c r="I551" s="299"/>
      <c r="J551" s="270"/>
      <c r="K551" s="271"/>
      <c r="L551" s="270"/>
      <c r="M551" s="242"/>
      <c r="N551" s="242"/>
      <c r="P551" s="245"/>
      <c r="Q551" s="277"/>
      <c r="R551" s="277"/>
      <c r="S551" s="277"/>
      <c r="T551" s="277"/>
      <c r="U551" s="277"/>
      <c r="V551" s="277"/>
      <c r="W551" s="273"/>
    </row>
    <row r="552" spans="2:23">
      <c r="B552" s="266"/>
      <c r="C552" s="266"/>
      <c r="D552" s="175"/>
      <c r="E552" s="267"/>
      <c r="F552" s="268"/>
      <c r="G552" s="270"/>
      <c r="H552" s="270"/>
      <c r="I552" s="299"/>
      <c r="J552" s="270"/>
      <c r="K552" s="271"/>
      <c r="L552" s="270"/>
      <c r="M552" s="242"/>
      <c r="N552" s="242"/>
      <c r="P552" s="245"/>
      <c r="Q552" s="277"/>
      <c r="R552" s="277"/>
      <c r="S552" s="277"/>
      <c r="T552" s="277"/>
      <c r="U552" s="277"/>
      <c r="V552" s="277"/>
      <c r="W552" s="273"/>
    </row>
    <row r="553" spans="2:23">
      <c r="B553" s="266"/>
      <c r="C553" s="266"/>
      <c r="D553" s="175"/>
      <c r="E553" s="267"/>
      <c r="F553" s="268"/>
      <c r="G553" s="270"/>
      <c r="H553" s="270"/>
      <c r="I553" s="299"/>
      <c r="J553" s="270"/>
      <c r="K553" s="271"/>
      <c r="L553" s="270"/>
      <c r="M553" s="242"/>
      <c r="N553" s="242"/>
      <c r="P553" s="245"/>
      <c r="Q553" s="277"/>
      <c r="R553" s="277"/>
      <c r="S553" s="277"/>
      <c r="T553" s="277"/>
      <c r="U553" s="277"/>
      <c r="V553" s="277"/>
      <c r="W553" s="273"/>
    </row>
    <row r="554" spans="2:23">
      <c r="B554" s="266"/>
      <c r="C554" s="266"/>
      <c r="D554" s="175"/>
      <c r="E554" s="267"/>
      <c r="F554" s="268"/>
      <c r="G554" s="270"/>
      <c r="H554" s="270"/>
      <c r="I554" s="299"/>
      <c r="J554" s="270"/>
      <c r="K554" s="271"/>
      <c r="L554" s="270"/>
      <c r="M554" s="242"/>
      <c r="N554" s="242"/>
      <c r="P554" s="245"/>
      <c r="Q554" s="277"/>
      <c r="R554" s="277"/>
      <c r="S554" s="277"/>
      <c r="T554" s="277"/>
      <c r="U554" s="277"/>
      <c r="V554" s="277"/>
      <c r="W554" s="273"/>
    </row>
    <row r="555" spans="2:23">
      <c r="B555" s="266"/>
      <c r="C555" s="266"/>
      <c r="D555" s="175"/>
      <c r="E555" s="267"/>
      <c r="F555" s="268"/>
      <c r="G555" s="270"/>
      <c r="H555" s="270"/>
      <c r="I555" s="299"/>
      <c r="J555" s="270"/>
      <c r="K555" s="271"/>
      <c r="L555" s="270"/>
      <c r="M555" s="242"/>
      <c r="N555" s="242"/>
      <c r="P555" s="245"/>
      <c r="Q555" s="277"/>
      <c r="R555" s="277"/>
      <c r="S555" s="277"/>
      <c r="T555" s="277"/>
      <c r="U555" s="277"/>
      <c r="V555" s="277"/>
      <c r="W555" s="273"/>
    </row>
    <row r="556" spans="2:23">
      <c r="B556" s="266"/>
      <c r="C556" s="266"/>
      <c r="D556" s="175"/>
      <c r="E556" s="267"/>
      <c r="F556" s="268"/>
      <c r="G556" s="270"/>
      <c r="H556" s="270"/>
      <c r="I556" s="299"/>
      <c r="J556" s="270"/>
      <c r="K556" s="271"/>
      <c r="L556" s="270"/>
      <c r="M556" s="242"/>
      <c r="N556" s="242"/>
      <c r="P556" s="245"/>
      <c r="Q556" s="277"/>
      <c r="R556" s="277"/>
      <c r="S556" s="277"/>
      <c r="T556" s="277"/>
      <c r="U556" s="277"/>
      <c r="V556" s="277"/>
      <c r="W556" s="273"/>
    </row>
    <row r="557" spans="2:23">
      <c r="B557" s="266"/>
      <c r="C557" s="266"/>
      <c r="D557" s="175"/>
      <c r="E557" s="267"/>
      <c r="F557" s="268"/>
      <c r="G557" s="270"/>
      <c r="H557" s="270"/>
      <c r="I557" s="299"/>
      <c r="J557" s="270"/>
      <c r="K557" s="271"/>
      <c r="L557" s="270"/>
      <c r="M557" s="242"/>
      <c r="N557" s="242"/>
      <c r="P557" s="245"/>
      <c r="Q557" s="277"/>
      <c r="R557" s="277"/>
      <c r="S557" s="277"/>
      <c r="T557" s="277"/>
      <c r="U557" s="277"/>
      <c r="V557" s="277"/>
      <c r="W557" s="273"/>
    </row>
    <row r="558" spans="2:23">
      <c r="B558" s="266"/>
      <c r="C558" s="266"/>
      <c r="D558" s="175"/>
      <c r="E558" s="267"/>
      <c r="F558" s="268"/>
      <c r="G558" s="270"/>
      <c r="H558" s="270"/>
      <c r="I558" s="299"/>
      <c r="J558" s="270"/>
      <c r="K558" s="271"/>
      <c r="L558" s="270"/>
      <c r="M558" s="242"/>
      <c r="N558" s="242"/>
      <c r="P558" s="245"/>
      <c r="Q558" s="277"/>
      <c r="R558" s="277"/>
      <c r="S558" s="277"/>
      <c r="T558" s="277"/>
      <c r="U558" s="277"/>
      <c r="V558" s="277"/>
      <c r="W558" s="273"/>
    </row>
    <row r="559" spans="2:23">
      <c r="B559" s="266"/>
      <c r="C559" s="266"/>
      <c r="D559" s="175"/>
      <c r="E559" s="267"/>
      <c r="F559" s="268"/>
      <c r="G559" s="270"/>
      <c r="H559" s="270"/>
      <c r="I559" s="299"/>
      <c r="J559" s="270"/>
      <c r="K559" s="271"/>
      <c r="L559" s="270"/>
      <c r="M559" s="242"/>
      <c r="N559" s="242"/>
      <c r="P559" s="245"/>
      <c r="Q559" s="277"/>
      <c r="R559" s="277"/>
      <c r="S559" s="277"/>
      <c r="T559" s="277"/>
      <c r="U559" s="277"/>
      <c r="V559" s="277"/>
      <c r="W559" s="273"/>
    </row>
    <row r="560" spans="2:23">
      <c r="B560" s="266"/>
      <c r="C560" s="266"/>
      <c r="D560" s="175"/>
      <c r="E560" s="267"/>
      <c r="F560" s="268"/>
      <c r="G560" s="270"/>
      <c r="H560" s="270"/>
      <c r="I560" s="299"/>
      <c r="J560" s="270"/>
      <c r="K560" s="271"/>
      <c r="L560" s="270"/>
      <c r="M560" s="242"/>
      <c r="N560" s="242"/>
      <c r="P560" s="245"/>
      <c r="Q560" s="277"/>
      <c r="R560" s="277"/>
      <c r="S560" s="277"/>
      <c r="T560" s="277"/>
      <c r="U560" s="277"/>
      <c r="V560" s="277"/>
      <c r="W560" s="273"/>
    </row>
    <row r="561" spans="2:23">
      <c r="B561" s="266"/>
      <c r="C561" s="266"/>
      <c r="D561" s="175"/>
      <c r="E561" s="267"/>
      <c r="F561" s="268"/>
      <c r="G561" s="270"/>
      <c r="H561" s="270"/>
      <c r="I561" s="299"/>
      <c r="J561" s="270"/>
      <c r="K561" s="271"/>
      <c r="L561" s="270"/>
      <c r="M561" s="242"/>
      <c r="N561" s="242"/>
      <c r="P561" s="245"/>
      <c r="Q561" s="277"/>
      <c r="R561" s="277"/>
      <c r="S561" s="277"/>
      <c r="T561" s="277"/>
      <c r="U561" s="277"/>
      <c r="V561" s="277"/>
      <c r="W561" s="273"/>
    </row>
    <row r="562" spans="2:23">
      <c r="B562" s="266"/>
      <c r="C562" s="266"/>
      <c r="D562" s="175"/>
      <c r="E562" s="267"/>
      <c r="F562" s="268"/>
      <c r="G562" s="270"/>
      <c r="H562" s="270"/>
      <c r="I562" s="299"/>
      <c r="J562" s="270"/>
      <c r="K562" s="271"/>
      <c r="L562" s="270"/>
      <c r="M562" s="242"/>
      <c r="N562" s="242"/>
      <c r="P562" s="245"/>
      <c r="Q562" s="277"/>
      <c r="R562" s="277"/>
      <c r="S562" s="277"/>
      <c r="T562" s="277"/>
      <c r="U562" s="277"/>
      <c r="V562" s="277"/>
      <c r="W562" s="273"/>
    </row>
    <row r="563" spans="2:23">
      <c r="B563" s="266"/>
      <c r="C563" s="266"/>
      <c r="D563" s="175"/>
      <c r="E563" s="267"/>
      <c r="F563" s="268"/>
      <c r="G563" s="270"/>
      <c r="H563" s="270"/>
      <c r="I563" s="299"/>
      <c r="J563" s="270"/>
      <c r="K563" s="271"/>
      <c r="L563" s="270"/>
      <c r="M563" s="242"/>
      <c r="N563" s="242"/>
      <c r="P563" s="245"/>
      <c r="Q563" s="277"/>
      <c r="R563" s="277"/>
      <c r="S563" s="277"/>
      <c r="T563" s="277"/>
      <c r="U563" s="277"/>
      <c r="V563" s="277"/>
      <c r="W563" s="273"/>
    </row>
    <row r="564" spans="2:23">
      <c r="B564" s="266"/>
      <c r="C564" s="266"/>
      <c r="D564" s="175"/>
      <c r="E564" s="267"/>
      <c r="F564" s="268"/>
      <c r="G564" s="270"/>
      <c r="H564" s="270"/>
      <c r="I564" s="299"/>
      <c r="J564" s="270"/>
      <c r="K564" s="271"/>
      <c r="L564" s="270"/>
      <c r="M564" s="242"/>
      <c r="N564" s="242"/>
      <c r="P564" s="245"/>
      <c r="Q564" s="277"/>
      <c r="R564" s="277"/>
      <c r="S564" s="277"/>
      <c r="T564" s="277"/>
      <c r="U564" s="277"/>
      <c r="V564" s="277"/>
      <c r="W564" s="273"/>
    </row>
    <row r="565" spans="2:23">
      <c r="B565" s="266"/>
      <c r="C565" s="266"/>
      <c r="D565" s="175"/>
      <c r="E565" s="267"/>
      <c r="F565" s="268"/>
      <c r="G565" s="270"/>
      <c r="H565" s="270"/>
      <c r="I565" s="299"/>
      <c r="J565" s="270"/>
      <c r="K565" s="271"/>
      <c r="L565" s="270"/>
      <c r="M565" s="242"/>
      <c r="N565" s="242"/>
      <c r="P565" s="245"/>
      <c r="Q565" s="277"/>
      <c r="R565" s="277"/>
      <c r="S565" s="277"/>
      <c r="T565" s="277"/>
      <c r="U565" s="277"/>
      <c r="V565" s="277"/>
      <c r="W565" s="273"/>
    </row>
    <row r="566" spans="2:23">
      <c r="B566" s="266"/>
      <c r="C566" s="266"/>
      <c r="D566" s="175"/>
      <c r="E566" s="267"/>
      <c r="F566" s="268"/>
      <c r="G566" s="270"/>
      <c r="H566" s="270"/>
      <c r="I566" s="299"/>
      <c r="J566" s="270"/>
      <c r="K566" s="271"/>
      <c r="L566" s="270"/>
      <c r="M566" s="242"/>
      <c r="N566" s="242"/>
      <c r="P566" s="245"/>
      <c r="Q566" s="277"/>
      <c r="R566" s="277"/>
      <c r="S566" s="277"/>
      <c r="T566" s="277"/>
      <c r="U566" s="277"/>
      <c r="V566" s="277"/>
      <c r="W566" s="273"/>
    </row>
    <row r="567" spans="2:23">
      <c r="B567" s="266"/>
      <c r="C567" s="266"/>
      <c r="D567" s="175"/>
      <c r="E567" s="267"/>
      <c r="F567" s="268"/>
      <c r="G567" s="270"/>
      <c r="H567" s="270"/>
      <c r="I567" s="299"/>
      <c r="J567" s="270"/>
      <c r="K567" s="271"/>
      <c r="L567" s="270"/>
      <c r="M567" s="242"/>
      <c r="N567" s="242"/>
      <c r="P567" s="245"/>
      <c r="Q567" s="277"/>
      <c r="R567" s="277"/>
      <c r="S567" s="277"/>
      <c r="T567" s="277"/>
      <c r="U567" s="277"/>
      <c r="V567" s="277"/>
      <c r="W567" s="273"/>
    </row>
    <row r="568" spans="2:23">
      <c r="B568" s="266"/>
      <c r="C568" s="266"/>
      <c r="D568" s="175"/>
      <c r="E568" s="267"/>
      <c r="F568" s="268"/>
      <c r="G568" s="270"/>
      <c r="H568" s="270"/>
      <c r="I568" s="299"/>
      <c r="J568" s="270"/>
      <c r="K568" s="271"/>
      <c r="L568" s="270"/>
      <c r="M568" s="242"/>
      <c r="N568" s="242"/>
      <c r="P568" s="245"/>
      <c r="Q568" s="277"/>
      <c r="R568" s="277"/>
      <c r="S568" s="277"/>
      <c r="T568" s="277"/>
      <c r="U568" s="277"/>
      <c r="V568" s="277"/>
      <c r="W568" s="273"/>
    </row>
    <row r="569" spans="2:23">
      <c r="B569" s="266"/>
      <c r="C569" s="266"/>
      <c r="D569" s="175"/>
      <c r="E569" s="267"/>
      <c r="F569" s="268"/>
      <c r="G569" s="270"/>
      <c r="H569" s="270"/>
      <c r="I569" s="299"/>
      <c r="J569" s="270"/>
      <c r="K569" s="271"/>
      <c r="L569" s="270"/>
      <c r="M569" s="242"/>
      <c r="N569" s="242"/>
      <c r="P569" s="245"/>
      <c r="Q569" s="277"/>
      <c r="R569" s="277"/>
      <c r="S569" s="277"/>
      <c r="T569" s="277"/>
      <c r="U569" s="277"/>
      <c r="V569" s="277"/>
      <c r="W569" s="273"/>
    </row>
    <row r="570" spans="2:23">
      <c r="B570" s="266"/>
      <c r="C570" s="266"/>
      <c r="D570" s="175"/>
      <c r="E570" s="267"/>
      <c r="F570" s="268"/>
      <c r="G570" s="270"/>
      <c r="H570" s="270"/>
      <c r="I570" s="299"/>
      <c r="J570" s="270"/>
      <c r="K570" s="271"/>
      <c r="L570" s="270"/>
      <c r="M570" s="242"/>
      <c r="N570" s="242"/>
      <c r="P570" s="245"/>
      <c r="Q570" s="277"/>
      <c r="R570" s="277"/>
      <c r="S570" s="277"/>
      <c r="T570" s="277"/>
      <c r="U570" s="277"/>
      <c r="V570" s="277"/>
      <c r="W570" s="273"/>
    </row>
    <row r="571" spans="2:23">
      <c r="B571" s="266"/>
      <c r="C571" s="266"/>
      <c r="D571" s="175"/>
      <c r="E571" s="267"/>
      <c r="F571" s="268"/>
      <c r="G571" s="270"/>
      <c r="H571" s="270"/>
      <c r="I571" s="299"/>
      <c r="J571" s="270"/>
      <c r="K571" s="271"/>
      <c r="L571" s="270"/>
      <c r="M571" s="242"/>
      <c r="N571" s="242"/>
      <c r="P571" s="245"/>
      <c r="Q571" s="277"/>
      <c r="R571" s="277"/>
      <c r="S571" s="277"/>
      <c r="T571" s="277"/>
      <c r="U571" s="277"/>
      <c r="V571" s="277"/>
      <c r="W571" s="273"/>
    </row>
    <row r="572" spans="2:23">
      <c r="B572" s="266"/>
      <c r="C572" s="266"/>
      <c r="D572" s="175"/>
      <c r="E572" s="267"/>
      <c r="F572" s="268"/>
      <c r="G572" s="270"/>
      <c r="H572" s="270"/>
      <c r="I572" s="299"/>
      <c r="J572" s="270"/>
      <c r="K572" s="271"/>
      <c r="L572" s="270"/>
      <c r="M572" s="242"/>
      <c r="N572" s="242"/>
      <c r="P572" s="245"/>
      <c r="Q572" s="277"/>
      <c r="R572" s="277"/>
      <c r="S572" s="277"/>
      <c r="T572" s="277"/>
      <c r="U572" s="277"/>
      <c r="V572" s="277"/>
      <c r="W572" s="273"/>
    </row>
    <row r="573" spans="2:23">
      <c r="B573" s="266"/>
      <c r="C573" s="266"/>
      <c r="D573" s="175"/>
      <c r="E573" s="267"/>
      <c r="F573" s="268"/>
      <c r="G573" s="270"/>
      <c r="H573" s="270"/>
      <c r="I573" s="299"/>
      <c r="J573" s="270"/>
      <c r="K573" s="271"/>
      <c r="L573" s="270"/>
      <c r="M573" s="242"/>
      <c r="N573" s="242"/>
      <c r="P573" s="245"/>
      <c r="Q573" s="277"/>
      <c r="R573" s="277"/>
      <c r="S573" s="277"/>
      <c r="T573" s="277"/>
      <c r="U573" s="277"/>
      <c r="V573" s="277"/>
      <c r="W573" s="273"/>
    </row>
    <row r="574" spans="2:23">
      <c r="B574" s="266"/>
      <c r="C574" s="266"/>
      <c r="D574" s="175"/>
      <c r="E574" s="267"/>
      <c r="F574" s="268"/>
      <c r="G574" s="270"/>
      <c r="H574" s="270"/>
      <c r="I574" s="299"/>
      <c r="J574" s="270"/>
      <c r="K574" s="271"/>
      <c r="L574" s="270"/>
      <c r="M574" s="242"/>
      <c r="N574" s="242"/>
      <c r="P574" s="245"/>
      <c r="Q574" s="277"/>
      <c r="R574" s="277"/>
      <c r="S574" s="277"/>
      <c r="T574" s="277"/>
      <c r="U574" s="277"/>
      <c r="V574" s="277"/>
      <c r="W574" s="273"/>
    </row>
    <row r="575" spans="2:23">
      <c r="B575" s="266"/>
      <c r="C575" s="266"/>
      <c r="D575" s="175"/>
      <c r="E575" s="267"/>
      <c r="F575" s="268"/>
      <c r="G575" s="270"/>
      <c r="H575" s="270"/>
      <c r="I575" s="299"/>
      <c r="J575" s="270"/>
      <c r="K575" s="271"/>
      <c r="L575" s="270"/>
      <c r="M575" s="242"/>
      <c r="N575" s="242"/>
      <c r="P575" s="245"/>
      <c r="Q575" s="277"/>
      <c r="R575" s="277"/>
      <c r="S575" s="277"/>
      <c r="T575" s="277"/>
      <c r="U575" s="277"/>
      <c r="V575" s="277"/>
      <c r="W575" s="273"/>
    </row>
    <row r="576" spans="2:23">
      <c r="B576" s="266"/>
      <c r="C576" s="266"/>
      <c r="D576" s="175"/>
      <c r="E576" s="267"/>
      <c r="F576" s="268"/>
      <c r="G576" s="270"/>
      <c r="H576" s="270"/>
      <c r="I576" s="299"/>
      <c r="J576" s="270"/>
      <c r="K576" s="271"/>
      <c r="L576" s="270"/>
      <c r="M576" s="242"/>
      <c r="N576" s="242"/>
      <c r="P576" s="245"/>
      <c r="Q576" s="277"/>
      <c r="R576" s="277"/>
      <c r="S576" s="277"/>
      <c r="T576" s="277"/>
      <c r="U576" s="277"/>
      <c r="V576" s="277"/>
      <c r="W576" s="273"/>
    </row>
    <row r="577" spans="2:23">
      <c r="B577" s="266"/>
      <c r="C577" s="266"/>
      <c r="D577" s="175"/>
      <c r="E577" s="267"/>
      <c r="F577" s="268"/>
      <c r="G577" s="270"/>
      <c r="H577" s="270"/>
      <c r="I577" s="299"/>
      <c r="J577" s="270"/>
      <c r="K577" s="271"/>
      <c r="L577" s="270"/>
      <c r="M577" s="242"/>
      <c r="N577" s="242"/>
      <c r="P577" s="245"/>
      <c r="Q577" s="277"/>
      <c r="R577" s="277"/>
      <c r="S577" s="277"/>
      <c r="T577" s="277"/>
      <c r="U577" s="277"/>
      <c r="V577" s="277"/>
      <c r="W577" s="273"/>
    </row>
    <row r="578" spans="2:23">
      <c r="B578" s="266"/>
      <c r="C578" s="266"/>
      <c r="D578" s="175"/>
      <c r="E578" s="267"/>
      <c r="F578" s="268"/>
      <c r="G578" s="270"/>
      <c r="H578" s="270"/>
      <c r="I578" s="299"/>
      <c r="J578" s="270"/>
      <c r="K578" s="271"/>
      <c r="L578" s="270"/>
      <c r="M578" s="242"/>
      <c r="N578" s="242"/>
      <c r="P578" s="245"/>
      <c r="Q578" s="277"/>
      <c r="R578" s="277"/>
      <c r="S578" s="277"/>
      <c r="T578" s="277"/>
      <c r="U578" s="277"/>
      <c r="V578" s="277"/>
      <c r="W578" s="273"/>
    </row>
    <row r="579" spans="2:23">
      <c r="B579" s="266"/>
      <c r="C579" s="266"/>
      <c r="D579" s="175"/>
      <c r="E579" s="267"/>
      <c r="F579" s="268"/>
      <c r="G579" s="270"/>
      <c r="H579" s="270"/>
      <c r="I579" s="299"/>
      <c r="J579" s="270"/>
      <c r="K579" s="271"/>
      <c r="L579" s="270"/>
      <c r="M579" s="242"/>
      <c r="N579" s="242"/>
      <c r="P579" s="245"/>
      <c r="Q579" s="277"/>
      <c r="R579" s="277"/>
      <c r="S579" s="277"/>
      <c r="T579" s="277"/>
      <c r="U579" s="277"/>
      <c r="V579" s="277"/>
      <c r="W579" s="273"/>
    </row>
    <row r="580" spans="2:23">
      <c r="B580" s="266"/>
      <c r="C580" s="266"/>
      <c r="D580" s="175"/>
      <c r="E580" s="267"/>
      <c r="F580" s="268"/>
      <c r="G580" s="270"/>
      <c r="H580" s="270"/>
      <c r="I580" s="299"/>
      <c r="J580" s="270"/>
      <c r="K580" s="271"/>
      <c r="L580" s="270"/>
      <c r="M580" s="242"/>
      <c r="N580" s="242"/>
      <c r="P580" s="245"/>
      <c r="Q580" s="277"/>
      <c r="R580" s="277"/>
      <c r="S580" s="277"/>
      <c r="T580" s="277"/>
      <c r="U580" s="277"/>
      <c r="V580" s="277"/>
      <c r="W580" s="273"/>
    </row>
    <row r="581" spans="2:23">
      <c r="B581" s="266"/>
      <c r="C581" s="266"/>
      <c r="D581" s="175"/>
      <c r="E581" s="267"/>
      <c r="F581" s="268"/>
      <c r="G581" s="270"/>
      <c r="H581" s="270"/>
      <c r="I581" s="299"/>
      <c r="J581" s="270"/>
      <c r="K581" s="271"/>
      <c r="L581" s="270"/>
      <c r="M581" s="242"/>
      <c r="N581" s="242"/>
      <c r="P581" s="245"/>
      <c r="Q581" s="277"/>
      <c r="R581" s="277"/>
      <c r="S581" s="277"/>
      <c r="T581" s="277"/>
      <c r="U581" s="277"/>
      <c r="V581" s="277"/>
      <c r="W581" s="273"/>
    </row>
    <row r="582" spans="2:23">
      <c r="B582" s="266"/>
      <c r="C582" s="266"/>
      <c r="D582" s="175"/>
      <c r="E582" s="267"/>
      <c r="F582" s="268"/>
      <c r="G582" s="270"/>
      <c r="H582" s="270"/>
      <c r="I582" s="299"/>
      <c r="J582" s="270"/>
      <c r="K582" s="271"/>
      <c r="L582" s="270"/>
      <c r="M582" s="242"/>
      <c r="N582" s="242"/>
      <c r="P582" s="245"/>
      <c r="Q582" s="277"/>
      <c r="R582" s="277"/>
      <c r="S582" s="277"/>
      <c r="T582" s="277"/>
      <c r="U582" s="277"/>
      <c r="V582" s="277"/>
      <c r="W582" s="273"/>
    </row>
    <row r="583" spans="2:23">
      <c r="B583" s="266"/>
      <c r="C583" s="266"/>
      <c r="D583" s="175"/>
      <c r="E583" s="267"/>
      <c r="F583" s="268"/>
      <c r="G583" s="270"/>
      <c r="H583" s="270"/>
      <c r="I583" s="299"/>
      <c r="J583" s="270"/>
      <c r="K583" s="271"/>
      <c r="L583" s="270"/>
      <c r="M583" s="242"/>
      <c r="N583" s="242"/>
      <c r="P583" s="245"/>
      <c r="Q583" s="277"/>
      <c r="R583" s="277"/>
      <c r="S583" s="277"/>
      <c r="T583" s="277"/>
      <c r="U583" s="277"/>
      <c r="V583" s="277"/>
      <c r="W583" s="273"/>
    </row>
    <row r="584" spans="2:23">
      <c r="B584" s="266"/>
      <c r="C584" s="266"/>
      <c r="D584" s="175"/>
      <c r="E584" s="267"/>
      <c r="F584" s="268"/>
      <c r="G584" s="270"/>
      <c r="H584" s="270"/>
      <c r="I584" s="299"/>
      <c r="J584" s="270"/>
      <c r="K584" s="271"/>
      <c r="L584" s="270"/>
      <c r="M584" s="242"/>
      <c r="N584" s="242"/>
      <c r="P584" s="245"/>
      <c r="Q584" s="277"/>
      <c r="R584" s="277"/>
      <c r="S584" s="277"/>
      <c r="T584" s="277"/>
      <c r="U584" s="277"/>
      <c r="V584" s="277"/>
      <c r="W584" s="273"/>
    </row>
    <row r="585" spans="2:23">
      <c r="B585" s="266"/>
      <c r="C585" s="266"/>
      <c r="D585" s="175"/>
      <c r="E585" s="267"/>
      <c r="F585" s="268"/>
      <c r="G585" s="270"/>
      <c r="H585" s="270"/>
      <c r="I585" s="299"/>
      <c r="J585" s="270"/>
      <c r="K585" s="271"/>
      <c r="L585" s="270"/>
      <c r="M585" s="242"/>
      <c r="N585" s="242"/>
      <c r="P585" s="245"/>
      <c r="Q585" s="277"/>
      <c r="R585" s="277"/>
      <c r="S585" s="277"/>
      <c r="T585" s="277"/>
      <c r="U585" s="277"/>
      <c r="V585" s="277"/>
      <c r="W585" s="273"/>
    </row>
    <row r="586" spans="2:23">
      <c r="B586" s="266"/>
      <c r="C586" s="266"/>
      <c r="D586" s="175"/>
      <c r="E586" s="267"/>
      <c r="F586" s="268"/>
      <c r="G586" s="270"/>
      <c r="H586" s="270"/>
      <c r="I586" s="299"/>
      <c r="J586" s="270"/>
      <c r="K586" s="271"/>
      <c r="L586" s="270"/>
      <c r="M586" s="242"/>
      <c r="N586" s="242"/>
      <c r="P586" s="245"/>
      <c r="Q586" s="277"/>
      <c r="R586" s="277"/>
      <c r="S586" s="277"/>
      <c r="T586" s="277"/>
      <c r="U586" s="277"/>
      <c r="V586" s="277"/>
      <c r="W586" s="273"/>
    </row>
    <row r="587" spans="2:23">
      <c r="B587" s="266"/>
      <c r="C587" s="266"/>
      <c r="D587" s="175"/>
      <c r="E587" s="267"/>
      <c r="F587" s="268"/>
      <c r="G587" s="270"/>
      <c r="H587" s="270"/>
      <c r="I587" s="299"/>
      <c r="J587" s="270"/>
      <c r="K587" s="271"/>
      <c r="L587" s="270"/>
      <c r="M587" s="242"/>
      <c r="N587" s="242"/>
      <c r="P587" s="245"/>
      <c r="Q587" s="277"/>
      <c r="R587" s="277"/>
      <c r="S587" s="277"/>
      <c r="T587" s="277"/>
      <c r="U587" s="277"/>
      <c r="V587" s="277"/>
      <c r="W587" s="273"/>
    </row>
    <row r="588" spans="2:23">
      <c r="B588" s="266"/>
      <c r="C588" s="266"/>
      <c r="D588" s="175"/>
      <c r="E588" s="267"/>
      <c r="F588" s="268"/>
      <c r="G588" s="270"/>
      <c r="H588" s="270"/>
      <c r="I588" s="299"/>
      <c r="J588" s="270"/>
      <c r="K588" s="271"/>
      <c r="L588" s="270"/>
      <c r="M588" s="242"/>
      <c r="N588" s="242"/>
      <c r="P588" s="245"/>
      <c r="Q588" s="277"/>
      <c r="R588" s="277"/>
      <c r="S588" s="277"/>
      <c r="T588" s="277"/>
      <c r="U588" s="277"/>
      <c r="V588" s="277"/>
      <c r="W588" s="273"/>
    </row>
    <row r="589" spans="2:23">
      <c r="B589" s="266"/>
      <c r="C589" s="266"/>
      <c r="D589" s="175"/>
      <c r="E589" s="267"/>
      <c r="F589" s="268"/>
      <c r="G589" s="270"/>
      <c r="H589" s="270"/>
      <c r="I589" s="299"/>
      <c r="J589" s="270"/>
      <c r="K589" s="271"/>
      <c r="L589" s="270"/>
      <c r="M589" s="242"/>
      <c r="N589" s="242"/>
      <c r="P589" s="245"/>
      <c r="Q589" s="277"/>
      <c r="R589" s="277"/>
      <c r="S589" s="277"/>
      <c r="T589" s="277"/>
      <c r="U589" s="277"/>
      <c r="V589" s="277"/>
      <c r="W589" s="273"/>
    </row>
    <row r="590" spans="2:23">
      <c r="B590" s="266"/>
      <c r="C590" s="266"/>
      <c r="D590" s="175"/>
      <c r="E590" s="267"/>
      <c r="F590" s="268"/>
      <c r="G590" s="270"/>
      <c r="H590" s="270"/>
      <c r="I590" s="299"/>
      <c r="J590" s="270"/>
      <c r="K590" s="271"/>
      <c r="L590" s="270"/>
      <c r="M590" s="242"/>
      <c r="N590" s="242"/>
      <c r="P590" s="245"/>
      <c r="Q590" s="277"/>
      <c r="R590" s="277"/>
      <c r="S590" s="277"/>
      <c r="T590" s="277"/>
      <c r="U590" s="277"/>
      <c r="V590" s="277"/>
      <c r="W590" s="273"/>
    </row>
    <row r="591" spans="2:23">
      <c r="B591" s="266"/>
      <c r="C591" s="266"/>
      <c r="D591" s="175"/>
      <c r="E591" s="267"/>
      <c r="F591" s="268"/>
      <c r="G591" s="270"/>
      <c r="H591" s="270"/>
      <c r="I591" s="299"/>
      <c r="J591" s="270"/>
      <c r="K591" s="271"/>
      <c r="L591" s="270"/>
      <c r="M591" s="242"/>
      <c r="N591" s="242"/>
      <c r="P591" s="245"/>
      <c r="Q591" s="277"/>
      <c r="R591" s="277"/>
      <c r="S591" s="277"/>
      <c r="T591" s="277"/>
      <c r="U591" s="277"/>
      <c r="V591" s="277"/>
      <c r="W591" s="273"/>
    </row>
    <row r="592" spans="2:23">
      <c r="B592" s="266"/>
      <c r="C592" s="266"/>
      <c r="D592" s="175"/>
      <c r="E592" s="267"/>
      <c r="F592" s="268"/>
      <c r="G592" s="270"/>
      <c r="H592" s="270"/>
      <c r="I592" s="299"/>
      <c r="J592" s="270"/>
      <c r="K592" s="271"/>
      <c r="L592" s="270"/>
      <c r="M592" s="242"/>
      <c r="N592" s="242"/>
      <c r="P592" s="245"/>
      <c r="Q592" s="277"/>
      <c r="R592" s="277"/>
      <c r="S592" s="277"/>
      <c r="T592" s="277"/>
      <c r="U592" s="277"/>
      <c r="V592" s="277"/>
      <c r="W592" s="273"/>
    </row>
    <row r="593" spans="2:23">
      <c r="B593" s="266"/>
      <c r="C593" s="266"/>
      <c r="D593" s="175"/>
      <c r="E593" s="267"/>
      <c r="F593" s="268"/>
      <c r="G593" s="270"/>
      <c r="H593" s="270"/>
      <c r="I593" s="299"/>
      <c r="J593" s="270"/>
      <c r="K593" s="271"/>
      <c r="L593" s="270"/>
      <c r="M593" s="242"/>
      <c r="N593" s="242"/>
      <c r="P593" s="245"/>
      <c r="Q593" s="277"/>
      <c r="R593" s="277"/>
      <c r="S593" s="277"/>
      <c r="T593" s="277"/>
      <c r="U593" s="277"/>
      <c r="V593" s="277"/>
      <c r="W593" s="273"/>
    </row>
    <row r="594" spans="2:23">
      <c r="B594" s="266"/>
      <c r="C594" s="266"/>
      <c r="D594" s="175"/>
      <c r="E594" s="267"/>
      <c r="F594" s="268"/>
      <c r="G594" s="270"/>
      <c r="H594" s="270"/>
      <c r="I594" s="299"/>
      <c r="J594" s="270"/>
      <c r="K594" s="271"/>
      <c r="L594" s="270"/>
      <c r="M594" s="242"/>
      <c r="N594" s="242"/>
      <c r="P594" s="245"/>
      <c r="Q594" s="277"/>
      <c r="R594" s="277"/>
      <c r="S594" s="277"/>
      <c r="T594" s="277"/>
      <c r="U594" s="277"/>
      <c r="V594" s="277"/>
      <c r="W594" s="273"/>
    </row>
    <row r="595" spans="2:23">
      <c r="B595" s="266"/>
      <c r="C595" s="266"/>
      <c r="D595" s="175"/>
      <c r="E595" s="267"/>
      <c r="F595" s="268"/>
      <c r="G595" s="270"/>
      <c r="H595" s="270"/>
      <c r="I595" s="299"/>
      <c r="J595" s="270"/>
      <c r="K595" s="271"/>
      <c r="L595" s="270"/>
      <c r="M595" s="242"/>
      <c r="N595" s="242"/>
      <c r="P595" s="245"/>
      <c r="Q595" s="277"/>
      <c r="R595" s="277"/>
      <c r="S595" s="277"/>
      <c r="T595" s="277"/>
      <c r="U595" s="277"/>
      <c r="V595" s="277"/>
      <c r="W595" s="273"/>
    </row>
    <row r="596" spans="2:23">
      <c r="B596" s="266"/>
      <c r="C596" s="266"/>
      <c r="D596" s="175"/>
      <c r="E596" s="267"/>
      <c r="F596" s="268"/>
      <c r="G596" s="270"/>
      <c r="H596" s="270"/>
      <c r="I596" s="299"/>
      <c r="J596" s="270"/>
      <c r="K596" s="271"/>
      <c r="L596" s="270"/>
      <c r="M596" s="242"/>
      <c r="N596" s="242"/>
      <c r="P596" s="245"/>
      <c r="Q596" s="277"/>
      <c r="R596" s="277"/>
      <c r="S596" s="277"/>
      <c r="T596" s="277"/>
      <c r="U596" s="277"/>
      <c r="V596" s="277"/>
      <c r="W596" s="273"/>
    </row>
    <row r="597" spans="2:23">
      <c r="B597" s="266"/>
      <c r="C597" s="266"/>
      <c r="D597" s="175"/>
      <c r="E597" s="267"/>
      <c r="F597" s="268"/>
      <c r="G597" s="270"/>
      <c r="H597" s="270"/>
      <c r="I597" s="299"/>
      <c r="J597" s="270"/>
      <c r="K597" s="271"/>
      <c r="L597" s="270"/>
      <c r="M597" s="242"/>
      <c r="N597" s="242"/>
      <c r="P597" s="245"/>
      <c r="Q597" s="277"/>
      <c r="R597" s="277"/>
      <c r="S597" s="277"/>
      <c r="T597" s="277"/>
      <c r="U597" s="277"/>
      <c r="V597" s="277"/>
      <c r="W597" s="273"/>
    </row>
    <row r="598" spans="2:23">
      <c r="B598" s="266"/>
      <c r="C598" s="266"/>
      <c r="D598" s="175"/>
      <c r="E598" s="267"/>
      <c r="F598" s="268"/>
      <c r="G598" s="270"/>
      <c r="H598" s="270"/>
      <c r="I598" s="299"/>
      <c r="J598" s="270"/>
      <c r="K598" s="271"/>
      <c r="L598" s="270"/>
      <c r="M598" s="242"/>
      <c r="N598" s="242"/>
      <c r="P598" s="245"/>
      <c r="Q598" s="277"/>
      <c r="R598" s="277"/>
      <c r="S598" s="277"/>
      <c r="T598" s="277"/>
      <c r="U598" s="277"/>
      <c r="V598" s="277"/>
      <c r="W598" s="273"/>
    </row>
    <row r="599" spans="2:23">
      <c r="B599" s="266"/>
      <c r="C599" s="266"/>
      <c r="D599" s="175"/>
      <c r="E599" s="267"/>
      <c r="F599" s="268"/>
      <c r="G599" s="270"/>
      <c r="H599" s="270"/>
      <c r="I599" s="299"/>
      <c r="J599" s="270"/>
      <c r="K599" s="271"/>
      <c r="L599" s="270"/>
      <c r="M599" s="242"/>
      <c r="N599" s="242"/>
      <c r="P599" s="245"/>
      <c r="Q599" s="277"/>
      <c r="R599" s="277"/>
      <c r="S599" s="277"/>
      <c r="T599" s="277"/>
      <c r="U599" s="277"/>
      <c r="V599" s="277"/>
      <c r="W599" s="273"/>
    </row>
    <row r="600" spans="2:23">
      <c r="B600" s="266"/>
      <c r="C600" s="266"/>
      <c r="D600" s="175"/>
      <c r="E600" s="267"/>
      <c r="F600" s="268"/>
      <c r="G600" s="270"/>
      <c r="H600" s="270"/>
      <c r="I600" s="299"/>
      <c r="J600" s="270"/>
      <c r="K600" s="271"/>
      <c r="L600" s="270"/>
      <c r="M600" s="242"/>
      <c r="N600" s="242"/>
      <c r="P600" s="245"/>
      <c r="Q600" s="277"/>
      <c r="R600" s="277"/>
      <c r="S600" s="277"/>
      <c r="T600" s="277"/>
      <c r="U600" s="277"/>
      <c r="V600" s="277"/>
      <c r="W600" s="273"/>
    </row>
    <row r="601" spans="2:23">
      <c r="B601" s="266"/>
      <c r="C601" s="266"/>
      <c r="D601" s="175"/>
      <c r="E601" s="267"/>
      <c r="F601" s="268"/>
      <c r="G601" s="270"/>
      <c r="H601" s="270"/>
      <c r="I601" s="299"/>
      <c r="J601" s="270"/>
      <c r="K601" s="271"/>
      <c r="L601" s="270"/>
      <c r="M601" s="242"/>
      <c r="N601" s="242"/>
      <c r="P601" s="245"/>
      <c r="Q601" s="277"/>
      <c r="R601" s="277"/>
      <c r="S601" s="277"/>
      <c r="T601" s="277"/>
      <c r="U601" s="277"/>
      <c r="V601" s="277"/>
      <c r="W601" s="273"/>
    </row>
    <row r="602" spans="2:23">
      <c r="B602" s="266"/>
      <c r="C602" s="266"/>
      <c r="D602" s="175"/>
      <c r="E602" s="267"/>
      <c r="F602" s="268"/>
      <c r="G602" s="270"/>
      <c r="H602" s="270"/>
      <c r="I602" s="299"/>
      <c r="J602" s="270"/>
      <c r="K602" s="271"/>
      <c r="L602" s="270"/>
      <c r="M602" s="242"/>
      <c r="N602" s="242"/>
      <c r="P602" s="245"/>
      <c r="Q602" s="277"/>
      <c r="R602" s="277"/>
      <c r="S602" s="277"/>
      <c r="T602" s="277"/>
      <c r="U602" s="277"/>
      <c r="V602" s="277"/>
      <c r="W602" s="273"/>
    </row>
    <row r="603" spans="2:23">
      <c r="B603" s="266"/>
      <c r="C603" s="266"/>
      <c r="D603" s="175"/>
      <c r="E603" s="267"/>
      <c r="F603" s="268"/>
      <c r="G603" s="270"/>
      <c r="H603" s="270"/>
      <c r="I603" s="299"/>
      <c r="J603" s="270"/>
      <c r="K603" s="271"/>
      <c r="L603" s="270"/>
      <c r="M603" s="242"/>
      <c r="N603" s="242"/>
      <c r="P603" s="245"/>
      <c r="Q603" s="277"/>
      <c r="R603" s="277"/>
      <c r="S603" s="277"/>
      <c r="T603" s="277"/>
      <c r="U603" s="277"/>
      <c r="V603" s="277"/>
      <c r="W603" s="273"/>
    </row>
    <row r="604" spans="2:23">
      <c r="B604" s="266"/>
      <c r="C604" s="266"/>
      <c r="D604" s="175"/>
      <c r="E604" s="267"/>
      <c r="F604" s="268"/>
      <c r="G604" s="270"/>
      <c r="H604" s="270"/>
      <c r="I604" s="299"/>
      <c r="J604" s="270"/>
      <c r="K604" s="271"/>
      <c r="L604" s="270"/>
      <c r="M604" s="242"/>
      <c r="N604" s="242"/>
      <c r="P604" s="245"/>
      <c r="Q604" s="277"/>
      <c r="R604" s="277"/>
      <c r="S604" s="277"/>
      <c r="T604" s="277"/>
      <c r="U604" s="277"/>
      <c r="V604" s="277"/>
      <c r="W604" s="273"/>
    </row>
    <row r="605" spans="2:23">
      <c r="B605" s="266"/>
      <c r="C605" s="266"/>
      <c r="D605" s="175"/>
      <c r="E605" s="267"/>
      <c r="F605" s="268"/>
      <c r="G605" s="270"/>
      <c r="H605" s="270"/>
      <c r="I605" s="299"/>
      <c r="J605" s="270"/>
      <c r="K605" s="271"/>
      <c r="L605" s="270"/>
      <c r="M605" s="242"/>
      <c r="N605" s="242"/>
      <c r="P605" s="245"/>
      <c r="Q605" s="277"/>
      <c r="R605" s="277"/>
      <c r="S605" s="277"/>
      <c r="T605" s="277"/>
      <c r="U605" s="277"/>
      <c r="V605" s="277"/>
      <c r="W605" s="273"/>
    </row>
    <row r="606" spans="2:23">
      <c r="B606" s="266"/>
      <c r="C606" s="266"/>
      <c r="D606" s="175"/>
      <c r="E606" s="267"/>
      <c r="F606" s="268"/>
      <c r="G606" s="270"/>
      <c r="H606" s="270"/>
      <c r="I606" s="299"/>
      <c r="J606" s="270"/>
      <c r="K606" s="271"/>
      <c r="L606" s="270"/>
      <c r="M606" s="242"/>
      <c r="N606" s="242"/>
      <c r="P606" s="245"/>
      <c r="Q606" s="277"/>
      <c r="R606" s="277"/>
      <c r="S606" s="277"/>
      <c r="T606" s="277"/>
      <c r="U606" s="277"/>
      <c r="V606" s="277"/>
      <c r="W606" s="273"/>
    </row>
    <row r="607" spans="2:23">
      <c r="B607" s="266"/>
      <c r="C607" s="266"/>
      <c r="D607" s="175"/>
      <c r="E607" s="267"/>
      <c r="F607" s="268"/>
      <c r="G607" s="270"/>
      <c r="H607" s="270"/>
      <c r="I607" s="299"/>
      <c r="J607" s="270"/>
      <c r="K607" s="271"/>
      <c r="L607" s="270"/>
      <c r="M607" s="242"/>
      <c r="N607" s="242"/>
      <c r="P607" s="245"/>
      <c r="Q607" s="277"/>
      <c r="R607" s="277"/>
      <c r="S607" s="277"/>
      <c r="T607" s="277"/>
      <c r="U607" s="277"/>
      <c r="V607" s="277"/>
      <c r="W607" s="273"/>
    </row>
    <row r="608" spans="2:23">
      <c r="B608" s="266"/>
      <c r="C608" s="266"/>
      <c r="D608" s="175"/>
      <c r="E608" s="267"/>
      <c r="F608" s="268"/>
      <c r="G608" s="270"/>
      <c r="H608" s="270"/>
      <c r="I608" s="299"/>
      <c r="J608" s="270"/>
      <c r="K608" s="271"/>
      <c r="L608" s="270"/>
      <c r="M608" s="242"/>
      <c r="N608" s="242"/>
      <c r="P608" s="245"/>
      <c r="Q608" s="277"/>
      <c r="R608" s="277"/>
      <c r="S608" s="277"/>
      <c r="T608" s="277"/>
      <c r="U608" s="277"/>
      <c r="V608" s="277"/>
      <c r="W608" s="273"/>
    </row>
    <row r="609" spans="2:23">
      <c r="B609" s="266"/>
      <c r="C609" s="266"/>
      <c r="D609" s="175"/>
      <c r="E609" s="267"/>
      <c r="F609" s="268"/>
      <c r="G609" s="270"/>
      <c r="H609" s="270"/>
      <c r="I609" s="299"/>
      <c r="J609" s="270"/>
      <c r="K609" s="271"/>
      <c r="L609" s="270"/>
      <c r="M609" s="242"/>
      <c r="N609" s="242"/>
      <c r="P609" s="245"/>
      <c r="Q609" s="277"/>
      <c r="R609" s="277"/>
      <c r="S609" s="277"/>
      <c r="T609" s="277"/>
      <c r="U609" s="277"/>
      <c r="V609" s="277"/>
      <c r="W609" s="273"/>
    </row>
    <row r="610" spans="2:23">
      <c r="B610" s="266"/>
      <c r="C610" s="266"/>
      <c r="D610" s="175"/>
      <c r="E610" s="267"/>
      <c r="F610" s="268"/>
      <c r="G610" s="270"/>
      <c r="H610" s="270"/>
      <c r="I610" s="299"/>
      <c r="J610" s="270"/>
      <c r="K610" s="271"/>
      <c r="L610" s="270"/>
      <c r="M610" s="242"/>
      <c r="N610" s="242"/>
      <c r="P610" s="245"/>
      <c r="Q610" s="277"/>
      <c r="R610" s="277"/>
      <c r="S610" s="277"/>
      <c r="T610" s="277"/>
      <c r="U610" s="277"/>
      <c r="V610" s="277"/>
      <c r="W610" s="273"/>
    </row>
    <row r="611" spans="2:23">
      <c r="B611" s="266"/>
      <c r="C611" s="266"/>
      <c r="D611" s="175"/>
      <c r="E611" s="267"/>
      <c r="F611" s="268"/>
      <c r="G611" s="270"/>
      <c r="H611" s="270"/>
      <c r="I611" s="299"/>
      <c r="J611" s="270"/>
      <c r="K611" s="271"/>
      <c r="L611" s="270"/>
      <c r="M611" s="242"/>
      <c r="N611" s="242"/>
      <c r="P611" s="245"/>
      <c r="Q611" s="277"/>
      <c r="R611" s="277"/>
      <c r="S611" s="277"/>
      <c r="T611" s="277"/>
      <c r="U611" s="277"/>
      <c r="V611" s="277"/>
      <c r="W611" s="273"/>
    </row>
    <row r="612" spans="2:23">
      <c r="B612" s="266"/>
      <c r="C612" s="266"/>
      <c r="D612" s="175"/>
      <c r="E612" s="267"/>
      <c r="F612" s="268"/>
      <c r="G612" s="270"/>
      <c r="H612" s="270"/>
      <c r="I612" s="299"/>
      <c r="J612" s="270"/>
      <c r="K612" s="271"/>
      <c r="L612" s="270"/>
      <c r="M612" s="242"/>
      <c r="N612" s="242"/>
      <c r="P612" s="245"/>
      <c r="Q612" s="277"/>
      <c r="R612" s="277"/>
      <c r="S612" s="277"/>
      <c r="T612" s="277"/>
      <c r="U612" s="277"/>
      <c r="V612" s="277"/>
      <c r="W612" s="273"/>
    </row>
    <row r="613" spans="2:23">
      <c r="B613" s="266"/>
      <c r="C613" s="266"/>
      <c r="D613" s="175"/>
      <c r="E613" s="267"/>
      <c r="F613" s="268"/>
      <c r="G613" s="270"/>
      <c r="H613" s="270"/>
      <c r="I613" s="299"/>
      <c r="J613" s="270"/>
      <c r="K613" s="271"/>
      <c r="L613" s="270"/>
      <c r="M613" s="242"/>
      <c r="N613" s="242"/>
      <c r="P613" s="245"/>
      <c r="Q613" s="277"/>
      <c r="R613" s="277"/>
      <c r="S613" s="277"/>
      <c r="T613" s="277"/>
      <c r="U613" s="277"/>
      <c r="V613" s="277"/>
      <c r="W613" s="273"/>
    </row>
    <row r="614" spans="2:23">
      <c r="B614" s="266"/>
      <c r="C614" s="266"/>
      <c r="D614" s="175"/>
      <c r="E614" s="267"/>
      <c r="F614" s="268"/>
      <c r="G614" s="270"/>
      <c r="H614" s="270"/>
      <c r="I614" s="299"/>
      <c r="J614" s="270"/>
      <c r="K614" s="271"/>
      <c r="L614" s="270"/>
      <c r="M614" s="242"/>
      <c r="N614" s="242"/>
      <c r="P614" s="245"/>
      <c r="Q614" s="277"/>
      <c r="R614" s="277"/>
      <c r="S614" s="277"/>
      <c r="T614" s="277"/>
      <c r="U614" s="277"/>
      <c r="V614" s="277"/>
      <c r="W614" s="273"/>
    </row>
    <row r="615" spans="2:23">
      <c r="B615" s="266"/>
      <c r="C615" s="266"/>
      <c r="D615" s="175"/>
      <c r="E615" s="267"/>
      <c r="F615" s="268"/>
      <c r="G615" s="270"/>
      <c r="H615" s="270"/>
      <c r="I615" s="299"/>
      <c r="J615" s="270"/>
      <c r="K615" s="271"/>
      <c r="L615" s="270"/>
      <c r="M615" s="242"/>
      <c r="N615" s="242"/>
      <c r="P615" s="245"/>
      <c r="Q615" s="277"/>
      <c r="R615" s="277"/>
      <c r="S615" s="277"/>
      <c r="T615" s="277"/>
      <c r="U615" s="277"/>
      <c r="V615" s="277"/>
      <c r="W615" s="273"/>
    </row>
    <row r="616" spans="2:23">
      <c r="B616" s="266"/>
      <c r="C616" s="266"/>
      <c r="D616" s="175"/>
      <c r="E616" s="267"/>
      <c r="F616" s="268"/>
      <c r="G616" s="270"/>
      <c r="H616" s="270"/>
      <c r="I616" s="299"/>
      <c r="J616" s="270"/>
      <c r="K616" s="271"/>
      <c r="L616" s="270"/>
      <c r="M616" s="242"/>
      <c r="N616" s="242"/>
      <c r="P616" s="245"/>
      <c r="Q616" s="277"/>
      <c r="R616" s="277"/>
      <c r="S616" s="277"/>
      <c r="T616" s="277"/>
      <c r="U616" s="277"/>
      <c r="V616" s="277"/>
      <c r="W616" s="273"/>
    </row>
    <row r="617" spans="2:23">
      <c r="B617" s="266"/>
      <c r="C617" s="266"/>
      <c r="D617" s="175"/>
      <c r="E617" s="267"/>
      <c r="F617" s="268"/>
      <c r="G617" s="270"/>
      <c r="H617" s="270"/>
      <c r="I617" s="299"/>
      <c r="J617" s="270"/>
      <c r="K617" s="271"/>
      <c r="L617" s="270"/>
      <c r="M617" s="242"/>
      <c r="N617" s="242"/>
      <c r="P617" s="245"/>
      <c r="Q617" s="277"/>
      <c r="R617" s="277"/>
      <c r="S617" s="277"/>
      <c r="T617" s="277"/>
      <c r="U617" s="277"/>
      <c r="V617" s="277"/>
      <c r="W617" s="273"/>
    </row>
    <row r="618" spans="2:23">
      <c r="B618" s="266"/>
      <c r="C618" s="266"/>
      <c r="D618" s="175"/>
      <c r="E618" s="267"/>
      <c r="F618" s="268"/>
      <c r="G618" s="270"/>
      <c r="H618" s="270"/>
      <c r="I618" s="299"/>
      <c r="J618" s="270"/>
      <c r="K618" s="271"/>
      <c r="L618" s="270"/>
      <c r="M618" s="242"/>
      <c r="N618" s="242"/>
      <c r="P618" s="245"/>
      <c r="Q618" s="277"/>
      <c r="R618" s="277"/>
      <c r="S618" s="277"/>
      <c r="T618" s="277"/>
      <c r="U618" s="277"/>
      <c r="V618" s="277"/>
      <c r="W618" s="273"/>
    </row>
    <row r="619" spans="2:23">
      <c r="B619" s="266"/>
      <c r="C619" s="266"/>
      <c r="D619" s="175"/>
      <c r="E619" s="267"/>
      <c r="F619" s="268"/>
      <c r="G619" s="270"/>
      <c r="H619" s="270"/>
      <c r="I619" s="299"/>
      <c r="J619" s="270"/>
      <c r="K619" s="271"/>
      <c r="L619" s="270"/>
      <c r="M619" s="242"/>
      <c r="N619" s="242"/>
      <c r="P619" s="245"/>
      <c r="Q619" s="277"/>
      <c r="R619" s="277"/>
      <c r="S619" s="277"/>
      <c r="T619" s="277"/>
      <c r="U619" s="277"/>
      <c r="V619" s="277"/>
      <c r="W619" s="273"/>
    </row>
    <row r="620" spans="2:23">
      <c r="B620" s="266"/>
      <c r="C620" s="266"/>
      <c r="D620" s="175"/>
      <c r="E620" s="267"/>
      <c r="F620" s="268"/>
      <c r="G620" s="270"/>
      <c r="H620" s="270"/>
      <c r="I620" s="299"/>
      <c r="J620" s="270"/>
      <c r="K620" s="271"/>
      <c r="L620" s="270"/>
      <c r="M620" s="242"/>
      <c r="N620" s="242"/>
      <c r="P620" s="245"/>
      <c r="Q620" s="277"/>
      <c r="R620" s="277"/>
      <c r="S620" s="277"/>
      <c r="T620" s="277"/>
      <c r="U620" s="277"/>
      <c r="V620" s="277"/>
      <c r="W620" s="273"/>
    </row>
    <row r="621" spans="2:23">
      <c r="B621" s="266"/>
      <c r="C621" s="266"/>
      <c r="D621" s="175"/>
      <c r="E621" s="267"/>
      <c r="F621" s="268"/>
      <c r="G621" s="270"/>
      <c r="H621" s="270"/>
      <c r="I621" s="299"/>
      <c r="J621" s="270"/>
      <c r="K621" s="271"/>
      <c r="L621" s="270"/>
      <c r="M621" s="242"/>
      <c r="N621" s="242"/>
      <c r="P621" s="245"/>
      <c r="Q621" s="277"/>
      <c r="R621" s="277"/>
      <c r="S621" s="277"/>
      <c r="T621" s="277"/>
      <c r="U621" s="277"/>
      <c r="V621" s="277"/>
      <c r="W621" s="273"/>
    </row>
    <row r="622" spans="2:23">
      <c r="B622" s="266"/>
      <c r="C622" s="266"/>
      <c r="D622" s="175"/>
      <c r="E622" s="267"/>
      <c r="F622" s="268"/>
      <c r="G622" s="270"/>
      <c r="H622" s="270"/>
      <c r="I622" s="299"/>
      <c r="J622" s="270"/>
      <c r="K622" s="271"/>
      <c r="L622" s="270"/>
      <c r="M622" s="242"/>
      <c r="N622" s="242"/>
      <c r="P622" s="245"/>
      <c r="Q622" s="277"/>
      <c r="R622" s="277"/>
      <c r="S622" s="277"/>
      <c r="T622" s="277"/>
      <c r="U622" s="277"/>
      <c r="V622" s="277"/>
      <c r="W622" s="273"/>
    </row>
    <row r="623" spans="2:23">
      <c r="B623" s="266"/>
      <c r="C623" s="266"/>
      <c r="D623" s="175"/>
      <c r="E623" s="267"/>
      <c r="F623" s="268"/>
      <c r="G623" s="270"/>
      <c r="H623" s="270"/>
      <c r="I623" s="299"/>
      <c r="J623" s="270"/>
      <c r="K623" s="271"/>
      <c r="L623" s="270"/>
      <c r="M623" s="242"/>
      <c r="N623" s="242"/>
      <c r="P623" s="245"/>
      <c r="Q623" s="277"/>
      <c r="R623" s="277"/>
      <c r="S623" s="277"/>
      <c r="T623" s="277"/>
      <c r="U623" s="277"/>
      <c r="V623" s="277"/>
      <c r="W623" s="273"/>
    </row>
    <row r="624" spans="2:23">
      <c r="B624" s="266"/>
      <c r="C624" s="266"/>
      <c r="D624" s="175"/>
      <c r="E624" s="267"/>
      <c r="F624" s="268"/>
      <c r="G624" s="270"/>
      <c r="H624" s="270"/>
      <c r="I624" s="299"/>
      <c r="J624" s="270"/>
      <c r="K624" s="271"/>
      <c r="L624" s="270"/>
      <c r="M624" s="242"/>
      <c r="N624" s="242"/>
      <c r="P624" s="245"/>
      <c r="Q624" s="277"/>
      <c r="R624" s="277"/>
      <c r="S624" s="277"/>
      <c r="T624" s="277"/>
      <c r="U624" s="277"/>
      <c r="V624" s="277"/>
      <c r="W624" s="273"/>
    </row>
    <row r="625" spans="2:23">
      <c r="B625" s="266"/>
      <c r="C625" s="266"/>
      <c r="D625" s="175"/>
      <c r="E625" s="267"/>
      <c r="F625" s="268"/>
      <c r="G625" s="270"/>
      <c r="H625" s="270"/>
      <c r="I625" s="299"/>
      <c r="J625" s="270"/>
      <c r="K625" s="271"/>
      <c r="L625" s="270"/>
      <c r="M625" s="242"/>
      <c r="N625" s="242"/>
      <c r="P625" s="245"/>
      <c r="Q625" s="277"/>
      <c r="R625" s="277"/>
      <c r="S625" s="277"/>
      <c r="T625" s="277"/>
      <c r="U625" s="277"/>
      <c r="V625" s="277"/>
      <c r="W625" s="273"/>
    </row>
    <row r="626" spans="2:23">
      <c r="B626" s="266"/>
      <c r="C626" s="266"/>
      <c r="D626" s="175"/>
      <c r="E626" s="267"/>
      <c r="F626" s="268"/>
      <c r="G626" s="270"/>
      <c r="H626" s="270"/>
      <c r="I626" s="299"/>
      <c r="J626" s="270"/>
      <c r="K626" s="271"/>
      <c r="L626" s="270"/>
      <c r="M626" s="242"/>
      <c r="N626" s="242"/>
      <c r="P626" s="245"/>
      <c r="Q626" s="277"/>
      <c r="R626" s="277"/>
      <c r="S626" s="277"/>
      <c r="T626" s="277"/>
      <c r="U626" s="277"/>
      <c r="V626" s="277"/>
      <c r="W626" s="273"/>
    </row>
    <row r="627" spans="2:23">
      <c r="B627" s="266"/>
      <c r="C627" s="266"/>
      <c r="D627" s="175"/>
      <c r="E627" s="267"/>
      <c r="F627" s="268"/>
      <c r="G627" s="270"/>
      <c r="H627" s="270"/>
      <c r="I627" s="299"/>
      <c r="J627" s="270"/>
      <c r="K627" s="271"/>
      <c r="L627" s="270"/>
      <c r="M627" s="242"/>
      <c r="N627" s="242"/>
      <c r="P627" s="245"/>
      <c r="Q627" s="277"/>
      <c r="R627" s="277"/>
      <c r="S627" s="277"/>
      <c r="T627" s="277"/>
      <c r="U627" s="277"/>
      <c r="V627" s="277"/>
      <c r="W627" s="273"/>
    </row>
    <row r="628" spans="2:23">
      <c r="B628" s="266"/>
      <c r="C628" s="266"/>
      <c r="D628" s="175"/>
      <c r="E628" s="267"/>
      <c r="F628" s="268"/>
      <c r="G628" s="270"/>
      <c r="H628" s="270"/>
      <c r="I628" s="299"/>
      <c r="J628" s="270"/>
      <c r="K628" s="271"/>
      <c r="L628" s="270"/>
      <c r="M628" s="242"/>
      <c r="N628" s="242"/>
      <c r="P628" s="245"/>
      <c r="Q628" s="277"/>
      <c r="R628" s="277"/>
      <c r="S628" s="277"/>
      <c r="T628" s="277"/>
      <c r="U628" s="277"/>
      <c r="V628" s="277"/>
      <c r="W628" s="273"/>
    </row>
    <row r="629" spans="2:23">
      <c r="B629" s="266"/>
      <c r="C629" s="266"/>
      <c r="D629" s="175"/>
      <c r="E629" s="267"/>
      <c r="F629" s="268"/>
      <c r="G629" s="270"/>
      <c r="H629" s="270"/>
      <c r="I629" s="299"/>
      <c r="J629" s="270"/>
      <c r="K629" s="271"/>
      <c r="L629" s="270"/>
      <c r="M629" s="242"/>
      <c r="N629" s="242"/>
      <c r="P629" s="245"/>
      <c r="Q629" s="277"/>
      <c r="R629" s="277"/>
      <c r="S629" s="277"/>
      <c r="T629" s="277"/>
      <c r="U629" s="277"/>
      <c r="V629" s="277"/>
      <c r="W629" s="273"/>
    </row>
    <row r="630" spans="2:23">
      <c r="B630" s="266"/>
      <c r="C630" s="266"/>
      <c r="D630" s="175"/>
      <c r="E630" s="267"/>
      <c r="F630" s="268"/>
      <c r="G630" s="270"/>
      <c r="H630" s="270"/>
      <c r="I630" s="299"/>
      <c r="J630" s="270"/>
      <c r="K630" s="271"/>
      <c r="L630" s="270"/>
      <c r="M630" s="242"/>
      <c r="N630" s="242"/>
      <c r="P630" s="245"/>
      <c r="Q630" s="277"/>
      <c r="R630" s="277"/>
      <c r="S630" s="277"/>
      <c r="T630" s="277"/>
      <c r="U630" s="277"/>
      <c r="V630" s="277"/>
      <c r="W630" s="273"/>
    </row>
    <row r="631" spans="2:23">
      <c r="B631" s="266"/>
      <c r="C631" s="266"/>
      <c r="D631" s="175"/>
      <c r="E631" s="267"/>
      <c r="F631" s="268"/>
      <c r="G631" s="270"/>
      <c r="H631" s="270"/>
      <c r="I631" s="299"/>
      <c r="J631" s="270"/>
      <c r="K631" s="271"/>
      <c r="L631" s="270"/>
      <c r="M631" s="242"/>
      <c r="N631" s="242"/>
      <c r="P631" s="245"/>
      <c r="Q631" s="277"/>
      <c r="R631" s="277"/>
      <c r="S631" s="277"/>
      <c r="T631" s="277"/>
      <c r="U631" s="277"/>
      <c r="V631" s="277"/>
      <c r="W631" s="273"/>
    </row>
    <row r="632" spans="2:23">
      <c r="B632" s="266"/>
      <c r="C632" s="266"/>
      <c r="D632" s="175"/>
      <c r="E632" s="267"/>
      <c r="F632" s="268"/>
      <c r="G632" s="270"/>
      <c r="H632" s="270"/>
      <c r="I632" s="299"/>
      <c r="J632" s="270"/>
      <c r="K632" s="271"/>
      <c r="L632" s="270"/>
      <c r="M632" s="242"/>
      <c r="N632" s="242"/>
      <c r="P632" s="245"/>
      <c r="Q632" s="277"/>
      <c r="R632" s="277"/>
      <c r="S632" s="277"/>
      <c r="T632" s="277"/>
      <c r="U632" s="277"/>
      <c r="V632" s="277"/>
      <c r="W632" s="273"/>
    </row>
    <row r="633" spans="2:23">
      <c r="B633" s="266"/>
      <c r="C633" s="266"/>
      <c r="D633" s="175"/>
      <c r="E633" s="267"/>
      <c r="F633" s="268"/>
      <c r="G633" s="270"/>
      <c r="H633" s="270"/>
      <c r="I633" s="299"/>
      <c r="J633" s="270"/>
      <c r="K633" s="271"/>
      <c r="L633" s="270"/>
      <c r="M633" s="242"/>
      <c r="N633" s="242"/>
      <c r="P633" s="245"/>
      <c r="Q633" s="277"/>
      <c r="R633" s="277"/>
      <c r="S633" s="277"/>
      <c r="T633" s="277"/>
      <c r="U633" s="277"/>
      <c r="V633" s="277"/>
      <c r="W633" s="273"/>
    </row>
    <row r="634" spans="2:23">
      <c r="B634" s="266"/>
      <c r="C634" s="266"/>
      <c r="D634" s="175"/>
      <c r="E634" s="267"/>
      <c r="F634" s="268"/>
      <c r="G634" s="270"/>
      <c r="H634" s="270"/>
      <c r="I634" s="299"/>
      <c r="J634" s="270"/>
      <c r="K634" s="271"/>
      <c r="L634" s="270"/>
      <c r="M634" s="242"/>
      <c r="N634" s="242"/>
      <c r="P634" s="245"/>
      <c r="Q634" s="277"/>
      <c r="R634" s="277"/>
      <c r="S634" s="277"/>
      <c r="T634" s="277"/>
      <c r="U634" s="277"/>
      <c r="V634" s="277"/>
      <c r="W634" s="273"/>
    </row>
    <row r="635" spans="2:23">
      <c r="B635" s="266"/>
      <c r="C635" s="266"/>
      <c r="D635" s="175"/>
      <c r="E635" s="267"/>
      <c r="F635" s="268"/>
      <c r="G635" s="270"/>
      <c r="H635" s="270"/>
      <c r="I635" s="299"/>
      <c r="J635" s="270"/>
      <c r="K635" s="271"/>
      <c r="L635" s="270"/>
      <c r="M635" s="242"/>
      <c r="N635" s="242"/>
      <c r="P635" s="245"/>
      <c r="Q635" s="277"/>
      <c r="R635" s="277"/>
      <c r="S635" s="277"/>
      <c r="T635" s="277"/>
      <c r="U635" s="277"/>
      <c r="V635" s="277"/>
      <c r="W635" s="273"/>
    </row>
    <row r="636" spans="2:23">
      <c r="B636" s="266"/>
      <c r="C636" s="266"/>
      <c r="D636" s="175"/>
      <c r="E636" s="267"/>
      <c r="F636" s="268"/>
      <c r="G636" s="270"/>
      <c r="H636" s="270"/>
      <c r="I636" s="299"/>
      <c r="J636" s="270"/>
      <c r="K636" s="271"/>
      <c r="L636" s="270"/>
      <c r="M636" s="242"/>
      <c r="N636" s="242"/>
      <c r="P636" s="245"/>
      <c r="Q636" s="277"/>
      <c r="R636" s="277"/>
      <c r="S636" s="277"/>
      <c r="T636" s="277"/>
      <c r="U636" s="277"/>
      <c r="V636" s="277"/>
      <c r="W636" s="273"/>
    </row>
    <row r="637" spans="2:23">
      <c r="B637" s="266"/>
      <c r="C637" s="266"/>
      <c r="D637" s="175"/>
      <c r="E637" s="267"/>
      <c r="F637" s="268"/>
      <c r="G637" s="270"/>
      <c r="H637" s="270"/>
      <c r="I637" s="299"/>
      <c r="J637" s="270"/>
      <c r="K637" s="271"/>
      <c r="L637" s="270"/>
      <c r="M637" s="242"/>
      <c r="N637" s="242"/>
      <c r="P637" s="245"/>
      <c r="Q637" s="277"/>
      <c r="R637" s="277"/>
      <c r="S637" s="277"/>
      <c r="T637" s="277"/>
      <c r="U637" s="277"/>
      <c r="V637" s="277"/>
      <c r="W637" s="273"/>
    </row>
    <row r="638" spans="2:23">
      <c r="B638" s="266"/>
      <c r="C638" s="266"/>
      <c r="D638" s="175"/>
      <c r="E638" s="267"/>
      <c r="F638" s="268"/>
      <c r="G638" s="270"/>
      <c r="H638" s="270"/>
      <c r="I638" s="299"/>
      <c r="J638" s="270"/>
      <c r="K638" s="271"/>
      <c r="L638" s="270"/>
      <c r="M638" s="242"/>
      <c r="N638" s="242"/>
      <c r="P638" s="245"/>
      <c r="Q638" s="277"/>
      <c r="R638" s="277"/>
      <c r="S638" s="277"/>
      <c r="T638" s="277"/>
      <c r="U638" s="277"/>
      <c r="V638" s="277"/>
      <c r="W638" s="273"/>
    </row>
    <row r="639" spans="2:23">
      <c r="B639" s="266"/>
      <c r="C639" s="266"/>
      <c r="D639" s="175"/>
      <c r="E639" s="267"/>
      <c r="F639" s="268"/>
      <c r="G639" s="270"/>
      <c r="H639" s="270"/>
      <c r="I639" s="299"/>
      <c r="J639" s="270"/>
      <c r="K639" s="271"/>
      <c r="L639" s="270"/>
      <c r="M639" s="242"/>
      <c r="N639" s="242"/>
      <c r="P639" s="245"/>
      <c r="Q639" s="277"/>
      <c r="R639" s="277"/>
      <c r="S639" s="277"/>
      <c r="T639" s="277"/>
      <c r="U639" s="277"/>
      <c r="V639" s="277"/>
      <c r="W639" s="273"/>
    </row>
    <row r="640" spans="2:23">
      <c r="B640" s="266"/>
      <c r="C640" s="266"/>
      <c r="D640" s="175"/>
      <c r="E640" s="267"/>
      <c r="F640" s="268"/>
      <c r="G640" s="270"/>
      <c r="H640" s="270"/>
      <c r="I640" s="299"/>
      <c r="J640" s="270"/>
      <c r="K640" s="271"/>
      <c r="L640" s="270"/>
      <c r="M640" s="242"/>
      <c r="N640" s="242"/>
      <c r="P640" s="245"/>
      <c r="Q640" s="277"/>
      <c r="R640" s="277"/>
      <c r="S640" s="277"/>
      <c r="T640" s="277"/>
      <c r="U640" s="277"/>
      <c r="V640" s="277"/>
      <c r="W640" s="273"/>
    </row>
    <row r="641" spans="2:23">
      <c r="B641" s="266"/>
      <c r="C641" s="266"/>
      <c r="D641" s="175"/>
      <c r="E641" s="267"/>
      <c r="F641" s="268"/>
      <c r="G641" s="270"/>
      <c r="H641" s="270"/>
      <c r="I641" s="299"/>
      <c r="J641" s="270"/>
      <c r="K641" s="271"/>
      <c r="L641" s="270"/>
      <c r="M641" s="242"/>
      <c r="N641" s="242"/>
      <c r="P641" s="245"/>
      <c r="Q641" s="277"/>
      <c r="R641" s="277"/>
      <c r="S641" s="277"/>
      <c r="T641" s="277"/>
      <c r="U641" s="277"/>
      <c r="V641" s="277"/>
      <c r="W641" s="273"/>
    </row>
    <row r="642" spans="2:23">
      <c r="B642" s="266"/>
      <c r="C642" s="266"/>
      <c r="D642" s="175"/>
      <c r="E642" s="267"/>
      <c r="F642" s="268"/>
      <c r="G642" s="270"/>
      <c r="H642" s="270"/>
      <c r="I642" s="299"/>
      <c r="J642" s="270"/>
      <c r="K642" s="271"/>
      <c r="L642" s="270"/>
      <c r="M642" s="242"/>
      <c r="N642" s="242"/>
      <c r="P642" s="245"/>
      <c r="Q642" s="277"/>
      <c r="R642" s="277"/>
      <c r="S642" s="277"/>
      <c r="T642" s="277"/>
      <c r="U642" s="277"/>
      <c r="V642" s="277"/>
      <c r="W642" s="273"/>
    </row>
    <row r="643" spans="2:23">
      <c r="B643" s="266"/>
      <c r="C643" s="266"/>
      <c r="D643" s="175"/>
      <c r="E643" s="267"/>
      <c r="F643" s="268"/>
      <c r="G643" s="270"/>
      <c r="H643" s="270"/>
      <c r="I643" s="299"/>
      <c r="J643" s="270"/>
      <c r="K643" s="271"/>
      <c r="L643" s="270"/>
      <c r="M643" s="242"/>
      <c r="N643" s="242"/>
      <c r="P643" s="245"/>
      <c r="Q643" s="277"/>
      <c r="R643" s="277"/>
      <c r="S643" s="277"/>
      <c r="T643" s="277"/>
      <c r="U643" s="277"/>
      <c r="V643" s="277"/>
      <c r="W643" s="273"/>
    </row>
    <row r="644" spans="2:23">
      <c r="B644" s="266"/>
      <c r="C644" s="266"/>
      <c r="D644" s="175"/>
      <c r="E644" s="267"/>
      <c r="F644" s="268"/>
      <c r="G644" s="270"/>
      <c r="H644" s="270"/>
      <c r="I644" s="299"/>
      <c r="J644" s="270"/>
      <c r="K644" s="271"/>
      <c r="L644" s="270"/>
      <c r="M644" s="242"/>
      <c r="N644" s="242"/>
      <c r="P644" s="245"/>
      <c r="Q644" s="277"/>
      <c r="R644" s="277"/>
      <c r="S644" s="277"/>
      <c r="T644" s="277"/>
      <c r="U644" s="277"/>
      <c r="V644" s="277"/>
      <c r="W644" s="273"/>
    </row>
    <row r="645" spans="2:23">
      <c r="B645" s="266"/>
      <c r="C645" s="266"/>
      <c r="D645" s="175"/>
      <c r="E645" s="267"/>
      <c r="F645" s="268"/>
      <c r="G645" s="270"/>
      <c r="H645" s="270"/>
      <c r="I645" s="299"/>
      <c r="J645" s="270"/>
      <c r="K645" s="271"/>
      <c r="L645" s="270"/>
      <c r="M645" s="242"/>
      <c r="N645" s="242"/>
      <c r="P645" s="245"/>
      <c r="Q645" s="277"/>
      <c r="R645" s="277"/>
      <c r="S645" s="277"/>
      <c r="T645" s="277"/>
      <c r="U645" s="277"/>
      <c r="V645" s="277"/>
      <c r="W645" s="273"/>
    </row>
    <row r="646" spans="2:23">
      <c r="B646" s="266"/>
      <c r="C646" s="266"/>
      <c r="D646" s="175"/>
      <c r="E646" s="267"/>
      <c r="F646" s="268"/>
      <c r="G646" s="270"/>
      <c r="H646" s="270"/>
      <c r="I646" s="299"/>
      <c r="J646" s="270"/>
      <c r="K646" s="271"/>
      <c r="L646" s="270"/>
      <c r="M646" s="242"/>
      <c r="N646" s="242"/>
      <c r="P646" s="245"/>
      <c r="Q646" s="277"/>
      <c r="R646" s="277"/>
      <c r="S646" s="277"/>
      <c r="T646" s="277"/>
      <c r="U646" s="277"/>
      <c r="V646" s="277"/>
      <c r="W646" s="273"/>
    </row>
    <row r="647" spans="2:23">
      <c r="B647" s="266"/>
      <c r="C647" s="266"/>
      <c r="D647" s="175"/>
      <c r="E647" s="267"/>
      <c r="F647" s="268"/>
      <c r="G647" s="270"/>
      <c r="H647" s="270"/>
      <c r="I647" s="299"/>
      <c r="J647" s="270"/>
      <c r="K647" s="271"/>
      <c r="L647" s="270"/>
      <c r="M647" s="242"/>
      <c r="N647" s="242"/>
      <c r="P647" s="245"/>
      <c r="Q647" s="277"/>
      <c r="R647" s="277"/>
      <c r="S647" s="277"/>
      <c r="T647" s="277"/>
      <c r="U647" s="277"/>
      <c r="V647" s="277"/>
      <c r="W647" s="273"/>
    </row>
    <row r="648" spans="2:23">
      <c r="B648" s="266"/>
      <c r="C648" s="266"/>
      <c r="D648" s="175"/>
      <c r="E648" s="267"/>
      <c r="F648" s="268"/>
      <c r="G648" s="270"/>
      <c r="H648" s="270"/>
      <c r="I648" s="299"/>
      <c r="J648" s="270"/>
      <c r="K648" s="271"/>
      <c r="L648" s="270"/>
      <c r="M648" s="242"/>
      <c r="N648" s="242"/>
      <c r="P648" s="245"/>
      <c r="Q648" s="277"/>
      <c r="R648" s="277"/>
      <c r="S648" s="277"/>
      <c r="T648" s="277"/>
      <c r="U648" s="277"/>
      <c r="V648" s="277"/>
      <c r="W648" s="273"/>
    </row>
    <row r="649" spans="2:23">
      <c r="B649" s="266"/>
      <c r="C649" s="266"/>
      <c r="D649" s="175"/>
      <c r="E649" s="267"/>
      <c r="F649" s="268"/>
      <c r="G649" s="270"/>
      <c r="H649" s="270"/>
      <c r="I649" s="299"/>
      <c r="J649" s="270"/>
      <c r="K649" s="271"/>
      <c r="L649" s="270"/>
      <c r="M649" s="242"/>
      <c r="N649" s="242"/>
      <c r="P649" s="245"/>
      <c r="Q649" s="277"/>
      <c r="R649" s="277"/>
      <c r="S649" s="277"/>
      <c r="T649" s="277"/>
      <c r="U649" s="277"/>
      <c r="V649" s="277"/>
      <c r="W649" s="273"/>
    </row>
    <row r="650" spans="2:23">
      <c r="B650" s="266"/>
      <c r="C650" s="266"/>
      <c r="D650" s="175"/>
      <c r="E650" s="267"/>
      <c r="F650" s="268"/>
      <c r="G650" s="270"/>
      <c r="H650" s="270"/>
      <c r="I650" s="299"/>
      <c r="J650" s="270"/>
      <c r="K650" s="271"/>
      <c r="L650" s="270"/>
      <c r="M650" s="242"/>
      <c r="N650" s="242"/>
      <c r="P650" s="245"/>
      <c r="Q650" s="277"/>
      <c r="R650" s="277"/>
      <c r="S650" s="277"/>
      <c r="T650" s="277"/>
      <c r="U650" s="277"/>
      <c r="V650" s="277"/>
      <c r="W650" s="273"/>
    </row>
    <row r="651" spans="2:23">
      <c r="B651" s="266"/>
      <c r="C651" s="266"/>
      <c r="D651" s="175"/>
      <c r="E651" s="267"/>
      <c r="F651" s="268"/>
      <c r="G651" s="270"/>
      <c r="H651" s="270"/>
      <c r="I651" s="299"/>
      <c r="J651" s="270"/>
      <c r="K651" s="271"/>
      <c r="L651" s="270"/>
      <c r="M651" s="242"/>
      <c r="N651" s="242"/>
      <c r="P651" s="245"/>
      <c r="Q651" s="277"/>
      <c r="R651" s="277"/>
      <c r="S651" s="277"/>
      <c r="T651" s="277"/>
      <c r="U651" s="277"/>
      <c r="V651" s="277"/>
      <c r="W651" s="273"/>
    </row>
    <row r="652" spans="2:23">
      <c r="B652" s="266"/>
      <c r="C652" s="266"/>
      <c r="D652" s="175"/>
      <c r="E652" s="267"/>
      <c r="F652" s="268"/>
      <c r="G652" s="270"/>
      <c r="H652" s="270"/>
      <c r="I652" s="299"/>
      <c r="J652" s="270"/>
      <c r="K652" s="271"/>
      <c r="L652" s="270"/>
      <c r="M652" s="242"/>
      <c r="N652" s="242"/>
      <c r="P652" s="245"/>
      <c r="Q652" s="277"/>
      <c r="R652" s="277"/>
      <c r="S652" s="277"/>
      <c r="T652" s="277"/>
      <c r="U652" s="277"/>
      <c r="V652" s="277"/>
      <c r="W652" s="273"/>
    </row>
    <row r="653" spans="2:23">
      <c r="B653" s="266"/>
      <c r="C653" s="266"/>
      <c r="D653" s="175"/>
      <c r="E653" s="267"/>
      <c r="F653" s="268"/>
      <c r="G653" s="270"/>
      <c r="H653" s="270"/>
      <c r="I653" s="299"/>
      <c r="J653" s="270"/>
      <c r="K653" s="271"/>
      <c r="L653" s="270"/>
      <c r="M653" s="242"/>
      <c r="N653" s="242"/>
      <c r="P653" s="245"/>
      <c r="Q653" s="277"/>
      <c r="R653" s="277"/>
      <c r="S653" s="277"/>
      <c r="T653" s="277"/>
      <c r="U653" s="277"/>
      <c r="V653" s="277"/>
      <c r="W653" s="273"/>
    </row>
    <row r="654" spans="2:23">
      <c r="B654" s="266"/>
      <c r="C654" s="266"/>
      <c r="D654" s="175"/>
      <c r="E654" s="267"/>
      <c r="F654" s="268"/>
      <c r="G654" s="270"/>
      <c r="H654" s="270"/>
      <c r="I654" s="299"/>
      <c r="J654" s="270"/>
      <c r="K654" s="271"/>
      <c r="L654" s="270"/>
      <c r="M654" s="242"/>
      <c r="N654" s="242"/>
      <c r="P654" s="245"/>
      <c r="Q654" s="277"/>
      <c r="R654" s="277"/>
      <c r="S654" s="277"/>
      <c r="T654" s="277"/>
      <c r="U654" s="277"/>
      <c r="V654" s="277"/>
      <c r="W654" s="273"/>
    </row>
    <row r="655" spans="2:23">
      <c r="B655" s="266"/>
      <c r="C655" s="266"/>
      <c r="D655" s="175"/>
      <c r="E655" s="267"/>
      <c r="F655" s="268"/>
      <c r="G655" s="270"/>
      <c r="H655" s="270"/>
      <c r="I655" s="299"/>
      <c r="J655" s="270"/>
      <c r="K655" s="271"/>
      <c r="L655" s="270"/>
      <c r="M655" s="242"/>
      <c r="N655" s="242"/>
      <c r="P655" s="245"/>
      <c r="Q655" s="277"/>
      <c r="R655" s="277"/>
      <c r="S655" s="277"/>
      <c r="T655" s="277"/>
      <c r="U655" s="277"/>
      <c r="V655" s="277"/>
      <c r="W655" s="273"/>
    </row>
    <row r="656" spans="2:23">
      <c r="B656" s="266"/>
      <c r="C656" s="266"/>
      <c r="D656" s="175"/>
      <c r="E656" s="267"/>
      <c r="F656" s="268"/>
      <c r="G656" s="270"/>
      <c r="H656" s="270"/>
      <c r="I656" s="299"/>
      <c r="J656" s="270"/>
      <c r="K656" s="271"/>
      <c r="L656" s="270"/>
      <c r="M656" s="242"/>
      <c r="N656" s="242"/>
      <c r="P656" s="245"/>
      <c r="Q656" s="277"/>
      <c r="R656" s="277"/>
      <c r="S656" s="277"/>
      <c r="T656" s="277"/>
      <c r="U656" s="277"/>
      <c r="V656" s="277"/>
      <c r="W656" s="273"/>
    </row>
    <row r="657" spans="2:23">
      <c r="B657" s="266"/>
      <c r="C657" s="266"/>
      <c r="D657" s="175"/>
      <c r="E657" s="267"/>
      <c r="F657" s="268"/>
      <c r="G657" s="270"/>
      <c r="H657" s="270"/>
      <c r="I657" s="299"/>
      <c r="J657" s="270"/>
      <c r="K657" s="271"/>
      <c r="L657" s="270"/>
      <c r="M657" s="242"/>
      <c r="N657" s="242"/>
      <c r="P657" s="245"/>
      <c r="Q657" s="277"/>
      <c r="R657" s="277"/>
      <c r="S657" s="277"/>
      <c r="T657" s="277"/>
      <c r="U657" s="277"/>
      <c r="V657" s="277"/>
      <c r="W657" s="273"/>
    </row>
    <row r="658" spans="2:23">
      <c r="B658" s="266"/>
      <c r="C658" s="266"/>
      <c r="D658" s="175"/>
      <c r="E658" s="267"/>
      <c r="F658" s="268"/>
      <c r="G658" s="270"/>
      <c r="H658" s="270"/>
      <c r="I658" s="299"/>
      <c r="J658" s="270"/>
      <c r="K658" s="271"/>
      <c r="L658" s="270"/>
      <c r="M658" s="242"/>
      <c r="N658" s="242"/>
      <c r="P658" s="245"/>
      <c r="Q658" s="277"/>
      <c r="R658" s="277"/>
      <c r="S658" s="277"/>
      <c r="T658" s="277"/>
      <c r="U658" s="277"/>
      <c r="V658" s="277"/>
      <c r="W658" s="273"/>
    </row>
    <row r="659" spans="2:23">
      <c r="B659" s="266"/>
      <c r="C659" s="266"/>
      <c r="D659" s="175"/>
      <c r="E659" s="267"/>
      <c r="F659" s="268"/>
      <c r="G659" s="270"/>
      <c r="H659" s="270"/>
      <c r="I659" s="299"/>
      <c r="J659" s="270"/>
      <c r="K659" s="271"/>
      <c r="L659" s="270"/>
      <c r="M659" s="242"/>
      <c r="N659" s="242"/>
      <c r="P659" s="245"/>
      <c r="Q659" s="277"/>
      <c r="R659" s="277"/>
      <c r="S659" s="277"/>
      <c r="T659" s="277"/>
      <c r="U659" s="277"/>
      <c r="V659" s="277"/>
      <c r="W659" s="273"/>
    </row>
    <row r="660" spans="2:23">
      <c r="B660" s="266"/>
      <c r="C660" s="266"/>
      <c r="D660" s="175"/>
      <c r="E660" s="267"/>
      <c r="F660" s="268"/>
      <c r="G660" s="270"/>
      <c r="H660" s="270"/>
      <c r="I660" s="299"/>
      <c r="J660" s="270"/>
      <c r="K660" s="271"/>
      <c r="L660" s="270"/>
      <c r="M660" s="242"/>
      <c r="N660" s="242"/>
      <c r="P660" s="245"/>
      <c r="Q660" s="277"/>
      <c r="R660" s="277"/>
      <c r="S660" s="277"/>
      <c r="T660" s="277"/>
      <c r="U660" s="277"/>
      <c r="V660" s="277"/>
      <c r="W660" s="273"/>
    </row>
    <row r="661" spans="2:23">
      <c r="B661" s="266"/>
      <c r="C661" s="266"/>
      <c r="D661" s="175"/>
      <c r="E661" s="267"/>
      <c r="F661" s="268"/>
      <c r="G661" s="270"/>
      <c r="H661" s="270"/>
      <c r="I661" s="299"/>
      <c r="J661" s="270"/>
      <c r="K661" s="271"/>
      <c r="L661" s="270"/>
      <c r="M661" s="242"/>
      <c r="N661" s="242"/>
      <c r="P661" s="245"/>
      <c r="Q661" s="277"/>
      <c r="R661" s="277"/>
      <c r="S661" s="277"/>
      <c r="T661" s="277"/>
      <c r="U661" s="277"/>
      <c r="V661" s="277"/>
      <c r="W661" s="273"/>
    </row>
    <row r="662" spans="2:23">
      <c r="B662" s="266"/>
      <c r="C662" s="266"/>
      <c r="D662" s="175"/>
      <c r="E662" s="267"/>
      <c r="F662" s="268"/>
      <c r="G662" s="270"/>
      <c r="H662" s="270"/>
      <c r="I662" s="299"/>
      <c r="J662" s="270"/>
      <c r="K662" s="271"/>
      <c r="L662" s="270"/>
      <c r="M662" s="242"/>
      <c r="N662" s="242"/>
      <c r="P662" s="245"/>
      <c r="Q662" s="277"/>
      <c r="R662" s="277"/>
      <c r="S662" s="277"/>
      <c r="T662" s="277"/>
      <c r="U662" s="277"/>
      <c r="V662" s="277"/>
      <c r="W662" s="273"/>
    </row>
    <row r="663" spans="2:23">
      <c r="B663" s="266"/>
      <c r="C663" s="266"/>
      <c r="D663" s="175"/>
      <c r="E663" s="267"/>
      <c r="F663" s="268"/>
      <c r="G663" s="270"/>
      <c r="H663" s="270"/>
      <c r="I663" s="299"/>
      <c r="J663" s="270"/>
      <c r="K663" s="271"/>
      <c r="L663" s="270"/>
      <c r="M663" s="242"/>
      <c r="N663" s="242"/>
      <c r="P663" s="245"/>
      <c r="Q663" s="277"/>
      <c r="R663" s="277"/>
      <c r="S663" s="277"/>
      <c r="T663" s="277"/>
      <c r="U663" s="277"/>
      <c r="V663" s="277"/>
      <c r="W663" s="273"/>
    </row>
    <row r="664" spans="2:23">
      <c r="B664" s="266"/>
      <c r="C664" s="266"/>
      <c r="D664" s="175"/>
      <c r="E664" s="267"/>
      <c r="F664" s="268"/>
      <c r="G664" s="270"/>
      <c r="H664" s="270"/>
      <c r="I664" s="299"/>
      <c r="J664" s="270"/>
      <c r="K664" s="271"/>
      <c r="L664" s="270"/>
      <c r="M664" s="242"/>
      <c r="N664" s="242"/>
      <c r="P664" s="245"/>
      <c r="Q664" s="277"/>
      <c r="R664" s="277"/>
      <c r="S664" s="277"/>
      <c r="T664" s="277"/>
      <c r="U664" s="277"/>
      <c r="V664" s="277"/>
      <c r="W664" s="273"/>
    </row>
    <row r="665" spans="2:23">
      <c r="B665" s="266"/>
      <c r="C665" s="266"/>
      <c r="D665" s="175"/>
      <c r="E665" s="267"/>
      <c r="F665" s="268"/>
      <c r="G665" s="270"/>
      <c r="H665" s="270"/>
      <c r="I665" s="299"/>
      <c r="J665" s="270"/>
      <c r="K665" s="271"/>
      <c r="L665" s="270"/>
      <c r="M665" s="242"/>
      <c r="N665" s="242"/>
      <c r="P665" s="245"/>
      <c r="Q665" s="277"/>
      <c r="R665" s="277"/>
      <c r="S665" s="277"/>
      <c r="T665" s="277"/>
      <c r="U665" s="277"/>
      <c r="V665" s="277"/>
      <c r="W665" s="273"/>
    </row>
    <row r="666" spans="2:23">
      <c r="B666" s="266"/>
      <c r="C666" s="266"/>
      <c r="D666" s="175"/>
      <c r="E666" s="267"/>
      <c r="F666" s="268"/>
      <c r="G666" s="270"/>
      <c r="H666" s="270"/>
      <c r="I666" s="299"/>
      <c r="J666" s="270"/>
      <c r="K666" s="271"/>
      <c r="L666" s="270"/>
      <c r="M666" s="242"/>
      <c r="N666" s="242"/>
      <c r="P666" s="245"/>
      <c r="Q666" s="277"/>
      <c r="R666" s="277"/>
      <c r="S666" s="277"/>
      <c r="T666" s="277"/>
      <c r="U666" s="277"/>
      <c r="V666" s="277"/>
      <c r="W666" s="273"/>
    </row>
    <row r="667" spans="2:23">
      <c r="B667" s="266"/>
      <c r="C667" s="266"/>
      <c r="D667" s="175"/>
      <c r="E667" s="267"/>
      <c r="F667" s="268"/>
      <c r="G667" s="270"/>
      <c r="H667" s="270"/>
      <c r="I667" s="299"/>
      <c r="J667" s="270"/>
      <c r="K667" s="271"/>
      <c r="L667" s="270"/>
      <c r="M667" s="242"/>
      <c r="N667" s="242"/>
      <c r="P667" s="245"/>
      <c r="Q667" s="277"/>
      <c r="R667" s="277"/>
      <c r="S667" s="277"/>
      <c r="T667" s="277"/>
      <c r="U667" s="277"/>
      <c r="V667" s="277"/>
      <c r="W667" s="273"/>
    </row>
    <row r="668" spans="2:23">
      <c r="B668" s="266"/>
      <c r="C668" s="266"/>
      <c r="D668" s="175"/>
      <c r="E668" s="267"/>
      <c r="F668" s="268"/>
      <c r="G668" s="270"/>
      <c r="H668" s="270"/>
      <c r="I668" s="299"/>
      <c r="J668" s="270"/>
      <c r="K668" s="271"/>
      <c r="L668" s="270"/>
      <c r="M668" s="242"/>
      <c r="N668" s="242"/>
      <c r="P668" s="245"/>
      <c r="Q668" s="277"/>
      <c r="R668" s="277"/>
      <c r="S668" s="277"/>
      <c r="T668" s="277"/>
      <c r="U668" s="277"/>
      <c r="V668" s="277"/>
      <c r="W668" s="273"/>
    </row>
    <row r="669" spans="2:23">
      <c r="B669" s="266"/>
      <c r="C669" s="266"/>
      <c r="D669" s="175"/>
      <c r="E669" s="267"/>
      <c r="F669" s="268"/>
      <c r="G669" s="270"/>
      <c r="H669" s="270"/>
      <c r="I669" s="299"/>
      <c r="J669" s="270"/>
      <c r="K669" s="271"/>
      <c r="L669" s="270"/>
      <c r="M669" s="242"/>
      <c r="N669" s="242"/>
      <c r="P669" s="245"/>
      <c r="Q669" s="277"/>
      <c r="R669" s="277"/>
      <c r="S669" s="277"/>
      <c r="T669" s="277"/>
      <c r="U669" s="277"/>
      <c r="V669" s="277"/>
      <c r="W669" s="273"/>
    </row>
    <row r="670" spans="2:23">
      <c r="B670" s="266"/>
      <c r="C670" s="266"/>
      <c r="D670" s="175"/>
      <c r="E670" s="267"/>
      <c r="F670" s="268"/>
      <c r="G670" s="270"/>
      <c r="H670" s="270"/>
      <c r="I670" s="299"/>
      <c r="J670" s="270"/>
      <c r="K670" s="271"/>
      <c r="L670" s="270"/>
      <c r="M670" s="242"/>
      <c r="N670" s="242"/>
      <c r="P670" s="245"/>
      <c r="Q670" s="277"/>
      <c r="R670" s="277"/>
      <c r="S670" s="277"/>
      <c r="T670" s="277"/>
      <c r="U670" s="277"/>
      <c r="V670" s="277"/>
      <c r="W670" s="273"/>
    </row>
    <row r="671" spans="2:23">
      <c r="B671" s="266"/>
      <c r="C671" s="266"/>
      <c r="D671" s="175"/>
      <c r="E671" s="267"/>
      <c r="F671" s="268"/>
      <c r="G671" s="270"/>
      <c r="H671" s="270"/>
      <c r="I671" s="299"/>
      <c r="J671" s="270"/>
      <c r="K671" s="271"/>
      <c r="L671" s="270"/>
      <c r="M671" s="242"/>
      <c r="N671" s="242"/>
      <c r="P671" s="245"/>
      <c r="Q671" s="277"/>
      <c r="R671" s="277"/>
      <c r="S671" s="277"/>
      <c r="T671" s="277"/>
      <c r="U671" s="277"/>
      <c r="V671" s="277"/>
      <c r="W671" s="273"/>
    </row>
    <row r="672" spans="2:23">
      <c r="B672" s="266"/>
      <c r="C672" s="266"/>
      <c r="D672" s="175"/>
      <c r="E672" s="267"/>
      <c r="F672" s="268"/>
      <c r="G672" s="270"/>
      <c r="H672" s="270"/>
      <c r="I672" s="299"/>
      <c r="J672" s="270"/>
      <c r="K672" s="271"/>
      <c r="L672" s="270"/>
      <c r="M672" s="242"/>
      <c r="N672" s="242"/>
      <c r="P672" s="245"/>
      <c r="Q672" s="277"/>
      <c r="R672" s="277"/>
      <c r="S672" s="277"/>
      <c r="T672" s="277"/>
      <c r="U672" s="277"/>
      <c r="V672" s="277"/>
      <c r="W672" s="273"/>
    </row>
    <row r="673" spans="2:23">
      <c r="B673" s="266"/>
      <c r="C673" s="266"/>
      <c r="D673" s="175"/>
      <c r="E673" s="267"/>
      <c r="F673" s="268"/>
      <c r="G673" s="270"/>
      <c r="H673" s="270"/>
      <c r="I673" s="299"/>
      <c r="J673" s="270"/>
      <c r="K673" s="271"/>
      <c r="L673" s="270"/>
      <c r="M673" s="242"/>
      <c r="N673" s="242"/>
      <c r="P673" s="245"/>
      <c r="Q673" s="277"/>
      <c r="R673" s="277"/>
      <c r="S673" s="277"/>
      <c r="T673" s="277"/>
      <c r="U673" s="277"/>
      <c r="V673" s="277"/>
      <c r="W673" s="273"/>
    </row>
    <row r="674" spans="2:23">
      <c r="B674" s="266"/>
      <c r="C674" s="266"/>
      <c r="D674" s="175"/>
      <c r="E674" s="267"/>
      <c r="F674" s="268"/>
      <c r="G674" s="270"/>
      <c r="H674" s="270"/>
      <c r="I674" s="299"/>
      <c r="J674" s="270"/>
      <c r="K674" s="271"/>
      <c r="L674" s="270"/>
      <c r="M674" s="242"/>
      <c r="N674" s="242"/>
      <c r="P674" s="245"/>
      <c r="Q674" s="277"/>
      <c r="R674" s="277"/>
      <c r="S674" s="277"/>
      <c r="T674" s="277"/>
      <c r="U674" s="277"/>
      <c r="V674" s="277"/>
      <c r="W674" s="273"/>
    </row>
    <row r="675" spans="2:23">
      <c r="B675" s="266"/>
      <c r="C675" s="266"/>
      <c r="D675" s="175"/>
      <c r="E675" s="267"/>
      <c r="F675" s="268"/>
      <c r="G675" s="270"/>
      <c r="H675" s="270"/>
      <c r="I675" s="299"/>
      <c r="J675" s="270"/>
      <c r="K675" s="271"/>
      <c r="L675" s="270"/>
      <c r="M675" s="242"/>
      <c r="N675" s="242"/>
      <c r="P675" s="245"/>
      <c r="Q675" s="277"/>
      <c r="R675" s="277"/>
      <c r="S675" s="277"/>
      <c r="T675" s="277"/>
      <c r="U675" s="277"/>
      <c r="V675" s="277"/>
      <c r="W675" s="273"/>
    </row>
    <row r="676" spans="2:23">
      <c r="B676" s="266"/>
      <c r="C676" s="266"/>
      <c r="D676" s="175"/>
      <c r="E676" s="267"/>
      <c r="F676" s="268"/>
      <c r="G676" s="270"/>
      <c r="H676" s="270"/>
      <c r="I676" s="299"/>
      <c r="J676" s="270"/>
      <c r="K676" s="271"/>
      <c r="L676" s="270"/>
      <c r="M676" s="242"/>
      <c r="N676" s="242"/>
      <c r="P676" s="245"/>
      <c r="Q676" s="277"/>
      <c r="R676" s="277"/>
      <c r="S676" s="277"/>
      <c r="T676" s="277"/>
      <c r="U676" s="277"/>
      <c r="V676" s="277"/>
      <c r="W676" s="273"/>
    </row>
  </sheetData>
  <phoneticPr fontId="31" type="noConversion"/>
  <conditionalFormatting sqref="F286 E287:F519">
    <cfRule type="expression" dxfId="1" priority="1" stopIfTrue="1">
      <formula>($G286=$D$23+1)</formula>
    </cfRule>
  </conditionalFormatting>
  <conditionalFormatting sqref="E46:F676">
    <cfRule type="expression" dxfId="0" priority="2" stopIfTrue="1">
      <formula>($K46=$D$23+1)</formula>
    </cfRule>
  </conditionalFormatting>
  <dataValidations disablePrompts="1" count="1">
    <dataValidation type="list" allowBlank="1" showInputMessage="1" showErrorMessage="1" sqref="HU28:HU32">
      <formula1>"1,2,3,5,7,10"</formula1>
    </dataValidation>
  </dataValidations>
  <printOptions horizontalCentered="1"/>
  <pageMargins left="0.25" right="0.25" top="0.25" bottom="0.25" header="0.25" footer="0.25"/>
  <pageSetup orientation="portrait" horizontalDpi="4294967292" verticalDpi="4294967292"/>
  <headerFooter>
    <oddFooter>&amp;L&amp;"-,Bold"&amp;10&amp;KFF0000&amp;D &amp;C&amp;"-,Bold"&amp;10&amp;KFF0000Strictly Confidential&amp;R&amp;"-,Bold"&amp;10&amp;KFF0000Page &amp;P</oddFooter>
  </headerFooter>
  <drawing r:id="rId1"/>
  <legacyDrawing r:id="rId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enableFormatConditionsCalculation="0">
    <tabColor rgb="FFFFFF00"/>
    <pageSetUpPr fitToPage="1"/>
  </sheetPr>
  <dimension ref="C1:AD32"/>
  <sheetViews>
    <sheetView showGridLines="0" zoomScaleSheetLayoutView="100" workbookViewId="0">
      <selection activeCell="O36" sqref="O36"/>
    </sheetView>
  </sheetViews>
  <sheetFormatPr baseColWidth="10" defaultColWidth="7.5703125" defaultRowHeight="14" x14ac:dyDescent="0"/>
  <cols>
    <col min="1" max="1" width="2.28515625" style="301" customWidth="1"/>
    <col min="2" max="3" width="0.42578125" style="301" customWidth="1"/>
    <col min="4" max="4" width="24" style="301" customWidth="1"/>
    <col min="5" max="5" width="1.42578125" style="301" customWidth="1"/>
    <col min="6" max="30" width="7.28515625" style="301" customWidth="1"/>
    <col min="31" max="32" width="0.42578125" style="301" customWidth="1"/>
    <col min="33" max="33" width="7.42578125" style="301" customWidth="1"/>
    <col min="34" max="16384" width="7.5703125" style="301"/>
  </cols>
  <sheetData>
    <row r="1" spans="4:30" ht="12.75" customHeight="1"/>
    <row r="2" spans="4:30" ht="12.75" customHeight="1"/>
    <row r="3" spans="4:30" ht="19" customHeight="1">
      <c r="D3" s="137" t="s">
        <v>576</v>
      </c>
      <c r="E3" s="302"/>
      <c r="F3" s="302"/>
      <c r="G3" s="302"/>
      <c r="H3" s="302"/>
      <c r="I3" s="302"/>
      <c r="J3" s="302"/>
      <c r="K3" s="302"/>
      <c r="L3" s="302"/>
      <c r="M3" s="302"/>
      <c r="N3" s="302"/>
      <c r="O3" s="302"/>
      <c r="P3" s="302"/>
      <c r="Q3" s="302"/>
      <c r="R3" s="302"/>
      <c r="S3" s="302"/>
      <c r="T3" s="302"/>
      <c r="U3" s="302"/>
      <c r="V3" s="302"/>
      <c r="W3" s="302"/>
      <c r="X3" s="302"/>
      <c r="Y3" s="302"/>
      <c r="Z3" s="302"/>
      <c r="AA3" s="302"/>
      <c r="AB3" s="302"/>
      <c r="AC3" s="302"/>
      <c r="AD3" s="302"/>
    </row>
    <row r="4" spans="4:30" ht="15">
      <c r="D4" s="142" t="s">
        <v>577</v>
      </c>
      <c r="E4" s="302"/>
      <c r="F4" s="302"/>
      <c r="G4" s="302"/>
      <c r="H4" s="302"/>
      <c r="I4" s="302"/>
      <c r="J4" s="302"/>
      <c r="K4" s="302"/>
      <c r="L4" s="302"/>
      <c r="M4" s="302"/>
      <c r="N4" s="302"/>
      <c r="O4" s="302"/>
      <c r="P4" s="302"/>
      <c r="Q4" s="302"/>
      <c r="R4" s="302"/>
      <c r="S4" s="302"/>
      <c r="T4" s="302"/>
      <c r="U4" s="302"/>
      <c r="V4" s="302"/>
      <c r="W4" s="302"/>
      <c r="X4" s="302"/>
      <c r="Y4" s="302"/>
      <c r="Z4" s="302"/>
      <c r="AA4" s="302"/>
      <c r="AB4" s="302"/>
      <c r="AC4" s="302"/>
      <c r="AD4" s="302"/>
    </row>
    <row r="5" spans="4:30" ht="12" customHeight="1">
      <c r="D5" s="303"/>
      <c r="E5" s="303"/>
      <c r="F5" s="303"/>
      <c r="G5" s="304"/>
      <c r="H5" s="303"/>
      <c r="I5" s="303"/>
      <c r="J5" s="303"/>
      <c r="K5" s="303"/>
      <c r="L5" s="303"/>
      <c r="M5" s="303"/>
      <c r="N5" s="303"/>
      <c r="O5" s="303"/>
      <c r="P5" s="303"/>
      <c r="Q5" s="303"/>
      <c r="R5" s="303"/>
      <c r="S5" s="303"/>
      <c r="T5" s="303"/>
      <c r="U5" s="303"/>
      <c r="V5" s="303"/>
      <c r="W5" s="303"/>
      <c r="X5" s="303"/>
      <c r="Y5" s="303"/>
    </row>
    <row r="6" spans="4:30" ht="15" thickBot="1">
      <c r="D6" s="305" t="s">
        <v>492</v>
      </c>
      <c r="E6" s="306"/>
      <c r="F6" s="307">
        <v>1</v>
      </c>
      <c r="G6" s="308">
        <f>+F6+1</f>
        <v>2</v>
      </c>
      <c r="H6" s="308">
        <f t="shared" ref="H6:AD6" si="0">+G6+1</f>
        <v>3</v>
      </c>
      <c r="I6" s="308">
        <f t="shared" si="0"/>
        <v>4</v>
      </c>
      <c r="J6" s="308">
        <f t="shared" si="0"/>
        <v>5</v>
      </c>
      <c r="K6" s="308">
        <f t="shared" si="0"/>
        <v>6</v>
      </c>
      <c r="L6" s="308">
        <f t="shared" si="0"/>
        <v>7</v>
      </c>
      <c r="M6" s="308">
        <f t="shared" si="0"/>
        <v>8</v>
      </c>
      <c r="N6" s="308">
        <f t="shared" si="0"/>
        <v>9</v>
      </c>
      <c r="O6" s="308">
        <f t="shared" si="0"/>
        <v>10</v>
      </c>
      <c r="P6" s="308">
        <f t="shared" si="0"/>
        <v>11</v>
      </c>
      <c r="Q6" s="308">
        <f t="shared" si="0"/>
        <v>12</v>
      </c>
      <c r="R6" s="308">
        <f t="shared" si="0"/>
        <v>13</v>
      </c>
      <c r="S6" s="308">
        <f t="shared" si="0"/>
        <v>14</v>
      </c>
      <c r="T6" s="308">
        <f t="shared" si="0"/>
        <v>15</v>
      </c>
      <c r="U6" s="308">
        <f t="shared" si="0"/>
        <v>16</v>
      </c>
      <c r="V6" s="308">
        <f t="shared" si="0"/>
        <v>17</v>
      </c>
      <c r="W6" s="308">
        <f t="shared" si="0"/>
        <v>18</v>
      </c>
      <c r="X6" s="308">
        <f t="shared" si="0"/>
        <v>19</v>
      </c>
      <c r="Y6" s="308">
        <f t="shared" si="0"/>
        <v>20</v>
      </c>
      <c r="Z6" s="308">
        <f t="shared" si="0"/>
        <v>21</v>
      </c>
      <c r="AA6" s="308">
        <f t="shared" si="0"/>
        <v>22</v>
      </c>
      <c r="AB6" s="308">
        <f t="shared" si="0"/>
        <v>23</v>
      </c>
      <c r="AC6" s="308">
        <f t="shared" si="0"/>
        <v>24</v>
      </c>
      <c r="AD6" s="308">
        <f t="shared" si="0"/>
        <v>25</v>
      </c>
    </row>
    <row r="7" spans="4:30" ht="16" customHeight="1">
      <c r="D7" s="309" t="s">
        <v>493</v>
      </c>
      <c r="E7" s="309"/>
      <c r="F7" s="310">
        <f>-SUMIF(MonthlyLoanModel!$B$46:$B$285,'Annual Summary'!F$6,MonthlyLoanModel!$G$46:$G$285)</f>
        <v>-1111.596816</v>
      </c>
      <c r="G7" s="310">
        <f>-SUMIF(MonthlyLoanModel!$B$46:$B$285,'Annual Summary'!G$6,MonthlyLoanModel!$G$46:$G$285)</f>
        <v>-885.049036</v>
      </c>
      <c r="H7" s="310">
        <f>-SUMIF(MonthlyLoanModel!$B$46:$B$285,'Annual Summary'!H$6,MonthlyLoanModel!$G$46:$G$285)</f>
        <v>-753.01909999999998</v>
      </c>
      <c r="I7" s="310">
        <f>-SUMIF(MonthlyLoanModel!$B$46:$B$285,'Annual Summary'!I$6,MonthlyLoanModel!$G$46:$G$285)</f>
        <v>-729.17679999999996</v>
      </c>
      <c r="J7" s="310">
        <f>-SUMIF(MonthlyLoanModel!$B$46:$B$285,'Annual Summary'!J$6,MonthlyLoanModel!$G$46:$G$285)</f>
        <v>-703.74019999999996</v>
      </c>
      <c r="K7" s="310">
        <f>-SUMIF(MonthlyLoanModel!$B$46:$B$285,'Annual Summary'!K$6,MonthlyLoanModel!$G$46:$G$285)</f>
        <v>-676.60289999999998</v>
      </c>
      <c r="L7" s="310">
        <f>-SUMIF(MonthlyLoanModel!$B$46:$B$285,'Annual Summary'!L$6,MonthlyLoanModel!$G$46:$G$285)</f>
        <v>-647.65080000000012</v>
      </c>
      <c r="M7" s="310">
        <f>-SUMIF(MonthlyLoanModel!$B$46:$B$285,'Annual Summary'!M$6,MonthlyLoanModel!$G$46:$G$285)</f>
        <v>-616.76299999999992</v>
      </c>
      <c r="N7" s="310">
        <f>-SUMIF(MonthlyLoanModel!$B$46:$B$285,'Annual Summary'!N$6,MonthlyLoanModel!$G$46:$G$285)</f>
        <v>-583.80969999999991</v>
      </c>
      <c r="O7" s="310">
        <f>-SUMIF(MonthlyLoanModel!$B$46:$B$285,'Annual Summary'!O$6,MonthlyLoanModel!$G$46:$G$285)</f>
        <v>-548.65300000000002</v>
      </c>
      <c r="P7" s="310">
        <f>-SUMIF(MonthlyLoanModel!$B$46:$B$285,'Annual Summary'!P$6,MonthlyLoanModel!$G$46:$G$285)</f>
        <v>-511.14580000000001</v>
      </c>
      <c r="Q7" s="310">
        <f>-SUMIF(MonthlyLoanModel!$B$46:$B$285,'Annual Summary'!Q$6,MonthlyLoanModel!$G$46:$G$285)</f>
        <v>-471.13009999999997</v>
      </c>
      <c r="R7" s="310">
        <f>-SUMIF(MonthlyLoanModel!$B$46:$B$285,'Annual Summary'!R$6,MonthlyLoanModel!$G$46:$G$285)</f>
        <v>-428.43890000000005</v>
      </c>
      <c r="S7" s="310">
        <f>-SUMIF(MonthlyLoanModel!$B$46:$B$285,'Annual Summary'!S$6,MonthlyLoanModel!$G$46:$G$285)</f>
        <v>-382.89349999999996</v>
      </c>
      <c r="T7" s="310">
        <f>-SUMIF(MonthlyLoanModel!$B$46:$B$285,'Annual Summary'!T$6,MonthlyLoanModel!$G$46:$G$285)</f>
        <v>-334.30229999999995</v>
      </c>
      <c r="U7" s="310">
        <f>-SUMIF(MonthlyLoanModel!$B$46:$B$285,'Annual Summary'!U$6,MonthlyLoanModel!$G$46:$G$285)</f>
        <v>-282.46229999999997</v>
      </c>
      <c r="V7" s="310">
        <f>-SUMIF(MonthlyLoanModel!$B$46:$B$285,'Annual Summary'!V$6,MonthlyLoanModel!$G$46:$G$285)</f>
        <v>-227.1558</v>
      </c>
      <c r="W7" s="310">
        <f>-SUMIF(MonthlyLoanModel!$B$46:$B$285,'Annual Summary'!W$6,MonthlyLoanModel!$G$46:$G$285)</f>
        <v>-168.15119999999996</v>
      </c>
      <c r="X7" s="310">
        <f>-SUMIF(MonthlyLoanModel!$B$46:$B$285,'Annual Summary'!X$6,MonthlyLoanModel!$G$46:$G$285)</f>
        <v>-105.2013</v>
      </c>
      <c r="Y7" s="310">
        <f>-SUMIF(MonthlyLoanModel!$B$46:$B$285,'Annual Summary'!Y$6,MonthlyLoanModel!$G$46:$G$285)</f>
        <v>-38.042100000000005</v>
      </c>
      <c r="Z7" s="310">
        <f>-SUMIF(MonthlyLoanModel!$B$46:$B$285,'Annual Summary'!Z$6,MonthlyLoanModel!$G$46:$G$285)</f>
        <v>0</v>
      </c>
      <c r="AA7" s="310">
        <f>-SUMIF(MonthlyLoanModel!$B$46:$B$285,'Annual Summary'!AA$6,MonthlyLoanModel!$G$46:$G$285)</f>
        <v>0</v>
      </c>
      <c r="AB7" s="310">
        <f>-SUMIF(MonthlyLoanModel!$B$46:$B$285,'Annual Summary'!AB$6,MonthlyLoanModel!$G$46:$G$285)</f>
        <v>0</v>
      </c>
      <c r="AC7" s="310">
        <f>-SUMIF(MonthlyLoanModel!$B$46:$B$285,'Annual Summary'!AC$6,MonthlyLoanModel!$G$46:$G$285)</f>
        <v>0</v>
      </c>
      <c r="AD7" s="310">
        <f>-SUMIF(MonthlyLoanModel!$B$46:$B$285,'Annual Summary'!AD$6,MonthlyLoanModel!$G$46:$G$285)</f>
        <v>0</v>
      </c>
    </row>
    <row r="8" spans="4:30" ht="16" customHeight="1">
      <c r="D8" s="309" t="s">
        <v>494</v>
      </c>
      <c r="E8" s="309"/>
      <c r="F8" s="311">
        <f>-SUMIF(MonthlyLoanModel!$B$46:$B$285,'Annual Summary'!F$6,MonthlyLoanModel!$J$46:$J$285)-SUM(F9:F10)</f>
        <v>0</v>
      </c>
      <c r="G8" s="311">
        <f>-SUMIF(MonthlyLoanModel!$B$46:$B$285,'Annual Summary'!G$6,MonthlyLoanModel!$J$46:$J$285)-SUM(G9:G10)</f>
        <v>-225.2097782054916</v>
      </c>
      <c r="H8" s="311">
        <f>-SUMIF(MonthlyLoanModel!$B$46:$B$285,'Annual Summary'!H$6,MonthlyLoanModel!$J$46:$J$285)-SUM(H9:H10)</f>
        <v>-356.5706173082379</v>
      </c>
      <c r="I8" s="311">
        <f>-SUMIF(MonthlyLoanModel!$B$46:$B$285,'Annual Summary'!I$6,MonthlyLoanModel!$J$46:$J$285)-SUM(I9:I10)</f>
        <v>-380.41291730823798</v>
      </c>
      <c r="J8" s="311">
        <f>-SUMIF(MonthlyLoanModel!$B$46:$B$285,'Annual Summary'!J$6,MonthlyLoanModel!$J$46:$J$285)-SUM(J9:J10)</f>
        <v>-405.84951730823786</v>
      </c>
      <c r="K8" s="311">
        <f>-SUMIF(MonthlyLoanModel!$B$46:$B$285,'Annual Summary'!K$6,MonthlyLoanModel!$J$46:$J$285)-SUM(K9:K10)</f>
        <v>-432.98681730823796</v>
      </c>
      <c r="L8" s="311">
        <f>-SUMIF(MonthlyLoanModel!$B$46:$B$285,'Annual Summary'!L$6,MonthlyLoanModel!$J$46:$J$285)-SUM(L9:L10)</f>
        <v>-461.93891730823793</v>
      </c>
      <c r="M8" s="311">
        <f>-SUMIF(MonthlyLoanModel!$B$46:$B$285,'Annual Summary'!M$6,MonthlyLoanModel!$J$46:$J$285)-SUM(M9:M10)</f>
        <v>-492.8267173082379</v>
      </c>
      <c r="N8" s="311">
        <f>-SUMIF(MonthlyLoanModel!$B$46:$B$285,'Annual Summary'!N$6,MonthlyLoanModel!$J$46:$J$285)-SUM(N9:N10)</f>
        <v>-525.78001730823792</v>
      </c>
      <c r="O8" s="311">
        <f>-SUMIF(MonthlyLoanModel!$B$46:$B$285,'Annual Summary'!O$6,MonthlyLoanModel!$J$46:$J$285)-SUM(O9:O10)</f>
        <v>-560.93671730823803</v>
      </c>
      <c r="P8" s="311">
        <f>-SUMIF(MonthlyLoanModel!$B$46:$B$285,'Annual Summary'!P$6,MonthlyLoanModel!$J$46:$J$285)-SUM(P9:P10)</f>
        <v>-598.44391730823793</v>
      </c>
      <c r="Q8" s="311">
        <f>-SUMIF(MonthlyLoanModel!$B$46:$B$285,'Annual Summary'!Q$6,MonthlyLoanModel!$J$46:$J$285)-SUM(Q9:Q10)</f>
        <v>-638.45961730823797</v>
      </c>
      <c r="R8" s="311">
        <f>-SUMIF(MonthlyLoanModel!$B$46:$B$285,'Annual Summary'!R$6,MonthlyLoanModel!$J$46:$J$285)-SUM(R9:R10)</f>
        <v>-681.15081730823795</v>
      </c>
      <c r="S8" s="311">
        <f>-SUMIF(MonthlyLoanModel!$B$46:$B$285,'Annual Summary'!S$6,MonthlyLoanModel!$J$46:$J$285)-SUM(S9:S10)</f>
        <v>-726.69621730823803</v>
      </c>
      <c r="T8" s="311">
        <f>-SUMIF(MonthlyLoanModel!$B$46:$B$285,'Annual Summary'!T$6,MonthlyLoanModel!$J$46:$J$285)-SUM(T9:T10)</f>
        <v>-775.28741730823799</v>
      </c>
      <c r="U8" s="311">
        <f>-SUMIF(MonthlyLoanModel!$B$46:$B$285,'Annual Summary'!U$6,MonthlyLoanModel!$J$46:$J$285)-SUM(U9:U10)</f>
        <v>-827.12741730823791</v>
      </c>
      <c r="V8" s="311">
        <f>-SUMIF(MonthlyLoanModel!$B$46:$B$285,'Annual Summary'!V$6,MonthlyLoanModel!$J$46:$J$285)-SUM(V9:V10)</f>
        <v>-882.43391730823782</v>
      </c>
      <c r="W8" s="311">
        <f>-SUMIF(MonthlyLoanModel!$B$46:$B$285,'Annual Summary'!W$6,MonthlyLoanModel!$J$46:$J$285)-SUM(W9:W10)</f>
        <v>-941.43851730823792</v>
      </c>
      <c r="X8" s="311">
        <f>-SUMIF(MonthlyLoanModel!$B$46:$B$285,'Annual Summary'!X$6,MonthlyLoanModel!$J$46:$J$285)-SUM(X9:X10)</f>
        <v>-1004.3884173082381</v>
      </c>
      <c r="Y8" s="311">
        <f>-SUMIF(MonthlyLoanModel!$B$46:$B$285,'Annual Summary'!Y$6,MonthlyLoanModel!$J$46:$J$285)-SUM(Y9:Y10)</f>
        <v>-1071.5476173082379</v>
      </c>
      <c r="Z8" s="311">
        <f>-SUMIF(MonthlyLoanModel!$B$46:$B$285,'Annual Summary'!Z$6,MonthlyLoanModel!$J$46:$J$285)-SUM(Z9:Z10)</f>
        <v>0</v>
      </c>
      <c r="AA8" s="311">
        <f>-SUMIF(MonthlyLoanModel!$B$46:$B$285,'Annual Summary'!AA$6,MonthlyLoanModel!$J$46:$J$285)-SUM(AA9:AA10)</f>
        <v>0</v>
      </c>
      <c r="AB8" s="311">
        <f>-SUMIF(MonthlyLoanModel!$B$46:$B$285,'Annual Summary'!AB$6,MonthlyLoanModel!$J$46:$J$285)-SUM(AB9:AB10)</f>
        <v>0</v>
      </c>
      <c r="AC8" s="311">
        <f>-SUMIF(MonthlyLoanModel!$B$46:$B$285,'Annual Summary'!AC$6,MonthlyLoanModel!$J$46:$J$285)-SUM(AC9:AC10)</f>
        <v>0</v>
      </c>
      <c r="AD8" s="311">
        <f>-SUMIF(MonthlyLoanModel!$B$46:$B$285,'Annual Summary'!AD$6,MonthlyLoanModel!$J$46:$J$285)-SUM(AD9:AD10)</f>
        <v>0</v>
      </c>
    </row>
    <row r="9" spans="4:30" ht="16" customHeight="1">
      <c r="D9" s="309" t="s">
        <v>431</v>
      </c>
      <c r="E9" s="309"/>
      <c r="F9" s="311">
        <f>-SUMIF(MonthlyLoanModel!$B$46:$B$285,'Annual Summary'!F$6,MonthlyLoanModel!$H$46:$H$285)</f>
        <v>0</v>
      </c>
      <c r="G9" s="311">
        <f>-SUMIF(MonthlyLoanModel!$B$46:$B$285,'Annual Summary'!G$6,MonthlyLoanModel!$H$46:$H$285)</f>
        <v>-5138.3519999999999</v>
      </c>
      <c r="H9" s="311">
        <f>-SUMIF(MonthlyLoanModel!$B$46:$B$285,'Annual Summary'!H$6,MonthlyLoanModel!$H$46:$H$285)</f>
        <v>0</v>
      </c>
      <c r="I9" s="311">
        <f>-SUMIF(MonthlyLoanModel!$B$46:$B$285,'Annual Summary'!I$6,MonthlyLoanModel!$H$46:$H$285)</f>
        <v>0</v>
      </c>
      <c r="J9" s="311">
        <f>-SUMIF(MonthlyLoanModel!$B$46:$B$285,'Annual Summary'!J$6,MonthlyLoanModel!$H$46:$H$285)</f>
        <v>0</v>
      </c>
      <c r="K9" s="311">
        <f>-SUMIF(MonthlyLoanModel!$B$46:$B$285,'Annual Summary'!K$6,MonthlyLoanModel!$H$46:$H$285)</f>
        <v>0</v>
      </c>
      <c r="L9" s="311">
        <f>-SUMIF(MonthlyLoanModel!$B$46:$B$285,'Annual Summary'!L$6,MonthlyLoanModel!$H$46:$H$285)</f>
        <v>0</v>
      </c>
      <c r="M9" s="311">
        <f>-SUMIF(MonthlyLoanModel!$B$46:$B$285,'Annual Summary'!M$6,MonthlyLoanModel!$H$46:$H$285)</f>
        <v>0</v>
      </c>
      <c r="N9" s="311">
        <f>-SUMIF(MonthlyLoanModel!$B$46:$B$285,'Annual Summary'!N$6,MonthlyLoanModel!$H$46:$H$285)</f>
        <v>0</v>
      </c>
      <c r="O9" s="311">
        <f>-SUMIF(MonthlyLoanModel!$B$46:$B$285,'Annual Summary'!O$6,MonthlyLoanModel!$H$46:$H$285)</f>
        <v>0</v>
      </c>
      <c r="P9" s="311">
        <f>-SUMIF(MonthlyLoanModel!$B$46:$B$285,'Annual Summary'!P$6,MonthlyLoanModel!$H$46:$H$285)</f>
        <v>0</v>
      </c>
      <c r="Q9" s="311">
        <f>-SUMIF(MonthlyLoanModel!$B$46:$B$285,'Annual Summary'!Q$6,MonthlyLoanModel!$H$46:$H$285)</f>
        <v>0</v>
      </c>
      <c r="R9" s="311">
        <f>-SUMIF(MonthlyLoanModel!$B$46:$B$285,'Annual Summary'!R$6,MonthlyLoanModel!$H$46:$H$285)</f>
        <v>0</v>
      </c>
      <c r="S9" s="311">
        <f>-SUMIF(MonthlyLoanModel!$B$46:$B$285,'Annual Summary'!S$6,MonthlyLoanModel!$H$46:$H$285)</f>
        <v>0</v>
      </c>
      <c r="T9" s="311">
        <f>-SUMIF(MonthlyLoanModel!$B$46:$B$285,'Annual Summary'!T$6,MonthlyLoanModel!$H$46:$H$285)</f>
        <v>0</v>
      </c>
      <c r="U9" s="311">
        <f>-SUMIF(MonthlyLoanModel!$B$46:$B$285,'Annual Summary'!U$6,MonthlyLoanModel!$H$46:$H$285)</f>
        <v>0</v>
      </c>
      <c r="V9" s="311">
        <f>-SUMIF(MonthlyLoanModel!$B$46:$B$285,'Annual Summary'!V$6,MonthlyLoanModel!$H$46:$H$285)</f>
        <v>0</v>
      </c>
      <c r="W9" s="311">
        <f>-SUMIF(MonthlyLoanModel!$B$46:$B$285,'Annual Summary'!W$6,MonthlyLoanModel!$H$46:$H$285)</f>
        <v>0</v>
      </c>
      <c r="X9" s="311">
        <f>-SUMIF(MonthlyLoanModel!$B$46:$B$285,'Annual Summary'!X$6,MonthlyLoanModel!$H$46:$H$285)</f>
        <v>0</v>
      </c>
      <c r="Y9" s="311">
        <f>-SUMIF(MonthlyLoanModel!$B$46:$B$285,'Annual Summary'!Y$6,MonthlyLoanModel!$H$46:$H$285)</f>
        <v>0</v>
      </c>
      <c r="Z9" s="311">
        <f>-SUMIF(MonthlyLoanModel!$B$46:$B$285,'Annual Summary'!Z$6,MonthlyLoanModel!$H$46:$H$285)</f>
        <v>0</v>
      </c>
      <c r="AA9" s="311">
        <f>-SUMIF(MonthlyLoanModel!$B$46:$B$285,'Annual Summary'!AA$6,MonthlyLoanModel!$H$46:$H$285)</f>
        <v>0</v>
      </c>
      <c r="AB9" s="311">
        <f>-SUMIF(MonthlyLoanModel!$B$46:$B$285,'Annual Summary'!AB$6,MonthlyLoanModel!$H$46:$H$285)</f>
        <v>0</v>
      </c>
      <c r="AC9" s="311">
        <f>-SUMIF(MonthlyLoanModel!$B$46:$B$285,'Annual Summary'!AC$6,MonthlyLoanModel!$H$46:$H$285)</f>
        <v>0</v>
      </c>
      <c r="AD9" s="311">
        <f>-SUMIF(MonthlyLoanModel!$B$46:$B$285,'Annual Summary'!AD$6,MonthlyLoanModel!$H$46:$H$285)</f>
        <v>0</v>
      </c>
    </row>
    <row r="10" spans="4:30" ht="16" customHeight="1">
      <c r="D10" s="309" t="s">
        <v>495</v>
      </c>
      <c r="E10" s="309"/>
      <c r="F10" s="311">
        <f>-SUMIF(MonthlyLoanModel!$B$46:$B$285,'Annual Summary'!F$6,MonthlyLoanModel!$I$46:$I$285)</f>
        <v>0</v>
      </c>
      <c r="G10" s="311">
        <f>-SUMIF(MonthlyLoanModel!$B$46:$B$285,'Annual Summary'!G$6,MonthlyLoanModel!$I$46:$I$285)</f>
        <v>0</v>
      </c>
      <c r="H10" s="311">
        <f>-SUMIF(MonthlyLoanModel!$B$46:$B$285,'Annual Summary'!H$6,MonthlyLoanModel!$I$46:$I$285)</f>
        <v>0</v>
      </c>
      <c r="I10" s="311">
        <f>-SUMIF(MonthlyLoanModel!$B$46:$B$285,'Annual Summary'!I$6,MonthlyLoanModel!$I$46:$I$285)</f>
        <v>0</v>
      </c>
      <c r="J10" s="311">
        <f>-SUMIF(MonthlyLoanModel!$B$46:$B$285,'Annual Summary'!J$6,MonthlyLoanModel!$I$46:$I$285)</f>
        <v>0</v>
      </c>
      <c r="K10" s="311">
        <f>-SUMIF(MonthlyLoanModel!$B$46:$B$285,'Annual Summary'!K$6,MonthlyLoanModel!$I$46:$I$285)</f>
        <v>0</v>
      </c>
      <c r="L10" s="311">
        <f>-SUMIF(MonthlyLoanModel!$B$46:$B$285,'Annual Summary'!L$6,MonthlyLoanModel!$I$46:$I$285)</f>
        <v>0</v>
      </c>
      <c r="M10" s="311">
        <f>-SUMIF(MonthlyLoanModel!$B$46:$B$285,'Annual Summary'!M$6,MonthlyLoanModel!$I$46:$I$285)</f>
        <v>0</v>
      </c>
      <c r="N10" s="311">
        <f>-SUMIF(MonthlyLoanModel!$B$46:$B$285,'Annual Summary'!N$6,MonthlyLoanModel!$I$46:$I$285)</f>
        <v>0</v>
      </c>
      <c r="O10" s="311">
        <f>-SUMIF(MonthlyLoanModel!$B$46:$B$285,'Annual Summary'!O$6,MonthlyLoanModel!$I$46:$I$285)</f>
        <v>0</v>
      </c>
      <c r="P10" s="311">
        <f>-SUMIF(MonthlyLoanModel!$B$46:$B$285,'Annual Summary'!P$6,MonthlyLoanModel!$I$46:$I$285)</f>
        <v>0</v>
      </c>
      <c r="Q10" s="311">
        <f>-SUMIF(MonthlyLoanModel!$B$46:$B$285,'Annual Summary'!Q$6,MonthlyLoanModel!$I$46:$I$285)</f>
        <v>0</v>
      </c>
      <c r="R10" s="311">
        <f>-SUMIF(MonthlyLoanModel!$B$46:$B$285,'Annual Summary'!R$6,MonthlyLoanModel!$I$46:$I$285)</f>
        <v>0</v>
      </c>
      <c r="S10" s="311">
        <f>-SUMIF(MonthlyLoanModel!$B$46:$B$285,'Annual Summary'!S$6,MonthlyLoanModel!$I$46:$I$285)</f>
        <v>0</v>
      </c>
      <c r="T10" s="311">
        <f>-SUMIF(MonthlyLoanModel!$B$46:$B$285,'Annual Summary'!T$6,MonthlyLoanModel!$I$46:$I$285)</f>
        <v>0</v>
      </c>
      <c r="U10" s="311">
        <f>-SUMIF(MonthlyLoanModel!$B$46:$B$285,'Annual Summary'!U$6,MonthlyLoanModel!$I$46:$I$285)</f>
        <v>0</v>
      </c>
      <c r="V10" s="311">
        <f>-SUMIF(MonthlyLoanModel!$B$46:$B$285,'Annual Summary'!V$6,MonthlyLoanModel!$I$46:$I$285)</f>
        <v>0</v>
      </c>
      <c r="W10" s="311">
        <f>-SUMIF(MonthlyLoanModel!$B$46:$B$285,'Annual Summary'!W$6,MonthlyLoanModel!$I$46:$I$285)</f>
        <v>0</v>
      </c>
      <c r="X10" s="311">
        <f>-SUMIF(MonthlyLoanModel!$B$46:$B$285,'Annual Summary'!X$6,MonthlyLoanModel!$I$46:$I$285)</f>
        <v>0</v>
      </c>
      <c r="Y10" s="311">
        <f>-SUMIF(MonthlyLoanModel!$B$46:$B$285,'Annual Summary'!Y$6,MonthlyLoanModel!$I$46:$I$285)</f>
        <v>0</v>
      </c>
      <c r="Z10" s="311">
        <f>-SUMIF(MonthlyLoanModel!$B$46:$B$285,'Annual Summary'!Z$6,MonthlyLoanModel!$I$46:$I$285)</f>
        <v>0</v>
      </c>
      <c r="AA10" s="311">
        <f>-SUMIF(MonthlyLoanModel!$B$46:$B$285,'Annual Summary'!AA$6,MonthlyLoanModel!$I$46:$I$285)</f>
        <v>0</v>
      </c>
      <c r="AB10" s="311">
        <f>-SUMIF(MonthlyLoanModel!$B$46:$B$285,'Annual Summary'!AB$6,MonthlyLoanModel!$I$46:$I$285)</f>
        <v>0</v>
      </c>
      <c r="AC10" s="311">
        <f>-SUMIF(MonthlyLoanModel!$B$46:$B$285,'Annual Summary'!AC$6,MonthlyLoanModel!$I$46:$I$285)</f>
        <v>0</v>
      </c>
      <c r="AD10" s="311">
        <f>-SUMIF(MonthlyLoanModel!$B$46:$B$285,'Annual Summary'!AD$6,MonthlyLoanModel!$I$46:$I$285)</f>
        <v>0</v>
      </c>
    </row>
    <row r="11" spans="4:30" ht="16" customHeight="1">
      <c r="D11" s="312" t="s">
        <v>496</v>
      </c>
      <c r="E11" s="309"/>
      <c r="F11" s="313">
        <f>+SUM(F7:F10)</f>
        <v>-1111.596816</v>
      </c>
      <c r="G11" s="313">
        <f t="shared" ref="G11:Y11" si="1">+SUM(G7:G10)</f>
        <v>-6248.6108142054909</v>
      </c>
      <c r="H11" s="313">
        <f t="shared" si="1"/>
        <v>-1109.5897173082378</v>
      </c>
      <c r="I11" s="313">
        <f t="shared" si="1"/>
        <v>-1109.5897173082381</v>
      </c>
      <c r="J11" s="313">
        <f t="shared" si="1"/>
        <v>-1109.5897173082378</v>
      </c>
      <c r="K11" s="313">
        <f t="shared" si="1"/>
        <v>-1109.5897173082381</v>
      </c>
      <c r="L11" s="313">
        <f t="shared" si="1"/>
        <v>-1109.5897173082381</v>
      </c>
      <c r="M11" s="313">
        <f t="shared" si="1"/>
        <v>-1109.5897173082378</v>
      </c>
      <c r="N11" s="313">
        <f t="shared" si="1"/>
        <v>-1109.5897173082378</v>
      </c>
      <c r="O11" s="313">
        <f t="shared" si="1"/>
        <v>-1109.5897173082381</v>
      </c>
      <c r="P11" s="313">
        <f t="shared" si="1"/>
        <v>-1109.5897173082381</v>
      </c>
      <c r="Q11" s="313">
        <f t="shared" si="1"/>
        <v>-1109.5897173082381</v>
      </c>
      <c r="R11" s="313">
        <f t="shared" si="1"/>
        <v>-1109.5897173082381</v>
      </c>
      <c r="S11" s="313">
        <f t="shared" si="1"/>
        <v>-1109.5897173082381</v>
      </c>
      <c r="T11" s="313">
        <f t="shared" si="1"/>
        <v>-1109.5897173082381</v>
      </c>
      <c r="U11" s="313">
        <f t="shared" si="1"/>
        <v>-1109.5897173082378</v>
      </c>
      <c r="V11" s="313">
        <f t="shared" si="1"/>
        <v>-1109.5897173082378</v>
      </c>
      <c r="W11" s="313">
        <f t="shared" si="1"/>
        <v>-1109.5897173082378</v>
      </c>
      <c r="X11" s="313">
        <f t="shared" si="1"/>
        <v>-1109.5897173082381</v>
      </c>
      <c r="Y11" s="313">
        <f t="shared" si="1"/>
        <v>-1109.5897173082381</v>
      </c>
      <c r="Z11" s="313">
        <f>+SUM(Z7:Z10)</f>
        <v>0</v>
      </c>
      <c r="AA11" s="313">
        <f>+SUM(AA7:AA10)</f>
        <v>0</v>
      </c>
      <c r="AB11" s="313">
        <f>+SUM(AB7:AB10)</f>
        <v>0</v>
      </c>
      <c r="AC11" s="313">
        <f>+SUM(AC7:AC10)</f>
        <v>0</v>
      </c>
      <c r="AD11" s="313">
        <f>+SUM(AD7:AD10)</f>
        <v>0</v>
      </c>
    </row>
    <row r="12" spans="4:30" ht="16" customHeight="1">
      <c r="D12" s="309" t="s">
        <v>497</v>
      </c>
      <c r="E12" s="309"/>
      <c r="F12" s="311">
        <f t="shared" ref="F12:AD13" si="2">-F9</f>
        <v>0</v>
      </c>
      <c r="G12" s="310">
        <f t="shared" si="2"/>
        <v>5138.3519999999999</v>
      </c>
      <c r="H12" s="310">
        <f t="shared" si="2"/>
        <v>0</v>
      </c>
      <c r="I12" s="310">
        <f t="shared" si="2"/>
        <v>0</v>
      </c>
      <c r="J12" s="310">
        <f t="shared" si="2"/>
        <v>0</v>
      </c>
      <c r="K12" s="310">
        <f t="shared" si="2"/>
        <v>0</v>
      </c>
      <c r="L12" s="310">
        <f t="shared" si="2"/>
        <v>0</v>
      </c>
      <c r="M12" s="310">
        <f t="shared" si="2"/>
        <v>0</v>
      </c>
      <c r="N12" s="310">
        <f t="shared" si="2"/>
        <v>0</v>
      </c>
      <c r="O12" s="310">
        <f t="shared" si="2"/>
        <v>0</v>
      </c>
      <c r="P12" s="310">
        <f t="shared" si="2"/>
        <v>0</v>
      </c>
      <c r="Q12" s="310">
        <f t="shared" si="2"/>
        <v>0</v>
      </c>
      <c r="R12" s="310">
        <f t="shared" si="2"/>
        <v>0</v>
      </c>
      <c r="S12" s="310">
        <f t="shared" si="2"/>
        <v>0</v>
      </c>
      <c r="T12" s="310">
        <f t="shared" si="2"/>
        <v>0</v>
      </c>
      <c r="U12" s="310">
        <f t="shared" si="2"/>
        <v>0</v>
      </c>
      <c r="V12" s="310">
        <f t="shared" si="2"/>
        <v>0</v>
      </c>
      <c r="W12" s="310">
        <f t="shared" si="2"/>
        <v>0</v>
      </c>
      <c r="X12" s="310">
        <f t="shared" si="2"/>
        <v>0</v>
      </c>
      <c r="Y12" s="310">
        <f t="shared" si="2"/>
        <v>0</v>
      </c>
      <c r="Z12" s="310">
        <f t="shared" si="2"/>
        <v>0</v>
      </c>
      <c r="AA12" s="310">
        <f t="shared" si="2"/>
        <v>0</v>
      </c>
      <c r="AB12" s="310">
        <f t="shared" si="2"/>
        <v>0</v>
      </c>
      <c r="AC12" s="310">
        <f t="shared" si="2"/>
        <v>0</v>
      </c>
      <c r="AD12" s="310">
        <f t="shared" si="2"/>
        <v>0</v>
      </c>
    </row>
    <row r="13" spans="4:30" ht="16" customHeight="1">
      <c r="D13" s="309" t="s">
        <v>498</v>
      </c>
      <c r="E13" s="309"/>
      <c r="F13" s="311">
        <f>-F10</f>
        <v>0</v>
      </c>
      <c r="G13" s="311">
        <f t="shared" si="2"/>
        <v>0</v>
      </c>
      <c r="H13" s="311">
        <f t="shared" si="2"/>
        <v>0</v>
      </c>
      <c r="I13" s="311">
        <f t="shared" si="2"/>
        <v>0</v>
      </c>
      <c r="J13" s="311">
        <f t="shared" si="2"/>
        <v>0</v>
      </c>
      <c r="K13" s="311">
        <f t="shared" si="2"/>
        <v>0</v>
      </c>
      <c r="L13" s="311">
        <f t="shared" si="2"/>
        <v>0</v>
      </c>
      <c r="M13" s="311">
        <f t="shared" si="2"/>
        <v>0</v>
      </c>
      <c r="N13" s="311">
        <f t="shared" si="2"/>
        <v>0</v>
      </c>
      <c r="O13" s="311">
        <f t="shared" si="2"/>
        <v>0</v>
      </c>
      <c r="P13" s="311">
        <f t="shared" si="2"/>
        <v>0</v>
      </c>
      <c r="Q13" s="311">
        <f t="shared" si="2"/>
        <v>0</v>
      </c>
      <c r="R13" s="311">
        <f t="shared" si="2"/>
        <v>0</v>
      </c>
      <c r="S13" s="311">
        <f t="shared" si="2"/>
        <v>0</v>
      </c>
      <c r="T13" s="311">
        <f t="shared" si="2"/>
        <v>0</v>
      </c>
      <c r="U13" s="311">
        <f t="shared" si="2"/>
        <v>0</v>
      </c>
      <c r="V13" s="311">
        <f t="shared" si="2"/>
        <v>0</v>
      </c>
      <c r="W13" s="311">
        <f t="shared" si="2"/>
        <v>0</v>
      </c>
      <c r="X13" s="311">
        <f t="shared" si="2"/>
        <v>0</v>
      </c>
      <c r="Y13" s="311">
        <f t="shared" si="2"/>
        <v>0</v>
      </c>
      <c r="Z13" s="311">
        <f t="shared" si="2"/>
        <v>0</v>
      </c>
      <c r="AA13" s="311">
        <f t="shared" si="2"/>
        <v>0</v>
      </c>
      <c r="AB13" s="311">
        <f t="shared" si="2"/>
        <v>0</v>
      </c>
      <c r="AC13" s="311">
        <f t="shared" si="2"/>
        <v>0</v>
      </c>
      <c r="AD13" s="311">
        <f t="shared" si="2"/>
        <v>0</v>
      </c>
    </row>
    <row r="14" spans="4:30" ht="16" customHeight="1">
      <c r="D14" s="312" t="s">
        <v>573</v>
      </c>
      <c r="E14" s="309"/>
      <c r="F14" s="313">
        <f>+SUM(F11:F13)</f>
        <v>-1111.596816</v>
      </c>
      <c r="G14" s="313">
        <f t="shared" ref="G14:AD14" si="3">+SUM(G11:G13)</f>
        <v>-1110.258814205491</v>
      </c>
      <c r="H14" s="313">
        <f t="shared" si="3"/>
        <v>-1109.5897173082378</v>
      </c>
      <c r="I14" s="313">
        <f t="shared" si="3"/>
        <v>-1109.5897173082381</v>
      </c>
      <c r="J14" s="313">
        <f t="shared" si="3"/>
        <v>-1109.5897173082378</v>
      </c>
      <c r="K14" s="313">
        <f t="shared" si="3"/>
        <v>-1109.5897173082381</v>
      </c>
      <c r="L14" s="313">
        <f t="shared" si="3"/>
        <v>-1109.5897173082381</v>
      </c>
      <c r="M14" s="313">
        <f t="shared" si="3"/>
        <v>-1109.5897173082378</v>
      </c>
      <c r="N14" s="313">
        <f t="shared" si="3"/>
        <v>-1109.5897173082378</v>
      </c>
      <c r="O14" s="313">
        <f t="shared" si="3"/>
        <v>-1109.5897173082381</v>
      </c>
      <c r="P14" s="313">
        <f t="shared" si="3"/>
        <v>-1109.5897173082381</v>
      </c>
      <c r="Q14" s="313">
        <f t="shared" si="3"/>
        <v>-1109.5897173082381</v>
      </c>
      <c r="R14" s="313">
        <f t="shared" si="3"/>
        <v>-1109.5897173082381</v>
      </c>
      <c r="S14" s="313">
        <f t="shared" si="3"/>
        <v>-1109.5897173082381</v>
      </c>
      <c r="T14" s="313">
        <f t="shared" si="3"/>
        <v>-1109.5897173082381</v>
      </c>
      <c r="U14" s="313">
        <f t="shared" si="3"/>
        <v>-1109.5897173082378</v>
      </c>
      <c r="V14" s="313">
        <f t="shared" si="3"/>
        <v>-1109.5897173082378</v>
      </c>
      <c r="W14" s="313">
        <f t="shared" si="3"/>
        <v>-1109.5897173082378</v>
      </c>
      <c r="X14" s="313">
        <f t="shared" si="3"/>
        <v>-1109.5897173082381</v>
      </c>
      <c r="Y14" s="313">
        <f t="shared" si="3"/>
        <v>-1109.5897173082381</v>
      </c>
      <c r="Z14" s="313">
        <f t="shared" si="3"/>
        <v>0</v>
      </c>
      <c r="AA14" s="313">
        <f t="shared" si="3"/>
        <v>0</v>
      </c>
      <c r="AB14" s="313">
        <f t="shared" si="3"/>
        <v>0</v>
      </c>
      <c r="AC14" s="313">
        <f t="shared" si="3"/>
        <v>0</v>
      </c>
      <c r="AD14" s="313">
        <f t="shared" si="3"/>
        <v>0</v>
      </c>
    </row>
    <row r="15" spans="4:30" ht="10" customHeight="1">
      <c r="D15" s="314"/>
      <c r="E15" s="309"/>
      <c r="F15" s="309"/>
      <c r="G15" s="309"/>
      <c r="H15" s="309"/>
      <c r="I15" s="309"/>
      <c r="J15" s="309"/>
      <c r="K15" s="309"/>
      <c r="L15" s="309"/>
      <c r="M15" s="309"/>
      <c r="N15" s="309"/>
      <c r="O15" s="309"/>
      <c r="P15" s="309"/>
      <c r="Q15" s="309"/>
      <c r="R15" s="309"/>
      <c r="S15" s="309"/>
      <c r="T15" s="309"/>
      <c r="U15" s="309"/>
      <c r="V15" s="309"/>
      <c r="W15" s="309"/>
      <c r="X15" s="309"/>
      <c r="Y15" s="309"/>
      <c r="Z15" s="309"/>
      <c r="AA15" s="309"/>
      <c r="AB15" s="309"/>
      <c r="AC15" s="309"/>
      <c r="AD15" s="309"/>
    </row>
    <row r="16" spans="4:30" ht="16" customHeight="1">
      <c r="D16" s="309" t="s">
        <v>499</v>
      </c>
      <c r="E16" s="309"/>
      <c r="F16" s="310">
        <f>E16+F8+F9+F10</f>
        <v>0</v>
      </c>
      <c r="G16" s="310">
        <f>F16+G8+G9+G10</f>
        <v>-5363.5617782054915</v>
      </c>
      <c r="H16" s="310">
        <f t="shared" ref="H16:AD16" si="4">G16+H8+H9+H10</f>
        <v>-5720.1323955137295</v>
      </c>
      <c r="I16" s="310">
        <f t="shared" si="4"/>
        <v>-6100.5453128219679</v>
      </c>
      <c r="J16" s="310">
        <f t="shared" si="4"/>
        <v>-6506.3948301302062</v>
      </c>
      <c r="K16" s="310">
        <f t="shared" si="4"/>
        <v>-6939.3816474384439</v>
      </c>
      <c r="L16" s="310">
        <f t="shared" si="4"/>
        <v>-7401.3205647466821</v>
      </c>
      <c r="M16" s="310">
        <f t="shared" si="4"/>
        <v>-7894.1472820549197</v>
      </c>
      <c r="N16" s="310">
        <f t="shared" si="4"/>
        <v>-8419.9272993631585</v>
      </c>
      <c r="O16" s="310">
        <f t="shared" si="4"/>
        <v>-8980.8640166713958</v>
      </c>
      <c r="P16" s="310">
        <f t="shared" si="4"/>
        <v>-9579.3079339796332</v>
      </c>
      <c r="Q16" s="310">
        <f t="shared" si="4"/>
        <v>-10217.76755128787</v>
      </c>
      <c r="R16" s="310">
        <f t="shared" si="4"/>
        <v>-10898.918368596109</v>
      </c>
      <c r="S16" s="310">
        <f t="shared" si="4"/>
        <v>-11625.614585904346</v>
      </c>
      <c r="T16" s="310">
        <f t="shared" si="4"/>
        <v>-12400.902003212585</v>
      </c>
      <c r="U16" s="310">
        <f t="shared" si="4"/>
        <v>-13228.029420520823</v>
      </c>
      <c r="V16" s="310">
        <f t="shared" si="4"/>
        <v>-14110.46333782906</v>
      </c>
      <c r="W16" s="310">
        <f t="shared" si="4"/>
        <v>-15051.901855137297</v>
      </c>
      <c r="X16" s="310">
        <f t="shared" si="4"/>
        <v>-16056.290272445536</v>
      </c>
      <c r="Y16" s="310">
        <f t="shared" si="4"/>
        <v>-17127.837889753773</v>
      </c>
      <c r="Z16" s="310">
        <f t="shared" si="4"/>
        <v>-17127.837889753773</v>
      </c>
      <c r="AA16" s="310">
        <f t="shared" si="4"/>
        <v>-17127.837889753773</v>
      </c>
      <c r="AB16" s="310">
        <f t="shared" si="4"/>
        <v>-17127.837889753773</v>
      </c>
      <c r="AC16" s="310">
        <f t="shared" si="4"/>
        <v>-17127.837889753773</v>
      </c>
      <c r="AD16" s="310">
        <f t="shared" si="4"/>
        <v>-17127.837889753773</v>
      </c>
    </row>
    <row r="17" spans="3:30" ht="16" customHeight="1">
      <c r="D17" s="309" t="s">
        <v>500</v>
      </c>
      <c r="E17" s="309"/>
      <c r="F17" s="311">
        <f>F7</f>
        <v>-1111.596816</v>
      </c>
      <c r="G17" s="311">
        <f t="shared" ref="G17:AD17" si="5">F17+G7</f>
        <v>-1996.6458520000001</v>
      </c>
      <c r="H17" s="311">
        <f t="shared" si="5"/>
        <v>-2749.6649520000001</v>
      </c>
      <c r="I17" s="311">
        <f t="shared" si="5"/>
        <v>-3478.8417520000003</v>
      </c>
      <c r="J17" s="311">
        <f t="shared" si="5"/>
        <v>-4182.5819520000005</v>
      </c>
      <c r="K17" s="311">
        <f t="shared" si="5"/>
        <v>-4859.1848520000003</v>
      </c>
      <c r="L17" s="311">
        <f t="shared" si="5"/>
        <v>-5506.8356520000007</v>
      </c>
      <c r="M17" s="311">
        <f t="shared" si="5"/>
        <v>-6123.5986520000006</v>
      </c>
      <c r="N17" s="311">
        <f t="shared" si="5"/>
        <v>-6707.4083520000004</v>
      </c>
      <c r="O17" s="311">
        <f t="shared" si="5"/>
        <v>-7256.0613520000006</v>
      </c>
      <c r="P17" s="311">
        <f t="shared" si="5"/>
        <v>-7767.2071520000009</v>
      </c>
      <c r="Q17" s="311">
        <f t="shared" si="5"/>
        <v>-8238.3372520000012</v>
      </c>
      <c r="R17" s="311">
        <f t="shared" si="5"/>
        <v>-8666.7761520000004</v>
      </c>
      <c r="S17" s="311">
        <f t="shared" si="5"/>
        <v>-9049.6696520000005</v>
      </c>
      <c r="T17" s="311">
        <f t="shared" si="5"/>
        <v>-9383.9719519999999</v>
      </c>
      <c r="U17" s="311">
        <f t="shared" si="5"/>
        <v>-9666.4342519999991</v>
      </c>
      <c r="V17" s="311">
        <f t="shared" si="5"/>
        <v>-9893.5900519999996</v>
      </c>
      <c r="W17" s="311">
        <f t="shared" si="5"/>
        <v>-10061.741252</v>
      </c>
      <c r="X17" s="311">
        <f t="shared" si="5"/>
        <v>-10166.942552</v>
      </c>
      <c r="Y17" s="311">
        <f t="shared" si="5"/>
        <v>-10204.984652000001</v>
      </c>
      <c r="Z17" s="311">
        <f t="shared" si="5"/>
        <v>-10204.984652000001</v>
      </c>
      <c r="AA17" s="311">
        <f t="shared" si="5"/>
        <v>-10204.984652000001</v>
      </c>
      <c r="AB17" s="311">
        <f t="shared" si="5"/>
        <v>-10204.984652000001</v>
      </c>
      <c r="AC17" s="311">
        <f t="shared" si="5"/>
        <v>-10204.984652000001</v>
      </c>
      <c r="AD17" s="311">
        <f t="shared" si="5"/>
        <v>-10204.984652000001</v>
      </c>
    </row>
    <row r="18" spans="3:30" ht="16" customHeight="1">
      <c r="D18" s="312" t="s">
        <v>501</v>
      </c>
      <c r="E18" s="309"/>
      <c r="F18" s="313">
        <f>F16+F17</f>
        <v>-1111.596816</v>
      </c>
      <c r="G18" s="313">
        <f t="shared" ref="G18:AD18" si="6">G16+G17</f>
        <v>-7360.207630205492</v>
      </c>
      <c r="H18" s="313">
        <f t="shared" si="6"/>
        <v>-8469.7973475137296</v>
      </c>
      <c r="I18" s="313">
        <f t="shared" si="6"/>
        <v>-9579.3870648219672</v>
      </c>
      <c r="J18" s="313">
        <f t="shared" si="6"/>
        <v>-10688.976782130207</v>
      </c>
      <c r="K18" s="313">
        <f t="shared" si="6"/>
        <v>-11798.566499438444</v>
      </c>
      <c r="L18" s="313">
        <f t="shared" si="6"/>
        <v>-12908.156216746684</v>
      </c>
      <c r="M18" s="313">
        <f t="shared" si="6"/>
        <v>-14017.745934054921</v>
      </c>
      <c r="N18" s="313">
        <f t="shared" si="6"/>
        <v>-15127.335651363159</v>
      </c>
      <c r="O18" s="313">
        <f t="shared" si="6"/>
        <v>-16236.925368671396</v>
      </c>
      <c r="P18" s="313">
        <f t="shared" si="6"/>
        <v>-17346.515085979634</v>
      </c>
      <c r="Q18" s="313">
        <f t="shared" si="6"/>
        <v>-18456.104803287872</v>
      </c>
      <c r="R18" s="313">
        <f t="shared" si="6"/>
        <v>-19565.694520596109</v>
      </c>
      <c r="S18" s="313">
        <f t="shared" si="6"/>
        <v>-20675.284237904347</v>
      </c>
      <c r="T18" s="313">
        <f t="shared" si="6"/>
        <v>-21784.873955212584</v>
      </c>
      <c r="U18" s="313">
        <f t="shared" si="6"/>
        <v>-22894.463672520822</v>
      </c>
      <c r="V18" s="313">
        <f t="shared" si="6"/>
        <v>-24004.05338982906</v>
      </c>
      <c r="W18" s="313">
        <f t="shared" si="6"/>
        <v>-25113.643107137297</v>
      </c>
      <c r="X18" s="313">
        <f t="shared" si="6"/>
        <v>-26223.232824445535</v>
      </c>
      <c r="Y18" s="313">
        <f t="shared" si="6"/>
        <v>-27332.822541753776</v>
      </c>
      <c r="Z18" s="313">
        <f t="shared" si="6"/>
        <v>-27332.822541753776</v>
      </c>
      <c r="AA18" s="313">
        <f t="shared" si="6"/>
        <v>-27332.822541753776</v>
      </c>
      <c r="AB18" s="313">
        <f t="shared" si="6"/>
        <v>-27332.822541753776</v>
      </c>
      <c r="AC18" s="313">
        <f t="shared" si="6"/>
        <v>-27332.822541753776</v>
      </c>
      <c r="AD18" s="313">
        <f t="shared" si="6"/>
        <v>-27332.822541753776</v>
      </c>
    </row>
    <row r="19" spans="3:30" ht="6" customHeight="1">
      <c r="D19" s="315"/>
      <c r="E19" s="309"/>
      <c r="F19" s="316"/>
      <c r="G19" s="316"/>
      <c r="H19" s="316"/>
      <c r="I19" s="316"/>
      <c r="J19" s="316"/>
      <c r="K19" s="316"/>
      <c r="L19" s="316"/>
      <c r="M19" s="316"/>
      <c r="N19" s="316"/>
      <c r="O19" s="316"/>
      <c r="P19" s="316"/>
      <c r="Q19" s="316"/>
      <c r="R19" s="316"/>
      <c r="S19" s="316"/>
      <c r="T19" s="316"/>
      <c r="U19" s="316"/>
      <c r="V19" s="316"/>
      <c r="W19" s="316"/>
      <c r="X19" s="316"/>
      <c r="Y19" s="316"/>
      <c r="Z19" s="316"/>
      <c r="AA19" s="316"/>
      <c r="AB19" s="316"/>
      <c r="AC19" s="316"/>
      <c r="AD19" s="316"/>
    </row>
    <row r="20" spans="3:30" ht="16" customHeight="1">
      <c r="C20" s="317"/>
      <c r="D20" s="318" t="s">
        <v>502</v>
      </c>
      <c r="E20" s="318"/>
      <c r="F20" s="319">
        <f>+F12</f>
        <v>0</v>
      </c>
      <c r="G20" s="319">
        <f t="shared" ref="G20:AD20" si="7">+G12</f>
        <v>5138.3519999999999</v>
      </c>
      <c r="H20" s="319">
        <f t="shared" si="7"/>
        <v>0</v>
      </c>
      <c r="I20" s="319">
        <f t="shared" si="7"/>
        <v>0</v>
      </c>
      <c r="J20" s="319">
        <f t="shared" si="7"/>
        <v>0</v>
      </c>
      <c r="K20" s="319">
        <f t="shared" si="7"/>
        <v>0</v>
      </c>
      <c r="L20" s="319">
        <f t="shared" si="7"/>
        <v>0</v>
      </c>
      <c r="M20" s="319">
        <f t="shared" si="7"/>
        <v>0</v>
      </c>
      <c r="N20" s="319">
        <f t="shared" si="7"/>
        <v>0</v>
      </c>
      <c r="O20" s="319">
        <f t="shared" si="7"/>
        <v>0</v>
      </c>
      <c r="P20" s="319">
        <f t="shared" si="7"/>
        <v>0</v>
      </c>
      <c r="Q20" s="319">
        <f t="shared" si="7"/>
        <v>0</v>
      </c>
      <c r="R20" s="319">
        <f t="shared" si="7"/>
        <v>0</v>
      </c>
      <c r="S20" s="319">
        <f t="shared" si="7"/>
        <v>0</v>
      </c>
      <c r="T20" s="319">
        <f t="shared" si="7"/>
        <v>0</v>
      </c>
      <c r="U20" s="319">
        <f t="shared" si="7"/>
        <v>0</v>
      </c>
      <c r="V20" s="319">
        <f t="shared" si="7"/>
        <v>0</v>
      </c>
      <c r="W20" s="319">
        <f t="shared" si="7"/>
        <v>0</v>
      </c>
      <c r="X20" s="319">
        <f t="shared" si="7"/>
        <v>0</v>
      </c>
      <c r="Y20" s="319">
        <f t="shared" si="7"/>
        <v>0</v>
      </c>
      <c r="Z20" s="319">
        <f t="shared" si="7"/>
        <v>0</v>
      </c>
      <c r="AA20" s="319">
        <f t="shared" si="7"/>
        <v>0</v>
      </c>
      <c r="AB20" s="319">
        <f t="shared" si="7"/>
        <v>0</v>
      </c>
      <c r="AC20" s="319">
        <f t="shared" si="7"/>
        <v>0</v>
      </c>
      <c r="AD20" s="320">
        <f t="shared" si="7"/>
        <v>0</v>
      </c>
    </row>
    <row r="21" spans="3:30" ht="16" customHeight="1">
      <c r="C21" s="321"/>
      <c r="D21" s="322" t="s">
        <v>503</v>
      </c>
      <c r="E21" s="322"/>
      <c r="F21" s="323">
        <f>SUMIF(MonthlyLoanModel!$B$46:$B$345,'Annual Summary'!F$6,MonthlyLoanModel!$U$46:$U$345)</f>
        <v>915.39000000000021</v>
      </c>
      <c r="G21" s="323">
        <f>SUMIF(MonthlyLoanModel!$B$46:$B$345,'Annual Summary'!G$6,MonthlyLoanModel!$U$46:$U$345)</f>
        <v>942.6915067499998</v>
      </c>
      <c r="H21" s="323">
        <f>SUMIF(MonthlyLoanModel!$B$46:$B$345,'Annual Summary'!H$6,MonthlyLoanModel!$U$46:$U$345)</f>
        <v>970.80728093881851</v>
      </c>
      <c r="I21" s="323">
        <f>SUMIF(MonthlyLoanModel!$B$46:$B$345,'Annual Summary'!I$6,MonthlyLoanModel!$U$46:$U$345)</f>
        <v>999.76160809281839</v>
      </c>
      <c r="J21" s="323">
        <f>SUMIF(MonthlyLoanModel!$B$46:$B$345,'Annual Summary'!J$6,MonthlyLoanModel!$U$46:$U$345)</f>
        <v>1029.5794980541866</v>
      </c>
      <c r="K21" s="323">
        <f>SUMIF(MonthlyLoanModel!$B$46:$B$345,'Annual Summary'!K$6,MonthlyLoanModel!$U$46:$U$345)</f>
        <v>1060.2867065836529</v>
      </c>
      <c r="L21" s="323">
        <f>SUMIF(MonthlyLoanModel!$B$46:$B$345,'Annual Summary'!L$6,MonthlyLoanModel!$U$46:$U$345)</f>
        <v>1091.9097576075098</v>
      </c>
      <c r="M21" s="323">
        <f>SUMIF(MonthlyLoanModel!$B$46:$B$345,'Annual Summary'!M$6,MonthlyLoanModel!$U$46:$U$345)</f>
        <v>1124.4759661281537</v>
      </c>
      <c r="N21" s="323">
        <f>SUMIF(MonthlyLoanModel!$B$46:$B$345,'Annual Summary'!N$6,MonthlyLoanModel!$U$46:$U$345)</f>
        <v>1158.0134618179261</v>
      </c>
      <c r="O21" s="323">
        <f>SUMIF(MonthlyLoanModel!$B$46:$B$345,'Annual Summary'!O$6,MonthlyLoanModel!$U$46:$U$345)</f>
        <v>1192.5512133166455</v>
      </c>
      <c r="P21" s="323">
        <f>SUMIF(MonthlyLoanModel!$B$46:$B$345,'Annual Summary'!P$6,MonthlyLoanModel!$U$46:$U$345)</f>
        <v>1228.1190532538146</v>
      </c>
      <c r="Q21" s="323">
        <f>SUMIF(MonthlyLoanModel!$B$46:$B$345,'Annual Summary'!Q$6,MonthlyLoanModel!$U$46:$U$345)</f>
        <v>1264.7477040171095</v>
      </c>
      <c r="R21" s="323">
        <f>SUMIF(MonthlyLoanModel!$B$46:$B$345,'Annual Summary'!R$6,MonthlyLoanModel!$U$46:$U$345)</f>
        <v>1302.4688042894195</v>
      </c>
      <c r="S21" s="323">
        <f>SUMIF(MonthlyLoanModel!$B$46:$B$345,'Annual Summary'!S$6,MonthlyLoanModel!$U$46:$U$345)</f>
        <v>1341.3149363773512</v>
      </c>
      <c r="T21" s="323">
        <f>SUMIF(MonthlyLoanModel!$B$46:$B$345,'Annual Summary'!T$6,MonthlyLoanModel!$U$46:$U$345)</f>
        <v>1381.3196543548054</v>
      </c>
      <c r="U21" s="323">
        <f>SUMIF(MonthlyLoanModel!$B$46:$B$345,'Annual Summary'!U$6,MonthlyLoanModel!$U$46:$U$345)</f>
        <v>1422.5175130459374</v>
      </c>
      <c r="V21" s="323">
        <f>SUMIF(MonthlyLoanModel!$B$46:$B$345,'Annual Summary'!V$6,MonthlyLoanModel!$U$46:$U$345)</f>
        <v>1464.9440978725322</v>
      </c>
      <c r="W21" s="323">
        <f>SUMIF(MonthlyLoanModel!$B$46:$B$345,'Annual Summary'!W$6,MonthlyLoanModel!$U$46:$U$345)</f>
        <v>1508.6360555915805</v>
      </c>
      <c r="X21" s="323">
        <f>SUMIF(MonthlyLoanModel!$B$46:$B$345,'Annual Summary'!X$6,MonthlyLoanModel!$U$46:$U$345)</f>
        <v>1553.6311259495994</v>
      </c>
      <c r="Y21" s="323">
        <f>SUMIF(MonthlyLoanModel!$B$46:$B$345,'Annual Summary'!Y$6,MonthlyLoanModel!$U$46:$U$345)</f>
        <v>1599.9681742810453</v>
      </c>
      <c r="Z21" s="323">
        <f>SUMIF(MonthlyLoanModel!$B$46:$B$345,'Annual Summary'!Z$6,MonthlyLoanModel!$U$46:$U$345)</f>
        <v>1647.6872250789775</v>
      </c>
      <c r="AA21" s="323">
        <f>SUMIF(MonthlyLoanModel!$B$46:$B$345,'Annual Summary'!AA$6,MonthlyLoanModel!$U$46:$U$345)</f>
        <v>1696.8294965669577</v>
      </c>
      <c r="AB21" s="323">
        <f>SUMIF(MonthlyLoanModel!$B$46:$B$345,'Annual Summary'!AB$6,MonthlyLoanModel!$U$46:$U$345)</f>
        <v>1747.4374363020679</v>
      </c>
      <c r="AC21" s="323">
        <f>SUMIF(MonthlyLoanModel!$B$46:$B$345,'Annual Summary'!AC$6,MonthlyLoanModel!$U$46:$U$345)</f>
        <v>1799.554757839777</v>
      </c>
      <c r="AD21" s="324">
        <f>SUMIF(MonthlyLoanModel!$B$46:$B$345,'Annual Summary'!AD$6,MonthlyLoanModel!$U$46:$U$345)</f>
        <v>1853.226478492348</v>
      </c>
    </row>
    <row r="22" spans="3:30" ht="16" customHeight="1">
      <c r="C22" s="321"/>
      <c r="D22" s="312" t="s">
        <v>504</v>
      </c>
      <c r="E22" s="322"/>
      <c r="F22" s="325">
        <f>+SUM(F20:F21)+F11</f>
        <v>-196.20681599999978</v>
      </c>
      <c r="G22" s="325">
        <f t="shared" ref="G22:AD22" si="8">+SUM(G20:G21)+G11</f>
        <v>-167.56730745549157</v>
      </c>
      <c r="H22" s="325">
        <f t="shared" si="8"/>
        <v>-138.78243636941932</v>
      </c>
      <c r="I22" s="325">
        <f t="shared" si="8"/>
        <v>-109.82810921541966</v>
      </c>
      <c r="J22" s="325">
        <f t="shared" si="8"/>
        <v>-80.010219254051208</v>
      </c>
      <c r="K22" s="325">
        <f t="shared" si="8"/>
        <v>-49.303010724585192</v>
      </c>
      <c r="L22" s="325">
        <f t="shared" si="8"/>
        <v>-17.679959700728205</v>
      </c>
      <c r="M22" s="325">
        <f t="shared" si="8"/>
        <v>14.886248819915863</v>
      </c>
      <c r="N22" s="325">
        <f t="shared" si="8"/>
        <v>48.423744509688277</v>
      </c>
      <c r="O22" s="325">
        <f t="shared" si="8"/>
        <v>82.961496008407494</v>
      </c>
      <c r="P22" s="325">
        <f t="shared" si="8"/>
        <v>118.52933594557658</v>
      </c>
      <c r="Q22" s="325">
        <f t="shared" si="8"/>
        <v>155.15798670887148</v>
      </c>
      <c r="R22" s="325">
        <f t="shared" si="8"/>
        <v>192.87908698118144</v>
      </c>
      <c r="S22" s="325">
        <f t="shared" si="8"/>
        <v>231.72521906911311</v>
      </c>
      <c r="T22" s="325">
        <f t="shared" si="8"/>
        <v>271.72993704656733</v>
      </c>
      <c r="U22" s="325">
        <f t="shared" si="8"/>
        <v>312.92779573769963</v>
      </c>
      <c r="V22" s="325">
        <f t="shared" si="8"/>
        <v>355.35438056429439</v>
      </c>
      <c r="W22" s="325">
        <f t="shared" si="8"/>
        <v>399.04633828334272</v>
      </c>
      <c r="X22" s="325">
        <f t="shared" si="8"/>
        <v>444.04140864136139</v>
      </c>
      <c r="Y22" s="325">
        <f t="shared" si="8"/>
        <v>490.37845697280727</v>
      </c>
      <c r="Z22" s="325">
        <f t="shared" si="8"/>
        <v>1647.6872250789775</v>
      </c>
      <c r="AA22" s="325">
        <f t="shared" si="8"/>
        <v>1696.8294965669577</v>
      </c>
      <c r="AB22" s="325">
        <f t="shared" si="8"/>
        <v>1747.4374363020679</v>
      </c>
      <c r="AC22" s="325">
        <f t="shared" si="8"/>
        <v>1799.554757839777</v>
      </c>
      <c r="AD22" s="326">
        <f t="shared" si="8"/>
        <v>1853.226478492348</v>
      </c>
    </row>
    <row r="23" spans="3:30" ht="16" customHeight="1">
      <c r="C23" s="321"/>
      <c r="D23" s="327" t="s">
        <v>462</v>
      </c>
      <c r="E23" s="322"/>
      <c r="F23" s="316">
        <f>SUM($F22:F22)</f>
        <v>-196.20681599999978</v>
      </c>
      <c r="G23" s="316">
        <f>SUM($F22:G22)</f>
        <v>-363.77412345549135</v>
      </c>
      <c r="H23" s="316">
        <f>SUM($F22:H22)</f>
        <v>-502.55655982491066</v>
      </c>
      <c r="I23" s="316">
        <f>SUM($F22:I22)</f>
        <v>-612.38466904033032</v>
      </c>
      <c r="J23" s="316">
        <f>SUM($F22:J22)</f>
        <v>-692.39488829438153</v>
      </c>
      <c r="K23" s="316">
        <f>SUM($F22:K22)</f>
        <v>-741.69789901896672</v>
      </c>
      <c r="L23" s="316">
        <f>SUM($F22:L22)</f>
        <v>-759.37785871969493</v>
      </c>
      <c r="M23" s="316">
        <f>SUM($F22:M22)</f>
        <v>-744.49160989977906</v>
      </c>
      <c r="N23" s="316">
        <f>SUM($F22:N22)</f>
        <v>-696.06786539009079</v>
      </c>
      <c r="O23" s="316">
        <f>SUM($F22:O22)</f>
        <v>-613.10636938168329</v>
      </c>
      <c r="P23" s="316">
        <f>SUM($F22:P22)</f>
        <v>-494.57703343610672</v>
      </c>
      <c r="Q23" s="316">
        <f>SUM($F22:Q22)</f>
        <v>-339.41904672723524</v>
      </c>
      <c r="R23" s="316">
        <f>SUM($F22:R22)</f>
        <v>-146.5399597460538</v>
      </c>
      <c r="S23" s="316">
        <f>SUM($F22:S22)</f>
        <v>85.185259323059313</v>
      </c>
      <c r="T23" s="316">
        <f>SUM($F22:T22)</f>
        <v>356.91519636962664</v>
      </c>
      <c r="U23" s="316">
        <f>SUM($F22:U22)</f>
        <v>669.84299210732627</v>
      </c>
      <c r="V23" s="316">
        <f>SUM($F22:V22)</f>
        <v>1025.1973726716205</v>
      </c>
      <c r="W23" s="316">
        <f>SUM($F22:W22)</f>
        <v>1424.2437109549633</v>
      </c>
      <c r="X23" s="316">
        <f>SUM($F22:X22)</f>
        <v>1868.2851195963246</v>
      </c>
      <c r="Y23" s="316">
        <f>SUM($F22:Y22)</f>
        <v>2358.6635765691317</v>
      </c>
      <c r="Z23" s="316">
        <f>SUM($F22:Z22)</f>
        <v>4006.3508016481092</v>
      </c>
      <c r="AA23" s="316">
        <f>SUM($F22:AA22)</f>
        <v>5703.1802982150666</v>
      </c>
      <c r="AB23" s="316">
        <f>SUM($F22:AB22)</f>
        <v>7450.6177345171345</v>
      </c>
      <c r="AC23" s="316">
        <f>SUM($F22:AC22)</f>
        <v>9250.1724923569109</v>
      </c>
      <c r="AD23" s="328">
        <f>SUM($F22:AD22)</f>
        <v>11103.398970849259</v>
      </c>
    </row>
    <row r="24" spans="3:30" ht="3" customHeight="1">
      <c r="C24" s="329"/>
      <c r="D24" s="330"/>
      <c r="E24" s="330"/>
      <c r="F24" s="331"/>
      <c r="G24" s="330"/>
      <c r="H24" s="330"/>
      <c r="I24" s="330"/>
      <c r="J24" s="330"/>
      <c r="K24" s="330"/>
      <c r="L24" s="330"/>
      <c r="M24" s="330"/>
      <c r="N24" s="330"/>
      <c r="O24" s="330"/>
      <c r="P24" s="330"/>
      <c r="Q24" s="330"/>
      <c r="R24" s="330"/>
      <c r="S24" s="330"/>
      <c r="T24" s="330"/>
      <c r="U24" s="330"/>
      <c r="V24" s="330"/>
      <c r="W24" s="330"/>
      <c r="X24" s="330"/>
      <c r="Y24" s="332"/>
      <c r="Z24" s="332"/>
      <c r="AA24" s="332"/>
      <c r="AB24" s="332"/>
      <c r="AC24" s="332"/>
      <c r="AD24" s="333"/>
    </row>
    <row r="25" spans="3:30" ht="9.75" customHeight="1">
      <c r="D25" s="306"/>
      <c r="E25" s="306"/>
      <c r="F25" s="334"/>
      <c r="G25" s="334"/>
      <c r="H25" s="334"/>
      <c r="I25" s="334"/>
      <c r="J25" s="334"/>
      <c r="K25" s="334"/>
      <c r="L25" s="334"/>
      <c r="M25" s="334"/>
      <c r="N25" s="334"/>
      <c r="O25" s="334"/>
      <c r="P25" s="334"/>
      <c r="Q25" s="334"/>
      <c r="R25" s="334"/>
      <c r="S25" s="334"/>
      <c r="T25" s="334"/>
      <c r="U25" s="334"/>
      <c r="V25" s="334"/>
      <c r="W25" s="334"/>
      <c r="X25" s="334"/>
      <c r="Y25" s="334"/>
      <c r="Z25" s="334"/>
      <c r="AA25" s="334"/>
      <c r="AB25" s="334"/>
      <c r="AC25" s="334"/>
      <c r="AD25" s="334"/>
    </row>
    <row r="26" spans="3:30" ht="16" customHeight="1" thickBot="1">
      <c r="D26" s="155" t="s">
        <v>549</v>
      </c>
      <c r="E26" s="306"/>
      <c r="F26" s="308">
        <f>+F6</f>
        <v>1</v>
      </c>
      <c r="G26" s="308">
        <f t="shared" ref="G26:AD26" si="9">+G6</f>
        <v>2</v>
      </c>
      <c r="H26" s="308">
        <f t="shared" si="9"/>
        <v>3</v>
      </c>
      <c r="I26" s="308">
        <f t="shared" si="9"/>
        <v>4</v>
      </c>
      <c r="J26" s="308">
        <f t="shared" si="9"/>
        <v>5</v>
      </c>
      <c r="K26" s="308">
        <f t="shared" si="9"/>
        <v>6</v>
      </c>
      <c r="L26" s="308">
        <f t="shared" si="9"/>
        <v>7</v>
      </c>
      <c r="M26" s="308">
        <f t="shared" si="9"/>
        <v>8</v>
      </c>
      <c r="N26" s="308">
        <f t="shared" si="9"/>
        <v>9</v>
      </c>
      <c r="O26" s="308">
        <f t="shared" si="9"/>
        <v>10</v>
      </c>
      <c r="P26" s="308">
        <f t="shared" si="9"/>
        <v>11</v>
      </c>
      <c r="Q26" s="308">
        <f t="shared" si="9"/>
        <v>12</v>
      </c>
      <c r="R26" s="308">
        <f t="shared" si="9"/>
        <v>13</v>
      </c>
      <c r="S26" s="308">
        <f t="shared" si="9"/>
        <v>14</v>
      </c>
      <c r="T26" s="308">
        <f t="shared" si="9"/>
        <v>15</v>
      </c>
      <c r="U26" s="308">
        <f t="shared" si="9"/>
        <v>16</v>
      </c>
      <c r="V26" s="308">
        <f t="shared" si="9"/>
        <v>17</v>
      </c>
      <c r="W26" s="308">
        <f t="shared" si="9"/>
        <v>18</v>
      </c>
      <c r="X26" s="308">
        <f t="shared" si="9"/>
        <v>19</v>
      </c>
      <c r="Y26" s="308">
        <f t="shared" si="9"/>
        <v>20</v>
      </c>
      <c r="Z26" s="308">
        <f t="shared" si="9"/>
        <v>21</v>
      </c>
      <c r="AA26" s="308">
        <f t="shared" si="9"/>
        <v>22</v>
      </c>
      <c r="AB26" s="308">
        <f t="shared" si="9"/>
        <v>23</v>
      </c>
      <c r="AC26" s="308">
        <f t="shared" si="9"/>
        <v>24</v>
      </c>
      <c r="AD26" s="308">
        <f t="shared" si="9"/>
        <v>25</v>
      </c>
    </row>
    <row r="27" spans="3:30" ht="16" customHeight="1">
      <c r="D27" s="309" t="s">
        <v>505</v>
      </c>
      <c r="E27" s="309"/>
      <c r="F27" s="310">
        <f>SUMIF(MonthlyLoanModel!$B$46:$B$285,'Annual Summary'!F$6,MonthlyLoanModel!$Y$46:$Y$285)</f>
        <v>85.639200000000002</v>
      </c>
      <c r="G27" s="310">
        <f>SUMIF(MonthlyLoanModel!$B$46:$B$285,'Annual Summary'!G$6,MonthlyLoanModel!$Y$46:$Y$285)</f>
        <v>65.950768728364707</v>
      </c>
      <c r="H27" s="310">
        <f>SUMIF(MonthlyLoanModel!$B$46:$B$285,'Annual Summary'!H$6,MonthlyLoanModel!$Y$46:$Y$285)</f>
        <v>57.865227832929399</v>
      </c>
      <c r="I27" s="310">
        <f>SUMIF(MonthlyLoanModel!$B$46:$B$285,'Annual Summary'!I$6,MonthlyLoanModel!$Y$46:$Y$285)</f>
        <v>56.018440496388223</v>
      </c>
      <c r="J27" s="310">
        <f>SUMIF(MonthlyLoanModel!$B$46:$B$285,'Annual Summary'!J$6,MonthlyLoanModel!$Y$46:$Y$285)</f>
        <v>54.048166243180361</v>
      </c>
      <c r="K27" s="310">
        <f>SUMIF(MonthlyLoanModel!$B$46:$B$285,'Annual Summary'!K$6,MonthlyLoanModel!$Y$46:$Y$285)</f>
        <v>51.946148198305842</v>
      </c>
      <c r="L27" s="310">
        <f>SUMIF(MonthlyLoanModel!$B$46:$B$285,'Annual Summary'!L$6,MonthlyLoanModel!$Y$46:$Y$285)</f>
        <v>49.703577570097984</v>
      </c>
      <c r="M27" s="310">
        <f>SUMIF(MonthlyLoanModel!$B$46:$B$285,'Annual Summary'!M$6,MonthlyLoanModel!$Y$46:$Y$285)</f>
        <v>47.311055775223487</v>
      </c>
      <c r="N27" s="310">
        <f>SUMIF(MonthlyLoanModel!$B$46:$B$285,'Annual Summary'!N$6,MonthlyLoanModel!$Y$46:$Y$285)</f>
        <v>44.758556230348965</v>
      </c>
      <c r="O27" s="310">
        <f>SUMIF(MonthlyLoanModel!$B$46:$B$285,'Annual Summary'!O$6,MonthlyLoanModel!$Y$46:$Y$285)</f>
        <v>42.035381727141122</v>
      </c>
      <c r="P27" s="310">
        <f>SUMIF(MonthlyLoanModel!$B$46:$B$285,'Annual Summary'!P$6,MonthlyLoanModel!$Y$46:$Y$285)</f>
        <v>39.130120307266601</v>
      </c>
      <c r="Q27" s="310">
        <f>SUMIF(MonthlyLoanModel!$B$46:$B$285,'Annual Summary'!Q$6,MonthlyLoanModel!$Y$46:$Y$285)</f>
        <v>36.030596804058746</v>
      </c>
      <c r="R27" s="310">
        <f>SUMIF(MonthlyLoanModel!$B$46:$B$285,'Annual Summary'!R$6,MonthlyLoanModel!$Y$46:$Y$285)</f>
        <v>32.723819759184224</v>
      </c>
      <c r="S27" s="310">
        <f>SUMIF(MonthlyLoanModel!$B$46:$B$285,'Annual Summary'!S$6,MonthlyLoanModel!$Y$46:$Y$285)</f>
        <v>29.195933255976371</v>
      </c>
      <c r="T27" s="310">
        <f>SUMIF(MonthlyLoanModel!$B$46:$B$285,'Annual Summary'!T$6,MonthlyLoanModel!$Y$46:$Y$285)</f>
        <v>25.432152127768511</v>
      </c>
      <c r="U27" s="310">
        <f>SUMIF(MonthlyLoanModel!$B$46:$B$285,'Annual Summary'!U$6,MonthlyLoanModel!$Y$46:$Y$285)</f>
        <v>0</v>
      </c>
      <c r="V27" s="310">
        <f>SUMIF(MonthlyLoanModel!$B$46:$B$285,'Annual Summary'!V$6,MonthlyLoanModel!$Y$46:$Y$285)</f>
        <v>0</v>
      </c>
      <c r="W27" s="310">
        <f>SUMIF(MonthlyLoanModel!$B$46:$B$285,'Annual Summary'!W$6,MonthlyLoanModel!$Y$46:$Y$285)</f>
        <v>0</v>
      </c>
      <c r="X27" s="310">
        <f>SUMIF(MonthlyLoanModel!$B$46:$B$285,'Annual Summary'!X$6,MonthlyLoanModel!$Y$46:$Y$285)</f>
        <v>0</v>
      </c>
      <c r="Y27" s="310">
        <f>SUMIF(MonthlyLoanModel!$B$46:$B$285,'Annual Summary'!Y$6,MonthlyLoanModel!$Y$46:$Y$285)</f>
        <v>0</v>
      </c>
      <c r="Z27" s="310">
        <f>SUMIF(MonthlyLoanModel!$B$46:$B$285,'Annual Summary'!Z$6,MonthlyLoanModel!$Y$46:$Y$285)</f>
        <v>0</v>
      </c>
      <c r="AA27" s="310">
        <f>SUMIF(MonthlyLoanModel!$B$46:$B$285,'Annual Summary'!AA$6,MonthlyLoanModel!$Y$46:$Y$285)</f>
        <v>0</v>
      </c>
      <c r="AB27" s="310">
        <f>SUMIF(MonthlyLoanModel!$B$46:$B$285,'Annual Summary'!AB$6,MonthlyLoanModel!$Y$46:$Y$285)</f>
        <v>0</v>
      </c>
      <c r="AC27" s="310">
        <f>SUMIF(MonthlyLoanModel!$B$46:$B$285,'Annual Summary'!AC$6,MonthlyLoanModel!$Y$46:$Y$285)</f>
        <v>0</v>
      </c>
      <c r="AD27" s="310">
        <f>SUMIF(MonthlyLoanModel!$B$46:$B$285,'Annual Summary'!AD$6,MonthlyLoanModel!$Y$46:$Y$285)</f>
        <v>0</v>
      </c>
    </row>
    <row r="28" spans="3:30" ht="16" customHeight="1">
      <c r="D28" s="309" t="s">
        <v>555</v>
      </c>
      <c r="E28" s="309"/>
      <c r="F28" s="310">
        <f>F27</f>
        <v>85.639200000000002</v>
      </c>
      <c r="G28" s="310">
        <f>IF(G27&gt;0,G27+F28,0)</f>
        <v>151.58996872836471</v>
      </c>
      <c r="H28" s="310">
        <f t="shared" ref="H28:AD28" si="10">IF(H27&gt;0,H27+G28,0)</f>
        <v>209.45519656129412</v>
      </c>
      <c r="I28" s="310">
        <f t="shared" si="10"/>
        <v>265.47363705768237</v>
      </c>
      <c r="J28" s="310">
        <f t="shared" si="10"/>
        <v>319.52180330086276</v>
      </c>
      <c r="K28" s="310">
        <f t="shared" si="10"/>
        <v>371.46795149916858</v>
      </c>
      <c r="L28" s="310">
        <f t="shared" si="10"/>
        <v>421.17152906926657</v>
      </c>
      <c r="M28" s="310">
        <f t="shared" si="10"/>
        <v>468.48258484449008</v>
      </c>
      <c r="N28" s="310">
        <f t="shared" si="10"/>
        <v>513.24114107483899</v>
      </c>
      <c r="O28" s="310">
        <f t="shared" si="10"/>
        <v>555.27652280198015</v>
      </c>
      <c r="P28" s="310">
        <f t="shared" si="10"/>
        <v>594.40664310924672</v>
      </c>
      <c r="Q28" s="310">
        <f t="shared" si="10"/>
        <v>630.43723991330546</v>
      </c>
      <c r="R28" s="310">
        <f t="shared" si="10"/>
        <v>663.16105967248973</v>
      </c>
      <c r="S28" s="310">
        <f t="shared" si="10"/>
        <v>692.35699292846607</v>
      </c>
      <c r="T28" s="310">
        <f t="shared" si="10"/>
        <v>717.78914505623459</v>
      </c>
      <c r="U28" s="310">
        <f t="shared" si="10"/>
        <v>0</v>
      </c>
      <c r="V28" s="310">
        <f t="shared" si="10"/>
        <v>0</v>
      </c>
      <c r="W28" s="310">
        <f t="shared" si="10"/>
        <v>0</v>
      </c>
      <c r="X28" s="310">
        <f t="shared" si="10"/>
        <v>0</v>
      </c>
      <c r="Y28" s="310">
        <f t="shared" si="10"/>
        <v>0</v>
      </c>
      <c r="Z28" s="310">
        <f t="shared" si="10"/>
        <v>0</v>
      </c>
      <c r="AA28" s="310">
        <f t="shared" si="10"/>
        <v>0</v>
      </c>
      <c r="AB28" s="310">
        <f t="shared" si="10"/>
        <v>0</v>
      </c>
      <c r="AC28" s="310">
        <f t="shared" si="10"/>
        <v>0</v>
      </c>
      <c r="AD28" s="310">
        <f t="shared" si="10"/>
        <v>0</v>
      </c>
    </row>
    <row r="29" spans="3:30" ht="12.75" customHeight="1"/>
    <row r="30" spans="3:30">
      <c r="D30" s="335" t="s">
        <v>506</v>
      </c>
      <c r="E30" s="336"/>
      <c r="F30" s="336"/>
      <c r="G30" s="336"/>
      <c r="H30" s="336"/>
      <c r="I30" s="336"/>
      <c r="J30" s="336"/>
      <c r="K30" s="336"/>
      <c r="L30" s="336"/>
      <c r="M30" s="336"/>
      <c r="N30" s="336"/>
      <c r="O30" s="336"/>
      <c r="P30" s="336"/>
      <c r="Q30" s="336"/>
      <c r="R30" s="336"/>
      <c r="S30" s="336"/>
      <c r="T30" s="336"/>
      <c r="U30" s="336"/>
      <c r="V30" s="336"/>
      <c r="W30" s="336"/>
      <c r="X30" s="336"/>
      <c r="Y30" s="336"/>
      <c r="Z30" s="336"/>
      <c r="AA30" s="336"/>
      <c r="AB30" s="336"/>
      <c r="AC30" s="336"/>
      <c r="AD30" s="336"/>
    </row>
    <row r="31" spans="3:30">
      <c r="D31" s="337" t="s">
        <v>507</v>
      </c>
    </row>
    <row r="32" spans="3:30" ht="6" customHeight="1"/>
  </sheetData>
  <printOptions horizontalCentered="1"/>
  <pageMargins left="0.2" right="0.2" top="0.25" bottom="0.25" header="0.25" footer="0.25"/>
  <headerFooter>
    <oddFooter>&amp;L&amp;"-,Bold"&amp;10&amp;KFF0000&amp;D&amp;C&amp;"-,Bold"&amp;10&amp;KFF0000Strictly Confidential&amp;R&amp;"-,Bold"&amp;10&amp;KFF0000Page &amp;P</oddFooter>
  </headerFooter>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enableFormatConditionsCalculation="0"/>
  <dimension ref="B1:AE136"/>
  <sheetViews>
    <sheetView workbookViewId="0">
      <selection activeCell="L29" sqref="L29"/>
    </sheetView>
  </sheetViews>
  <sheetFormatPr baseColWidth="10" defaultRowHeight="13" x14ac:dyDescent="0"/>
  <cols>
    <col min="2" max="2" width="13" customWidth="1"/>
    <col min="3" max="3" width="16" customWidth="1"/>
  </cols>
  <sheetData>
    <row r="1" spans="2:23" ht="14" thickBot="1"/>
    <row r="2" spans="2:23" ht="18">
      <c r="B2" s="1163" t="s">
        <v>479</v>
      </c>
      <c r="C2" s="1164"/>
      <c r="D2" s="1164"/>
      <c r="E2" s="1164"/>
      <c r="F2" s="1164"/>
      <c r="G2" s="1164"/>
      <c r="H2" s="1164"/>
      <c r="I2" s="359"/>
      <c r="J2" s="360"/>
      <c r="L2" s="402" t="s">
        <v>535</v>
      </c>
      <c r="M2" s="403" t="s">
        <v>541</v>
      </c>
      <c r="Q2" s="555"/>
      <c r="R2" s="555"/>
      <c r="S2" s="670" t="e">
        <f>#REF!</f>
        <v>#REF!</v>
      </c>
      <c r="T2" s="643"/>
      <c r="U2" s="1048" t="s">
        <v>455</v>
      </c>
      <c r="V2" s="1050" t="s">
        <v>456</v>
      </c>
      <c r="W2" s="555"/>
    </row>
    <row r="3" spans="2:23" ht="16" thickBot="1">
      <c r="B3" s="64"/>
      <c r="C3" s="367" t="s">
        <v>483</v>
      </c>
      <c r="D3" s="54" t="s">
        <v>253</v>
      </c>
      <c r="E3" s="373">
        <v>250</v>
      </c>
      <c r="F3" s="54" t="s">
        <v>407</v>
      </c>
      <c r="G3" s="381">
        <v>250</v>
      </c>
      <c r="H3" s="56" t="s">
        <v>407</v>
      </c>
      <c r="I3" s="56" t="s">
        <v>280</v>
      </c>
      <c r="J3" s="62" t="s">
        <v>320</v>
      </c>
      <c r="L3" s="402" t="s">
        <v>534</v>
      </c>
      <c r="M3" s="403" t="s">
        <v>542</v>
      </c>
      <c r="Q3" s="555"/>
      <c r="R3" s="555"/>
      <c r="S3" s="644"/>
      <c r="T3" s="579"/>
      <c r="U3" s="1049"/>
      <c r="V3" s="1051"/>
      <c r="W3" s="555"/>
    </row>
    <row r="4" spans="2:23" ht="15">
      <c r="B4" s="64"/>
      <c r="C4" s="376" t="s">
        <v>485</v>
      </c>
      <c r="D4" s="59" t="s">
        <v>486</v>
      </c>
      <c r="E4" s="375">
        <v>265</v>
      </c>
      <c r="F4" s="61" t="s">
        <v>217</v>
      </c>
      <c r="G4" s="354">
        <v>250</v>
      </c>
      <c r="H4" s="62" t="s">
        <v>407</v>
      </c>
      <c r="I4" s="62" t="s">
        <v>281</v>
      </c>
      <c r="J4" s="62" t="s">
        <v>322</v>
      </c>
      <c r="L4" s="402" t="s">
        <v>536</v>
      </c>
      <c r="M4" s="403" t="s">
        <v>543</v>
      </c>
      <c r="Q4" s="645" t="s">
        <v>379</v>
      </c>
      <c r="R4" s="646">
        <f>PV_Production_Factor</f>
        <v>1453</v>
      </c>
      <c r="S4" s="826" t="s">
        <v>457</v>
      </c>
      <c r="T4" s="825">
        <f t="array" ref="T4">INDEX($B$40:$P$55,MATCH(1,($B$40:$B$55=$R$5)*($C$40:$C$55=$R$6),0),3)</f>
        <v>105</v>
      </c>
      <c r="U4" s="824">
        <f>T4*'4 Dividend Financed Bid'!$G$11</f>
        <v>630</v>
      </c>
      <c r="V4" s="342">
        <f>IF('3 Pricing Sheet'!$H$7="Monthly Usage",'2 Sizing Sheet'!C24,IF('3 Pricing Sheet'!$H$7="Annual Usage",'2 Sizing Sheet'!$C$50*W4,'2 Sizing Sheet'!$C$68*W4))</f>
        <v>912.60349586016559</v>
      </c>
      <c r="W4" s="436">
        <v>7.6050291321680466E-2</v>
      </c>
    </row>
    <row r="5" spans="2:23" ht="15">
      <c r="B5" s="64"/>
      <c r="C5" s="62"/>
      <c r="D5" s="62"/>
      <c r="E5" s="62"/>
      <c r="F5" s="380" t="s">
        <v>487</v>
      </c>
      <c r="G5" s="354">
        <v>265</v>
      </c>
      <c r="H5" s="62" t="s">
        <v>407</v>
      </c>
      <c r="I5" s="62" t="s">
        <v>280</v>
      </c>
      <c r="J5" s="62" t="s">
        <v>481</v>
      </c>
      <c r="L5" s="402" t="s">
        <v>537</v>
      </c>
      <c r="M5" s="403"/>
      <c r="Q5" s="648" t="s">
        <v>390</v>
      </c>
      <c r="R5" s="649">
        <f>'2 Sizing Sheet'!D8</f>
        <v>30</v>
      </c>
      <c r="S5" s="827" t="s">
        <v>458</v>
      </c>
      <c r="T5" s="825">
        <f t="array" ref="T5">INDEX($B$40:$P$55,MATCH(1,($B$40:$B$55=$R$5)*($C$40:$C$55=$R$6),0),4)</f>
        <v>107</v>
      </c>
      <c r="U5" s="824">
        <f>T5*'4 Dividend Financed Bid'!$G$11</f>
        <v>642</v>
      </c>
      <c r="V5" s="342">
        <f>IF('3 Pricing Sheet'!$H$7="Monthly Usage",'2 Sizing Sheet'!C25,IF('3 Pricing Sheet'!$H$7="Annual Usage",'2 Sizing Sheet'!$C$50*W5,'2 Sizing Sheet'!$C$68*W5))</f>
        <v>729.83747316773997</v>
      </c>
      <c r="W5" s="436">
        <v>6.0819789430644998E-2</v>
      </c>
    </row>
    <row r="6" spans="2:23" ht="16" thickBot="1">
      <c r="B6" s="64"/>
      <c r="C6" s="62"/>
      <c r="D6" s="62"/>
      <c r="E6" s="62"/>
      <c r="F6" s="62"/>
      <c r="G6" s="374">
        <v>265</v>
      </c>
      <c r="H6" s="62" t="s">
        <v>407</v>
      </c>
      <c r="I6" s="62" t="s">
        <v>281</v>
      </c>
      <c r="J6" s="62" t="s">
        <v>325</v>
      </c>
      <c r="L6" s="927" t="s">
        <v>676</v>
      </c>
      <c r="M6" s="403"/>
      <c r="Q6" s="652" t="s">
        <v>389</v>
      </c>
      <c r="R6" s="653" t="str">
        <f>'2 Sizing Sheet'!D10</f>
        <v>South</v>
      </c>
      <c r="S6" s="827" t="s">
        <v>459</v>
      </c>
      <c r="T6" s="825">
        <f t="array" ref="T6">INDEX($B$40:$P$55,MATCH(1,($B$40:$B$55=$R$5)*($C$40:$C$55=$R$6),0),5)</f>
        <v>130</v>
      </c>
      <c r="U6" s="824">
        <f>T6*'4 Dividend Financed Bid'!$G$11</f>
        <v>780</v>
      </c>
      <c r="V6" s="342">
        <f>IF('3 Pricing Sheet'!$H$7="Monthly Usage",'2 Sizing Sheet'!C26,IF('3 Pricing Sheet'!$H$7="Annual Usage",'2 Sizing Sheet'!$C$50*W6,'2 Sizing Sheet'!$C$68*W6))</f>
        <v>678.31953388531122</v>
      </c>
      <c r="W6" s="436">
        <v>5.6526627823775939E-2</v>
      </c>
    </row>
    <row r="7" spans="2:23" ht="16" thickBot="1">
      <c r="B7" s="64"/>
      <c r="C7" s="54" t="s">
        <v>489</v>
      </c>
      <c r="D7" s="62"/>
      <c r="E7" s="364" t="s">
        <v>231</v>
      </c>
      <c r="F7" s="56"/>
      <c r="G7" s="374">
        <v>250</v>
      </c>
      <c r="H7" s="67" t="s">
        <v>217</v>
      </c>
      <c r="I7" s="62" t="s">
        <v>280</v>
      </c>
      <c r="J7" s="62" t="s">
        <v>336</v>
      </c>
      <c r="Q7" s="555"/>
      <c r="R7" s="555"/>
      <c r="S7" s="827" t="s">
        <v>370</v>
      </c>
      <c r="T7" s="825">
        <f t="array" ref="T7">INDEX($B$40:$P$55,MATCH(1,($B$40:$B$55=$R$5)*($C$40:$C$55=$R$6),0),6)</f>
        <v>124</v>
      </c>
      <c r="U7" s="824">
        <f>T7*'4 Dividend Financed Bid'!$G$11</f>
        <v>744</v>
      </c>
      <c r="V7" s="342">
        <f>IF('3 Pricing Sheet'!$H$7="Monthly Usage",'2 Sizing Sheet'!C27,IF('3 Pricing Sheet'!$H$7="Annual Usage",'2 Sizing Sheet'!$C$50*W7,'2 Sizing Sheet'!$C$68*W7))</f>
        <v>693.03894510886232</v>
      </c>
      <c r="W7" s="436">
        <v>5.7753245425738529E-2</v>
      </c>
    </row>
    <row r="8" spans="2:23" ht="15">
      <c r="B8" s="64"/>
      <c r="C8" s="355">
        <f>'2 Sizing Sheet'!E21</f>
        <v>0.3</v>
      </c>
      <c r="D8" s="62"/>
      <c r="E8" s="365" t="s">
        <v>233</v>
      </c>
      <c r="F8" s="67"/>
      <c r="G8" s="374">
        <v>250</v>
      </c>
      <c r="H8" s="67" t="s">
        <v>217</v>
      </c>
      <c r="I8" s="62" t="s">
        <v>281</v>
      </c>
      <c r="J8" s="62" t="s">
        <v>338</v>
      </c>
      <c r="L8" s="1165" t="s">
        <v>300</v>
      </c>
      <c r="M8" s="1166"/>
      <c r="N8" s="1167"/>
      <c r="Q8" s="555"/>
      <c r="R8" s="555"/>
      <c r="S8" s="827" t="s">
        <v>371</v>
      </c>
      <c r="T8" s="825">
        <f t="array" ref="T8">INDEX($B$40:$P$55,MATCH(1,($B$40:$B$55=$R$5)*($C$40:$C$55=$R$6),0),7)</f>
        <v>126</v>
      </c>
      <c r="U8" s="824">
        <f>T8*'4 Dividend Financed Bid'!$G$11</f>
        <v>756</v>
      </c>
      <c r="V8" s="342">
        <f>IF('3 Pricing Sheet'!$H$7="Monthly Usage",'2 Sizing Sheet'!C28,IF('3 Pricing Sheet'!$H$7="Annual Usage",'2 Sizing Sheet'!$C$50*W8,'2 Sizing Sheet'!$C$68*W8))</f>
        <v>808.34099969334557</v>
      </c>
      <c r="W8" s="436">
        <v>6.7361749974445467E-2</v>
      </c>
    </row>
    <row r="9" spans="2:23" ht="15">
      <c r="B9" s="64"/>
      <c r="C9" s="355">
        <f>'2 Sizing Sheet'!H21</f>
        <v>0.5</v>
      </c>
      <c r="D9" s="62"/>
      <c r="E9" s="366" t="s">
        <v>235</v>
      </c>
      <c r="F9" s="368"/>
      <c r="G9" s="374">
        <v>265</v>
      </c>
      <c r="H9" s="67" t="s">
        <v>217</v>
      </c>
      <c r="I9" s="62" t="s">
        <v>280</v>
      </c>
      <c r="J9" s="62" t="s">
        <v>339</v>
      </c>
      <c r="L9" s="573"/>
      <c r="M9" s="574" t="s">
        <v>529</v>
      </c>
      <c r="N9" s="575">
        <f>AVERAGE('4 Dividend Financed Bid'!V9:V33)</f>
        <v>0.1635893981120452</v>
      </c>
      <c r="Q9" s="555"/>
      <c r="R9" s="555"/>
      <c r="S9" s="827" t="s">
        <v>372</v>
      </c>
      <c r="T9" s="825">
        <f t="array" ref="T9">INDEX($B$40:$P$55,MATCH(1,($B$40:$B$55=$R$5)*($C$40:$C$55=$R$6),0),8)</f>
        <v>129</v>
      </c>
      <c r="U9" s="824">
        <f>T9*'4 Dividend Financed Bid'!$G$11</f>
        <v>774</v>
      </c>
      <c r="V9" s="342">
        <f>IF('3 Pricing Sheet'!$H$7="Monthly Usage",'2 Sizing Sheet'!C29,IF('3 Pricing Sheet'!$H$7="Annual Usage",'2 Sizing Sheet'!$C$50*W9,'2 Sizing Sheet'!$C$68*W9))</f>
        <v>1349.2793621588469</v>
      </c>
      <c r="W9" s="436">
        <v>0.11243994684657058</v>
      </c>
    </row>
    <row r="10" spans="2:23" ht="16" thickBot="1">
      <c r="B10" s="64"/>
      <c r="C10" s="355">
        <f>'2 Sizing Sheet'!K21</f>
        <v>0.7</v>
      </c>
      <c r="D10" s="62"/>
      <c r="E10" s="62"/>
      <c r="F10" s="67"/>
      <c r="G10" s="375">
        <v>265</v>
      </c>
      <c r="H10" s="368" t="s">
        <v>217</v>
      </c>
      <c r="I10" s="369" t="s">
        <v>281</v>
      </c>
      <c r="J10" s="62" t="s">
        <v>340</v>
      </c>
      <c r="L10" s="576"/>
      <c r="M10" s="577" t="s">
        <v>468</v>
      </c>
      <c r="N10" s="578">
        <f>(SUM(MonthlyLoanModel!K46:K285)-MonthlyLoanModel!H61-MonthlyLoanModel!F18)/(SUM('4 Dividend Financed Bid'!$X$9:$X$33))</f>
        <v>0.10814993715197099</v>
      </c>
      <c r="Q10" s="555"/>
      <c r="R10" s="555"/>
      <c r="S10" s="827" t="s">
        <v>373</v>
      </c>
      <c r="T10" s="825">
        <f t="array" ref="T10">INDEX($B$40:$P$55,MATCH(1,($B$40:$B$55=$R$5)*($C$40:$C$55=$R$6),0),9)</f>
        <v>137</v>
      </c>
      <c r="U10" s="824">
        <f>T10*'4 Dividend Financed Bid'!$G$11</f>
        <v>822</v>
      </c>
      <c r="V10" s="342">
        <f>IF('3 Pricing Sheet'!$H$7="Monthly Usage",'2 Sizing Sheet'!C30,IF('3 Pricing Sheet'!$H$7="Annual Usage",'2 Sizing Sheet'!$C$50*W10,'2 Sizing Sheet'!$C$68*W10))</f>
        <v>1521.0058264336092</v>
      </c>
      <c r="W10" s="436">
        <v>0.12675048553613411</v>
      </c>
    </row>
    <row r="11" spans="2:23" ht="15">
      <c r="B11" s="64"/>
      <c r="C11" s="356">
        <f>'2 Sizing Sheet'!N21</f>
        <v>1</v>
      </c>
      <c r="D11" s="62"/>
      <c r="E11" s="62"/>
      <c r="F11" s="67"/>
      <c r="G11" s="374">
        <v>250</v>
      </c>
      <c r="H11" s="62" t="s">
        <v>487</v>
      </c>
      <c r="I11" s="62" t="s">
        <v>280</v>
      </c>
      <c r="J11" s="62" t="s">
        <v>326</v>
      </c>
      <c r="L11" s="1165" t="s">
        <v>301</v>
      </c>
      <c r="M11" s="1166"/>
      <c r="N11" s="1167"/>
      <c r="Q11" s="555"/>
      <c r="R11" s="555"/>
      <c r="S11" s="827" t="s">
        <v>374</v>
      </c>
      <c r="T11" s="825">
        <f t="array" ref="T11">INDEX($B$40:$P$55,MATCH(1,($B$40:$B$55=$R$5)*($C$40:$C$55=$R$6),0),10)</f>
        <v>138</v>
      </c>
      <c r="U11" s="824">
        <f>T11*'4 Dividend Financed Bid'!$G$11</f>
        <v>828</v>
      </c>
      <c r="V11" s="342">
        <f>IF('3 Pricing Sheet'!$H$7="Monthly Usage",'2 Sizing Sheet'!C31,IF('3 Pricing Sheet'!$H$7="Annual Usage",'2 Sizing Sheet'!$C$50*W11,'2 Sizing Sheet'!$C$68*W11))</f>
        <v>1496.4734743943575</v>
      </c>
      <c r="W11" s="436">
        <v>0.12470612286619646</v>
      </c>
    </row>
    <row r="12" spans="2:23" ht="15">
      <c r="B12" s="370" t="s">
        <v>255</v>
      </c>
      <c r="C12" s="621">
        <v>0.02</v>
      </c>
      <c r="D12" s="62"/>
      <c r="E12" s="62"/>
      <c r="F12" s="67"/>
      <c r="G12" s="374">
        <v>250</v>
      </c>
      <c r="H12" s="62" t="s">
        <v>487</v>
      </c>
      <c r="I12" s="62" t="s">
        <v>281</v>
      </c>
      <c r="J12" s="62" t="s">
        <v>329</v>
      </c>
      <c r="L12" s="573"/>
      <c r="M12" s="574" t="s">
        <v>529</v>
      </c>
      <c r="N12" s="575" t="e">
        <f>AVERAGE(#REF!)</f>
        <v>#REF!</v>
      </c>
      <c r="Q12" s="555"/>
      <c r="R12" s="555"/>
      <c r="S12" s="827" t="s">
        <v>375</v>
      </c>
      <c r="T12" s="825">
        <f t="array" ref="T12">INDEX($B$40:$P$55,MATCH(1,($B$40:$B$55=$R$5)*($C$40:$C$55=$R$6),0),11)</f>
        <v>127</v>
      </c>
      <c r="U12" s="824">
        <f>T12*'4 Dividend Financed Bid'!$G$11</f>
        <v>762</v>
      </c>
      <c r="V12" s="342">
        <f>IF('3 Pricing Sheet'!$H$7="Monthly Usage",'2 Sizing Sheet'!C32,IF('3 Pricing Sheet'!$H$7="Annual Usage",'2 Sizing Sheet'!$C$50*W12,'2 Sizing Sheet'!$C$68*W12))</f>
        <v>1349.2793621588469</v>
      </c>
      <c r="W12" s="436">
        <v>0.11243994684657058</v>
      </c>
    </row>
    <row r="13" spans="2:23" ht="16" thickBot="1">
      <c r="B13" s="58" t="s">
        <v>482</v>
      </c>
      <c r="C13" s="621">
        <v>3.5000000000000003E-2</v>
      </c>
      <c r="D13" s="62"/>
      <c r="E13" s="62"/>
      <c r="F13" s="67"/>
      <c r="G13" s="354">
        <v>265</v>
      </c>
      <c r="H13" s="62" t="s">
        <v>487</v>
      </c>
      <c r="I13" s="62" t="s">
        <v>280</v>
      </c>
      <c r="J13" s="62" t="s">
        <v>331</v>
      </c>
      <c r="L13" s="576"/>
      <c r="M13" s="577" t="s">
        <v>468</v>
      </c>
      <c r="N13" s="578" t="e">
        <f>(#REF!)/SUM(#REF!)</f>
        <v>#REF!</v>
      </c>
      <c r="Q13" s="555"/>
      <c r="R13" s="555"/>
      <c r="S13" s="827" t="s">
        <v>376</v>
      </c>
      <c r="T13" s="825">
        <f t="array" ref="T13">INDEX($B$40:$P$55,MATCH(1,($B$40:$B$55=$R$5)*($C$40:$C$55=$R$6),0),12)</f>
        <v>129</v>
      </c>
      <c r="U13" s="824">
        <f>T13*'4 Dividend Financed Bid'!$G$11</f>
        <v>774</v>
      </c>
      <c r="V13" s="342">
        <f>IF('3 Pricing Sheet'!$H$7="Monthly Usage",'2 Sizing Sheet'!C33,IF('3 Pricing Sheet'!$H$7="Annual Usage",'2 Sizing Sheet'!$C$50*W13,'2 Sizing Sheet'!$C$68*W13))</f>
        <v>939.58908310334266</v>
      </c>
      <c r="W13" s="436">
        <v>7.8299090258611884E-2</v>
      </c>
    </row>
    <row r="14" spans="2:23" ht="15">
      <c r="B14" s="371" t="s">
        <v>680</v>
      </c>
      <c r="C14" s="621">
        <v>3.5000000000000003E-2</v>
      </c>
      <c r="D14" s="62"/>
      <c r="E14" s="62"/>
      <c r="F14" s="67"/>
      <c r="G14" s="374">
        <v>265</v>
      </c>
      <c r="H14" s="62" t="s">
        <v>487</v>
      </c>
      <c r="I14" s="62" t="s">
        <v>281</v>
      </c>
      <c r="J14" s="62" t="s">
        <v>334</v>
      </c>
      <c r="Q14" s="555"/>
      <c r="R14" s="555"/>
      <c r="S14" s="827" t="s">
        <v>377</v>
      </c>
      <c r="T14" s="825">
        <f t="array" ref="T14">INDEX($B$40:$P$55,MATCH(1,($B$40:$B$55=$R$5)*($C$40:$C$55=$R$6),0),13)</f>
        <v>104</v>
      </c>
      <c r="U14" s="824">
        <f>T14*'4 Dividend Financed Bid'!$G$11</f>
        <v>624</v>
      </c>
      <c r="V14" s="342">
        <f>IF('3 Pricing Sheet'!$H$7="Monthly Usage",'2 Sizing Sheet'!C34,IF('3 Pricing Sheet'!$H$7="Annual Usage",'2 Sizing Sheet'!$C$50*W14,'2 Sizing Sheet'!$C$68*W14))</f>
        <v>766.63600122661774</v>
      </c>
      <c r="W14" s="436">
        <v>6.3886333435551473E-2</v>
      </c>
    </row>
    <row r="15" spans="2:23" ht="16" thickBot="1">
      <c r="B15" s="371" t="s">
        <v>488</v>
      </c>
      <c r="C15" s="357"/>
      <c r="D15" s="357"/>
      <c r="E15" s="357"/>
      <c r="F15" s="357"/>
      <c r="G15" s="357"/>
      <c r="H15" s="357"/>
      <c r="I15" s="357"/>
      <c r="J15" s="361"/>
      <c r="Q15" s="654"/>
      <c r="R15" s="555"/>
      <c r="S15" s="827" t="s">
        <v>378</v>
      </c>
      <c r="T15" s="825">
        <f t="array" ref="T15">INDEX($B$40:$P$55,MATCH(1,($B$40:$B$55=$R$5)*($C$40:$C$55=$R$6),0),14)</f>
        <v>96</v>
      </c>
      <c r="U15" s="824">
        <f>T15*'4 Dividend Financed Bid'!$G$11</f>
        <v>576</v>
      </c>
      <c r="V15" s="342">
        <f>IF('3 Pricing Sheet'!$H$7="Monthly Usage",'2 Sizing Sheet'!C35,IF('3 Pricing Sheet'!$H$7="Annual Usage",'2 Sizing Sheet'!$C$50*W15,'2 Sizing Sheet'!$C$68*W15))</f>
        <v>755.59644280895429</v>
      </c>
      <c r="W15" s="436">
        <v>6.2966370234079527E-2</v>
      </c>
    </row>
    <row r="16" spans="2:23" ht="16" thickBot="1">
      <c r="B16" s="633" t="s">
        <v>314</v>
      </c>
      <c r="C16" s="634" t="s">
        <v>315</v>
      </c>
      <c r="D16" s="634" t="s">
        <v>316</v>
      </c>
      <c r="E16" s="634" t="s">
        <v>222</v>
      </c>
      <c r="F16" s="634" t="s">
        <v>317</v>
      </c>
      <c r="G16" s="634" t="s">
        <v>318</v>
      </c>
      <c r="H16" s="634" t="s">
        <v>319</v>
      </c>
      <c r="I16" s="359"/>
      <c r="J16" s="360"/>
      <c r="Q16" s="555"/>
      <c r="R16" s="555"/>
      <c r="S16" s="644"/>
      <c r="T16" s="579"/>
      <c r="U16" s="343">
        <f>AVERAGE(U4:U15)</f>
        <v>726</v>
      </c>
      <c r="V16" s="344">
        <f>AVERAGE(V4:V15)</f>
        <v>1000</v>
      </c>
      <c r="W16" s="555"/>
    </row>
    <row r="17" spans="2:31" ht="16" thickBot="1">
      <c r="B17" s="64" t="s">
        <v>320</v>
      </c>
      <c r="C17" s="354">
        <v>250</v>
      </c>
      <c r="D17" s="62" t="s">
        <v>253</v>
      </c>
      <c r="E17" s="62" t="s">
        <v>485</v>
      </c>
      <c r="F17" s="62" t="s">
        <v>321</v>
      </c>
      <c r="G17" s="73"/>
      <c r="H17" s="73">
        <f>G17*1.025</f>
        <v>0</v>
      </c>
      <c r="I17" s="357"/>
      <c r="J17" s="361"/>
      <c r="L17" s="837" t="s">
        <v>3</v>
      </c>
      <c r="M17" s="838"/>
      <c r="O17">
        <v>5000</v>
      </c>
      <c r="Q17" s="555"/>
      <c r="R17" s="555"/>
      <c r="S17" s="650"/>
      <c r="T17" s="651"/>
      <c r="U17" s="655">
        <f>SUM(U4:U15)</f>
        <v>8712</v>
      </c>
      <c r="V17" s="345">
        <f>SUM(V4:V15)</f>
        <v>12000</v>
      </c>
      <c r="W17" s="555"/>
    </row>
    <row r="18" spans="2:31" ht="15">
      <c r="B18" s="64" t="s">
        <v>322</v>
      </c>
      <c r="C18" s="354">
        <v>250</v>
      </c>
      <c r="D18" s="62" t="s">
        <v>253</v>
      </c>
      <c r="E18" s="62" t="s">
        <v>323</v>
      </c>
      <c r="F18" s="62" t="s">
        <v>321</v>
      </c>
      <c r="G18" s="73"/>
      <c r="H18" s="968">
        <v>2.62</v>
      </c>
      <c r="I18" s="357"/>
      <c r="J18" s="361"/>
      <c r="K18" s="904">
        <f>H18-H17</f>
        <v>2.62</v>
      </c>
      <c r="L18" s="839" t="s">
        <v>4</v>
      </c>
      <c r="M18" s="840">
        <v>0.2</v>
      </c>
      <c r="O18" s="904">
        <f>K18*O17</f>
        <v>13100</v>
      </c>
      <c r="Q18" s="95"/>
      <c r="R18" s="95"/>
      <c r="S18" s="95"/>
      <c r="T18" s="95"/>
      <c r="U18" s="95"/>
      <c r="V18" s="95"/>
      <c r="W18" s="95"/>
    </row>
    <row r="19" spans="2:31" ht="15">
      <c r="B19" s="64" t="s">
        <v>481</v>
      </c>
      <c r="C19" s="354">
        <v>265</v>
      </c>
      <c r="D19" s="62" t="s">
        <v>253</v>
      </c>
      <c r="E19" s="62" t="s">
        <v>485</v>
      </c>
      <c r="F19" s="62" t="s">
        <v>321</v>
      </c>
      <c r="G19" s="73"/>
      <c r="H19" s="73">
        <f t="shared" ref="H19:H28" si="0">G19*1.025</f>
        <v>0</v>
      </c>
      <c r="I19" s="357"/>
      <c r="J19" s="361"/>
      <c r="L19" s="839" t="s">
        <v>5</v>
      </c>
      <c r="M19" s="840">
        <v>0.5</v>
      </c>
      <c r="Q19" s="95"/>
      <c r="R19" s="95"/>
      <c r="S19" s="95"/>
      <c r="T19" s="95" t="s">
        <v>682</v>
      </c>
      <c r="U19" s="95" t="s">
        <v>237</v>
      </c>
      <c r="V19" s="95" t="s">
        <v>183</v>
      </c>
      <c r="W19" s="95"/>
    </row>
    <row r="20" spans="2:31" ht="16" thickBot="1">
      <c r="B20" s="64" t="s">
        <v>325</v>
      </c>
      <c r="C20" s="354">
        <v>265</v>
      </c>
      <c r="D20" s="62" t="s">
        <v>253</v>
      </c>
      <c r="E20" s="62" t="s">
        <v>323</v>
      </c>
      <c r="F20" s="62" t="s">
        <v>321</v>
      </c>
      <c r="G20" s="73"/>
      <c r="H20" s="968">
        <v>2.78</v>
      </c>
      <c r="I20" s="357"/>
      <c r="J20" s="361"/>
      <c r="K20" s="904">
        <f>H20-H19</f>
        <v>2.78</v>
      </c>
      <c r="L20" s="841" t="s">
        <v>6</v>
      </c>
      <c r="M20" s="842">
        <v>0.75</v>
      </c>
      <c r="O20" s="904">
        <f>K20*O17</f>
        <v>13899.999999999998</v>
      </c>
      <c r="Q20" s="95"/>
      <c r="R20" s="95"/>
      <c r="S20" s="95"/>
      <c r="T20" s="660">
        <f>T21/W21</f>
        <v>0.21690476190476188</v>
      </c>
      <c r="U20" s="660">
        <f>U21/W21</f>
        <v>0.72599999999999998</v>
      </c>
      <c r="V20" s="660">
        <f>V21/W21</f>
        <v>5.7095238095238109E-2</v>
      </c>
      <c r="W20" s="95"/>
    </row>
    <row r="21" spans="2:31" ht="15">
      <c r="B21" s="64" t="s">
        <v>336</v>
      </c>
      <c r="C21" s="354">
        <v>250</v>
      </c>
      <c r="D21" s="62" t="s">
        <v>253</v>
      </c>
      <c r="E21" s="62" t="s">
        <v>485</v>
      </c>
      <c r="F21" s="62" t="s">
        <v>337</v>
      </c>
      <c r="G21" s="73"/>
      <c r="H21" s="73">
        <f t="shared" si="0"/>
        <v>0</v>
      </c>
      <c r="I21" s="357"/>
      <c r="J21" s="361"/>
      <c r="Q21" s="95"/>
      <c r="R21" s="95"/>
      <c r="S21" s="95"/>
      <c r="T21" s="969">
        <f>'4 Dividend Financed Bid'!Z9/'4 Dividend Financed Bid'!V9</f>
        <v>2602.8571428571427</v>
      </c>
      <c r="U21" s="659">
        <f>U17</f>
        <v>8712</v>
      </c>
      <c r="V21" s="659">
        <f>V17-U21-T21</f>
        <v>685.14285714285734</v>
      </c>
      <c r="W21" s="95">
        <f>SUM(T21:V21)</f>
        <v>12000</v>
      </c>
    </row>
    <row r="22" spans="2:31" ht="15">
      <c r="B22" s="64" t="s">
        <v>338</v>
      </c>
      <c r="C22" s="354">
        <v>250</v>
      </c>
      <c r="D22" s="62" t="s">
        <v>253</v>
      </c>
      <c r="E22" s="62" t="s">
        <v>323</v>
      </c>
      <c r="F22" s="62" t="s">
        <v>337</v>
      </c>
      <c r="G22" s="73"/>
      <c r="H22" s="968">
        <v>2.76</v>
      </c>
      <c r="I22" s="978"/>
      <c r="J22" s="361"/>
      <c r="K22" s="904">
        <f>H22-H21</f>
        <v>2.76</v>
      </c>
      <c r="Q22" s="95"/>
      <c r="R22" s="95"/>
      <c r="S22" s="95"/>
      <c r="T22" s="95"/>
      <c r="U22" s="660"/>
      <c r="V22" s="660"/>
      <c r="W22" s="95"/>
    </row>
    <row r="23" spans="2:31" ht="15">
      <c r="B23" s="64" t="s">
        <v>339</v>
      </c>
      <c r="C23" s="354">
        <v>265</v>
      </c>
      <c r="D23" s="62" t="s">
        <v>253</v>
      </c>
      <c r="E23" s="62" t="s">
        <v>485</v>
      </c>
      <c r="F23" s="62" t="s">
        <v>337</v>
      </c>
      <c r="G23" s="73"/>
      <c r="H23" s="73">
        <f t="shared" si="0"/>
        <v>0</v>
      </c>
      <c r="I23" s="357"/>
      <c r="J23" s="361"/>
    </row>
    <row r="24" spans="2:31" ht="16" thickBot="1">
      <c r="B24" s="76" t="s">
        <v>340</v>
      </c>
      <c r="C24" s="635">
        <v>265</v>
      </c>
      <c r="D24" s="77" t="s">
        <v>253</v>
      </c>
      <c r="E24" s="77" t="s">
        <v>323</v>
      </c>
      <c r="F24" s="77" t="s">
        <v>337</v>
      </c>
      <c r="G24" s="78"/>
      <c r="H24" s="968">
        <v>2.92</v>
      </c>
      <c r="I24" s="977"/>
      <c r="J24" s="361"/>
      <c r="K24" s="904">
        <f>H24-H23</f>
        <v>2.92</v>
      </c>
    </row>
    <row r="25" spans="2:31" ht="15">
      <c r="B25" s="64" t="s">
        <v>326</v>
      </c>
      <c r="C25" s="354">
        <v>250</v>
      </c>
      <c r="D25" s="62" t="s">
        <v>253</v>
      </c>
      <c r="E25" s="62" t="s">
        <v>485</v>
      </c>
      <c r="F25" s="62" t="s">
        <v>327</v>
      </c>
      <c r="G25" s="73"/>
      <c r="H25" s="73">
        <f t="shared" si="0"/>
        <v>0</v>
      </c>
      <c r="I25" s="357"/>
      <c r="J25" s="361"/>
    </row>
    <row r="26" spans="2:31" ht="15">
      <c r="B26" s="64" t="s">
        <v>329</v>
      </c>
      <c r="C26" s="354">
        <v>250</v>
      </c>
      <c r="D26" s="62" t="s">
        <v>253</v>
      </c>
      <c r="E26" s="62" t="s">
        <v>323</v>
      </c>
      <c r="F26" s="62" t="s">
        <v>327</v>
      </c>
      <c r="G26" s="73"/>
      <c r="H26" s="73">
        <f t="shared" si="0"/>
        <v>0</v>
      </c>
      <c r="I26" s="357"/>
      <c r="J26" s="361"/>
      <c r="K26" s="904">
        <f>H26-H25</f>
        <v>0</v>
      </c>
      <c r="O26" s="904">
        <f>K26*O17</f>
        <v>0</v>
      </c>
    </row>
    <row r="27" spans="2:31" ht="15">
      <c r="B27" s="64" t="s">
        <v>331</v>
      </c>
      <c r="C27" s="354">
        <v>265</v>
      </c>
      <c r="D27" s="62" t="s">
        <v>253</v>
      </c>
      <c r="E27" s="62" t="s">
        <v>485</v>
      </c>
      <c r="F27" s="62" t="s">
        <v>332</v>
      </c>
      <c r="G27" s="73"/>
      <c r="H27" s="73">
        <f t="shared" si="0"/>
        <v>0</v>
      </c>
      <c r="I27" s="357"/>
      <c r="J27" s="361"/>
    </row>
    <row r="28" spans="2:31" ht="15">
      <c r="B28" s="64" t="s">
        <v>334</v>
      </c>
      <c r="C28" s="354">
        <v>265</v>
      </c>
      <c r="D28" s="62" t="s">
        <v>253</v>
      </c>
      <c r="E28" s="62" t="s">
        <v>323</v>
      </c>
      <c r="F28" s="62" t="s">
        <v>332</v>
      </c>
      <c r="G28" s="73"/>
      <c r="H28" s="73">
        <f t="shared" si="0"/>
        <v>0</v>
      </c>
      <c r="I28" s="357"/>
      <c r="J28" s="361"/>
      <c r="K28" s="904">
        <f>H28-H27</f>
        <v>0</v>
      </c>
      <c r="O28" s="904">
        <f>K28*O17</f>
        <v>0</v>
      </c>
    </row>
    <row r="31" spans="2:31" ht="14" thickBot="1"/>
    <row r="32" spans="2:31" ht="28">
      <c r="B32" s="428" t="s">
        <v>288</v>
      </c>
      <c r="C32" s="419"/>
      <c r="D32" s="419"/>
      <c r="E32" s="419"/>
      <c r="F32" s="419"/>
      <c r="G32" s="419"/>
      <c r="H32" s="419"/>
      <c r="I32" s="419"/>
      <c r="J32" s="419"/>
      <c r="K32" s="419"/>
      <c r="L32" s="419"/>
      <c r="M32" s="419"/>
      <c r="N32" s="419"/>
      <c r="O32" s="419"/>
      <c r="P32" s="420"/>
      <c r="S32" s="656" t="s">
        <v>453</v>
      </c>
      <c r="T32" s="656" t="s">
        <v>454</v>
      </c>
      <c r="U32" s="656" t="s">
        <v>233</v>
      </c>
      <c r="V32" s="656" t="s">
        <v>460</v>
      </c>
      <c r="W32" s="656" t="s">
        <v>467</v>
      </c>
      <c r="X32" s="656" t="s">
        <v>466</v>
      </c>
      <c r="Y32" s="656" t="s">
        <v>190</v>
      </c>
      <c r="Z32" s="656" t="s">
        <v>180</v>
      </c>
      <c r="AA32" s="656" t="s">
        <v>166</v>
      </c>
      <c r="AB32" s="658" t="s">
        <v>191</v>
      </c>
      <c r="AC32" s="656" t="s">
        <v>181</v>
      </c>
      <c r="AD32" s="656" t="s">
        <v>182</v>
      </c>
      <c r="AE32" s="663" t="s">
        <v>179</v>
      </c>
    </row>
    <row r="33" spans="2:31" ht="27">
      <c r="B33" s="421" t="s">
        <v>246</v>
      </c>
      <c r="C33" s="416" t="s">
        <v>245</v>
      </c>
      <c r="D33" s="422"/>
      <c r="E33" s="422"/>
      <c r="F33" s="423"/>
      <c r="G33" s="422"/>
      <c r="H33" s="422"/>
      <c r="I33" s="422"/>
      <c r="J33" s="422"/>
      <c r="K33" s="422"/>
      <c r="L33" s="422"/>
      <c r="M33" s="422"/>
      <c r="N33" s="422"/>
      <c r="O33" s="422"/>
      <c r="P33" s="424"/>
      <c r="S33" s="109">
        <v>0</v>
      </c>
      <c r="T33" s="109"/>
      <c r="U33" s="109"/>
      <c r="V33" s="109"/>
      <c r="W33" s="109"/>
      <c r="X33" s="109"/>
      <c r="Y33" s="109"/>
      <c r="Z33" s="109">
        <v>0</v>
      </c>
      <c r="AA33" s="109"/>
      <c r="AB33" s="109"/>
      <c r="AC33" s="657">
        <f>-R11</f>
        <v>0</v>
      </c>
      <c r="AD33" s="110">
        <f>-R11</f>
        <v>0</v>
      </c>
      <c r="AE33" s="665"/>
    </row>
    <row r="34" spans="2:31" ht="27">
      <c r="B34" s="425">
        <v>15</v>
      </c>
      <c r="C34" s="417" t="s">
        <v>247</v>
      </c>
      <c r="D34" s="422"/>
      <c r="E34" s="422"/>
      <c r="F34" s="423"/>
      <c r="G34" s="422"/>
      <c r="H34" s="422"/>
      <c r="I34" s="422"/>
      <c r="J34" s="422"/>
      <c r="K34" s="422"/>
      <c r="L34" s="422"/>
      <c r="M34" s="422"/>
      <c r="N34" s="422"/>
      <c r="O34" s="422"/>
      <c r="P34" s="424"/>
      <c r="S34" s="112">
        <v>1</v>
      </c>
      <c r="T34" s="113">
        <f>0.113</f>
        <v>0.113</v>
      </c>
      <c r="U34" s="114">
        <f>V17</f>
        <v>12000</v>
      </c>
      <c r="V34" s="114">
        <f>U17</f>
        <v>8712</v>
      </c>
      <c r="W34" s="115">
        <f>T34*U34</f>
        <v>1356</v>
      </c>
      <c r="X34" s="115">
        <f t="shared" ref="X34:X58" si="1">(U34-V34)*T34</f>
        <v>371.54399999999998</v>
      </c>
      <c r="Y34" s="116">
        <f t="shared" ref="Y34:Y58" si="2">T34*V34</f>
        <v>984.45600000000002</v>
      </c>
      <c r="Z34" s="116">
        <f>Y34</f>
        <v>984.45600000000002</v>
      </c>
      <c r="AA34" s="115">
        <f t="shared" ref="AA34:AA53" si="3">(U34-V34)*T34+(12*$G$48)</f>
        <v>1859.5439999999999</v>
      </c>
      <c r="AB34" s="115">
        <f t="shared" ref="AB34:AB58" si="4">W34-AA34</f>
        <v>-503.54399999999987</v>
      </c>
      <c r="AC34" s="115">
        <f>AC33+AA34</f>
        <v>1859.5439999999999</v>
      </c>
      <c r="AD34" s="117">
        <f t="shared" ref="AD34:AD58" si="5">AD33+W34-AA34</f>
        <v>-503.54399999999987</v>
      </c>
      <c r="AE34" s="664">
        <f>-FV($M$58/12,12,AB34/12)</f>
        <v>-503.54399999999987</v>
      </c>
    </row>
    <row r="35" spans="2:31" ht="27">
      <c r="B35" s="425">
        <v>30</v>
      </c>
      <c r="C35" s="417" t="s">
        <v>248</v>
      </c>
      <c r="D35" s="422"/>
      <c r="E35" s="422"/>
      <c r="F35" s="423"/>
      <c r="G35" s="422"/>
      <c r="H35" s="422"/>
      <c r="I35" s="422"/>
      <c r="J35" s="422"/>
      <c r="K35" s="422"/>
      <c r="L35" s="422"/>
      <c r="M35" s="422"/>
      <c r="N35" s="422"/>
      <c r="O35" s="422"/>
      <c r="P35" s="424"/>
      <c r="S35" s="112">
        <v>2</v>
      </c>
      <c r="T35" s="113">
        <f>T34*((IF('1 Customer Record'!$C$19="Austin Energy",1.02,1.035)))</f>
        <v>0.11695499999999999</v>
      </c>
      <c r="U35" s="114">
        <f>U34</f>
        <v>12000</v>
      </c>
      <c r="V35" s="118">
        <f>V34*(1-0.005)</f>
        <v>8668.44</v>
      </c>
      <c r="W35" s="115">
        <f t="shared" ref="W35:W58" si="6">T35*U35</f>
        <v>1403.4599999999998</v>
      </c>
      <c r="X35" s="115">
        <f t="shared" si="1"/>
        <v>389.64259979999991</v>
      </c>
      <c r="Y35" s="116">
        <f t="shared" si="2"/>
        <v>1013.8174002</v>
      </c>
      <c r="Z35" s="116">
        <f>Z34+Y35</f>
        <v>1998.2734002</v>
      </c>
      <c r="AA35" s="115">
        <f t="shared" si="3"/>
        <v>1877.6425998</v>
      </c>
      <c r="AB35" s="115">
        <f t="shared" si="4"/>
        <v>-474.18259980000016</v>
      </c>
      <c r="AC35" s="115">
        <f>AC34+AA35</f>
        <v>3737.1865997999998</v>
      </c>
      <c r="AD35" s="117">
        <f t="shared" si="5"/>
        <v>-977.72659980000003</v>
      </c>
      <c r="AE35" s="664">
        <f t="shared" ref="AE35:AE58" si="7">-FV($M$58/12,12,AB35/12,AE34)</f>
        <v>-977.72659980000003</v>
      </c>
    </row>
    <row r="36" spans="2:31">
      <c r="B36" s="425">
        <v>45</v>
      </c>
      <c r="C36" s="417" t="s">
        <v>249</v>
      </c>
      <c r="D36" s="422"/>
      <c r="E36" s="422"/>
      <c r="F36" s="422"/>
      <c r="G36" s="422"/>
      <c r="H36" s="422"/>
      <c r="I36" s="422"/>
      <c r="J36" s="422"/>
      <c r="K36" s="422"/>
      <c r="L36" s="422"/>
      <c r="M36" s="422"/>
      <c r="N36" s="422"/>
      <c r="O36" s="422"/>
      <c r="P36" s="424"/>
      <c r="S36" s="112">
        <v>3</v>
      </c>
      <c r="T36" s="113">
        <f>T35*((IF('1 Customer Record'!$C$19="Austin Energy",1.02,1.035)))</f>
        <v>0.12104842499999997</v>
      </c>
      <c r="U36" s="114">
        <f t="shared" ref="U36:U58" si="8">U35</f>
        <v>12000</v>
      </c>
      <c r="V36" s="118">
        <f t="shared" ref="V36:V58" si="9">V35*(1-0.005)</f>
        <v>8625.0978000000014</v>
      </c>
      <c r="W36" s="115">
        <f t="shared" si="6"/>
        <v>1452.5810999999997</v>
      </c>
      <c r="X36" s="115">
        <f t="shared" si="1"/>
        <v>408.52659583903477</v>
      </c>
      <c r="Y36" s="116">
        <f t="shared" si="2"/>
        <v>1044.0545041609648</v>
      </c>
      <c r="Z36" s="116">
        <f t="shared" ref="Z36:Z58" si="10">Z35+Y36</f>
        <v>3042.3279043609646</v>
      </c>
      <c r="AA36" s="115">
        <f t="shared" si="3"/>
        <v>1896.5265958390348</v>
      </c>
      <c r="AB36" s="115">
        <f t="shared" si="4"/>
        <v>-443.94549583903517</v>
      </c>
      <c r="AC36" s="115">
        <f t="shared" ref="AC36:AC58" si="11">AC35+AA36</f>
        <v>5633.7131956390349</v>
      </c>
      <c r="AD36" s="117">
        <f t="shared" si="5"/>
        <v>-1421.6720956390352</v>
      </c>
      <c r="AE36" s="664">
        <f t="shared" si="7"/>
        <v>-1421.6720956390352</v>
      </c>
    </row>
    <row r="37" spans="2:31">
      <c r="B37" s="426"/>
      <c r="C37" s="417" t="s">
        <v>250</v>
      </c>
      <c r="D37" s="422"/>
      <c r="E37" s="422"/>
      <c r="F37" s="422"/>
      <c r="G37" s="422"/>
      <c r="H37" s="422"/>
      <c r="I37" s="422"/>
      <c r="J37" s="422"/>
      <c r="K37" s="422"/>
      <c r="L37" s="422"/>
      <c r="M37" s="422"/>
      <c r="N37" s="422"/>
      <c r="O37" s="422"/>
      <c r="P37" s="424"/>
      <c r="S37" s="112">
        <v>4</v>
      </c>
      <c r="T37" s="113">
        <f>T36*((IF('1 Customer Record'!$C$19="Austin Energy",1.02,1.035)))</f>
        <v>0.12528511987499996</v>
      </c>
      <c r="U37" s="114">
        <f t="shared" si="8"/>
        <v>12000</v>
      </c>
      <c r="V37" s="118">
        <f t="shared" si="9"/>
        <v>8581.9723110000014</v>
      </c>
      <c r="W37" s="115">
        <f t="shared" si="6"/>
        <v>1503.4214384999996</v>
      </c>
      <c r="X37" s="115">
        <f t="shared" si="1"/>
        <v>428.22800875243394</v>
      </c>
      <c r="Y37" s="116">
        <f t="shared" si="2"/>
        <v>1075.1934297475657</v>
      </c>
      <c r="Z37" s="116">
        <f t="shared" si="10"/>
        <v>4117.52133410853</v>
      </c>
      <c r="AA37" s="115">
        <f t="shared" si="3"/>
        <v>1916.2280087524339</v>
      </c>
      <c r="AB37" s="115">
        <f t="shared" si="4"/>
        <v>-412.80657025243431</v>
      </c>
      <c r="AC37" s="115">
        <f t="shared" si="11"/>
        <v>7549.941204391469</v>
      </c>
      <c r="AD37" s="117">
        <f t="shared" si="5"/>
        <v>-1834.4786658914695</v>
      </c>
      <c r="AE37" s="664">
        <f t="shared" si="7"/>
        <v>-1834.4786658914695</v>
      </c>
    </row>
    <row r="38" spans="2:31">
      <c r="B38" s="427"/>
      <c r="C38" s="418" t="s">
        <v>251</v>
      </c>
      <c r="D38" s="422"/>
      <c r="E38" s="422"/>
      <c r="F38" s="422"/>
      <c r="G38" s="422"/>
      <c r="H38" s="422"/>
      <c r="I38" s="422"/>
      <c r="J38" s="422"/>
      <c r="K38" s="422"/>
      <c r="L38" s="422"/>
      <c r="M38" s="422"/>
      <c r="N38" s="422"/>
      <c r="O38" s="422"/>
      <c r="P38" s="424"/>
      <c r="S38" s="112">
        <v>5</v>
      </c>
      <c r="T38" s="113">
        <f>T37*((IF('1 Customer Record'!$C$19="Austin Energy",1.02,1.035)))</f>
        <v>0.12967009907062496</v>
      </c>
      <c r="U38" s="114">
        <f t="shared" si="8"/>
        <v>12000</v>
      </c>
      <c r="V38" s="118">
        <f t="shared" si="9"/>
        <v>8539.0624494450021</v>
      </c>
      <c r="W38" s="115">
        <f t="shared" si="6"/>
        <v>1556.0411888474996</v>
      </c>
      <c r="X38" s="115">
        <f t="shared" si="1"/>
        <v>448.78011505771264</v>
      </c>
      <c r="Y38" s="116">
        <f t="shared" si="2"/>
        <v>1107.2610737897869</v>
      </c>
      <c r="Z38" s="116">
        <f t="shared" si="10"/>
        <v>5224.7824078983167</v>
      </c>
      <c r="AA38" s="115">
        <f t="shared" si="3"/>
        <v>1936.7801150577127</v>
      </c>
      <c r="AB38" s="115">
        <f t="shared" si="4"/>
        <v>-380.73892621021309</v>
      </c>
      <c r="AC38" s="115">
        <f t="shared" si="11"/>
        <v>9486.7213194491815</v>
      </c>
      <c r="AD38" s="117">
        <f t="shared" si="5"/>
        <v>-2215.2175921016824</v>
      </c>
      <c r="AE38" s="664">
        <f t="shared" si="7"/>
        <v>-2215.2175921016824</v>
      </c>
    </row>
    <row r="39" spans="2:31" ht="14" thickBot="1">
      <c r="B39" s="426"/>
      <c r="C39" s="422"/>
      <c r="D39" s="422"/>
      <c r="E39" s="422"/>
      <c r="F39" s="422"/>
      <c r="G39" s="422"/>
      <c r="H39" s="422"/>
      <c r="I39" s="422"/>
      <c r="J39" s="422"/>
      <c r="K39" s="422"/>
      <c r="L39" s="422"/>
      <c r="M39" s="422"/>
      <c r="N39" s="422"/>
      <c r="O39" s="422"/>
      <c r="P39" s="424"/>
      <c r="S39" s="112">
        <v>6</v>
      </c>
      <c r="T39" s="113">
        <f>T38*((IF('1 Customer Record'!$C$19="Austin Energy",1.02,1.035)))</f>
        <v>0.13420855253809683</v>
      </c>
      <c r="U39" s="114">
        <f t="shared" si="8"/>
        <v>12000</v>
      </c>
      <c r="V39" s="118">
        <f t="shared" si="9"/>
        <v>8496.3671371977762</v>
      </c>
      <c r="W39" s="115">
        <f t="shared" si="6"/>
        <v>1610.502630457162</v>
      </c>
      <c r="X39" s="115">
        <f t="shared" si="1"/>
        <v>470.21749514159484</v>
      </c>
      <c r="Y39" s="116">
        <f t="shared" si="2"/>
        <v>1140.285135315567</v>
      </c>
      <c r="Z39" s="116">
        <f t="shared" si="10"/>
        <v>6365.0675432138833</v>
      </c>
      <c r="AA39" s="115">
        <f t="shared" si="3"/>
        <v>1958.2174951415948</v>
      </c>
      <c r="AB39" s="115">
        <f t="shared" si="4"/>
        <v>-347.71486468443277</v>
      </c>
      <c r="AC39" s="115">
        <f t="shared" si="11"/>
        <v>11444.938814590776</v>
      </c>
      <c r="AD39" s="117">
        <f t="shared" si="5"/>
        <v>-2562.9324567861149</v>
      </c>
      <c r="AE39" s="664">
        <f t="shared" si="7"/>
        <v>-2562.9324567861149</v>
      </c>
    </row>
    <row r="40" spans="2:31" ht="14" thickBot="1">
      <c r="B40" s="405" t="s">
        <v>244</v>
      </c>
      <c r="C40" s="406" t="s">
        <v>245</v>
      </c>
      <c r="D40" s="406" t="s">
        <v>366</v>
      </c>
      <c r="E40" s="406" t="s">
        <v>367</v>
      </c>
      <c r="F40" s="406" t="s">
        <v>369</v>
      </c>
      <c r="G40" s="406" t="s">
        <v>370</v>
      </c>
      <c r="H40" s="406" t="s">
        <v>371</v>
      </c>
      <c r="I40" s="406" t="s">
        <v>372</v>
      </c>
      <c r="J40" s="406" t="s">
        <v>373</v>
      </c>
      <c r="K40" s="406" t="s">
        <v>374</v>
      </c>
      <c r="L40" s="406" t="s">
        <v>375</v>
      </c>
      <c r="M40" s="406" t="s">
        <v>376</v>
      </c>
      <c r="N40" s="406" t="s">
        <v>377</v>
      </c>
      <c r="O40" s="406" t="s">
        <v>378</v>
      </c>
      <c r="P40" s="407" t="s">
        <v>243</v>
      </c>
      <c r="S40" s="112">
        <v>7</v>
      </c>
      <c r="T40" s="113">
        <f>T39*((IF('1 Customer Record'!$C$19="Austin Energy",1.02,1.035)))</f>
        <v>0.13890585187693019</v>
      </c>
      <c r="U40" s="114">
        <f t="shared" si="8"/>
        <v>12000</v>
      </c>
      <c r="V40" s="118">
        <f t="shared" si="9"/>
        <v>8453.8853015117875</v>
      </c>
      <c r="W40" s="115">
        <f t="shared" si="6"/>
        <v>1666.8702225231623</v>
      </c>
      <c r="X40" s="115">
        <f t="shared" si="1"/>
        <v>492.57608304680861</v>
      </c>
      <c r="Y40" s="116">
        <f t="shared" si="2"/>
        <v>1174.2941394763536</v>
      </c>
      <c r="Z40" s="116">
        <f t="shared" si="10"/>
        <v>7539.3616826902371</v>
      </c>
      <c r="AA40" s="115">
        <f t="shared" si="3"/>
        <v>1980.5760830468087</v>
      </c>
      <c r="AB40" s="115">
        <f t="shared" si="4"/>
        <v>-313.70586052364638</v>
      </c>
      <c r="AC40" s="115">
        <f t="shared" si="11"/>
        <v>13425.514897637584</v>
      </c>
      <c r="AD40" s="117">
        <f t="shared" si="5"/>
        <v>-2876.6383173097611</v>
      </c>
      <c r="AE40" s="664">
        <f t="shared" si="7"/>
        <v>-2876.6383173097611</v>
      </c>
    </row>
    <row r="41" spans="2:31">
      <c r="B41" s="408">
        <v>15</v>
      </c>
      <c r="C41" s="404" t="s">
        <v>247</v>
      </c>
      <c r="D41" s="409">
        <v>71</v>
      </c>
      <c r="E41" s="409">
        <v>82</v>
      </c>
      <c r="F41" s="409">
        <v>110</v>
      </c>
      <c r="G41" s="409">
        <v>118</v>
      </c>
      <c r="H41" s="409">
        <v>130</v>
      </c>
      <c r="I41" s="409">
        <v>140</v>
      </c>
      <c r="J41" s="409">
        <v>147</v>
      </c>
      <c r="K41" s="409">
        <v>136</v>
      </c>
      <c r="L41" s="409">
        <v>112</v>
      </c>
      <c r="M41" s="409">
        <v>100</v>
      </c>
      <c r="N41" s="409">
        <v>72</v>
      </c>
      <c r="O41" s="409">
        <v>62</v>
      </c>
      <c r="P41" s="410">
        <v>1281</v>
      </c>
      <c r="S41" s="112">
        <v>8</v>
      </c>
      <c r="T41" s="113">
        <f>T40*((IF('1 Customer Record'!$C$19="Austin Energy",1.02,1.035)))</f>
        <v>0.14376755669262273</v>
      </c>
      <c r="U41" s="114">
        <f>U40</f>
        <v>12000</v>
      </c>
      <c r="V41" s="118">
        <f t="shared" si="9"/>
        <v>8411.6158750042287</v>
      </c>
      <c r="W41" s="115">
        <f t="shared" si="6"/>
        <v>1725.2106803114727</v>
      </c>
      <c r="X41" s="115">
        <f t="shared" si="1"/>
        <v>515.89321812523701</v>
      </c>
      <c r="Y41" s="116">
        <f t="shared" si="2"/>
        <v>1209.3174621862358</v>
      </c>
      <c r="Z41" s="116">
        <f t="shared" si="10"/>
        <v>8748.6791448764725</v>
      </c>
      <c r="AA41" s="115">
        <f t="shared" si="3"/>
        <v>2003.8932181252371</v>
      </c>
      <c r="AB41" s="115">
        <f t="shared" si="4"/>
        <v>-278.68253781376438</v>
      </c>
      <c r="AC41" s="115">
        <f t="shared" si="11"/>
        <v>15429.408115762821</v>
      </c>
      <c r="AD41" s="117">
        <f t="shared" si="5"/>
        <v>-3155.3208551235257</v>
      </c>
      <c r="AE41" s="664">
        <f t="shared" si="7"/>
        <v>-3155.3208551235257</v>
      </c>
    </row>
    <row r="42" spans="2:31">
      <c r="B42" s="408">
        <v>15</v>
      </c>
      <c r="C42" s="404" t="s">
        <v>248</v>
      </c>
      <c r="D42" s="409">
        <v>86</v>
      </c>
      <c r="E42" s="409">
        <v>94</v>
      </c>
      <c r="F42" s="409">
        <v>120</v>
      </c>
      <c r="G42" s="409">
        <v>123</v>
      </c>
      <c r="H42" s="409">
        <v>132</v>
      </c>
      <c r="I42" s="409">
        <v>140</v>
      </c>
      <c r="J42" s="409">
        <v>147</v>
      </c>
      <c r="K42" s="409">
        <v>140</v>
      </c>
      <c r="L42" s="409">
        <v>120</v>
      </c>
      <c r="M42" s="409">
        <v>114</v>
      </c>
      <c r="N42" s="409">
        <v>86</v>
      </c>
      <c r="O42" s="409">
        <v>76</v>
      </c>
      <c r="P42" s="410">
        <v>1376</v>
      </c>
      <c r="S42" s="112">
        <v>9</v>
      </c>
      <c r="T42" s="113">
        <f>T41*((IF('1 Customer Record'!$C$19="Austin Energy",1.02,1.035)))</f>
        <v>0.14879942117686451</v>
      </c>
      <c r="U42" s="114">
        <f>U41</f>
        <v>12000</v>
      </c>
      <c r="V42" s="118">
        <f t="shared" si="9"/>
        <v>8369.5577956292072</v>
      </c>
      <c r="W42" s="115">
        <f t="shared" si="6"/>
        <v>1785.593054122374</v>
      </c>
      <c r="X42" s="115">
        <f t="shared" si="1"/>
        <v>540.20769862643397</v>
      </c>
      <c r="Y42" s="116">
        <f t="shared" si="2"/>
        <v>1245.3853554959401</v>
      </c>
      <c r="Z42" s="116">
        <f t="shared" si="10"/>
        <v>9994.064500372413</v>
      </c>
      <c r="AA42" s="115">
        <f t="shared" si="3"/>
        <v>2028.207698626434</v>
      </c>
      <c r="AB42" s="115">
        <f t="shared" si="4"/>
        <v>-242.61464450405992</v>
      </c>
      <c r="AC42" s="115">
        <f t="shared" si="11"/>
        <v>17457.615814389254</v>
      </c>
      <c r="AD42" s="117">
        <f t="shared" si="5"/>
        <v>-3397.9354996275856</v>
      </c>
      <c r="AE42" s="664">
        <f t="shared" si="7"/>
        <v>-3397.9354996275856</v>
      </c>
    </row>
    <row r="43" spans="2:31">
      <c r="B43" s="408">
        <v>15</v>
      </c>
      <c r="C43" s="404" t="s">
        <v>249</v>
      </c>
      <c r="D43" s="409">
        <v>92</v>
      </c>
      <c r="E43" s="409">
        <v>99</v>
      </c>
      <c r="F43" s="409">
        <v>126</v>
      </c>
      <c r="G43" s="409">
        <v>126</v>
      </c>
      <c r="H43" s="409">
        <v>134</v>
      </c>
      <c r="I43" s="409">
        <v>140</v>
      </c>
      <c r="J43" s="409">
        <v>147</v>
      </c>
      <c r="K43" s="409">
        <v>142</v>
      </c>
      <c r="L43" s="409">
        <v>125</v>
      </c>
      <c r="M43" s="409">
        <v>119</v>
      </c>
      <c r="N43" s="409">
        <v>92</v>
      </c>
      <c r="O43" s="409">
        <v>83</v>
      </c>
      <c r="P43" s="410">
        <v>1425</v>
      </c>
      <c r="S43" s="112">
        <v>10</v>
      </c>
      <c r="T43" s="113">
        <f>T42*((IF('1 Customer Record'!$C$19="Austin Energy",1.02,1.035)))</f>
        <v>0.15400740091805476</v>
      </c>
      <c r="U43" s="114">
        <f t="shared" si="8"/>
        <v>12000</v>
      </c>
      <c r="V43" s="118">
        <f t="shared" si="9"/>
        <v>8327.7100066510611</v>
      </c>
      <c r="W43" s="115">
        <f t="shared" si="6"/>
        <v>1848.088811016657</v>
      </c>
      <c r="X43" s="115">
        <f t="shared" si="1"/>
        <v>565.55983729305069</v>
      </c>
      <c r="Y43" s="116">
        <f t="shared" si="2"/>
        <v>1282.5289737236064</v>
      </c>
      <c r="Z43" s="116">
        <f t="shared" si="10"/>
        <v>11276.59347409602</v>
      </c>
      <c r="AA43" s="115">
        <f t="shared" si="3"/>
        <v>2053.5598372930508</v>
      </c>
      <c r="AB43" s="115">
        <f t="shared" si="4"/>
        <v>-205.47102627639379</v>
      </c>
      <c r="AC43" s="115">
        <f t="shared" si="11"/>
        <v>19511.175651682304</v>
      </c>
      <c r="AD43" s="117">
        <f t="shared" si="5"/>
        <v>-3603.4065259039794</v>
      </c>
      <c r="AE43" s="664">
        <f t="shared" si="7"/>
        <v>-3603.4065259039794</v>
      </c>
    </row>
    <row r="44" spans="2:31">
      <c r="B44" s="408">
        <v>15</v>
      </c>
      <c r="C44" s="404" t="s">
        <v>250</v>
      </c>
      <c r="D44" s="409">
        <v>87</v>
      </c>
      <c r="E44" s="409">
        <v>94</v>
      </c>
      <c r="F44" s="409">
        <v>124</v>
      </c>
      <c r="G44" s="409">
        <v>124</v>
      </c>
      <c r="H44" s="409">
        <v>135</v>
      </c>
      <c r="I44" s="409">
        <v>142</v>
      </c>
      <c r="J44" s="409">
        <v>148</v>
      </c>
      <c r="K44" s="409">
        <v>140</v>
      </c>
      <c r="L44" s="409">
        <v>122</v>
      </c>
      <c r="M44" s="409">
        <v>115</v>
      </c>
      <c r="N44" s="409">
        <v>87</v>
      </c>
      <c r="O44" s="409">
        <v>78</v>
      </c>
      <c r="P44" s="410">
        <v>1398</v>
      </c>
      <c r="S44" s="112">
        <v>11</v>
      </c>
      <c r="T44" s="113">
        <f>T43*((IF('1 Customer Record'!$C$19="Austin Energy",1.02,1.035)))</f>
        <v>0.15939765995018668</v>
      </c>
      <c r="U44" s="114">
        <f t="shared" si="8"/>
        <v>12000</v>
      </c>
      <c r="V44" s="118">
        <f t="shared" si="9"/>
        <v>8286.0714566178049</v>
      </c>
      <c r="W44" s="115">
        <f t="shared" si="6"/>
        <v>1912.7719194022402</v>
      </c>
      <c r="X44" s="115">
        <f t="shared" si="1"/>
        <v>591.99151903732729</v>
      </c>
      <c r="Y44" s="116">
        <f t="shared" si="2"/>
        <v>1320.7804003649128</v>
      </c>
      <c r="Z44" s="116">
        <f t="shared" si="10"/>
        <v>12597.373874460933</v>
      </c>
      <c r="AA44" s="115">
        <f t="shared" si="3"/>
        <v>2079.9915190373272</v>
      </c>
      <c r="AB44" s="115">
        <f t="shared" si="4"/>
        <v>-167.21959963508698</v>
      </c>
      <c r="AC44" s="115">
        <f t="shared" si="11"/>
        <v>21591.167170719633</v>
      </c>
      <c r="AD44" s="117">
        <f t="shared" si="5"/>
        <v>-3770.6261255390664</v>
      </c>
      <c r="AE44" s="664">
        <f t="shared" si="7"/>
        <v>-3770.6261255390664</v>
      </c>
    </row>
    <row r="45" spans="2:31">
      <c r="B45" s="408">
        <v>15</v>
      </c>
      <c r="C45" s="404" t="s">
        <v>251</v>
      </c>
      <c r="D45" s="409">
        <v>73</v>
      </c>
      <c r="E45" s="409">
        <v>83</v>
      </c>
      <c r="F45" s="409">
        <v>116</v>
      </c>
      <c r="G45" s="409">
        <v>120</v>
      </c>
      <c r="H45" s="409">
        <v>135</v>
      </c>
      <c r="I45" s="409">
        <v>143</v>
      </c>
      <c r="J45" s="409">
        <v>148</v>
      </c>
      <c r="K45" s="409">
        <v>137</v>
      </c>
      <c r="L45" s="409">
        <v>114</v>
      </c>
      <c r="M45" s="409">
        <v>102</v>
      </c>
      <c r="N45" s="409">
        <v>74</v>
      </c>
      <c r="O45" s="409">
        <v>64</v>
      </c>
      <c r="P45" s="410">
        <v>1310</v>
      </c>
      <c r="S45" s="112">
        <v>12</v>
      </c>
      <c r="T45" s="113">
        <f>T44*((IF('1 Customer Record'!$C$19="Austin Energy",1.02,1.035)))</f>
        <v>0.16497657804844321</v>
      </c>
      <c r="U45" s="114">
        <f t="shared" si="8"/>
        <v>12000</v>
      </c>
      <c r="V45" s="118">
        <f t="shared" si="9"/>
        <v>8244.6410993347163</v>
      </c>
      <c r="W45" s="115">
        <f t="shared" si="6"/>
        <v>1979.7189365813185</v>
      </c>
      <c r="X45" s="115">
        <f t="shared" si="1"/>
        <v>619.54626077552211</v>
      </c>
      <c r="Y45" s="116">
        <f t="shared" si="2"/>
        <v>1360.1726758057964</v>
      </c>
      <c r="Z45" s="116">
        <f t="shared" si="10"/>
        <v>13957.546550266728</v>
      </c>
      <c r="AA45" s="115">
        <f t="shared" si="3"/>
        <v>2107.5462607755221</v>
      </c>
      <c r="AB45" s="115">
        <f t="shared" si="4"/>
        <v>-127.82732419420358</v>
      </c>
      <c r="AC45" s="115">
        <f t="shared" si="11"/>
        <v>23698.713431495155</v>
      </c>
      <c r="AD45" s="117">
        <f t="shared" si="5"/>
        <v>-3898.4534497332697</v>
      </c>
      <c r="AE45" s="664">
        <f t="shared" si="7"/>
        <v>-3898.4534497332697</v>
      </c>
    </row>
    <row r="46" spans="2:31">
      <c r="B46" s="408">
        <v>30</v>
      </c>
      <c r="C46" s="404" t="s">
        <v>247</v>
      </c>
      <c r="D46" s="409">
        <v>67</v>
      </c>
      <c r="E46" s="409">
        <v>78</v>
      </c>
      <c r="F46" s="409">
        <v>101</v>
      </c>
      <c r="G46" s="409">
        <v>109</v>
      </c>
      <c r="H46" s="409">
        <v>119</v>
      </c>
      <c r="I46" s="409">
        <v>130</v>
      </c>
      <c r="J46" s="409">
        <v>138</v>
      </c>
      <c r="K46" s="409">
        <v>128</v>
      </c>
      <c r="L46" s="409">
        <v>105</v>
      </c>
      <c r="M46" s="409">
        <v>95</v>
      </c>
      <c r="N46" s="409">
        <v>68</v>
      </c>
      <c r="O46" s="409">
        <v>59</v>
      </c>
      <c r="P46" s="410">
        <v>1197</v>
      </c>
      <c r="S46" s="112">
        <v>13</v>
      </c>
      <c r="T46" s="113">
        <f>T45*((IF('1 Customer Record'!$C$19="Austin Energy",1.02,1.035)))</f>
        <v>0.17075075828013869</v>
      </c>
      <c r="U46" s="114">
        <f t="shared" si="8"/>
        <v>12000</v>
      </c>
      <c r="V46" s="118">
        <f t="shared" si="9"/>
        <v>8203.4178938380428</v>
      </c>
      <c r="W46" s="115">
        <f t="shared" si="6"/>
        <v>2049.0090993616641</v>
      </c>
      <c r="X46" s="115">
        <f t="shared" si="1"/>
        <v>648.26927349996026</v>
      </c>
      <c r="Y46" s="116">
        <f t="shared" si="2"/>
        <v>1400.739825861704</v>
      </c>
      <c r="Z46" s="116">
        <f t="shared" si="10"/>
        <v>15358.286376128432</v>
      </c>
      <c r="AA46" s="115">
        <f t="shared" si="3"/>
        <v>2136.26927349996</v>
      </c>
      <c r="AB46" s="115">
        <f t="shared" si="4"/>
        <v>-87.260174138295952</v>
      </c>
      <c r="AC46" s="115">
        <f t="shared" si="11"/>
        <v>25834.982704995113</v>
      </c>
      <c r="AD46" s="117">
        <f t="shared" si="5"/>
        <v>-3985.7136238715657</v>
      </c>
      <c r="AE46" s="664">
        <f t="shared" si="7"/>
        <v>-3985.7136238715657</v>
      </c>
    </row>
    <row r="47" spans="2:31">
      <c r="B47" s="408">
        <v>30</v>
      </c>
      <c r="C47" s="404" t="s">
        <v>248</v>
      </c>
      <c r="D47" s="409">
        <v>93</v>
      </c>
      <c r="E47" s="409">
        <v>98</v>
      </c>
      <c r="F47" s="409">
        <v>119</v>
      </c>
      <c r="G47" s="409">
        <v>119</v>
      </c>
      <c r="H47" s="409">
        <v>123</v>
      </c>
      <c r="I47" s="409">
        <v>129</v>
      </c>
      <c r="J47" s="409">
        <v>138</v>
      </c>
      <c r="K47" s="409">
        <v>135</v>
      </c>
      <c r="L47" s="409">
        <v>119</v>
      </c>
      <c r="M47" s="409">
        <v>118</v>
      </c>
      <c r="N47" s="409">
        <v>92</v>
      </c>
      <c r="O47" s="409">
        <v>83</v>
      </c>
      <c r="P47" s="410">
        <v>1366</v>
      </c>
      <c r="S47" s="112">
        <v>14</v>
      </c>
      <c r="T47" s="113">
        <f>T46*((IF('1 Customer Record'!$C$19="Austin Energy",1.02,1.035)))</f>
        <v>0.17672703481994353</v>
      </c>
      <c r="U47" s="114">
        <f t="shared" si="8"/>
        <v>12000</v>
      </c>
      <c r="V47" s="118">
        <f t="shared" si="9"/>
        <v>8162.4008043688527</v>
      </c>
      <c r="W47" s="115">
        <f t="shared" si="6"/>
        <v>2120.7244178393225</v>
      </c>
      <c r="X47" s="115">
        <f t="shared" si="1"/>
        <v>678.20752667129307</v>
      </c>
      <c r="Y47" s="116">
        <f t="shared" si="2"/>
        <v>1442.5168911680294</v>
      </c>
      <c r="Z47" s="116">
        <f t="shared" si="10"/>
        <v>16800.803267296462</v>
      </c>
      <c r="AA47" s="115">
        <f t="shared" si="3"/>
        <v>2166.2075266712932</v>
      </c>
      <c r="AB47" s="115">
        <f t="shared" si="4"/>
        <v>-45.48310883197064</v>
      </c>
      <c r="AC47" s="115">
        <f t="shared" si="11"/>
        <v>28001.190231666405</v>
      </c>
      <c r="AD47" s="117">
        <f t="shared" si="5"/>
        <v>-4031.1967327035363</v>
      </c>
      <c r="AE47" s="664">
        <f t="shared" si="7"/>
        <v>-4031.1967327035363</v>
      </c>
    </row>
    <row r="48" spans="2:31">
      <c r="B48" s="408">
        <v>30</v>
      </c>
      <c r="C48" s="404" t="s">
        <v>249</v>
      </c>
      <c r="D48" s="409">
        <v>105</v>
      </c>
      <c r="E48" s="409">
        <v>107</v>
      </c>
      <c r="F48" s="409">
        <v>130</v>
      </c>
      <c r="G48" s="409">
        <v>124</v>
      </c>
      <c r="H48" s="409">
        <v>126</v>
      </c>
      <c r="I48" s="409">
        <v>129</v>
      </c>
      <c r="J48" s="409">
        <v>137</v>
      </c>
      <c r="K48" s="409">
        <v>138</v>
      </c>
      <c r="L48" s="409">
        <v>127</v>
      </c>
      <c r="M48" s="409">
        <v>129</v>
      </c>
      <c r="N48" s="409">
        <v>104</v>
      </c>
      <c r="O48" s="409">
        <v>96</v>
      </c>
      <c r="P48" s="410">
        <v>1453</v>
      </c>
      <c r="S48" s="112">
        <v>15</v>
      </c>
      <c r="T48" s="113">
        <f>T47*((IF('1 Customer Record'!$C$19="Austin Energy",1.02,1.035)))</f>
        <v>0.18291248103864155</v>
      </c>
      <c r="U48" s="114">
        <f t="shared" si="8"/>
        <v>12000</v>
      </c>
      <c r="V48" s="118">
        <f t="shared" si="9"/>
        <v>8121.5888003470081</v>
      </c>
      <c r="W48" s="115">
        <f t="shared" si="6"/>
        <v>2194.9497724636985</v>
      </c>
      <c r="X48" s="115">
        <f t="shared" si="1"/>
        <v>709.40981501658291</v>
      </c>
      <c r="Y48" s="116">
        <f t="shared" si="2"/>
        <v>1485.5399574471157</v>
      </c>
      <c r="Z48" s="116">
        <f t="shared" si="10"/>
        <v>18286.343224743578</v>
      </c>
      <c r="AA48" s="115">
        <f t="shared" si="3"/>
        <v>2197.4098150165828</v>
      </c>
      <c r="AB48" s="115">
        <f t="shared" si="4"/>
        <v>-2.4600425528842607</v>
      </c>
      <c r="AC48" s="115">
        <f t="shared" si="11"/>
        <v>30198.600046682986</v>
      </c>
      <c r="AD48" s="117">
        <f t="shared" si="5"/>
        <v>-4033.6567752564206</v>
      </c>
      <c r="AE48" s="664">
        <f t="shared" si="7"/>
        <v>-4033.6567752564206</v>
      </c>
    </row>
    <row r="49" spans="2:31">
      <c r="B49" s="408">
        <v>30</v>
      </c>
      <c r="C49" s="404" t="s">
        <v>250</v>
      </c>
      <c r="D49" s="409">
        <v>96</v>
      </c>
      <c r="E49" s="409">
        <v>99</v>
      </c>
      <c r="F49" s="409">
        <v>127</v>
      </c>
      <c r="G49" s="409">
        <v>122</v>
      </c>
      <c r="H49" s="409">
        <v>129</v>
      </c>
      <c r="I49" s="409">
        <v>133</v>
      </c>
      <c r="J49" s="409">
        <v>139</v>
      </c>
      <c r="K49" s="409">
        <v>136</v>
      </c>
      <c r="L49" s="409">
        <v>123</v>
      </c>
      <c r="M49" s="409">
        <v>121</v>
      </c>
      <c r="N49" s="409">
        <v>95</v>
      </c>
      <c r="O49" s="409">
        <v>86</v>
      </c>
      <c r="P49" s="410">
        <v>1405</v>
      </c>
      <c r="S49" s="112">
        <v>16</v>
      </c>
      <c r="T49" s="113">
        <f>T48*((IF('1 Customer Record'!$C$19="Austin Energy",1.02,1.035)))</f>
        <v>0.18931441787499398</v>
      </c>
      <c r="U49" s="114">
        <f t="shared" si="8"/>
        <v>12000</v>
      </c>
      <c r="V49" s="118">
        <f t="shared" si="9"/>
        <v>8080.9808563452734</v>
      </c>
      <c r="W49" s="115">
        <f t="shared" si="6"/>
        <v>2271.7730144999277</v>
      </c>
      <c r="X49" s="115">
        <f t="shared" si="1"/>
        <v>741.92682782195197</v>
      </c>
      <c r="Y49" s="116">
        <f t="shared" si="2"/>
        <v>1529.8461866779758</v>
      </c>
      <c r="Z49" s="116">
        <f t="shared" si="10"/>
        <v>19816.189411421554</v>
      </c>
      <c r="AA49" s="115">
        <f t="shared" si="3"/>
        <v>2229.926827821952</v>
      </c>
      <c r="AB49" s="115">
        <f t="shared" si="4"/>
        <v>41.846186677975766</v>
      </c>
      <c r="AC49" s="115">
        <f t="shared" si="11"/>
        <v>32428.52687450494</v>
      </c>
      <c r="AD49" s="117">
        <f t="shared" si="5"/>
        <v>-3991.8105885784448</v>
      </c>
      <c r="AE49" s="664">
        <f t="shared" si="7"/>
        <v>-3991.8105885784448</v>
      </c>
    </row>
    <row r="50" spans="2:31">
      <c r="B50" s="408">
        <v>30</v>
      </c>
      <c r="C50" s="404" t="s">
        <v>251</v>
      </c>
      <c r="D50" s="409">
        <v>71</v>
      </c>
      <c r="E50" s="409">
        <v>78</v>
      </c>
      <c r="F50" s="409">
        <v>112</v>
      </c>
      <c r="G50" s="409">
        <v>114</v>
      </c>
      <c r="H50" s="409">
        <v>128</v>
      </c>
      <c r="I50" s="409">
        <v>135</v>
      </c>
      <c r="J50" s="409">
        <v>139</v>
      </c>
      <c r="K50" s="409">
        <v>128</v>
      </c>
      <c r="L50" s="409">
        <v>109</v>
      </c>
      <c r="M50" s="409">
        <v>98</v>
      </c>
      <c r="N50" s="409">
        <v>71</v>
      </c>
      <c r="O50" s="409">
        <v>62</v>
      </c>
      <c r="P50" s="410">
        <v>1247</v>
      </c>
      <c r="S50" s="112">
        <v>17</v>
      </c>
      <c r="T50" s="113">
        <f>T49*((IF('1 Customer Record'!$C$19="Austin Energy",1.02,1.035)))</f>
        <v>0.19594042250061874</v>
      </c>
      <c r="U50" s="114">
        <f t="shared" si="8"/>
        <v>12000</v>
      </c>
      <c r="V50" s="118">
        <f t="shared" si="9"/>
        <v>8040.5759520635474</v>
      </c>
      <c r="W50" s="115">
        <f t="shared" si="6"/>
        <v>2351.285070007425</v>
      </c>
      <c r="X50" s="115">
        <f t="shared" si="1"/>
        <v>775.81122081177864</v>
      </c>
      <c r="Y50" s="116">
        <f t="shared" si="2"/>
        <v>1575.4738491956464</v>
      </c>
      <c r="Z50" s="116">
        <f t="shared" si="10"/>
        <v>21391.663260617199</v>
      </c>
      <c r="AA50" s="115">
        <f t="shared" si="3"/>
        <v>2263.8112208117786</v>
      </c>
      <c r="AB50" s="115">
        <f t="shared" si="4"/>
        <v>87.47384919564638</v>
      </c>
      <c r="AC50" s="115">
        <f t="shared" si="11"/>
        <v>34692.338095316722</v>
      </c>
      <c r="AD50" s="117">
        <f t="shared" si="5"/>
        <v>-3904.3367393827984</v>
      </c>
      <c r="AE50" s="664">
        <f t="shared" si="7"/>
        <v>-3904.3367393827984</v>
      </c>
    </row>
    <row r="51" spans="2:31">
      <c r="B51" s="408">
        <v>45</v>
      </c>
      <c r="C51" s="411" t="s">
        <v>247</v>
      </c>
      <c r="D51" s="409">
        <v>62</v>
      </c>
      <c r="E51" s="409">
        <v>72</v>
      </c>
      <c r="F51" s="409">
        <v>91</v>
      </c>
      <c r="G51" s="409">
        <v>97</v>
      </c>
      <c r="H51" s="409">
        <v>106</v>
      </c>
      <c r="I51" s="409">
        <v>117</v>
      </c>
      <c r="J51" s="409">
        <v>124</v>
      </c>
      <c r="K51" s="409">
        <v>116</v>
      </c>
      <c r="L51" s="409">
        <v>95</v>
      </c>
      <c r="M51" s="409">
        <v>87</v>
      </c>
      <c r="N51" s="409">
        <v>62</v>
      </c>
      <c r="O51" s="409">
        <v>54</v>
      </c>
      <c r="P51" s="410">
        <v>1083</v>
      </c>
      <c r="S51" s="112">
        <v>18</v>
      </c>
      <c r="T51" s="113">
        <f>T50*((IF('1 Customer Record'!$C$19="Austin Energy",1.02,1.035)))</f>
        <v>0.2027983372881404</v>
      </c>
      <c r="U51" s="114">
        <f t="shared" si="8"/>
        <v>12000</v>
      </c>
      <c r="V51" s="118">
        <f t="shared" si="9"/>
        <v>8000.3730723032295</v>
      </c>
      <c r="W51" s="115">
        <f t="shared" si="6"/>
        <v>2433.5800474576849</v>
      </c>
      <c r="X51" s="115">
        <f t="shared" si="1"/>
        <v>811.11769070977834</v>
      </c>
      <c r="Y51" s="116">
        <f t="shared" si="2"/>
        <v>1622.4623567479064</v>
      </c>
      <c r="Z51" s="116">
        <f t="shared" si="10"/>
        <v>23014.125617365105</v>
      </c>
      <c r="AA51" s="115">
        <f t="shared" si="3"/>
        <v>2299.1176907097783</v>
      </c>
      <c r="AB51" s="115">
        <f t="shared" si="4"/>
        <v>134.4623567479066</v>
      </c>
      <c r="AC51" s="115">
        <f t="shared" si="11"/>
        <v>36991.455786026498</v>
      </c>
      <c r="AD51" s="117">
        <f t="shared" si="5"/>
        <v>-3769.8743826348918</v>
      </c>
      <c r="AE51" s="664">
        <f t="shared" si="7"/>
        <v>-3769.8743826348918</v>
      </c>
    </row>
    <row r="52" spans="2:31">
      <c r="B52" s="408">
        <v>45</v>
      </c>
      <c r="C52" s="411" t="s">
        <v>248</v>
      </c>
      <c r="D52" s="409">
        <v>95</v>
      </c>
      <c r="E52" s="409">
        <v>97</v>
      </c>
      <c r="F52" s="409">
        <v>112</v>
      </c>
      <c r="G52" s="409">
        <v>109</v>
      </c>
      <c r="H52" s="409">
        <v>109</v>
      </c>
      <c r="I52" s="409">
        <v>114</v>
      </c>
      <c r="J52" s="409">
        <v>123</v>
      </c>
      <c r="K52" s="409">
        <v>124</v>
      </c>
      <c r="L52" s="409">
        <v>113</v>
      </c>
      <c r="M52" s="409">
        <v>117</v>
      </c>
      <c r="N52" s="409">
        <v>94</v>
      </c>
      <c r="O52" s="409">
        <v>86</v>
      </c>
      <c r="P52" s="410">
        <v>1293</v>
      </c>
      <c r="S52" s="112">
        <v>19</v>
      </c>
      <c r="T52" s="113">
        <f>T51*((IF('1 Customer Record'!$C$19="Austin Energy",1.02,1.035)))</f>
        <v>0.20989627909322528</v>
      </c>
      <c r="U52" s="114">
        <f t="shared" si="8"/>
        <v>12000</v>
      </c>
      <c r="V52" s="118">
        <f t="shared" si="9"/>
        <v>7960.3712069417134</v>
      </c>
      <c r="W52" s="115">
        <f t="shared" si="6"/>
        <v>2518.7553491187032</v>
      </c>
      <c r="X52" s="115">
        <f t="shared" si="1"/>
        <v>847.90305258079093</v>
      </c>
      <c r="Y52" s="116">
        <f t="shared" si="2"/>
        <v>1670.8522965379125</v>
      </c>
      <c r="Z52" s="116">
        <f t="shared" si="10"/>
        <v>24684.977913903018</v>
      </c>
      <c r="AA52" s="115">
        <f t="shared" si="3"/>
        <v>2335.9030525807912</v>
      </c>
      <c r="AB52" s="115">
        <f t="shared" si="4"/>
        <v>182.85229653791203</v>
      </c>
      <c r="AC52" s="115">
        <f t="shared" si="11"/>
        <v>39327.358838607288</v>
      </c>
      <c r="AD52" s="117">
        <f t="shared" si="5"/>
        <v>-3587.0220860969798</v>
      </c>
      <c r="AE52" s="664">
        <f t="shared" si="7"/>
        <v>-3587.0220860969798</v>
      </c>
    </row>
    <row r="53" spans="2:31">
      <c r="B53" s="408">
        <v>45</v>
      </c>
      <c r="C53" s="411" t="s">
        <v>249</v>
      </c>
      <c r="D53" s="409">
        <v>112</v>
      </c>
      <c r="E53" s="409">
        <v>110</v>
      </c>
      <c r="F53" s="409">
        <v>127</v>
      </c>
      <c r="G53" s="409">
        <v>115</v>
      </c>
      <c r="H53" s="409">
        <v>112</v>
      </c>
      <c r="I53" s="409">
        <v>111</v>
      </c>
      <c r="J53" s="409">
        <v>120</v>
      </c>
      <c r="K53" s="409">
        <v>126</v>
      </c>
      <c r="L53" s="409">
        <v>123</v>
      </c>
      <c r="M53" s="409">
        <v>132</v>
      </c>
      <c r="N53" s="409">
        <v>110</v>
      </c>
      <c r="O53" s="409">
        <v>103</v>
      </c>
      <c r="P53" s="410">
        <v>1401</v>
      </c>
      <c r="S53" s="112">
        <v>20</v>
      </c>
      <c r="T53" s="113">
        <f>T52*((IF('1 Customer Record'!$C$19="Austin Energy",1.02,1.035)))</f>
        <v>0.21724264886148814</v>
      </c>
      <c r="U53" s="114">
        <f t="shared" si="8"/>
        <v>12000</v>
      </c>
      <c r="V53" s="118">
        <f t="shared" si="9"/>
        <v>7920.5693509070052</v>
      </c>
      <c r="W53" s="115">
        <f t="shared" si="6"/>
        <v>2606.9117863378578</v>
      </c>
      <c r="X53" s="115">
        <f t="shared" si="1"/>
        <v>886.2263200557021</v>
      </c>
      <c r="Y53" s="116">
        <f t="shared" si="2"/>
        <v>1720.6854662821556</v>
      </c>
      <c r="Z53" s="116">
        <f t="shared" si="10"/>
        <v>26405.663380185175</v>
      </c>
      <c r="AA53" s="115">
        <f t="shared" si="3"/>
        <v>2374.2263200557022</v>
      </c>
      <c r="AB53" s="115">
        <f t="shared" si="4"/>
        <v>232.68546628215563</v>
      </c>
      <c r="AC53" s="115">
        <f t="shared" si="11"/>
        <v>41701.585158662987</v>
      </c>
      <c r="AD53" s="117">
        <f t="shared" si="5"/>
        <v>-3354.3366198148242</v>
      </c>
      <c r="AE53" s="664">
        <f t="shared" si="7"/>
        <v>-3354.3366198148242</v>
      </c>
    </row>
    <row r="54" spans="2:31">
      <c r="B54" s="408">
        <v>45</v>
      </c>
      <c r="C54" s="411" t="s">
        <v>250</v>
      </c>
      <c r="D54" s="409">
        <v>98</v>
      </c>
      <c r="E54" s="409">
        <v>98</v>
      </c>
      <c r="F54" s="409">
        <v>124</v>
      </c>
      <c r="G54" s="409">
        <v>114</v>
      </c>
      <c r="H54" s="409">
        <v>117</v>
      </c>
      <c r="I54" s="409">
        <v>118</v>
      </c>
      <c r="J54" s="409">
        <v>125</v>
      </c>
      <c r="K54" s="409">
        <v>124</v>
      </c>
      <c r="L54" s="409">
        <v>118</v>
      </c>
      <c r="M54" s="409">
        <v>120</v>
      </c>
      <c r="N54" s="409">
        <v>97</v>
      </c>
      <c r="O54" s="409">
        <v>90</v>
      </c>
      <c r="P54" s="410">
        <v>1343</v>
      </c>
      <c r="S54" s="112">
        <v>21</v>
      </c>
      <c r="T54" s="113">
        <f>T53*((IF('1 Customer Record'!$C$19="Austin Energy",1.02,1.035)))</f>
        <v>0.22484614157164021</v>
      </c>
      <c r="U54" s="114">
        <f t="shared" si="8"/>
        <v>12000</v>
      </c>
      <c r="V54" s="118">
        <f t="shared" si="9"/>
        <v>7880.9665041524704</v>
      </c>
      <c r="W54" s="115">
        <f t="shared" si="6"/>
        <v>2698.1536988596827</v>
      </c>
      <c r="X54" s="115">
        <f t="shared" si="1"/>
        <v>926.14878854566166</v>
      </c>
      <c r="Y54" s="116">
        <f t="shared" si="2"/>
        <v>1772.0049103140207</v>
      </c>
      <c r="Z54" s="116">
        <f t="shared" si="10"/>
        <v>28177.668290499194</v>
      </c>
      <c r="AA54" s="115">
        <f>(U54-V54)*T54</f>
        <v>926.14878854566166</v>
      </c>
      <c r="AB54" s="115">
        <f t="shared" si="4"/>
        <v>1772.0049103140209</v>
      </c>
      <c r="AC54" s="115">
        <f t="shared" si="11"/>
        <v>42627.733947208646</v>
      </c>
      <c r="AD54" s="117">
        <f t="shared" si="5"/>
        <v>-1582.3317095008033</v>
      </c>
      <c r="AE54" s="664">
        <f t="shared" si="7"/>
        <v>-1582.3317095008033</v>
      </c>
    </row>
    <row r="55" spans="2:31" ht="14" thickBot="1">
      <c r="B55" s="412">
        <v>45</v>
      </c>
      <c r="C55" s="413" t="s">
        <v>251</v>
      </c>
      <c r="D55" s="414">
        <v>66</v>
      </c>
      <c r="E55" s="414">
        <v>72</v>
      </c>
      <c r="F55" s="414">
        <v>105</v>
      </c>
      <c r="G55" s="414">
        <v>104</v>
      </c>
      <c r="H55" s="414">
        <v>117</v>
      </c>
      <c r="I55" s="414">
        <v>122</v>
      </c>
      <c r="J55" s="414">
        <v>126</v>
      </c>
      <c r="K55" s="414">
        <v>116</v>
      </c>
      <c r="L55" s="414">
        <v>101</v>
      </c>
      <c r="M55" s="414">
        <v>91</v>
      </c>
      <c r="N55" s="414">
        <v>67</v>
      </c>
      <c r="O55" s="414">
        <v>58</v>
      </c>
      <c r="P55" s="415">
        <v>1145</v>
      </c>
      <c r="S55" s="112">
        <v>22</v>
      </c>
      <c r="T55" s="113">
        <f>T54*((IF('1 Customer Record'!$C$19="Austin Energy",1.02,1.035)))</f>
        <v>0.23271575652664758</v>
      </c>
      <c r="U55" s="114">
        <f t="shared" si="8"/>
        <v>12000</v>
      </c>
      <c r="V55" s="118">
        <f t="shared" si="9"/>
        <v>7841.5616716317081</v>
      </c>
      <c r="W55" s="115">
        <f t="shared" si="6"/>
        <v>2792.589078319771</v>
      </c>
      <c r="X55" s="115">
        <f t="shared" si="1"/>
        <v>967.73412155563483</v>
      </c>
      <c r="Y55" s="116">
        <f t="shared" si="2"/>
        <v>1824.8549567641362</v>
      </c>
      <c r="Z55" s="116">
        <f t="shared" si="10"/>
        <v>30002.523247263329</v>
      </c>
      <c r="AA55" s="115">
        <f>(U55-V55)*T55</f>
        <v>967.73412155563483</v>
      </c>
      <c r="AB55" s="115">
        <f t="shared" si="4"/>
        <v>1824.8549567641362</v>
      </c>
      <c r="AC55" s="115">
        <f t="shared" si="11"/>
        <v>43595.468068764283</v>
      </c>
      <c r="AD55" s="117">
        <f t="shared" si="5"/>
        <v>242.52324726333291</v>
      </c>
      <c r="AE55" s="664">
        <f t="shared" si="7"/>
        <v>242.52324726333291</v>
      </c>
    </row>
    <row r="56" spans="2:31">
      <c r="S56" s="112">
        <v>23</v>
      </c>
      <c r="T56" s="113">
        <f>T55*((IF('1 Customer Record'!$C$19="Austin Energy",1.02,1.035)))</f>
        <v>0.24086080800508022</v>
      </c>
      <c r="U56" s="114">
        <f t="shared" si="8"/>
        <v>12000</v>
      </c>
      <c r="V56" s="118">
        <f t="shared" si="9"/>
        <v>7802.3538632735499</v>
      </c>
      <c r="W56" s="115">
        <f t="shared" si="6"/>
        <v>2890.3296960609628</v>
      </c>
      <c r="X56" s="115">
        <f t="shared" si="1"/>
        <v>1011.0484402113362</v>
      </c>
      <c r="Y56" s="116">
        <f t="shared" si="2"/>
        <v>1879.2812558496264</v>
      </c>
      <c r="Z56" s="116">
        <f t="shared" si="10"/>
        <v>31881.804503112955</v>
      </c>
      <c r="AA56" s="115">
        <f>(U56-V56)*T56</f>
        <v>1011.0484402113362</v>
      </c>
      <c r="AB56" s="115">
        <f t="shared" si="4"/>
        <v>1879.2812558496266</v>
      </c>
      <c r="AC56" s="115">
        <f t="shared" si="11"/>
        <v>44606.516508975619</v>
      </c>
      <c r="AD56" s="117">
        <f t="shared" si="5"/>
        <v>2121.8045031129595</v>
      </c>
      <c r="AE56" s="664">
        <f t="shared" si="7"/>
        <v>2121.8045031129595</v>
      </c>
    </row>
    <row r="57" spans="2:31">
      <c r="S57" s="112">
        <v>24</v>
      </c>
      <c r="T57" s="113">
        <f>T56*((IF('1 Customer Record'!$C$19="Austin Energy",1.02,1.035)))</f>
        <v>0.249290936285258</v>
      </c>
      <c r="U57" s="114">
        <f t="shared" si="8"/>
        <v>12000</v>
      </c>
      <c r="V57" s="118">
        <f t="shared" si="9"/>
        <v>7763.3420939571824</v>
      </c>
      <c r="W57" s="115">
        <f t="shared" si="6"/>
        <v>2991.491235423096</v>
      </c>
      <c r="X57" s="115">
        <f t="shared" si="1"/>
        <v>1056.1604161177547</v>
      </c>
      <c r="Y57" s="116">
        <f t="shared" si="2"/>
        <v>1935.3308193053415</v>
      </c>
      <c r="Z57" s="116">
        <f t="shared" si="10"/>
        <v>33817.135322418297</v>
      </c>
      <c r="AA57" s="115">
        <f>(U57-V57)*T57</f>
        <v>1056.1604161177547</v>
      </c>
      <c r="AB57" s="115">
        <f t="shared" si="4"/>
        <v>1935.3308193053413</v>
      </c>
      <c r="AC57" s="115">
        <f t="shared" si="11"/>
        <v>45662.676925093372</v>
      </c>
      <c r="AD57" s="117">
        <f t="shared" si="5"/>
        <v>4057.1353224183003</v>
      </c>
      <c r="AE57" s="664">
        <f t="shared" si="7"/>
        <v>4057.1353224183008</v>
      </c>
    </row>
    <row r="58" spans="2:31">
      <c r="E58" t="s">
        <v>194</v>
      </c>
      <c r="F58" t="s">
        <v>489</v>
      </c>
      <c r="G58" t="s">
        <v>194</v>
      </c>
      <c r="H58" t="s">
        <v>489</v>
      </c>
      <c r="I58" t="s">
        <v>194</v>
      </c>
      <c r="J58" t="s">
        <v>489</v>
      </c>
      <c r="K58" t="s">
        <v>194</v>
      </c>
      <c r="L58" t="s">
        <v>489</v>
      </c>
      <c r="S58" s="112">
        <v>25</v>
      </c>
      <c r="T58" s="113">
        <f>T57*((IF('1 Customer Record'!$C$19="Austin Energy",1.02,1.035)))</f>
        <v>0.25801611905524202</v>
      </c>
      <c r="U58" s="114">
        <f t="shared" si="8"/>
        <v>12000</v>
      </c>
      <c r="V58" s="118">
        <f t="shared" si="9"/>
        <v>7724.5253834873965</v>
      </c>
      <c r="W58" s="115">
        <f t="shared" si="6"/>
        <v>3096.1934286629044</v>
      </c>
      <c r="X58" s="115">
        <f t="shared" si="1"/>
        <v>1103.1413676717812</v>
      </c>
      <c r="Y58" s="116">
        <f t="shared" si="2"/>
        <v>1993.0520609911232</v>
      </c>
      <c r="Z58" s="116">
        <f t="shared" si="10"/>
        <v>35810.187383409422</v>
      </c>
      <c r="AA58" s="115">
        <f>(U58-V58)*T58</f>
        <v>1103.1413676717812</v>
      </c>
      <c r="AB58" s="115">
        <f t="shared" si="4"/>
        <v>1993.0520609911232</v>
      </c>
      <c r="AC58" s="115">
        <f t="shared" si="11"/>
        <v>46765.818292765151</v>
      </c>
      <c r="AD58" s="117">
        <f t="shared" si="5"/>
        <v>6050.1873834094231</v>
      </c>
      <c r="AE58" s="664">
        <f t="shared" si="7"/>
        <v>6050.187383409424</v>
      </c>
    </row>
    <row r="59" spans="2:31">
      <c r="D59" t="s">
        <v>315</v>
      </c>
      <c r="E59" s="694">
        <f>'2 Sizing Sheet'!E21</f>
        <v>0.3</v>
      </c>
      <c r="F59" s="694">
        <f>'2 Sizing Sheet'!E21</f>
        <v>0.3</v>
      </c>
      <c r="G59" s="694">
        <f>'2 Sizing Sheet'!H21</f>
        <v>0.5</v>
      </c>
      <c r="H59" s="694">
        <f>'2 Sizing Sheet'!H21</f>
        <v>0.5</v>
      </c>
      <c r="I59" s="694">
        <f>'2 Sizing Sheet'!K21</f>
        <v>0.7</v>
      </c>
      <c r="J59" s="694">
        <f>'2 Sizing Sheet'!K21</f>
        <v>0.7</v>
      </c>
      <c r="K59" s="694">
        <f>'2 Sizing Sheet'!N21</f>
        <v>1</v>
      </c>
      <c r="L59" s="694">
        <f>'2 Sizing Sheet'!N21</f>
        <v>1</v>
      </c>
    </row>
    <row r="60" spans="2:31">
      <c r="C60" s="690" t="s">
        <v>230</v>
      </c>
      <c r="D60" s="691">
        <f>'2 Sizing Sheet'!D42</f>
        <v>250</v>
      </c>
      <c r="E60" s="692">
        <f>'2 Sizing Sheet'!E42</f>
        <v>10</v>
      </c>
      <c r="F60" s="693">
        <f>'2 Sizing Sheet'!F42</f>
        <v>2500</v>
      </c>
      <c r="G60" s="692">
        <f>'2 Sizing Sheet'!H42</f>
        <v>17</v>
      </c>
      <c r="H60" s="693">
        <f>'2 Sizing Sheet'!I42</f>
        <v>4250</v>
      </c>
      <c r="I60" s="692">
        <f>'2 Sizing Sheet'!K42</f>
        <v>23</v>
      </c>
      <c r="J60" s="693">
        <f>'2 Sizing Sheet'!L42</f>
        <v>5750</v>
      </c>
      <c r="K60" s="692">
        <f>'2 Sizing Sheet'!N42</f>
        <v>33</v>
      </c>
      <c r="L60" s="693">
        <f>'2 Sizing Sheet'!O42</f>
        <v>8250</v>
      </c>
      <c r="M60" s="693"/>
      <c r="P60" s="693"/>
    </row>
    <row r="61" spans="2:31">
      <c r="C61" s="690" t="s">
        <v>230</v>
      </c>
      <c r="D61" s="691">
        <f>'2 Sizing Sheet'!D43</f>
        <v>265</v>
      </c>
      <c r="E61" s="692">
        <f>'2 Sizing Sheet'!E43</f>
        <v>10</v>
      </c>
      <c r="F61" s="693">
        <f>'2 Sizing Sheet'!F43</f>
        <v>2650</v>
      </c>
      <c r="G61" s="692">
        <f>'2 Sizing Sheet'!H43</f>
        <v>16</v>
      </c>
      <c r="H61" s="693">
        <f>'2 Sizing Sheet'!I43</f>
        <v>4240</v>
      </c>
      <c r="I61" s="692">
        <f>'2 Sizing Sheet'!K43</f>
        <v>22</v>
      </c>
      <c r="J61" s="693">
        <f>'2 Sizing Sheet'!L43</f>
        <v>5830</v>
      </c>
      <c r="K61" s="692">
        <f>'2 Sizing Sheet'!N43</f>
        <v>31</v>
      </c>
      <c r="L61" s="693">
        <f>'2 Sizing Sheet'!O43</f>
        <v>8215</v>
      </c>
      <c r="M61" s="693"/>
      <c r="P61" s="693"/>
    </row>
    <row r="62" spans="2:31">
      <c r="C62" s="690" t="s">
        <v>232</v>
      </c>
      <c r="D62" s="691">
        <f>'2 Sizing Sheet'!D56</f>
        <v>250</v>
      </c>
      <c r="E62" s="692">
        <f>'2 Sizing Sheet'!E56</f>
        <v>10</v>
      </c>
      <c r="F62" s="693">
        <f>'2 Sizing Sheet'!F56</f>
        <v>2500</v>
      </c>
      <c r="G62" s="692">
        <f>'2 Sizing Sheet'!H56</f>
        <v>17</v>
      </c>
      <c r="H62" s="693">
        <f>'2 Sizing Sheet'!I56</f>
        <v>4250</v>
      </c>
      <c r="I62" s="692">
        <f>'2 Sizing Sheet'!K56</f>
        <v>24</v>
      </c>
      <c r="J62" s="693">
        <f>'2 Sizing Sheet'!L56</f>
        <v>6000</v>
      </c>
      <c r="K62" s="692">
        <f>'2 Sizing Sheet'!N56</f>
        <v>34</v>
      </c>
      <c r="L62" s="693">
        <f>'2 Sizing Sheet'!O56</f>
        <v>8500</v>
      </c>
      <c r="M62" s="693"/>
      <c r="P62" s="693"/>
    </row>
    <row r="63" spans="2:31">
      <c r="C63" s="690" t="s">
        <v>232</v>
      </c>
      <c r="D63" s="691">
        <f>'2 Sizing Sheet'!D57</f>
        <v>265</v>
      </c>
      <c r="E63" s="692">
        <f>'2 Sizing Sheet'!E57</f>
        <v>10</v>
      </c>
      <c r="F63" s="693">
        <f>'2 Sizing Sheet'!F57</f>
        <v>2650</v>
      </c>
      <c r="G63" s="692">
        <f>'2 Sizing Sheet'!H57</f>
        <v>16</v>
      </c>
      <c r="H63" s="693">
        <f>'2 Sizing Sheet'!I57</f>
        <v>4240</v>
      </c>
      <c r="I63" s="692">
        <f>'2 Sizing Sheet'!K57</f>
        <v>22</v>
      </c>
      <c r="J63" s="693">
        <f>'2 Sizing Sheet'!L57</f>
        <v>5830</v>
      </c>
      <c r="K63" s="692">
        <f>'2 Sizing Sheet'!N57</f>
        <v>32</v>
      </c>
      <c r="L63" s="693">
        <f>'2 Sizing Sheet'!O57</f>
        <v>8480</v>
      </c>
      <c r="M63" s="693"/>
      <c r="P63" s="693"/>
    </row>
    <row r="64" spans="2:31">
      <c r="C64" s="690" t="s">
        <v>234</v>
      </c>
      <c r="D64" s="691">
        <f>'2 Sizing Sheet'!D70</f>
        <v>250</v>
      </c>
      <c r="E64" s="692">
        <f>'2 Sizing Sheet'!E70</f>
        <v>7</v>
      </c>
      <c r="F64" s="693">
        <f>'2 Sizing Sheet'!F70</f>
        <v>1750</v>
      </c>
      <c r="G64" s="692">
        <f>'2 Sizing Sheet'!H70</f>
        <v>11</v>
      </c>
      <c r="H64" s="693">
        <f>'2 Sizing Sheet'!I70</f>
        <v>2750</v>
      </c>
      <c r="I64" s="692">
        <f>'2 Sizing Sheet'!K70</f>
        <v>15</v>
      </c>
      <c r="J64" s="693">
        <f>'2 Sizing Sheet'!L70</f>
        <v>3750</v>
      </c>
      <c r="K64" s="692">
        <f>'2 Sizing Sheet'!N70</f>
        <v>21</v>
      </c>
      <c r="L64" s="693">
        <f>'2 Sizing Sheet'!O70</f>
        <v>5250</v>
      </c>
      <c r="M64" s="693"/>
      <c r="P64" s="693"/>
    </row>
    <row r="65" spans="2:16">
      <c r="C65" s="690" t="s">
        <v>234</v>
      </c>
      <c r="D65" s="691">
        <f>'2 Sizing Sheet'!D71</f>
        <v>265</v>
      </c>
      <c r="E65" s="692">
        <f>'2 Sizing Sheet'!E71</f>
        <v>6</v>
      </c>
      <c r="F65" s="693">
        <f>'2 Sizing Sheet'!F71</f>
        <v>1590</v>
      </c>
      <c r="G65" s="692">
        <f>'2 Sizing Sheet'!H71</f>
        <v>10</v>
      </c>
      <c r="H65" s="693">
        <f>'2 Sizing Sheet'!I71</f>
        <v>2650</v>
      </c>
      <c r="I65" s="692">
        <f>'2 Sizing Sheet'!K71</f>
        <v>14</v>
      </c>
      <c r="J65" s="693">
        <f>'2 Sizing Sheet'!L71</f>
        <v>3710</v>
      </c>
      <c r="K65" s="692">
        <f>'2 Sizing Sheet'!N71</f>
        <v>20</v>
      </c>
      <c r="L65" s="693">
        <f>'2 Sizing Sheet'!O71</f>
        <v>5300</v>
      </c>
      <c r="M65" s="693"/>
      <c r="P65" s="693"/>
    </row>
    <row r="69" spans="2:16">
      <c r="B69" t="s">
        <v>12</v>
      </c>
      <c r="C69" t="s">
        <v>13</v>
      </c>
      <c r="D69" t="s">
        <v>14</v>
      </c>
    </row>
    <row r="70" spans="2:16">
      <c r="C70" t="s">
        <v>62</v>
      </c>
      <c r="D70">
        <v>0</v>
      </c>
    </row>
    <row r="71" spans="2:16">
      <c r="B71" t="s">
        <v>407</v>
      </c>
      <c r="C71" t="s">
        <v>15</v>
      </c>
      <c r="D71" s="853">
        <v>0.96499999999999997</v>
      </c>
    </row>
    <row r="72" spans="2:16">
      <c r="B72" t="s">
        <v>407</v>
      </c>
      <c r="C72" t="s">
        <v>16</v>
      </c>
      <c r="D72" s="853">
        <v>0.97</v>
      </c>
    </row>
    <row r="73" spans="2:16">
      <c r="B73" t="s">
        <v>407</v>
      </c>
      <c r="C73" t="s">
        <v>17</v>
      </c>
      <c r="D73" s="853">
        <v>0.97</v>
      </c>
    </row>
    <row r="74" spans="2:16">
      <c r="B74" t="s">
        <v>407</v>
      </c>
      <c r="C74" t="s">
        <v>18</v>
      </c>
      <c r="D74" s="853">
        <v>0.97</v>
      </c>
    </row>
    <row r="75" spans="2:16">
      <c r="B75" t="s">
        <v>407</v>
      </c>
      <c r="C75" t="s">
        <v>19</v>
      </c>
      <c r="D75" s="853">
        <v>0.97</v>
      </c>
    </row>
    <row r="76" spans="2:16">
      <c r="B76" t="s">
        <v>407</v>
      </c>
      <c r="C76" t="s">
        <v>20</v>
      </c>
      <c r="D76" s="853">
        <v>0.96499999999999997</v>
      </c>
    </row>
    <row r="77" spans="2:16">
      <c r="B77" t="s">
        <v>407</v>
      </c>
      <c r="C77" t="s">
        <v>21</v>
      </c>
      <c r="D77" s="853">
        <v>0.96499999999999997</v>
      </c>
    </row>
    <row r="78" spans="2:16">
      <c r="B78" t="s">
        <v>407</v>
      </c>
      <c r="C78" t="s">
        <v>22</v>
      </c>
      <c r="D78" s="853">
        <v>0.95499999999999996</v>
      </c>
    </row>
    <row r="79" spans="2:16">
      <c r="B79" t="s">
        <v>407</v>
      </c>
      <c r="C79" t="s">
        <v>23</v>
      </c>
      <c r="D79" s="853">
        <v>0.95499999999999996</v>
      </c>
    </row>
    <row r="80" spans="2:16">
      <c r="B80" t="s">
        <v>407</v>
      </c>
      <c r="C80" t="s">
        <v>24</v>
      </c>
      <c r="D80" s="853">
        <v>0.96</v>
      </c>
    </row>
    <row r="81" spans="2:4">
      <c r="B81" t="s">
        <v>407</v>
      </c>
      <c r="C81" t="s">
        <v>25</v>
      </c>
      <c r="D81" s="853">
        <v>0.96</v>
      </c>
    </row>
    <row r="82" spans="2:4">
      <c r="B82" t="s">
        <v>407</v>
      </c>
      <c r="C82" t="s">
        <v>26</v>
      </c>
      <c r="D82" s="853">
        <v>0.96</v>
      </c>
    </row>
    <row r="83" spans="2:4">
      <c r="B83" t="s">
        <v>407</v>
      </c>
      <c r="C83" t="s">
        <v>27</v>
      </c>
      <c r="D83" s="853">
        <v>0.96</v>
      </c>
    </row>
    <row r="84" spans="2:4">
      <c r="B84" t="s">
        <v>407</v>
      </c>
      <c r="C84" t="s">
        <v>28</v>
      </c>
      <c r="D84" s="853">
        <v>0.95499999999999996</v>
      </c>
    </row>
    <row r="85" spans="2:4">
      <c r="B85" t="s">
        <v>407</v>
      </c>
      <c r="C85" t="s">
        <v>29</v>
      </c>
      <c r="D85" s="853">
        <v>0.95499999999999996</v>
      </c>
    </row>
    <row r="86" spans="2:4">
      <c r="B86" t="s">
        <v>407</v>
      </c>
      <c r="C86" t="s">
        <v>30</v>
      </c>
      <c r="D86" s="853">
        <v>0.98499999999999999</v>
      </c>
    </row>
    <row r="87" spans="2:4">
      <c r="B87" t="s">
        <v>407</v>
      </c>
      <c r="C87" t="s">
        <v>31</v>
      </c>
      <c r="D87" s="853">
        <v>0.95499999999999996</v>
      </c>
    </row>
    <row r="88" spans="2:4">
      <c r="B88" t="s">
        <v>407</v>
      </c>
      <c r="C88" t="s">
        <v>32</v>
      </c>
      <c r="D88" s="853">
        <v>0.98499999999999999</v>
      </c>
    </row>
    <row r="89" spans="2:4">
      <c r="B89" t="s">
        <v>407</v>
      </c>
      <c r="C89" t="s">
        <v>33</v>
      </c>
      <c r="D89" s="853">
        <v>0.96</v>
      </c>
    </row>
    <row r="90" spans="2:4">
      <c r="B90" t="s">
        <v>407</v>
      </c>
      <c r="C90" t="s">
        <v>34</v>
      </c>
      <c r="D90" s="853">
        <v>0.96</v>
      </c>
    </row>
    <row r="91" spans="2:4">
      <c r="B91" t="s">
        <v>407</v>
      </c>
      <c r="C91" t="s">
        <v>35</v>
      </c>
      <c r="D91" s="853">
        <v>0.98499999999999999</v>
      </c>
    </row>
    <row r="92" spans="2:4">
      <c r="B92" t="s">
        <v>407</v>
      </c>
      <c r="C92" t="s">
        <v>36</v>
      </c>
      <c r="D92" s="853">
        <v>0.96</v>
      </c>
    </row>
    <row r="93" spans="2:4">
      <c r="B93" t="s">
        <v>407</v>
      </c>
      <c r="C93" t="s">
        <v>37</v>
      </c>
      <c r="D93" s="853">
        <v>0.96</v>
      </c>
    </row>
    <row r="94" spans="2:4">
      <c r="B94" t="s">
        <v>407</v>
      </c>
      <c r="C94" t="s">
        <v>38</v>
      </c>
      <c r="D94" s="853">
        <v>0.98</v>
      </c>
    </row>
    <row r="95" spans="2:4">
      <c r="B95" t="s">
        <v>407</v>
      </c>
      <c r="C95" t="s">
        <v>39</v>
      </c>
      <c r="D95" s="853">
        <v>0.98</v>
      </c>
    </row>
    <row r="96" spans="2:4">
      <c r="B96" t="s">
        <v>407</v>
      </c>
      <c r="C96" t="s">
        <v>40</v>
      </c>
      <c r="D96" s="853">
        <v>0.98</v>
      </c>
    </row>
    <row r="97" spans="2:4">
      <c r="B97" t="s">
        <v>407</v>
      </c>
      <c r="C97" t="s">
        <v>41</v>
      </c>
      <c r="D97" s="853">
        <v>0.98</v>
      </c>
    </row>
    <row r="98" spans="2:4">
      <c r="B98" t="s">
        <v>217</v>
      </c>
      <c r="C98" t="s">
        <v>42</v>
      </c>
      <c r="D98" s="853">
        <v>0.97499999999999998</v>
      </c>
    </row>
    <row r="99" spans="2:4">
      <c r="B99" t="s">
        <v>217</v>
      </c>
      <c r="C99" t="s">
        <v>43</v>
      </c>
      <c r="D99" s="853">
        <v>0.97499999999999998</v>
      </c>
    </row>
    <row r="100" spans="2:4">
      <c r="B100" t="s">
        <v>217</v>
      </c>
      <c r="C100" t="s">
        <v>44</v>
      </c>
      <c r="D100" s="853">
        <v>0.98</v>
      </c>
    </row>
    <row r="101" spans="2:4">
      <c r="B101" t="s">
        <v>217</v>
      </c>
      <c r="C101" t="s">
        <v>45</v>
      </c>
      <c r="D101" s="853">
        <v>0.97499999999999998</v>
      </c>
    </row>
    <row r="102" spans="2:4">
      <c r="B102" t="s">
        <v>217</v>
      </c>
      <c r="C102" t="s">
        <v>46</v>
      </c>
      <c r="D102" s="853">
        <v>0.98</v>
      </c>
    </row>
    <row r="103" spans="2:4">
      <c r="B103" t="s">
        <v>217</v>
      </c>
      <c r="C103" t="s">
        <v>47</v>
      </c>
      <c r="D103" s="853">
        <v>0.97499999999999998</v>
      </c>
    </row>
    <row r="104" spans="2:4">
      <c r="B104" t="s">
        <v>217</v>
      </c>
      <c r="C104" t="s">
        <v>48</v>
      </c>
      <c r="D104" s="853">
        <v>0.97499999999999998</v>
      </c>
    </row>
    <row r="105" spans="2:4">
      <c r="B105" t="s">
        <v>217</v>
      </c>
      <c r="C105" t="s">
        <v>49</v>
      </c>
      <c r="D105" s="853">
        <v>0.97499999999999998</v>
      </c>
    </row>
    <row r="106" spans="2:4">
      <c r="B106" t="s">
        <v>217</v>
      </c>
      <c r="C106" t="s">
        <v>50</v>
      </c>
      <c r="D106" s="853">
        <v>0.97499999999999998</v>
      </c>
    </row>
    <row r="107" spans="2:4">
      <c r="B107" t="s">
        <v>487</v>
      </c>
      <c r="C107" t="s">
        <v>60</v>
      </c>
      <c r="D107" s="853">
        <v>0.96</v>
      </c>
    </row>
    <row r="108" spans="2:4">
      <c r="B108" t="s">
        <v>487</v>
      </c>
      <c r="C108" t="s">
        <v>61</v>
      </c>
      <c r="D108" s="853">
        <v>0.96499999999999997</v>
      </c>
    </row>
    <row r="109" spans="2:4">
      <c r="B109" t="s">
        <v>51</v>
      </c>
      <c r="C109" t="s">
        <v>52</v>
      </c>
      <c r="D109" s="853">
        <v>0.96</v>
      </c>
    </row>
    <row r="110" spans="2:4">
      <c r="B110" t="s">
        <v>51</v>
      </c>
      <c r="C110" t="s">
        <v>53</v>
      </c>
      <c r="D110" s="853">
        <v>0.96</v>
      </c>
    </row>
    <row r="111" spans="2:4">
      <c r="B111" t="s">
        <v>51</v>
      </c>
      <c r="C111" t="s">
        <v>54</v>
      </c>
      <c r="D111" s="853">
        <v>0.96</v>
      </c>
    </row>
    <row r="112" spans="2:4">
      <c r="B112" t="s">
        <v>51</v>
      </c>
      <c r="C112" t="s">
        <v>55</v>
      </c>
      <c r="D112" s="853">
        <v>0.96</v>
      </c>
    </row>
    <row r="113" spans="2:10">
      <c r="B113" t="s">
        <v>51</v>
      </c>
      <c r="C113" t="s">
        <v>56</v>
      </c>
      <c r="D113" s="853">
        <v>0.96499999999999997</v>
      </c>
    </row>
    <row r="114" spans="2:10">
      <c r="B114" t="s">
        <v>51</v>
      </c>
      <c r="C114" t="s">
        <v>57</v>
      </c>
      <c r="D114" s="853">
        <v>0.96499999999999997</v>
      </c>
    </row>
    <row r="115" spans="2:10">
      <c r="B115" t="s">
        <v>51</v>
      </c>
      <c r="C115" t="s">
        <v>58</v>
      </c>
      <c r="D115" s="853">
        <v>0.96499999999999997</v>
      </c>
    </row>
    <row r="116" spans="2:10">
      <c r="B116" t="s">
        <v>51</v>
      </c>
      <c r="C116" t="s">
        <v>59</v>
      </c>
      <c r="D116" s="853">
        <v>0.96499999999999997</v>
      </c>
    </row>
    <row r="117" spans="2:10">
      <c r="D117" s="853"/>
    </row>
    <row r="123" spans="2:10" ht="14" thickBot="1"/>
    <row r="124" spans="2:10" ht="15">
      <c r="B124" s="633" t="s">
        <v>314</v>
      </c>
      <c r="C124" s="634" t="s">
        <v>315</v>
      </c>
      <c r="D124" s="634" t="s">
        <v>316</v>
      </c>
      <c r="E124" s="634" t="s">
        <v>222</v>
      </c>
      <c r="F124" s="634" t="s">
        <v>317</v>
      </c>
      <c r="G124" s="634" t="s">
        <v>318</v>
      </c>
      <c r="H124" s="634" t="s">
        <v>319</v>
      </c>
      <c r="I124" s="359"/>
      <c r="J124" s="360"/>
    </row>
    <row r="125" spans="2:10" ht="15">
      <c r="B125" s="64" t="s">
        <v>320</v>
      </c>
      <c r="C125" s="354">
        <v>250</v>
      </c>
      <c r="D125" s="62" t="s">
        <v>253</v>
      </c>
      <c r="E125" s="62" t="s">
        <v>485</v>
      </c>
      <c r="F125" s="62" t="s">
        <v>321</v>
      </c>
      <c r="G125" s="73">
        <v>2.48</v>
      </c>
      <c r="H125" s="73">
        <v>2.59</v>
      </c>
      <c r="I125" s="357"/>
      <c r="J125" s="361"/>
    </row>
    <row r="126" spans="2:10" ht="15">
      <c r="B126" s="64" t="s">
        <v>322</v>
      </c>
      <c r="C126" s="354">
        <v>250</v>
      </c>
      <c r="D126" s="62" t="s">
        <v>253</v>
      </c>
      <c r="E126" s="62" t="s">
        <v>323</v>
      </c>
      <c r="F126" s="62" t="s">
        <v>321</v>
      </c>
      <c r="G126" s="73">
        <v>2.61</v>
      </c>
      <c r="H126" s="358">
        <v>2.72</v>
      </c>
      <c r="I126" s="357"/>
      <c r="J126" s="361"/>
    </row>
    <row r="127" spans="2:10" ht="15">
      <c r="B127" s="64" t="s">
        <v>481</v>
      </c>
      <c r="C127" s="354">
        <v>280</v>
      </c>
      <c r="D127" s="62" t="s">
        <v>253</v>
      </c>
      <c r="E127" s="62" t="s">
        <v>485</v>
      </c>
      <c r="F127" s="62" t="s">
        <v>321</v>
      </c>
      <c r="G127" s="73">
        <v>2.5499999999999998</v>
      </c>
      <c r="H127" s="73">
        <v>2.66</v>
      </c>
      <c r="I127" s="357"/>
      <c r="J127" s="361"/>
    </row>
    <row r="128" spans="2:10" ht="15">
      <c r="B128" s="64" t="s">
        <v>325</v>
      </c>
      <c r="C128" s="354">
        <v>280</v>
      </c>
      <c r="D128" s="62" t="s">
        <v>253</v>
      </c>
      <c r="E128" s="62" t="s">
        <v>323</v>
      </c>
      <c r="F128" s="62" t="s">
        <v>321</v>
      </c>
      <c r="G128" s="73">
        <v>2.67</v>
      </c>
      <c r="H128" s="358">
        <v>2.78</v>
      </c>
      <c r="I128" s="357"/>
      <c r="J128" s="361"/>
    </row>
    <row r="129" spans="2:10" ht="15">
      <c r="B129" s="64" t="s">
        <v>326</v>
      </c>
      <c r="C129" s="354">
        <v>250</v>
      </c>
      <c r="D129" s="62" t="s">
        <v>253</v>
      </c>
      <c r="E129" s="62" t="s">
        <v>485</v>
      </c>
      <c r="F129" s="62" t="s">
        <v>327</v>
      </c>
      <c r="G129" s="73">
        <v>2.76</v>
      </c>
      <c r="H129" s="73">
        <v>2.87</v>
      </c>
      <c r="I129" s="357"/>
      <c r="J129" s="361"/>
    </row>
    <row r="130" spans="2:10" ht="15">
      <c r="B130" s="64" t="s">
        <v>329</v>
      </c>
      <c r="C130" s="354">
        <v>250</v>
      </c>
      <c r="D130" s="62" t="s">
        <v>253</v>
      </c>
      <c r="E130" s="62" t="s">
        <v>323</v>
      </c>
      <c r="F130" s="62" t="s">
        <v>327</v>
      </c>
      <c r="G130" s="73">
        <v>2.76</v>
      </c>
      <c r="H130" s="358">
        <v>2.87</v>
      </c>
      <c r="I130" s="357"/>
      <c r="J130" s="361"/>
    </row>
    <row r="131" spans="2:10" ht="15">
      <c r="B131" s="64" t="s">
        <v>331</v>
      </c>
      <c r="C131" s="354">
        <v>280</v>
      </c>
      <c r="D131" s="62" t="s">
        <v>253</v>
      </c>
      <c r="E131" s="62" t="s">
        <v>485</v>
      </c>
      <c r="F131" s="62" t="s">
        <v>332</v>
      </c>
      <c r="G131" s="73">
        <v>2.84</v>
      </c>
      <c r="H131" s="73">
        <v>2.95</v>
      </c>
      <c r="I131" s="357"/>
      <c r="J131" s="361"/>
    </row>
    <row r="132" spans="2:10" ht="15">
      <c r="B132" s="64" t="s">
        <v>334</v>
      </c>
      <c r="C132" s="354">
        <v>280</v>
      </c>
      <c r="D132" s="62" t="s">
        <v>253</v>
      </c>
      <c r="E132" s="62" t="s">
        <v>323</v>
      </c>
      <c r="F132" s="62" t="s">
        <v>332</v>
      </c>
      <c r="G132" s="73">
        <v>2.84</v>
      </c>
      <c r="H132" s="73">
        <v>2.95</v>
      </c>
      <c r="I132" s="357"/>
      <c r="J132" s="361"/>
    </row>
    <row r="133" spans="2:10" ht="15">
      <c r="B133" s="64" t="s">
        <v>336</v>
      </c>
      <c r="C133" s="354">
        <v>250</v>
      </c>
      <c r="D133" s="62" t="s">
        <v>253</v>
      </c>
      <c r="E133" s="62" t="s">
        <v>485</v>
      </c>
      <c r="F133" s="62" t="s">
        <v>337</v>
      </c>
      <c r="G133" s="73">
        <v>2.6</v>
      </c>
      <c r="H133" s="73">
        <v>2.71</v>
      </c>
      <c r="I133" s="357"/>
      <c r="J133" s="361"/>
    </row>
    <row r="134" spans="2:10" ht="15">
      <c r="B134" s="64" t="s">
        <v>338</v>
      </c>
      <c r="C134" s="354">
        <v>250</v>
      </c>
      <c r="D134" s="62" t="s">
        <v>253</v>
      </c>
      <c r="E134" s="62" t="s">
        <v>323</v>
      </c>
      <c r="F134" s="62" t="s">
        <v>337</v>
      </c>
      <c r="G134" s="73">
        <v>2.69</v>
      </c>
      <c r="H134" s="73">
        <v>2.8</v>
      </c>
      <c r="I134" s="357"/>
      <c r="J134" s="361"/>
    </row>
    <row r="135" spans="2:10" ht="15">
      <c r="B135" s="64" t="s">
        <v>339</v>
      </c>
      <c r="C135" s="354">
        <v>280</v>
      </c>
      <c r="D135" s="62" t="s">
        <v>253</v>
      </c>
      <c r="E135" s="62" t="s">
        <v>485</v>
      </c>
      <c r="F135" s="62" t="s">
        <v>337</v>
      </c>
      <c r="G135" s="73">
        <v>2.68</v>
      </c>
      <c r="H135" s="73">
        <v>2.79</v>
      </c>
      <c r="I135" s="357"/>
      <c r="J135" s="361"/>
    </row>
    <row r="136" spans="2:10" ht="16" thickBot="1">
      <c r="B136" s="76" t="s">
        <v>340</v>
      </c>
      <c r="C136" s="635">
        <v>280</v>
      </c>
      <c r="D136" s="77" t="s">
        <v>253</v>
      </c>
      <c r="E136" s="77" t="s">
        <v>323</v>
      </c>
      <c r="F136" s="77" t="s">
        <v>337</v>
      </c>
      <c r="G136" s="78">
        <v>2.77</v>
      </c>
      <c r="H136" s="78">
        <v>2.88</v>
      </c>
      <c r="I136" s="362"/>
      <c r="J136" s="363"/>
    </row>
  </sheetData>
  <sheetProtection sheet="1" objects="1" scenarios="1"/>
  <mergeCells count="5">
    <mergeCell ref="B2:H2"/>
    <mergeCell ref="L8:N8"/>
    <mergeCell ref="L11:N11"/>
    <mergeCell ref="U2:U3"/>
    <mergeCell ref="V2:V3"/>
  </mergeCells>
  <phoneticPr fontId="1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1 Customer Record</vt:lpstr>
      <vt:lpstr>2 Sizing Sheet</vt:lpstr>
      <vt:lpstr>3 Pricing Sheet</vt:lpstr>
      <vt:lpstr>4 Dividend Financed Bid</vt:lpstr>
      <vt:lpstr>Cash Bid</vt:lpstr>
      <vt:lpstr>Div Contrat Exh A-B</vt:lpstr>
      <vt:lpstr>Cash Purchase Contract Exh A-B </vt:lpstr>
      <vt:lpstr>MonthlyLoanModel</vt:lpstr>
      <vt:lpstr>Annual Summary</vt:lpstr>
      <vt:lpstr>Lookup Tables</vt:lpstr>
    </vt:vector>
  </TitlesOfParts>
  <Company>Lighthouse Solar Austin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  Pipkin</dc:creator>
  <cp:lastModifiedBy>Stan  Pipkin</cp:lastModifiedBy>
  <cp:lastPrinted>2015-02-18T21:53:15Z</cp:lastPrinted>
  <dcterms:created xsi:type="dcterms:W3CDTF">2014-09-23T13:40:28Z</dcterms:created>
  <dcterms:modified xsi:type="dcterms:W3CDTF">2015-07-20T23:57:17Z</dcterms:modified>
</cp:coreProperties>
</file>