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5640" windowHeight="10965" tabRatio="814" activeTab="2"/>
  </bookViews>
  <sheets>
    <sheet name="MOTOR-SPECS" sheetId="4" r:id="rId1"/>
    <sheet name="2-Speed Drive" sheetId="1" r:id="rId2"/>
    <sheet name="2-Speed Drive (2)" sheetId="5" r:id="rId3"/>
  </sheets>
  <calcPr calcId="145621" concurrentCalc="0"/>
</workbook>
</file>

<file path=xl/calcChain.xml><?xml version="1.0" encoding="utf-8"?>
<calcChain xmlns="http://schemas.openxmlformats.org/spreadsheetml/2006/main">
  <c r="O15" i="5" l="1"/>
  <c r="N15" i="5"/>
  <c r="J3" i="4"/>
  <c r="G16" i="5"/>
  <c r="I17" i="5"/>
  <c r="K16" i="5"/>
  <c r="J16" i="5"/>
  <c r="I16" i="5"/>
  <c r="J12" i="5"/>
  <c r="I12" i="5"/>
  <c r="C16" i="5"/>
  <c r="I13" i="5"/>
  <c r="K12" i="5"/>
  <c r="G16" i="1"/>
  <c r="J16" i="1"/>
  <c r="J12" i="1"/>
  <c r="K16" i="1"/>
  <c r="I12" i="1"/>
  <c r="I16" i="1"/>
  <c r="C16" i="1"/>
  <c r="G4" i="4"/>
  <c r="G10" i="4"/>
  <c r="D17" i="4"/>
  <c r="G6" i="4"/>
  <c r="G27" i="4"/>
  <c r="G26" i="4"/>
  <c r="G24" i="4"/>
  <c r="G25" i="4"/>
  <c r="G23" i="4"/>
  <c r="G31" i="4"/>
  <c r="F36" i="4"/>
  <c r="E36" i="4"/>
  <c r="F37" i="4"/>
  <c r="E37" i="4"/>
  <c r="D37" i="4"/>
  <c r="D36" i="4"/>
  <c r="C36" i="4"/>
  <c r="G36" i="4"/>
  <c r="C37" i="4"/>
  <c r="G37" i="4"/>
  <c r="G18" i="4"/>
  <c r="G20" i="4"/>
  <c r="C19" i="4"/>
  <c r="D19" i="4"/>
  <c r="G19" i="4"/>
  <c r="C17" i="4"/>
  <c r="G17" i="4"/>
  <c r="G30" i="4"/>
  <c r="G29" i="4"/>
  <c r="G32" i="4"/>
  <c r="G14" i="4"/>
  <c r="G15" i="4"/>
  <c r="G34" i="4"/>
  <c r="G33" i="4"/>
  <c r="G21" i="4"/>
  <c r="G13" i="4"/>
  <c r="G9" i="4"/>
  <c r="G5" i="4"/>
  <c r="K12" i="1"/>
  <c r="I17" i="1"/>
  <c r="I13" i="1"/>
  <c r="G51" i="4"/>
  <c r="G3" i="4"/>
  <c r="G12" i="4"/>
  <c r="H50" i="4"/>
  <c r="G50" i="4"/>
  <c r="G49" i="4"/>
  <c r="G11" i="4"/>
  <c r="G8" i="4"/>
</calcChain>
</file>

<file path=xl/sharedStrings.xml><?xml version="1.0" encoding="utf-8"?>
<sst xmlns="http://schemas.openxmlformats.org/spreadsheetml/2006/main" count="97" uniqueCount="63">
  <si>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</si>
  <si>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</si>
  <si>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</si>
  <si>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</si>
  <si>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</si>
  <si>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</si>
  <si>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</si>
  <si>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</si>
  <si>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</si>
  <si>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</si>
  <si>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</si>
  <si>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</si>
  <si>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</si>
  <si>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</si>
  <si>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</si>
  <si>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</si>
  <si>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</si>
  <si>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</si>
  <si>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RS-550</t>
  </si>
  <si>
    <t>MiniCIM</t>
  </si>
  <si>
    <t>CIM + MiniCIM @ 1:1</t>
  </si>
  <si>
    <t>CIM + MiniCIM @ 14:12</t>
  </si>
  <si>
    <t>CIM+550 @ 4:1</t>
  </si>
  <si>
    <t># Gearboxes in Drivetrain</t>
  </si>
  <si>
    <t># Motors per Gearbox</t>
  </si>
  <si>
    <t>&lt;-- High Gear</t>
  </si>
  <si>
    <t>&lt;-- Low Gear</t>
  </si>
  <si>
    <t>Total Robot Weight (lbs)</t>
  </si>
  <si>
    <t>Pushing Match Current per Motor</t>
  </si>
  <si>
    <t>Drivetrain High Gear Free-Speed</t>
  </si>
  <si>
    <t>Drivetrain High Gear Adjusted Speed</t>
  </si>
  <si>
    <t>Drivetrain Low Gear Free-Speed</t>
  </si>
  <si>
    <t>Drivetrain Low Gear Adjusted Speed</t>
  </si>
  <si>
    <t>RS-775-18 (@12V)</t>
  </si>
  <si>
    <t>BAG Motor</t>
  </si>
  <si>
    <t>RS-775-12</t>
  </si>
  <si>
    <t>RS-545-12</t>
  </si>
  <si>
    <t>RS-540-12</t>
  </si>
  <si>
    <t>AM 9015</t>
  </si>
  <si>
    <t>RS395-12</t>
  </si>
  <si>
    <t>RS390-12</t>
  </si>
  <si>
    <t>Snowblower motor</t>
  </si>
  <si>
    <t>Keyang
Window Motor RH</t>
  </si>
  <si>
    <t>VEX 393 Motor (as shipped)</t>
  </si>
  <si>
    <t>VEX 393 Motor (high speed)</t>
  </si>
  <si>
    <t>AM PG71 Gearmotor</t>
  </si>
  <si>
    <t>AM PG Motor (no gearbox)</t>
  </si>
  <si>
    <t>AM PG27 Gearmotor</t>
  </si>
  <si>
    <t>AM PG188 Gearmotor</t>
  </si>
  <si>
    <t>Denso Window Motor RH 262100-3030 (fc13-103)</t>
  </si>
  <si>
    <t>Denso Window Motor LH 262100-3040 (fc13-102)</t>
  </si>
  <si>
    <r>
      <t>Denso Throttle Control AE235100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0160</t>
    </r>
  </si>
  <si>
    <t>FP 00801-0673</t>
  </si>
  <si>
    <t>FP 00968-2719</t>
  </si>
  <si>
    <t>FP 00968-9015</t>
  </si>
  <si>
    <t>FP 00968-9012</t>
  </si>
  <si>
    <t>FP 00968-9013</t>
  </si>
  <si>
    <r>
      <t>Nippon-Denso E6DF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14A365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BB or E6DF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14A366</t>
    </r>
    <r>
      <rPr>
        <b/>
        <sz val="10"/>
        <rFont val="Monaco"/>
        <family val="2"/>
      </rPr>
      <t>‐</t>
    </r>
    <r>
      <rPr>
        <b/>
        <sz val="10"/>
        <rFont val="Arial"/>
        <family val="2"/>
      </rPr>
      <t>BB</t>
    </r>
  </si>
  <si>
    <t>Motor Specifications (listed @12V)</t>
  </si>
  <si>
    <t>BAG Motor w/ 100:1 VersaPlanetary</t>
  </si>
  <si>
    <t>2-Speed Drivetrain</t>
  </si>
  <si>
    <t>Stall Torque (N-m)</t>
  </si>
  <si>
    <t>RS-555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</si>
</sst>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00"/>
    <numFmt numFmtId="169" formatCode="0.000"/>
  </numFmts>
  <fonts count="10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scheme val="minor"/>
    </font>
    <font>
      <sz val="12"/>
      <name val="Calibri"/>
      <scheme val="minor"/>
    </font>
    <font>
      <sz val="10"/>
      <color theme="1"/>
      <name val="Arial"/>
    </font>
    <font>
      <b/>
      <sz val="10"/>
      <name val="Monaco"/>
      <family val="2"/>
    </font>
    <font>
      <b/>
      <sz val="12"/>
      <color theme="5"/>
      <name val="Arial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2" fillId="0" borderId="5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5" fontId="0" fillId="0" borderId="0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right" vertical="center" wrapText="1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0" fontId="7" fillId="0" borderId="0" xfId="0" applyFont="1"/>
    <xf numFmtId="2" fontId="1" fillId="0" borderId="0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 wrapText="1"/>
    </xf>
    <xf numFmtId="2" fontId="7" fillId="0" borderId="5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168" fontId="2" fillId="0" borderId="5" xfId="0" applyNumberFormat="1" applyFont="1" applyFill="1" applyBorder="1" applyAlignment="1">
      <alignment horizontal="center" vertical="center" wrapText="1"/>
    </xf>
    <xf numFmtId="169" fontId="2" fillId="0" borderId="5" xfId="0" applyNumberFormat="1" applyFont="1" applyFill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1" fontId="2" fillId="0" borderId="5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0" borderId="0" xfId="0" applyFont="1" applyBorder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 tint="0.499984740745262"/>
  </sheetPr>
  <dimension ref="A1:J52"/>
  <sheetViews>
    <sheetView workbookViewId="0">
      <selection activeCell="J4" sqref="J4"/>
    </sheetView>
  </sheetViews>
  <sheetFormatPr defaultColWidth="11" defaultRowHeight="12.75"/>
  <cols>
    <col min="1" max="1" width="3.5" style="48" customWidth="1"/>
    <col min="2" max="2" width="30.625" style="56" customWidth="1"/>
    <col min="3" max="16384" width="11" style="48"/>
  </cols>
  <sheetData>
    <row r="1" spans="1:10" ht="26.1" customHeight="1">
      <c r="A1" s="46"/>
      <c r="B1" s="59" t="s">
        <v>58</v>
      </c>
      <c r="C1" s="46"/>
      <c r="D1" s="46"/>
      <c r="E1" s="46"/>
      <c r="F1" s="46"/>
      <c r="G1" s="46"/>
      <c r="H1" s="47"/>
      <c r="I1" s="47"/>
    </row>
    <row r="2" spans="1:10" ht="25.5">
      <c r="A2" s="49"/>
      <c r="B2" s="50"/>
      <c r="C2" s="49" t="s">
        <v>0</v>
      </c>
      <c r="D2" s="49" t="s">
        <v>61</v>
      </c>
      <c r="E2" s="49" t="s">
        <v>2</v>
      </c>
      <c r="F2" s="49" t="s">
        <v>3</v>
      </c>
      <c r="G2" s="49" t="s">
        <v>17</v>
      </c>
      <c r="H2" s="51"/>
      <c r="I2" s="51"/>
    </row>
    <row r="3" spans="1:10">
      <c r="A3" s="46"/>
      <c r="B3" s="42" t="s">
        <v>6</v>
      </c>
      <c r="C3" s="60">
        <v>5310</v>
      </c>
      <c r="D3" s="29">
        <v>2.4300000000000002</v>
      </c>
      <c r="E3" s="29">
        <v>133</v>
      </c>
      <c r="F3" s="29">
        <v>2.7</v>
      </c>
      <c r="G3" s="52">
        <f>C3/2*(1/60*2*PI())*D3/2</f>
        <v>337.80760405887645</v>
      </c>
      <c r="H3" s="47"/>
      <c r="I3" s="47"/>
      <c r="J3" s="48">
        <f>C4*D4/C3/D3</f>
        <v>0.67269613199724099</v>
      </c>
    </row>
    <row r="4" spans="1:10">
      <c r="A4" s="46"/>
      <c r="B4" s="42" t="s">
        <v>19</v>
      </c>
      <c r="C4" s="61">
        <v>6200</v>
      </c>
      <c r="D4" s="53">
        <v>1.4</v>
      </c>
      <c r="E4" s="53">
        <v>86</v>
      </c>
      <c r="F4" s="53">
        <v>1.5</v>
      </c>
      <c r="G4" s="52">
        <f>C4/2*(1/60*2*PI())*D4/2</f>
        <v>227.24186860966165</v>
      </c>
      <c r="H4" s="47"/>
      <c r="I4" s="47"/>
    </row>
    <row r="5" spans="1:10">
      <c r="A5" s="46"/>
      <c r="B5" s="42" t="s">
        <v>34</v>
      </c>
      <c r="C5" s="61">
        <v>14000</v>
      </c>
      <c r="D5" s="53">
        <v>0.4</v>
      </c>
      <c r="E5" s="53">
        <v>41</v>
      </c>
      <c r="F5" s="53">
        <v>1.8</v>
      </c>
      <c r="G5" s="52">
        <f>C5/2*(1/60*2*PI())*D5/2</f>
        <v>146.60765716752368</v>
      </c>
      <c r="H5" s="47"/>
      <c r="I5" s="47"/>
    </row>
    <row r="6" spans="1:10">
      <c r="A6" s="46"/>
      <c r="B6" s="42" t="s">
        <v>59</v>
      </c>
      <c r="C6" s="61">
        <v>133</v>
      </c>
      <c r="D6" s="53">
        <v>38</v>
      </c>
      <c r="E6" s="53">
        <v>41</v>
      </c>
      <c r="F6" s="53">
        <v>1.8</v>
      </c>
      <c r="G6" s="52">
        <f>C6/2*(1/60*2*PI())*D6/2</f>
        <v>132.31341059369012</v>
      </c>
      <c r="H6" s="47"/>
      <c r="I6" s="47"/>
    </row>
    <row r="7" spans="1:10">
      <c r="A7" s="46"/>
      <c r="B7" s="42"/>
      <c r="C7" s="62"/>
      <c r="D7" s="54"/>
      <c r="E7" s="54"/>
      <c r="F7" s="54"/>
      <c r="G7" s="46"/>
      <c r="H7" s="47"/>
      <c r="I7" s="47"/>
      <c r="J7" s="47"/>
    </row>
    <row r="8" spans="1:10">
      <c r="A8" s="46"/>
      <c r="B8" s="42" t="s">
        <v>33</v>
      </c>
      <c r="C8" s="60">
        <v>13000</v>
      </c>
      <c r="D8" s="29">
        <v>0.78333333333333333</v>
      </c>
      <c r="E8" s="29">
        <v>86.666666666666657</v>
      </c>
      <c r="F8" s="29">
        <v>1.8</v>
      </c>
      <c r="G8" s="52">
        <f t="shared" ref="G8:G15" si="0">C8/2*(1/60*2*PI())*D8/2</f>
        <v>266.5990432421338</v>
      </c>
      <c r="H8" s="30"/>
      <c r="I8" s="47"/>
    </row>
    <row r="9" spans="1:10">
      <c r="A9" s="46"/>
      <c r="B9" s="42" t="s">
        <v>35</v>
      </c>
      <c r="C9" s="60">
        <v>7300</v>
      </c>
      <c r="D9" s="43">
        <v>0.43149999999999999</v>
      </c>
      <c r="E9" s="43">
        <v>30</v>
      </c>
      <c r="F9" s="43">
        <v>1.1000000000000001</v>
      </c>
      <c r="G9" s="52">
        <f t="shared" si="0"/>
        <v>82.465498159793071</v>
      </c>
      <c r="H9" s="30"/>
      <c r="I9" s="47"/>
    </row>
    <row r="10" spans="1:10">
      <c r="A10" s="46"/>
      <c r="B10" s="42" t="s">
        <v>62</v>
      </c>
      <c r="C10" s="60">
        <v>7750</v>
      </c>
      <c r="D10" s="29">
        <v>0.20591485145027999</v>
      </c>
      <c r="E10" s="29">
        <v>0.4</v>
      </c>
      <c r="F10" s="29">
        <v>15</v>
      </c>
      <c r="G10" s="52">
        <f t="shared" si="0"/>
        <v>41.778996087537976</v>
      </c>
      <c r="H10" s="47"/>
      <c r="I10" s="47"/>
    </row>
    <row r="11" spans="1:10">
      <c r="A11" s="46"/>
      <c r="B11" s="42" t="s">
        <v>18</v>
      </c>
      <c r="C11" s="60">
        <v>19300</v>
      </c>
      <c r="D11" s="29">
        <v>0.48620000000000002</v>
      </c>
      <c r="E11" s="29">
        <v>85</v>
      </c>
      <c r="F11" s="29">
        <v>1.4</v>
      </c>
      <c r="G11" s="52">
        <f t="shared" si="0"/>
        <v>245.66364433153666</v>
      </c>
      <c r="H11" s="47"/>
      <c r="I11" s="47"/>
    </row>
    <row r="12" spans="1:10">
      <c r="A12" s="46"/>
      <c r="B12" s="42" t="s">
        <v>36</v>
      </c>
      <c r="C12" s="63">
        <v>16800</v>
      </c>
      <c r="D12" s="43">
        <v>0.16669999999999999</v>
      </c>
      <c r="E12" s="43">
        <v>21</v>
      </c>
      <c r="F12" s="43">
        <v>0.9</v>
      </c>
      <c r="G12" s="52">
        <f t="shared" si="0"/>
        <v>73.318489349478583</v>
      </c>
      <c r="H12" s="47"/>
      <c r="I12" s="47"/>
    </row>
    <row r="13" spans="1:10">
      <c r="A13" s="46"/>
      <c r="B13" s="42" t="s">
        <v>37</v>
      </c>
      <c r="C13" s="63">
        <v>16800</v>
      </c>
      <c r="D13" s="43">
        <v>0.27879999999999999</v>
      </c>
      <c r="E13" s="43">
        <v>42</v>
      </c>
      <c r="F13" s="43">
        <v>1</v>
      </c>
      <c r="G13" s="52">
        <f t="shared" si="0"/>
        <v>122.6226444549168</v>
      </c>
      <c r="H13" s="47"/>
      <c r="I13" s="47"/>
    </row>
    <row r="14" spans="1:10">
      <c r="A14" s="46"/>
      <c r="B14" s="42" t="s">
        <v>39</v>
      </c>
      <c r="C14" s="63">
        <v>15500</v>
      </c>
      <c r="D14" s="43">
        <v>0.1178</v>
      </c>
      <c r="E14" s="43">
        <v>15</v>
      </c>
      <c r="F14" s="43">
        <v>0.5</v>
      </c>
      <c r="G14" s="52">
        <f t="shared" si="0"/>
        <v>47.801950218246695</v>
      </c>
      <c r="H14" s="47"/>
      <c r="I14" s="47"/>
    </row>
    <row r="15" spans="1:10">
      <c r="A15" s="46"/>
      <c r="B15" s="42" t="s">
        <v>40</v>
      </c>
      <c r="C15" s="63">
        <v>12180</v>
      </c>
      <c r="D15" s="43">
        <v>0.1331</v>
      </c>
      <c r="E15" s="43">
        <v>14.5</v>
      </c>
      <c r="F15" s="43">
        <v>0.3</v>
      </c>
      <c r="G15" s="52">
        <f t="shared" si="0"/>
        <v>42.441817192569346</v>
      </c>
      <c r="H15" s="47"/>
      <c r="I15" s="47"/>
    </row>
    <row r="16" spans="1:10">
      <c r="A16" s="46"/>
      <c r="B16" s="42"/>
      <c r="C16" s="64"/>
      <c r="D16" s="45"/>
      <c r="E16" s="45"/>
      <c r="F16" s="45"/>
      <c r="G16" s="46"/>
      <c r="H16" s="47"/>
      <c r="I16" s="47"/>
    </row>
    <row r="17" spans="1:9">
      <c r="A17" s="46"/>
      <c r="B17" s="42" t="s">
        <v>46</v>
      </c>
      <c r="C17" s="63">
        <f>75*71</f>
        <v>5325</v>
      </c>
      <c r="D17" s="57">
        <f>22.5/71*1.006</f>
        <v>0.31880281690140849</v>
      </c>
      <c r="E17" s="43">
        <v>22</v>
      </c>
      <c r="F17" s="43">
        <v>0.6</v>
      </c>
      <c r="G17" s="52">
        <f>C17/2*(1/60*2*PI())*D17/2</f>
        <v>44.443718571253108</v>
      </c>
      <c r="H17" s="47"/>
      <c r="I17" s="47"/>
    </row>
    <row r="18" spans="1:9">
      <c r="A18" s="46"/>
      <c r="B18" s="42" t="s">
        <v>47</v>
      </c>
      <c r="C18" s="63">
        <v>198</v>
      </c>
      <c r="D18" s="57">
        <v>8.5410000000000004</v>
      </c>
      <c r="E18" s="43">
        <v>22</v>
      </c>
      <c r="F18" s="43">
        <v>0.6</v>
      </c>
      <c r="G18" s="52">
        <f>C18/2*(1/60*2*PI())*D18/2</f>
        <v>44.2733657096122</v>
      </c>
      <c r="H18" s="47"/>
      <c r="I18" s="47"/>
    </row>
    <row r="19" spans="1:9">
      <c r="A19" s="46"/>
      <c r="B19" s="42" t="s">
        <v>45</v>
      </c>
      <c r="C19" s="63">
        <f>75</f>
        <v>75</v>
      </c>
      <c r="D19" s="57">
        <f>22.5</f>
        <v>22.5</v>
      </c>
      <c r="E19" s="43">
        <v>22</v>
      </c>
      <c r="F19" s="43">
        <v>0.6</v>
      </c>
      <c r="G19" s="52">
        <f>C19/2*(1/60*2*PI())*D19/2</f>
        <v>44.178646691106465</v>
      </c>
      <c r="H19" s="47"/>
      <c r="I19" s="47"/>
    </row>
    <row r="20" spans="1:9">
      <c r="A20" s="46"/>
      <c r="B20" s="42" t="s">
        <v>48</v>
      </c>
      <c r="C20" s="63">
        <v>28</v>
      </c>
      <c r="D20" s="57">
        <v>44.74</v>
      </c>
      <c r="E20" s="43">
        <v>22</v>
      </c>
      <c r="F20" s="43">
        <v>0.6</v>
      </c>
      <c r="G20" s="52">
        <f>C20/2*(1/60*2*PI())*D20/2</f>
        <v>32.796132908375043</v>
      </c>
      <c r="H20" s="47"/>
      <c r="I20" s="47"/>
    </row>
    <row r="21" spans="1:9">
      <c r="A21" s="46"/>
      <c r="B21" s="42" t="s">
        <v>38</v>
      </c>
      <c r="C21" s="63">
        <v>16000</v>
      </c>
      <c r="D21" s="43">
        <v>0.42799999999999999</v>
      </c>
      <c r="E21" s="43">
        <v>63.8</v>
      </c>
      <c r="F21" s="43">
        <v>1.2</v>
      </c>
      <c r="G21" s="52">
        <f>C21/2*(1/60*2*PI())*D21/2</f>
        <v>179.28022076485752</v>
      </c>
      <c r="H21" s="47"/>
      <c r="I21" s="47"/>
    </row>
    <row r="22" spans="1:9">
      <c r="A22" s="46"/>
      <c r="B22" s="42"/>
      <c r="C22" s="64"/>
      <c r="D22" s="45"/>
      <c r="E22" s="45"/>
      <c r="F22" s="45"/>
      <c r="G22" s="46"/>
      <c r="H22" s="47"/>
      <c r="I22" s="47"/>
    </row>
    <row r="23" spans="1:9">
      <c r="A23" s="46"/>
      <c r="B23" s="42" t="s">
        <v>52</v>
      </c>
      <c r="C23" s="63">
        <v>20770</v>
      </c>
      <c r="D23" s="43">
        <v>0.53239999999999998</v>
      </c>
      <c r="E23" s="43">
        <v>108.7</v>
      </c>
      <c r="F23" s="43">
        <v>0.82</v>
      </c>
      <c r="G23" s="52">
        <f>C23/2*(1/60*2*PI())*D23/2</f>
        <v>289.49640167148283</v>
      </c>
      <c r="H23" s="47"/>
      <c r="I23" s="47"/>
    </row>
    <row r="24" spans="1:9">
      <c r="A24" s="46"/>
      <c r="B24" s="42" t="s">
        <v>53</v>
      </c>
      <c r="C24" s="63">
        <v>16100</v>
      </c>
      <c r="D24" s="43">
        <v>0.40600000000000003</v>
      </c>
      <c r="E24" s="43">
        <v>63</v>
      </c>
      <c r="F24" s="43">
        <v>2</v>
      </c>
      <c r="G24" s="52">
        <f>C24/2*(1/60*2*PI())*D24/2</f>
        <v>171.12778782879201</v>
      </c>
      <c r="H24" s="47"/>
      <c r="I24" s="47"/>
    </row>
    <row r="25" spans="1:9">
      <c r="A25" s="46"/>
      <c r="B25" s="42" t="s">
        <v>54</v>
      </c>
      <c r="C25" s="63">
        <v>15600</v>
      </c>
      <c r="D25" s="43">
        <v>0.44982</v>
      </c>
      <c r="E25" s="43">
        <v>70</v>
      </c>
      <c r="F25" s="43">
        <v>1.25</v>
      </c>
      <c r="G25" s="52">
        <f>C25/2*(1/60*2*PI())*D25/2</f>
        <v>183.70965696690888</v>
      </c>
      <c r="H25" s="47"/>
      <c r="I25" s="47"/>
    </row>
    <row r="26" spans="1:9">
      <c r="A26" s="46"/>
      <c r="B26" s="42" t="s">
        <v>55</v>
      </c>
      <c r="C26" s="63">
        <v>15600</v>
      </c>
      <c r="D26" s="43">
        <v>0.42015999999999998</v>
      </c>
      <c r="E26" s="43">
        <v>63.5</v>
      </c>
      <c r="F26" s="43">
        <v>1</v>
      </c>
      <c r="G26" s="52">
        <f>C26/2*(1/60*2*PI())*D26/2</f>
        <v>171.59630401319734</v>
      </c>
      <c r="H26" s="47"/>
      <c r="I26" s="47"/>
    </row>
    <row r="27" spans="1:9">
      <c r="A27" s="46"/>
      <c r="B27" s="42" t="s">
        <v>56</v>
      </c>
      <c r="C27" s="63">
        <v>16700</v>
      </c>
      <c r="D27" s="43">
        <v>0.475242</v>
      </c>
      <c r="E27" s="43">
        <v>75</v>
      </c>
      <c r="F27" s="43">
        <v>2</v>
      </c>
      <c r="G27" s="52">
        <f>C27/2*(1/60*2*PI())*D27/2</f>
        <v>207.77816797626042</v>
      </c>
      <c r="H27" s="47"/>
      <c r="I27" s="47"/>
    </row>
    <row r="28" spans="1:9">
      <c r="A28" s="46"/>
      <c r="B28" s="42"/>
      <c r="C28" s="64"/>
      <c r="D28" s="45"/>
      <c r="E28" s="45"/>
      <c r="F28" s="45"/>
      <c r="G28" s="46"/>
      <c r="H28" s="47"/>
      <c r="I28" s="47"/>
    </row>
    <row r="29" spans="1:9" ht="25.5">
      <c r="A29" s="46"/>
      <c r="B29" s="42" t="s">
        <v>49</v>
      </c>
      <c r="C29" s="63">
        <v>84</v>
      </c>
      <c r="D29" s="43">
        <v>10.6</v>
      </c>
      <c r="E29" s="43">
        <v>18.600000000000001</v>
      </c>
      <c r="F29" s="43">
        <v>1.8</v>
      </c>
      <c r="G29" s="52">
        <f t="shared" ref="G29:G34" si="1">C29/2*(1/60*2*PI())*D29/2</f>
        <v>23.310617489636265</v>
      </c>
      <c r="H29" s="47"/>
      <c r="I29" s="47"/>
    </row>
    <row r="30" spans="1:9" ht="25.5">
      <c r="A30" s="46"/>
      <c r="B30" s="42" t="s">
        <v>50</v>
      </c>
      <c r="C30" s="63">
        <v>84</v>
      </c>
      <c r="D30" s="43">
        <v>10.6</v>
      </c>
      <c r="E30" s="43">
        <v>21</v>
      </c>
      <c r="F30" s="43">
        <v>1.8</v>
      </c>
      <c r="G30" s="52">
        <f t="shared" si="1"/>
        <v>23.310617489636265</v>
      </c>
      <c r="H30" s="47"/>
      <c r="I30" s="47"/>
    </row>
    <row r="31" spans="1:9" ht="25.5">
      <c r="A31" s="46"/>
      <c r="B31" s="42" t="s">
        <v>57</v>
      </c>
      <c r="C31" s="63">
        <v>92</v>
      </c>
      <c r="D31" s="43">
        <v>9.1940000000000008</v>
      </c>
      <c r="E31" s="43">
        <v>20</v>
      </c>
      <c r="F31" s="43">
        <v>0.5</v>
      </c>
      <c r="G31" s="52">
        <f t="shared" si="1"/>
        <v>22.144248857113496</v>
      </c>
      <c r="H31" s="47"/>
      <c r="I31" s="47"/>
    </row>
    <row r="32" spans="1:9" ht="25.5">
      <c r="A32" s="46"/>
      <c r="B32" s="42" t="s">
        <v>42</v>
      </c>
      <c r="C32" s="63">
        <v>70</v>
      </c>
      <c r="D32" s="58">
        <v>13.275700000000001</v>
      </c>
      <c r="E32" s="43">
        <v>20</v>
      </c>
      <c r="F32" s="43">
        <v>0.5</v>
      </c>
      <c r="G32" s="52">
        <f t="shared" si="1"/>
        <v>24.328990928236177</v>
      </c>
      <c r="H32" s="47"/>
      <c r="I32" s="47"/>
    </row>
    <row r="33" spans="1:9">
      <c r="A33" s="46"/>
      <c r="B33" s="42" t="s">
        <v>41</v>
      </c>
      <c r="C33" s="63">
        <v>100</v>
      </c>
      <c r="D33" s="43">
        <v>11.298</v>
      </c>
      <c r="E33" s="43">
        <v>24</v>
      </c>
      <c r="F33" s="43">
        <v>5</v>
      </c>
      <c r="G33" s="52">
        <f t="shared" si="1"/>
        <v>29.578094833547897</v>
      </c>
      <c r="H33" s="47"/>
      <c r="I33" s="47"/>
    </row>
    <row r="34" spans="1:9" ht="25.5">
      <c r="A34" s="46"/>
      <c r="B34" s="42" t="s">
        <v>51</v>
      </c>
      <c r="C34" s="63">
        <v>5300</v>
      </c>
      <c r="D34" s="43">
        <v>0.127</v>
      </c>
      <c r="E34" s="43">
        <v>7</v>
      </c>
      <c r="F34" s="43">
        <v>0.4</v>
      </c>
      <c r="G34" s="52">
        <f t="shared" si="1"/>
        <v>17.621716792760747</v>
      </c>
      <c r="H34" s="47"/>
      <c r="I34" s="47"/>
    </row>
    <row r="35" spans="1:9">
      <c r="A35" s="46"/>
      <c r="B35" s="42"/>
      <c r="C35" s="64"/>
      <c r="D35" s="45"/>
      <c r="E35" s="45"/>
      <c r="F35" s="45"/>
      <c r="G35" s="46"/>
      <c r="H35" s="47"/>
      <c r="I35" s="47"/>
    </row>
    <row r="36" spans="1:9">
      <c r="A36" s="46"/>
      <c r="B36" s="42" t="s">
        <v>43</v>
      </c>
      <c r="C36" s="63">
        <f>100*(12/7.2)</f>
        <v>166.66666666666666</v>
      </c>
      <c r="D36" s="29">
        <f>1.67*(12/7.2)</f>
        <v>2.7833333333333328</v>
      </c>
      <c r="E36" s="29">
        <f>4.8*(12/7.2)</f>
        <v>7.9999999999999991</v>
      </c>
      <c r="F36" s="29">
        <f>0.37*(12/7.2)</f>
        <v>0.61666666666666659</v>
      </c>
      <c r="G36" s="52">
        <f>C36/2*(1/60*2*PI())*D36/2</f>
        <v>12.144582711793872</v>
      </c>
      <c r="H36" s="47"/>
      <c r="I36" s="47"/>
    </row>
    <row r="37" spans="1:9">
      <c r="A37" s="46"/>
      <c r="B37" s="42" t="s">
        <v>44</v>
      </c>
      <c r="C37" s="63">
        <f>160*(12/7.2)</f>
        <v>266.66666666666663</v>
      </c>
      <c r="D37" s="29">
        <f>1.04*(12/7.2)</f>
        <v>1.7333333333333332</v>
      </c>
      <c r="E37" s="29">
        <f>4.8*(12/7.2)</f>
        <v>7.9999999999999991</v>
      </c>
      <c r="F37" s="29">
        <f>0.37*(12/7.2)</f>
        <v>0.61666666666666659</v>
      </c>
      <c r="G37" s="52">
        <f>C37/2*(1/60*2*PI())*D37/2</f>
        <v>12.100949480494014</v>
      </c>
      <c r="H37" s="47"/>
      <c r="I37" s="47"/>
    </row>
    <row r="38" spans="1:9">
      <c r="A38" s="46"/>
      <c r="B38" s="42"/>
      <c r="C38" s="44"/>
      <c r="D38" s="45"/>
      <c r="E38" s="45"/>
      <c r="F38" s="45"/>
      <c r="G38" s="46"/>
      <c r="H38" s="47"/>
      <c r="I38" s="47"/>
    </row>
    <row r="39" spans="1:9">
      <c r="A39" s="46"/>
      <c r="B39" s="42"/>
      <c r="C39" s="44"/>
      <c r="D39" s="45"/>
      <c r="E39" s="45"/>
      <c r="F39" s="45"/>
      <c r="G39" s="46"/>
      <c r="H39" s="47"/>
      <c r="I39" s="47"/>
    </row>
    <row r="40" spans="1:9">
      <c r="A40" s="46"/>
      <c r="B40" s="42"/>
      <c r="C40" s="44"/>
      <c r="D40" s="45"/>
      <c r="E40" s="45"/>
      <c r="F40" s="45"/>
      <c r="G40" s="46"/>
      <c r="H40" s="47"/>
      <c r="I40" s="47"/>
    </row>
    <row r="41" spans="1:9">
      <c r="A41" s="46"/>
      <c r="B41" s="42"/>
      <c r="C41" s="44"/>
      <c r="D41" s="45"/>
      <c r="E41" s="45"/>
      <c r="F41" s="45"/>
      <c r="G41" s="46"/>
      <c r="H41" s="47"/>
      <c r="I41" s="47"/>
    </row>
    <row r="42" spans="1:9">
      <c r="A42" s="46"/>
      <c r="B42" s="42"/>
      <c r="C42" s="44"/>
      <c r="D42" s="45"/>
      <c r="E42" s="45"/>
      <c r="F42" s="45"/>
      <c r="G42" s="46"/>
      <c r="H42" s="47"/>
      <c r="I42" s="47"/>
    </row>
    <row r="43" spans="1:9">
      <c r="A43" s="46"/>
      <c r="B43" s="42"/>
      <c r="C43" s="44"/>
      <c r="D43" s="45"/>
      <c r="E43" s="45"/>
      <c r="F43" s="45"/>
      <c r="G43" s="46"/>
      <c r="H43" s="47"/>
      <c r="I43" s="47"/>
    </row>
    <row r="44" spans="1:9">
      <c r="A44" s="46"/>
      <c r="B44" s="42"/>
      <c r="C44" s="44"/>
      <c r="D44" s="45"/>
      <c r="E44" s="45"/>
      <c r="F44" s="45"/>
      <c r="G44" s="46"/>
      <c r="H44" s="47"/>
      <c r="I44" s="47"/>
    </row>
    <row r="45" spans="1:9">
      <c r="A45" s="46"/>
      <c r="B45" s="42"/>
      <c r="C45" s="44"/>
      <c r="D45" s="45"/>
      <c r="E45" s="45"/>
      <c r="F45" s="45"/>
      <c r="G45" s="46"/>
      <c r="H45" s="47"/>
      <c r="I45" s="47"/>
    </row>
    <row r="46" spans="1:9">
      <c r="A46" s="46"/>
      <c r="B46" s="42"/>
      <c r="C46" s="44"/>
      <c r="D46" s="45"/>
      <c r="E46" s="45"/>
      <c r="F46" s="45"/>
      <c r="G46" s="46"/>
      <c r="H46" s="47"/>
      <c r="I46" s="47"/>
    </row>
    <row r="47" spans="1:9">
      <c r="A47" s="46"/>
      <c r="B47" s="42"/>
      <c r="C47" s="44"/>
      <c r="D47" s="45"/>
      <c r="E47" s="45"/>
      <c r="F47" s="45"/>
      <c r="G47" s="46"/>
      <c r="H47" s="47"/>
      <c r="I47" s="47"/>
    </row>
    <row r="48" spans="1:9">
      <c r="A48" s="46"/>
      <c r="B48" s="42"/>
      <c r="C48" s="31"/>
      <c r="D48" s="31"/>
      <c r="E48" s="31"/>
      <c r="F48" s="31"/>
      <c r="G48" s="46"/>
      <c r="H48" s="47"/>
      <c r="I48" s="47"/>
    </row>
    <row r="49" spans="1:9">
      <c r="A49" s="47"/>
      <c r="B49" s="42" t="s">
        <v>20</v>
      </c>
      <c r="C49" s="61">
        <v>5310</v>
      </c>
      <c r="D49" s="53">
        <v>3.5</v>
      </c>
      <c r="E49" s="53">
        <v>203</v>
      </c>
      <c r="F49" s="53">
        <v>6.4</v>
      </c>
      <c r="G49" s="52">
        <f>C49/2*(1/60*2*PI())*D49/2</f>
        <v>486.55416222471916</v>
      </c>
      <c r="H49" s="47"/>
      <c r="I49" s="47"/>
    </row>
    <row r="50" spans="1:9">
      <c r="A50" s="47"/>
      <c r="B50" s="42" t="s">
        <v>21</v>
      </c>
      <c r="C50" s="61">
        <v>5310</v>
      </c>
      <c r="D50" s="53">
        <v>3.85</v>
      </c>
      <c r="E50" s="53">
        <v>203</v>
      </c>
      <c r="F50" s="53">
        <v>6.4</v>
      </c>
      <c r="G50" s="52">
        <f>C50/2*(1/60*2*PI())*D50/2</f>
        <v>535.20957844719112</v>
      </c>
      <c r="H50" s="47">
        <f>G3+G12</f>
        <v>411.12609340835502</v>
      </c>
      <c r="I50" s="47"/>
    </row>
    <row r="51" spans="1:9">
      <c r="A51" s="47"/>
      <c r="B51" s="42" t="s">
        <v>22</v>
      </c>
      <c r="C51" s="61">
        <v>5310</v>
      </c>
      <c r="D51" s="53">
        <v>4</v>
      </c>
      <c r="E51" s="53">
        <v>218</v>
      </c>
      <c r="F51" s="53">
        <v>4.0999999999999996</v>
      </c>
      <c r="G51" s="52">
        <f>C51/2*(1/60*2*PI())*D51/2</f>
        <v>556.06189968539331</v>
      </c>
      <c r="H51" s="47"/>
      <c r="I51" s="47"/>
    </row>
    <row r="52" spans="1:9">
      <c r="A52" s="47"/>
      <c r="B52" s="55"/>
      <c r="C52" s="47"/>
      <c r="D52" s="47"/>
      <c r="E52" s="47"/>
      <c r="F52" s="47"/>
      <c r="G52" s="47"/>
      <c r="H52" s="47"/>
      <c r="I52" s="47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3366FF"/>
  </sheetPr>
  <dimension ref="A1:M19"/>
  <sheetViews>
    <sheetView workbookViewId="0">
      <selection activeCell="E30" sqref="E30"/>
    </sheetView>
  </sheetViews>
  <sheetFormatPr defaultColWidth="10.875" defaultRowHeight="15.75"/>
  <cols>
    <col min="1" max="1" width="5.875" style="32" customWidth="1"/>
    <col min="2" max="2" width="3.5" style="32" customWidth="1"/>
    <col min="3" max="3" width="11.125" style="32" customWidth="1"/>
    <col min="4" max="7" width="10.875" style="32"/>
    <col min="8" max="8" width="4.125" style="32" customWidth="1"/>
    <col min="9" max="10" width="10.875" style="32"/>
    <col min="11" max="11" width="11.875" style="32" bestFit="1" customWidth="1"/>
    <col min="12" max="12" width="2.875" style="32" customWidth="1"/>
    <col min="13" max="16" width="11.875" style="32" customWidth="1"/>
    <col min="17" max="17" width="2.875" style="32" customWidth="1"/>
    <col min="18" max="16384" width="10.875" style="32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>
      <c r="A2" s="1"/>
      <c r="B2" s="33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31.5">
      <c r="A4" s="5"/>
      <c r="B4" s="6"/>
      <c r="C4" s="5"/>
      <c r="D4" s="65" t="s">
        <v>0</v>
      </c>
      <c r="E4" s="65" t="s">
        <v>1</v>
      </c>
      <c r="F4" s="65" t="s">
        <v>2</v>
      </c>
      <c r="G4" s="65" t="s">
        <v>3</v>
      </c>
      <c r="H4" s="5"/>
      <c r="I4" s="65" t="s">
        <v>4</v>
      </c>
      <c r="J4" s="65" t="s">
        <v>5</v>
      </c>
      <c r="K4" s="5"/>
      <c r="L4" s="7"/>
    </row>
    <row r="5" spans="1:13">
      <c r="A5" s="8"/>
      <c r="B5" s="9"/>
      <c r="C5" s="10" t="s">
        <v>6</v>
      </c>
      <c r="D5" s="11">
        <v>5310</v>
      </c>
      <c r="E5" s="11">
        <v>2.4300000000000002</v>
      </c>
      <c r="F5" s="11">
        <v>133</v>
      </c>
      <c r="G5" s="11">
        <v>2.7</v>
      </c>
      <c r="H5" s="8"/>
      <c r="I5" s="12">
        <v>0.85</v>
      </c>
      <c r="J5" s="12">
        <v>0.9</v>
      </c>
      <c r="K5" s="8"/>
      <c r="L5" s="13"/>
      <c r="M5" s="8"/>
    </row>
    <row r="6" spans="1:13">
      <c r="A6" s="1"/>
      <c r="B6" s="14"/>
      <c r="C6" s="15"/>
      <c r="D6" s="15"/>
      <c r="E6" s="16"/>
      <c r="F6" s="16"/>
      <c r="G6" s="1"/>
      <c r="H6" s="1"/>
      <c r="I6" s="1"/>
      <c r="J6" s="1"/>
      <c r="K6" s="1"/>
      <c r="L6" s="17"/>
      <c r="M6" s="1"/>
    </row>
    <row r="7" spans="1:13" ht="47.25">
      <c r="A7" s="1"/>
      <c r="B7" s="14"/>
      <c r="C7" s="65" t="s">
        <v>23</v>
      </c>
      <c r="D7" s="65" t="s">
        <v>24</v>
      </c>
      <c r="E7" s="8"/>
      <c r="F7" s="65" t="s">
        <v>27</v>
      </c>
      <c r="G7" s="65" t="s">
        <v>7</v>
      </c>
      <c r="H7" s="1"/>
      <c r="I7" s="66" t="s">
        <v>8</v>
      </c>
      <c r="J7" s="66" t="s">
        <v>9</v>
      </c>
      <c r="K7" s="67"/>
      <c r="L7" s="17"/>
      <c r="M7" s="1"/>
    </row>
    <row r="8" spans="1:13">
      <c r="A8" s="1"/>
      <c r="B8" s="14"/>
      <c r="C8" s="18">
        <v>2</v>
      </c>
      <c r="D8" s="18">
        <v>2</v>
      </c>
      <c r="E8" s="1"/>
      <c r="F8" s="18">
        <v>150</v>
      </c>
      <c r="G8" s="12">
        <v>1</v>
      </c>
      <c r="H8" s="1"/>
      <c r="I8" s="18">
        <v>3.5</v>
      </c>
      <c r="J8" s="18">
        <v>1.3</v>
      </c>
      <c r="K8" s="67"/>
      <c r="L8" s="17"/>
      <c r="M8" s="1"/>
    </row>
    <row r="9" spans="1:13" ht="16.5" thickBot="1">
      <c r="A9" s="1"/>
      <c r="B9" s="19"/>
      <c r="C9" s="20"/>
      <c r="D9" s="20"/>
      <c r="E9" s="21"/>
      <c r="F9" s="21"/>
      <c r="G9" s="21"/>
      <c r="H9" s="21"/>
      <c r="I9" s="22"/>
      <c r="J9" s="23"/>
      <c r="K9" s="23"/>
      <c r="L9" s="24"/>
      <c r="M9" s="1"/>
    </row>
    <row r="10" spans="1:13">
      <c r="A10" s="1"/>
      <c r="B10" s="2"/>
      <c r="C10" s="34"/>
      <c r="D10" s="25"/>
      <c r="E10" s="3"/>
      <c r="F10" s="3"/>
      <c r="G10" s="3"/>
      <c r="H10" s="3"/>
      <c r="I10" s="26"/>
      <c r="J10" s="27"/>
      <c r="K10" s="27"/>
      <c r="L10" s="4"/>
      <c r="M10" s="1"/>
    </row>
    <row r="11" spans="1:13" ht="63">
      <c r="A11" s="5"/>
      <c r="B11" s="6"/>
      <c r="C11" s="35" t="s">
        <v>10</v>
      </c>
      <c r="D11" s="35" t="s">
        <v>11</v>
      </c>
      <c r="E11" s="5"/>
      <c r="F11" s="36" t="s">
        <v>12</v>
      </c>
      <c r="G11" s="36" t="s">
        <v>13</v>
      </c>
      <c r="H11" s="5"/>
      <c r="I11" s="36" t="s">
        <v>29</v>
      </c>
      <c r="J11" s="36" t="s">
        <v>30</v>
      </c>
      <c r="K11" s="36" t="s">
        <v>28</v>
      </c>
      <c r="L11" s="7"/>
    </row>
    <row r="12" spans="1:13">
      <c r="A12" s="8"/>
      <c r="B12" s="9"/>
      <c r="C12" s="18">
        <v>12</v>
      </c>
      <c r="D12" s="18">
        <v>40</v>
      </c>
      <c r="E12" s="8"/>
      <c r="F12" s="18">
        <v>28</v>
      </c>
      <c r="G12" s="18">
        <v>30</v>
      </c>
      <c r="H12" s="8"/>
      <c r="I12" s="40">
        <f>J12/I$5</f>
        <v>22.705860903820231</v>
      </c>
      <c r="J12" s="40">
        <f>D$5*I$5*((I$8*0.0254/2)*2*PI())/(0.3048*60)*C12/D12*C13/D13*C14/D14*F12/G12</f>
        <v>19.299981768247196</v>
      </c>
      <c r="K12" s="41">
        <f>((F$5-G$5)/E$5*(F$8*G$8*J$8/C$8*4.44822161526*I$8*0.0254/2/J$5/D$8*C12/D12*C13/D13*C14/D14*F12/G12))+G$5</f>
        <v>163.5001559088316</v>
      </c>
      <c r="L12" s="13"/>
    </row>
    <row r="13" spans="1:13">
      <c r="A13" s="1"/>
      <c r="B13" s="14"/>
      <c r="C13" s="18">
        <v>1</v>
      </c>
      <c r="D13" s="18">
        <v>1</v>
      </c>
      <c r="E13" s="1"/>
      <c r="F13" s="1"/>
      <c r="G13" s="1"/>
      <c r="H13" s="1"/>
      <c r="I13" s="38">
        <f>D12*D13*D14*G12/C12/C13/C14/F12</f>
        <v>3.5714285714285716</v>
      </c>
      <c r="J13" s="1" t="s">
        <v>25</v>
      </c>
      <c r="K13" s="1"/>
      <c r="L13" s="17"/>
    </row>
    <row r="14" spans="1:13">
      <c r="A14" s="1"/>
      <c r="B14" s="14"/>
      <c r="C14" s="18">
        <v>1</v>
      </c>
      <c r="D14" s="18">
        <v>1</v>
      </c>
      <c r="E14" s="1"/>
      <c r="F14" s="1"/>
      <c r="G14" s="1"/>
      <c r="H14" s="1"/>
      <c r="I14" s="28"/>
      <c r="J14" s="1"/>
      <c r="K14" s="1"/>
      <c r="L14" s="17"/>
    </row>
    <row r="15" spans="1:13" ht="63">
      <c r="A15" s="1"/>
      <c r="B15" s="14"/>
      <c r="C15" s="1"/>
      <c r="D15" s="1"/>
      <c r="E15" s="1"/>
      <c r="F15" s="37" t="s">
        <v>14</v>
      </c>
      <c r="G15" s="37" t="s">
        <v>15</v>
      </c>
      <c r="H15" s="1"/>
      <c r="I15" s="37" t="s">
        <v>31</v>
      </c>
      <c r="J15" s="37" t="s">
        <v>32</v>
      </c>
      <c r="K15" s="37" t="s">
        <v>28</v>
      </c>
      <c r="L15" s="17"/>
    </row>
    <row r="16" spans="1:13">
      <c r="A16" s="1"/>
      <c r="B16" s="14"/>
      <c r="C16" s="39">
        <f>I12/I16</f>
        <v>2.9333333333333336</v>
      </c>
      <c r="D16" s="1" t="s">
        <v>16</v>
      </c>
      <c r="E16" s="1"/>
      <c r="F16" s="18">
        <v>14</v>
      </c>
      <c r="G16" s="18">
        <f>(F12+G12)-F16</f>
        <v>44</v>
      </c>
      <c r="H16" s="1"/>
      <c r="I16" s="40">
        <f>J16/I$5</f>
        <v>7.7406343990296236</v>
      </c>
      <c r="J16" s="40">
        <f>D$5*I$5*I$8*0.0254/2*2*PI()/(0.3048*60)*C12/D12*C13/D13*C14/D14*F16/G16</f>
        <v>6.5795392391751797</v>
      </c>
      <c r="K16" s="41">
        <f>((F$5-G$5)/E$5*(F$8*G$8*J$8/C$8*4.44822161526*I$8*0.0254/2/J$5/D$8*C12/D12*C13/D13*C14/D14*F16/G16))+G$5</f>
        <v>57.51823496891987</v>
      </c>
      <c r="L16" s="17"/>
    </row>
    <row r="17" spans="1:12">
      <c r="A17" s="1"/>
      <c r="B17" s="14"/>
      <c r="C17" s="1"/>
      <c r="D17" s="1"/>
      <c r="E17" s="1"/>
      <c r="F17" s="1"/>
      <c r="G17" s="1"/>
      <c r="H17" s="1"/>
      <c r="I17" s="38">
        <f>D12*D13*D14*G16/C12/C13/C14/F16</f>
        <v>10.476190476190476</v>
      </c>
      <c r="J17" s="67" t="s">
        <v>26</v>
      </c>
      <c r="K17" s="1"/>
      <c r="L17" s="17"/>
    </row>
    <row r="18" spans="1:12" ht="16.5" thickBot="1">
      <c r="A18" s="1"/>
      <c r="B18" s="19"/>
      <c r="C18" s="21"/>
      <c r="D18" s="21"/>
      <c r="E18" s="21"/>
      <c r="F18" s="21"/>
      <c r="G18" s="21"/>
      <c r="H18" s="21"/>
      <c r="I18" s="21"/>
      <c r="J18" s="21"/>
      <c r="K18" s="21"/>
      <c r="L18" s="24"/>
    </row>
    <row r="19" spans="1:12" ht="15" customHeight="1"/>
  </sheetData>
  <dataValidations count="1">
    <dataValidation type="whole" operator="greaterThanOrEqual" allowBlank="1" showInputMessage="1" showErrorMessage="1" sqref="G12">
      <formula1>28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</sheetPr>
  <dimension ref="A1:O19"/>
  <sheetViews>
    <sheetView tabSelected="1" workbookViewId="0">
      <selection activeCell="N11" sqref="N11"/>
    </sheetView>
  </sheetViews>
  <sheetFormatPr defaultColWidth="10.875" defaultRowHeight="15.75"/>
  <cols>
    <col min="1" max="1" width="5.875" style="32" customWidth="1"/>
    <col min="2" max="2" width="3.5" style="32" customWidth="1"/>
    <col min="3" max="3" width="11.125" style="32" customWidth="1"/>
    <col min="4" max="7" width="10.875" style="32"/>
    <col min="8" max="8" width="4.125" style="32" customWidth="1"/>
    <col min="9" max="10" width="10.875" style="32"/>
    <col min="11" max="11" width="11.875" style="32" bestFit="1" customWidth="1"/>
    <col min="12" max="12" width="2.875" style="32" customWidth="1"/>
    <col min="13" max="16" width="11.875" style="32" customWidth="1"/>
    <col min="17" max="17" width="2.875" style="32" customWidth="1"/>
    <col min="18" max="16384" width="10.875" style="32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6.5" thickBot="1">
      <c r="A2" s="1"/>
      <c r="B2" s="33" t="s">
        <v>60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5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5" ht="31.5">
      <c r="A4" s="5"/>
      <c r="B4" s="6"/>
      <c r="C4" s="5"/>
      <c r="D4" s="65" t="s">
        <v>0</v>
      </c>
      <c r="E4" s="65" t="s">
        <v>1</v>
      </c>
      <c r="F4" s="65" t="s">
        <v>2</v>
      </c>
      <c r="G4" s="65" t="s">
        <v>3</v>
      </c>
      <c r="H4" s="5"/>
      <c r="I4" s="65" t="s">
        <v>4</v>
      </c>
      <c r="J4" s="65" t="s">
        <v>5</v>
      </c>
      <c r="K4" s="5"/>
      <c r="L4" s="7"/>
    </row>
    <row r="5" spans="1:15">
      <c r="A5" s="8"/>
      <c r="B5" s="9"/>
      <c r="C5" s="10" t="s">
        <v>6</v>
      </c>
      <c r="D5" s="11">
        <v>5310</v>
      </c>
      <c r="E5" s="11">
        <v>2.4300000000000002</v>
      </c>
      <c r="F5" s="11">
        <v>133</v>
      </c>
      <c r="G5" s="11">
        <v>2.7</v>
      </c>
      <c r="H5" s="8"/>
      <c r="I5" s="12">
        <v>0.85</v>
      </c>
      <c r="J5" s="12">
        <v>0.9</v>
      </c>
      <c r="K5" s="8"/>
      <c r="L5" s="13"/>
      <c r="M5" s="8"/>
    </row>
    <row r="6" spans="1:15">
      <c r="A6" s="1"/>
      <c r="B6" s="14"/>
      <c r="C6" s="15"/>
      <c r="D6" s="15"/>
      <c r="E6" s="16"/>
      <c r="F6" s="16"/>
      <c r="G6" s="1"/>
      <c r="H6" s="1"/>
      <c r="I6" s="1"/>
      <c r="J6" s="1"/>
      <c r="K6" s="1"/>
      <c r="L6" s="17"/>
      <c r="M6" s="1"/>
    </row>
    <row r="7" spans="1:15" ht="47.25">
      <c r="A7" s="1"/>
      <c r="B7" s="14"/>
      <c r="C7" s="65" t="s">
        <v>23</v>
      </c>
      <c r="D7" s="65" t="s">
        <v>24</v>
      </c>
      <c r="E7" s="8"/>
      <c r="F7" s="65" t="s">
        <v>27</v>
      </c>
      <c r="G7" s="65" t="s">
        <v>7</v>
      </c>
      <c r="H7" s="1"/>
      <c r="I7" s="66" t="s">
        <v>8</v>
      </c>
      <c r="J7" s="66" t="s">
        <v>9</v>
      </c>
      <c r="K7" s="67"/>
      <c r="L7" s="17"/>
      <c r="M7" s="1"/>
      <c r="N7" s="32">
        <v>16</v>
      </c>
      <c r="O7" s="32">
        <v>19</v>
      </c>
    </row>
    <row r="8" spans="1:15">
      <c r="A8" s="1"/>
      <c r="B8" s="14"/>
      <c r="C8" s="18">
        <v>2</v>
      </c>
      <c r="D8" s="18">
        <v>2.67</v>
      </c>
      <c r="E8" s="1"/>
      <c r="F8" s="18">
        <v>150</v>
      </c>
      <c r="G8" s="12">
        <v>1</v>
      </c>
      <c r="H8" s="1"/>
      <c r="I8" s="18">
        <v>3.5</v>
      </c>
      <c r="J8" s="18">
        <v>1.3</v>
      </c>
      <c r="K8" s="67"/>
      <c r="L8" s="17"/>
      <c r="M8" s="1"/>
    </row>
    <row r="9" spans="1:15" ht="16.5" thickBot="1">
      <c r="A9" s="1"/>
      <c r="B9" s="19"/>
      <c r="C9" s="20"/>
      <c r="D9" s="20"/>
      <c r="E9" s="21"/>
      <c r="F9" s="21"/>
      <c r="G9" s="21"/>
      <c r="H9" s="21"/>
      <c r="I9" s="22"/>
      <c r="J9" s="23"/>
      <c r="K9" s="23"/>
      <c r="L9" s="24"/>
      <c r="M9" s="1"/>
    </row>
    <row r="10" spans="1:15">
      <c r="A10" s="1"/>
      <c r="B10" s="2"/>
      <c r="C10" s="34"/>
      <c r="D10" s="25"/>
      <c r="E10" s="3"/>
      <c r="F10" s="3"/>
      <c r="G10" s="3"/>
      <c r="H10" s="3"/>
      <c r="I10" s="26"/>
      <c r="J10" s="27"/>
      <c r="K10" s="27"/>
      <c r="L10" s="4"/>
      <c r="M10" s="1"/>
    </row>
    <row r="11" spans="1:15" ht="63">
      <c r="A11" s="5"/>
      <c r="B11" s="6"/>
      <c r="C11" s="35" t="s">
        <v>10</v>
      </c>
      <c r="D11" s="35" t="s">
        <v>11</v>
      </c>
      <c r="E11" s="5"/>
      <c r="F11" s="36" t="s">
        <v>12</v>
      </c>
      <c r="G11" s="36" t="s">
        <v>13</v>
      </c>
      <c r="H11" s="5"/>
      <c r="I11" s="36" t="s">
        <v>29</v>
      </c>
      <c r="J11" s="36" t="s">
        <v>30</v>
      </c>
      <c r="K11" s="36" t="s">
        <v>28</v>
      </c>
      <c r="L11" s="7"/>
    </row>
    <row r="12" spans="1:15">
      <c r="A12" s="8"/>
      <c r="B12" s="9"/>
      <c r="C12" s="18">
        <v>16</v>
      </c>
      <c r="D12" s="18">
        <v>48</v>
      </c>
      <c r="E12" s="8"/>
      <c r="F12" s="18">
        <v>28</v>
      </c>
      <c r="G12" s="18">
        <v>35</v>
      </c>
      <c r="H12" s="8"/>
      <c r="I12" s="40">
        <f>J12/I$5</f>
        <v>21.624629432209744</v>
      </c>
      <c r="J12" s="40">
        <f>D$5*I$5*((I$8*0.0254/2)*2*PI())/(0.3048*60)*C12/D12*C13/D13*C14/D14*F12/G12</f>
        <v>18.380935017378281</v>
      </c>
      <c r="K12" s="41">
        <f>((F$5-G$5)/E$5*(F$8*G$8*J$8/C$8*4.44822161526*I$8*0.0254/2/J$5/D$8*C12/D12*C13/D13*C14/D14*F12/G12))+G$5</f>
        <v>117.41386189322748</v>
      </c>
      <c r="L12" s="13"/>
    </row>
    <row r="13" spans="1:15">
      <c r="A13" s="1"/>
      <c r="B13" s="14"/>
      <c r="C13" s="18">
        <v>1</v>
      </c>
      <c r="D13" s="18">
        <v>1</v>
      </c>
      <c r="E13" s="1"/>
      <c r="F13" s="1"/>
      <c r="G13" s="1"/>
      <c r="H13" s="1"/>
      <c r="I13" s="38">
        <f>D12*D13*D14*G12/C12/C13/C14/F12</f>
        <v>3.75</v>
      </c>
      <c r="J13" s="1" t="s">
        <v>25</v>
      </c>
      <c r="K13" s="1"/>
      <c r="L13" s="17"/>
    </row>
    <row r="14" spans="1:15">
      <c r="A14" s="1"/>
      <c r="B14" s="14"/>
      <c r="C14" s="18">
        <v>1</v>
      </c>
      <c r="D14" s="18">
        <v>1</v>
      </c>
      <c r="E14" s="1"/>
      <c r="F14" s="1"/>
      <c r="G14" s="1"/>
      <c r="H14" s="1"/>
      <c r="I14" s="28"/>
      <c r="J14" s="1"/>
      <c r="K14" s="1"/>
      <c r="L14" s="17"/>
    </row>
    <row r="15" spans="1:15" ht="63">
      <c r="A15" s="1"/>
      <c r="B15" s="14"/>
      <c r="C15" s="1"/>
      <c r="D15" s="1"/>
      <c r="E15" s="1"/>
      <c r="F15" s="37" t="s">
        <v>14</v>
      </c>
      <c r="G15" s="37" t="s">
        <v>15</v>
      </c>
      <c r="H15" s="1"/>
      <c r="I15" s="37" t="s">
        <v>31</v>
      </c>
      <c r="J15" s="37" t="s">
        <v>32</v>
      </c>
      <c r="K15" s="37" t="s">
        <v>28</v>
      </c>
      <c r="L15" s="17"/>
      <c r="N15" s="32">
        <f>13/40</f>
        <v>0.32500000000000001</v>
      </c>
      <c r="O15" s="32">
        <f>40/13</f>
        <v>3.0769230769230771</v>
      </c>
    </row>
    <row r="16" spans="1:15">
      <c r="A16" s="1"/>
      <c r="B16" s="14"/>
      <c r="C16" s="39">
        <f>I12/I16</f>
        <v>2.56</v>
      </c>
      <c r="D16" s="1" t="s">
        <v>16</v>
      </c>
      <c r="E16" s="1"/>
      <c r="F16" s="18">
        <v>15</v>
      </c>
      <c r="G16" s="18">
        <f>(F12+G12)-F16</f>
        <v>48</v>
      </c>
      <c r="H16" s="1"/>
      <c r="I16" s="40">
        <f>J16/I$5</f>
        <v>8.4471208719569315</v>
      </c>
      <c r="J16" s="40">
        <f>D$5*I$5*I$8*0.0254/2*2*PI()/(0.3048*60)*C12/D12*C13/D13*C14/D14*F16/G16</f>
        <v>7.180052741163391</v>
      </c>
      <c r="K16" s="41">
        <f>((F$5-G$5)/E$5*(F$8*G$8*J$8/C$8*4.44822161526*I$8*0.0254/2/J$5/D$8*C12/D12*C13/D13*C14/D14*F16/G16))+G$5</f>
        <v>47.510102302041986</v>
      </c>
      <c r="L16" s="17"/>
    </row>
    <row r="17" spans="1:12">
      <c r="A17" s="1"/>
      <c r="B17" s="14"/>
      <c r="C17" s="1"/>
      <c r="D17" s="1"/>
      <c r="E17" s="1"/>
      <c r="F17" s="1"/>
      <c r="G17" s="1"/>
      <c r="H17" s="1"/>
      <c r="I17" s="38">
        <f>D12*D13*D14*G16/C12/C13/C14/F16</f>
        <v>9.6</v>
      </c>
      <c r="J17" s="67" t="s">
        <v>26</v>
      </c>
      <c r="K17" s="1"/>
      <c r="L17" s="17"/>
    </row>
    <row r="18" spans="1:12" ht="16.5" thickBot="1">
      <c r="A18" s="1"/>
      <c r="B18" s="19"/>
      <c r="C18" s="21"/>
      <c r="D18" s="21"/>
      <c r="E18" s="21"/>
      <c r="F18" s="21"/>
      <c r="G18" s="21"/>
      <c r="H18" s="21"/>
      <c r="I18" s="21"/>
      <c r="J18" s="21"/>
      <c r="K18" s="21"/>
      <c r="L18" s="24"/>
    </row>
    <row r="19" spans="1:12" ht="15" customHeight="1"/>
  </sheetData>
  <dataValidations count="1">
    <dataValidation type="whole" operator="greaterThanOrEqual" allowBlank="1" showInputMessage="1" showErrorMessage="1" sqref="G12">
      <formula1>28</formula1>
    </dataValidation>
  </dataValidation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MOTOR-SPECS</vt:lpstr>
      <vt:lpstr>2-Speed Drive</vt:lpstr>
      <vt:lpstr>2-Speed Drive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Varma, Madoo</cp:lastModifiedBy>
  <dcterms:created xsi:type="dcterms:W3CDTF">2012-08-11T00:19:30Z</dcterms:created>
  <dcterms:modified xsi:type="dcterms:W3CDTF">2013-06-03T18:47:29Z</dcterms:modified>
</cp:coreProperties>
</file>