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F:\Build Templates\InPlace\"/>
    </mc:Choice>
  </mc:AlternateContent>
  <bookViews>
    <workbookView xWindow="3510" yWindow="0" windowWidth="28770" windowHeight="15360"/>
  </bookViews>
  <sheets>
    <sheet name="MasterConfig" sheetId="25" r:id="rId1"/>
    <sheet name="Upgrade Data" sheetId="3" r:id="rId2"/>
    <sheet name="SB Alignment" sheetId="16" r:id="rId3"/>
    <sheet name="SB Checklist" sheetId="21" r:id="rId4"/>
    <sheet name="AWS SB Checklist" sheetId="4" state="hidden" r:id="rId5"/>
    <sheet name="SB Validation" sheetId="7" state="hidden" r:id="rId6"/>
    <sheet name="Prod Checklist" sheetId="24" r:id="rId7"/>
    <sheet name="AWS Prod Checklist" sheetId="23" state="hidden" r:id="rId8"/>
    <sheet name="Prod Validation" sheetId="20" state="hidden" r:id="rId9"/>
    <sheet name="Automation" sheetId="26" state="hidden" r:id="rId10"/>
    <sheet name="AutoPop" sheetId="5" state="hidden" r:id="rId11"/>
    <sheet name="Other" sheetId="18" state="hidden" r:id="rId12"/>
  </sheets>
  <definedNames>
    <definedName name="_Hlk19182391" localSheetId="8">'Prod Validation'!$A$1</definedName>
    <definedName name="_Hlk19182391" localSheetId="5">'SB Validation'!$A$1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73" i="21" l="1"/>
  <c r="C164" i="21"/>
  <c r="C155" i="21"/>
  <c r="C146" i="21"/>
  <c r="C137" i="21"/>
  <c r="C118" i="21"/>
  <c r="C110" i="21"/>
  <c r="C102" i="21"/>
  <c r="C94" i="21" l="1"/>
  <c r="C11" i="21" l="1"/>
  <c r="C12" i="24"/>
  <c r="C16" i="24" l="1"/>
  <c r="B137" i="21" l="1"/>
  <c r="B136" i="21"/>
  <c r="B135" i="21"/>
  <c r="B134" i="21"/>
  <c r="B133" i="21"/>
  <c r="B132" i="21"/>
  <c r="C86" i="21"/>
  <c r="B86" i="21"/>
  <c r="B85" i="21"/>
  <c r="B84" i="21"/>
  <c r="B83" i="21"/>
  <c r="B82" i="21"/>
  <c r="C84" i="24"/>
  <c r="B84" i="24"/>
  <c r="B83" i="24"/>
  <c r="B82" i="24"/>
  <c r="B81" i="24"/>
  <c r="B80" i="24"/>
  <c r="C129" i="24"/>
  <c r="C125" i="24"/>
  <c r="B129" i="24"/>
  <c r="B128" i="24"/>
  <c r="B127" i="24"/>
  <c r="B126" i="24"/>
  <c r="B125" i="24"/>
  <c r="B124" i="24"/>
  <c r="C11" i="24" l="1"/>
  <c r="C14" i="24" l="1"/>
  <c r="C84" i="16" l="1"/>
  <c r="C48" i="3" l="1"/>
  <c r="C47" i="3"/>
  <c r="B48" i="3"/>
  <c r="B47" i="3"/>
  <c r="C74" i="21" l="1"/>
  <c r="C121" i="21"/>
  <c r="I18" i="3" l="1"/>
  <c r="F88" i="26" l="1"/>
  <c r="F12" i="3" l="1"/>
  <c r="C34" i="24" l="1"/>
  <c r="B42" i="24"/>
  <c r="C42" i="24"/>
  <c r="B41" i="24"/>
  <c r="B43" i="24"/>
  <c r="B43" i="21"/>
  <c r="C43" i="21"/>
  <c r="B44" i="21"/>
  <c r="C41" i="21"/>
  <c r="B42" i="21"/>
  <c r="C30" i="16"/>
  <c r="C42" i="16"/>
  <c r="C41" i="16"/>
  <c r="C40" i="16"/>
  <c r="C45" i="16"/>
  <c r="E124" i="24"/>
  <c r="E80" i="24"/>
  <c r="B171" i="24" l="1"/>
  <c r="B184" i="21"/>
  <c r="C165" i="24"/>
  <c r="B178" i="24"/>
  <c r="B166" i="24"/>
  <c r="B167" i="24"/>
  <c r="B168" i="24"/>
  <c r="B169" i="24"/>
  <c r="B170" i="24"/>
  <c r="B172" i="24"/>
  <c r="B173" i="24"/>
  <c r="B174" i="24"/>
  <c r="B175" i="24"/>
  <c r="B176" i="24"/>
  <c r="B177" i="24"/>
  <c r="B165" i="24"/>
  <c r="C177" i="16"/>
  <c r="C80" i="21"/>
  <c r="C130" i="21"/>
  <c r="C114" i="24"/>
  <c r="C73" i="24"/>
  <c r="C79" i="24" s="1"/>
  <c r="C123" i="24" l="1"/>
  <c r="C24" i="24"/>
  <c r="C20" i="24"/>
  <c r="C3" i="21"/>
  <c r="C3" i="24" s="1"/>
  <c r="F10" i="3"/>
  <c r="E177" i="21" s="1"/>
  <c r="B179" i="21"/>
  <c r="B180" i="21"/>
  <c r="B181" i="21"/>
  <c r="B182" i="21"/>
  <c r="B183" i="21"/>
  <c r="B185" i="21"/>
  <c r="B186" i="21"/>
  <c r="B187" i="21"/>
  <c r="B188" i="21"/>
  <c r="B189" i="21"/>
  <c r="B190" i="21"/>
  <c r="B191" i="21"/>
  <c r="B178" i="21"/>
  <c r="F5" i="3"/>
  <c r="C4" i="21"/>
  <c r="C4" i="24" s="1"/>
  <c r="C10" i="21"/>
  <c r="C13" i="21"/>
  <c r="C35" i="24" l="1"/>
  <c r="C44" i="21"/>
  <c r="C43" i="24"/>
  <c r="C28" i="16"/>
  <c r="C77" i="16"/>
  <c r="B130" i="16"/>
  <c r="B143" i="16"/>
  <c r="D331" i="26"/>
  <c r="D330" i="26"/>
  <c r="C94" i="16"/>
  <c r="C95" i="16"/>
  <c r="C98" i="16"/>
  <c r="C99" i="16"/>
  <c r="C100" i="16"/>
  <c r="C101" i="16"/>
  <c r="C93" i="16"/>
  <c r="C137" i="16" l="1"/>
  <c r="B24" i="16"/>
  <c r="C163" i="16"/>
  <c r="B163" i="16"/>
  <c r="C87" i="16"/>
  <c r="E177" i="16"/>
  <c r="B17" i="3" l="1"/>
  <c r="B167" i="16" s="1"/>
  <c r="C144" i="4"/>
  <c r="C80" i="16"/>
  <c r="C19" i="3"/>
  <c r="C167" i="16" l="1"/>
  <c r="C48" i="16"/>
  <c r="C53" i="16"/>
  <c r="C25" i="21"/>
  <c r="C25" i="24" s="1"/>
  <c r="C23" i="21"/>
  <c r="C23" i="24" s="1"/>
  <c r="C22" i="21"/>
  <c r="C22" i="24" s="1"/>
  <c r="C19" i="21"/>
  <c r="C19" i="24" s="1"/>
  <c r="D72" i="26" l="1"/>
  <c r="D70" i="26"/>
  <c r="C15" i="21" s="1"/>
  <c r="B80" i="16" l="1"/>
  <c r="B79" i="16"/>
  <c r="B78" i="16"/>
  <c r="B81" i="16"/>
  <c r="F50" i="26"/>
  <c r="F49" i="26"/>
  <c r="G4" i="26"/>
  <c r="F26" i="26"/>
  <c r="F25" i="26"/>
  <c r="F24" i="26"/>
  <c r="C52" i="16"/>
  <c r="D23" i="26"/>
  <c r="D21" i="26"/>
  <c r="D15" i="26"/>
  <c r="C52" i="3"/>
  <c r="H43" i="3"/>
  <c r="H42" i="3"/>
  <c r="H41" i="3"/>
  <c r="H40" i="3"/>
  <c r="H39" i="3"/>
  <c r="H38" i="3"/>
  <c r="H37" i="3"/>
  <c r="F43" i="3"/>
  <c r="F42" i="3"/>
  <c r="F41" i="3"/>
  <c r="F40" i="3"/>
  <c r="F38" i="3"/>
  <c r="F39" i="3"/>
  <c r="F37" i="3"/>
  <c r="H32" i="3"/>
  <c r="H34" i="3"/>
  <c r="H33" i="3"/>
  <c r="F34" i="3"/>
  <c r="F33" i="3"/>
  <c r="F32" i="3"/>
  <c r="F31" i="3"/>
  <c r="H31" i="3"/>
  <c r="H30" i="3"/>
  <c r="H29" i="3"/>
  <c r="F30" i="3"/>
  <c r="F29" i="3"/>
  <c r="H28" i="3"/>
  <c r="F28" i="3"/>
  <c r="B35" i="24" l="1"/>
  <c r="B39" i="24"/>
  <c r="B34" i="24"/>
  <c r="B37" i="24"/>
  <c r="B38" i="24"/>
  <c r="B33" i="24"/>
  <c r="B46" i="24"/>
  <c r="B45" i="24"/>
  <c r="C46" i="24"/>
  <c r="C38" i="24"/>
  <c r="C39" i="24"/>
  <c r="B30" i="24"/>
  <c r="B31" i="24"/>
  <c r="C30" i="24"/>
  <c r="B29" i="24"/>
  <c r="C31" i="24"/>
  <c r="C74" i="24" s="1"/>
  <c r="C39" i="21"/>
  <c r="C35" i="21"/>
  <c r="C31" i="21"/>
  <c r="C47" i="21"/>
  <c r="B47" i="21"/>
  <c r="B46" i="21"/>
  <c r="C45" i="21"/>
  <c r="C44" i="24" s="1"/>
  <c r="C40" i="21"/>
  <c r="C36" i="21"/>
  <c r="B35" i="21"/>
  <c r="C40" i="24"/>
  <c r="B27" i="16"/>
  <c r="B36" i="21"/>
  <c r="C37" i="21"/>
  <c r="C36" i="24" s="1"/>
  <c r="B38" i="21"/>
  <c r="C33" i="21"/>
  <c r="C24" i="16"/>
  <c r="B31" i="21"/>
  <c r="B30" i="16"/>
  <c r="B32" i="21"/>
  <c r="B34" i="21"/>
  <c r="C26" i="16"/>
  <c r="B39" i="21"/>
  <c r="C29" i="21"/>
  <c r="C28" i="24" s="1"/>
  <c r="C32" i="21"/>
  <c r="B30" i="21"/>
  <c r="B40" i="21"/>
  <c r="B26" i="16"/>
  <c r="C27" i="16"/>
  <c r="B29" i="16"/>
  <c r="B25" i="16"/>
  <c r="C44" i="16"/>
  <c r="B39" i="16"/>
  <c r="C35" i="16"/>
  <c r="C38" i="16"/>
  <c r="C37" i="16"/>
  <c r="C34" i="16"/>
  <c r="C33" i="16"/>
  <c r="C32" i="16"/>
  <c r="F20" i="26"/>
  <c r="G5" i="26"/>
  <c r="F3" i="26"/>
  <c r="B16" i="3" l="1"/>
  <c r="C166" i="16" s="1"/>
  <c r="B13" i="3"/>
  <c r="C164" i="16" l="1"/>
  <c r="B164" i="16"/>
  <c r="B166" i="16"/>
  <c r="C165" i="16"/>
  <c r="B165" i="16"/>
  <c r="C34" i="3"/>
  <c r="C35" i="3"/>
  <c r="B147" i="23" l="1"/>
  <c r="D147" i="23" s="1"/>
  <c r="B99" i="4"/>
  <c r="D99" i="4" s="1"/>
  <c r="B144" i="4"/>
  <c r="B102" i="23"/>
  <c r="D102" i="23" s="1"/>
  <c r="E147" i="23" l="1"/>
  <c r="E99" i="4"/>
  <c r="C5" i="16"/>
  <c r="B4" i="16"/>
  <c r="C4" i="16"/>
  <c r="B6" i="16"/>
  <c r="C6" i="16" s="1"/>
  <c r="B5" i="16"/>
  <c r="C160" i="16"/>
  <c r="C158" i="16"/>
  <c r="C156" i="16"/>
  <c r="C154" i="16"/>
  <c r="C152" i="16"/>
  <c r="C150" i="16"/>
  <c r="C148" i="16"/>
  <c r="C146" i="16"/>
  <c r="C144" i="16"/>
  <c r="B161" i="16"/>
  <c r="C33" i="3" l="1"/>
  <c r="B3" i="3" l="1"/>
  <c r="C31" i="3" l="1"/>
  <c r="B30" i="3"/>
  <c r="B32" i="3"/>
  <c r="C126" i="21" l="1"/>
  <c r="C133" i="21" s="1"/>
  <c r="C32" i="3"/>
  <c r="B31" i="3"/>
  <c r="D124" i="24"/>
  <c r="D80" i="24"/>
  <c r="D132" i="21"/>
  <c r="E132" i="21"/>
  <c r="D82" i="21"/>
  <c r="E6" i="24"/>
  <c r="E14" i="21"/>
  <c r="E6" i="21"/>
  <c r="E82" i="21" l="1"/>
  <c r="B107" i="23"/>
  <c r="C57" i="23"/>
  <c r="C58" i="23"/>
  <c r="C59" i="23"/>
  <c r="C60" i="23"/>
  <c r="C61" i="23"/>
  <c r="C62" i="23"/>
  <c r="C63" i="23"/>
  <c r="C64" i="23"/>
  <c r="C65" i="23"/>
  <c r="C66" i="23"/>
  <c r="C67" i="23"/>
  <c r="C68" i="23"/>
  <c r="C69" i="23"/>
  <c r="C70" i="23"/>
  <c r="C71" i="23"/>
  <c r="C72" i="23"/>
  <c r="C73" i="23"/>
  <c r="C74" i="23"/>
  <c r="C75" i="23"/>
  <c r="C76" i="23"/>
  <c r="C77" i="23"/>
  <c r="C56" i="23"/>
  <c r="C74" i="4" l="1"/>
  <c r="C54" i="4"/>
  <c r="C55" i="4"/>
  <c r="C56" i="4"/>
  <c r="C57" i="4"/>
  <c r="C58" i="4"/>
  <c r="C59" i="4"/>
  <c r="C60" i="4"/>
  <c r="C61" i="4"/>
  <c r="C62" i="4"/>
  <c r="C63" i="4"/>
  <c r="C64" i="4"/>
  <c r="C65" i="4"/>
  <c r="C66" i="4"/>
  <c r="C67" i="4"/>
  <c r="C68" i="4"/>
  <c r="C69" i="4"/>
  <c r="C70" i="4"/>
  <c r="C71" i="4"/>
  <c r="C72" i="4"/>
  <c r="C73" i="4"/>
  <c r="C53" i="4"/>
  <c r="B102" i="4"/>
  <c r="B103" i="4"/>
  <c r="B104" i="4"/>
  <c r="C99" i="4"/>
  <c r="I9" i="3"/>
  <c r="B82" i="16"/>
  <c r="B2" i="21"/>
  <c r="B2" i="24"/>
  <c r="C134" i="21" l="1"/>
  <c r="C83" i="21"/>
  <c r="F11" i="26"/>
  <c r="C38" i="21"/>
  <c r="C125" i="21"/>
  <c r="C76" i="21"/>
  <c r="C81" i="16"/>
  <c r="B150" i="23" l="1"/>
  <c r="B149" i="23"/>
  <c r="B148" i="23"/>
  <c r="B151" i="23"/>
  <c r="C147" i="23"/>
  <c r="C102" i="23"/>
  <c r="B106" i="23"/>
  <c r="B105" i="23"/>
  <c r="B104" i="23"/>
  <c r="B103" i="23"/>
  <c r="C106" i="23"/>
  <c r="B101" i="4"/>
  <c r="B100" i="4"/>
  <c r="C103" i="4"/>
  <c r="B75" i="5"/>
  <c r="B148" i="4"/>
  <c r="B147" i="4"/>
  <c r="B146" i="4"/>
  <c r="B145" i="4"/>
  <c r="B6" i="3"/>
  <c r="C54" i="3"/>
  <c r="B54" i="3"/>
  <c r="C53" i="3"/>
  <c r="B53" i="3"/>
  <c r="C75" i="16" s="1"/>
  <c r="B52" i="3"/>
  <c r="C51" i="3"/>
  <c r="B51" i="3"/>
  <c r="C50" i="3"/>
  <c r="B50" i="3"/>
  <c r="C49" i="3"/>
  <c r="B49" i="3"/>
  <c r="C46" i="3"/>
  <c r="B46" i="3"/>
  <c r="C45" i="3"/>
  <c r="B45" i="3"/>
  <c r="C42" i="3"/>
  <c r="C43" i="3"/>
  <c r="C44" i="3"/>
  <c r="B44" i="3"/>
  <c r="B43" i="3"/>
  <c r="B42" i="3"/>
  <c r="B41" i="3"/>
  <c r="B40" i="3"/>
  <c r="B39" i="3"/>
  <c r="C41" i="3"/>
  <c r="C40" i="3"/>
  <c r="C39" i="3"/>
  <c r="C36" i="3"/>
  <c r="C37" i="3"/>
  <c r="C38" i="3"/>
  <c r="B36" i="3"/>
  <c r="B37" i="3"/>
  <c r="B38" i="3"/>
  <c r="B33" i="3"/>
  <c r="B34" i="3"/>
  <c r="B35" i="3"/>
  <c r="C30" i="3"/>
  <c r="I13" i="3"/>
  <c r="I7" i="3"/>
  <c r="F11" i="3"/>
  <c r="F9" i="3"/>
  <c r="B11" i="3"/>
  <c r="B9" i="3"/>
  <c r="B7" i="3"/>
  <c r="B5" i="3"/>
  <c r="B4" i="3"/>
  <c r="F8" i="3"/>
  <c r="F7" i="3"/>
  <c r="J11" i="3"/>
  <c r="J12" i="3"/>
  <c r="J13" i="3"/>
  <c r="J10" i="3"/>
  <c r="J5" i="3"/>
  <c r="J6" i="3"/>
  <c r="J7" i="3"/>
  <c r="C160" i="24" s="1"/>
  <c r="J4" i="3"/>
  <c r="B134" i="24" s="1"/>
  <c r="I12" i="3"/>
  <c r="I11" i="3"/>
  <c r="I10" i="3"/>
  <c r="C42" i="21" s="1"/>
  <c r="C76" i="4"/>
  <c r="I6" i="3"/>
  <c r="C33" i="24" s="1"/>
  <c r="I5" i="3"/>
  <c r="C64" i="24" s="1"/>
  <c r="I4" i="3"/>
  <c r="C41" i="24" s="1"/>
  <c r="I3" i="3"/>
  <c r="F6" i="3"/>
  <c r="F4" i="3"/>
  <c r="F3" i="3"/>
  <c r="C126" i="16" l="1"/>
  <c r="C117" i="16"/>
  <c r="C129" i="16"/>
  <c r="C128" i="16"/>
  <c r="C125" i="16"/>
  <c r="C124" i="16"/>
  <c r="C121" i="16"/>
  <c r="C123" i="16"/>
  <c r="C122" i="16"/>
  <c r="C120" i="16"/>
  <c r="C119" i="16"/>
  <c r="C65" i="21"/>
  <c r="C90" i="16"/>
  <c r="C89" i="16"/>
  <c r="C126" i="24"/>
  <c r="C81" i="24"/>
  <c r="C175" i="24"/>
  <c r="C174" i="24"/>
  <c r="C171" i="24"/>
  <c r="C173" i="24"/>
  <c r="C172" i="24"/>
  <c r="C128" i="24"/>
  <c r="C83" i="24"/>
  <c r="C82" i="24"/>
  <c r="B87" i="21"/>
  <c r="C87" i="21" s="1"/>
  <c r="C127" i="24"/>
  <c r="C7" i="24"/>
  <c r="C130" i="16"/>
  <c r="C117" i="21"/>
  <c r="B119" i="21"/>
  <c r="C119" i="21" s="1"/>
  <c r="C109" i="21"/>
  <c r="B111" i="21"/>
  <c r="C111" i="21" s="1"/>
  <c r="C88" i="16"/>
  <c r="C183" i="16"/>
  <c r="C184" i="21" s="1"/>
  <c r="C101" i="21"/>
  <c r="B103" i="21"/>
  <c r="C103" i="21" s="1"/>
  <c r="C93" i="21"/>
  <c r="B95" i="21"/>
  <c r="C95" i="21" s="1"/>
  <c r="F21" i="26"/>
  <c r="C68" i="21"/>
  <c r="C25" i="16"/>
  <c r="C30" i="21"/>
  <c r="C34" i="21"/>
  <c r="C120" i="21"/>
  <c r="C70" i="21"/>
  <c r="F12" i="26"/>
  <c r="F8" i="26"/>
  <c r="C177" i="24"/>
  <c r="C176" i="24"/>
  <c r="C178" i="24"/>
  <c r="C69" i="24"/>
  <c r="C29" i="24"/>
  <c r="G21" i="26"/>
  <c r="C118" i="24"/>
  <c r="C124" i="24" s="1"/>
  <c r="C75" i="24"/>
  <c r="C80" i="24" s="1"/>
  <c r="B57" i="16"/>
  <c r="C57" i="16" s="1"/>
  <c r="C81" i="21"/>
  <c r="B81" i="21"/>
  <c r="B131" i="21"/>
  <c r="C131" i="21" s="1"/>
  <c r="C72" i="24"/>
  <c r="C73" i="21"/>
  <c r="B138" i="21"/>
  <c r="C138" i="21" s="1"/>
  <c r="C185" i="16"/>
  <c r="C186" i="21" s="1"/>
  <c r="C182" i="16"/>
  <c r="C183" i="21" s="1"/>
  <c r="C188" i="21"/>
  <c r="C184" i="16"/>
  <c r="C185" i="21" s="1"/>
  <c r="C179" i="16"/>
  <c r="C180" i="21" s="1"/>
  <c r="C178" i="16"/>
  <c r="C179" i="21" s="1"/>
  <c r="C181" i="16"/>
  <c r="C182" i="21" s="1"/>
  <c r="C180" i="16"/>
  <c r="C181" i="21" s="1"/>
  <c r="C186" i="16"/>
  <c r="C187" i="21" s="1"/>
  <c r="C122" i="24"/>
  <c r="C166" i="24"/>
  <c r="C78" i="24"/>
  <c r="C170" i="24"/>
  <c r="C169" i="24"/>
  <c r="C167" i="24"/>
  <c r="C168" i="24"/>
  <c r="B173" i="21"/>
  <c r="C172" i="21"/>
  <c r="B117" i="21"/>
  <c r="B62" i="21"/>
  <c r="B172" i="21"/>
  <c r="C114" i="21"/>
  <c r="B64" i="21"/>
  <c r="B63" i="21"/>
  <c r="C61" i="21"/>
  <c r="C169" i="21"/>
  <c r="B110" i="21"/>
  <c r="B164" i="21"/>
  <c r="B163" i="21"/>
  <c r="C160" i="21"/>
  <c r="B102" i="21"/>
  <c r="B155" i="21"/>
  <c r="B154" i="21"/>
  <c r="C151" i="21"/>
  <c r="C49" i="21"/>
  <c r="C51" i="21" s="1"/>
  <c r="B94" i="21"/>
  <c r="B146" i="21"/>
  <c r="B145" i="21"/>
  <c r="B93" i="21"/>
  <c r="C90" i="21"/>
  <c r="C142" i="21"/>
  <c r="B155" i="24"/>
  <c r="B161" i="24"/>
  <c r="C155" i="24"/>
  <c r="C161" i="24"/>
  <c r="C112" i="24"/>
  <c r="B112" i="24"/>
  <c r="B160" i="24"/>
  <c r="C111" i="24"/>
  <c r="B105" i="24"/>
  <c r="C153" i="24"/>
  <c r="B153" i="24"/>
  <c r="C105" i="24"/>
  <c r="C147" i="24"/>
  <c r="B152" i="24"/>
  <c r="B147" i="24"/>
  <c r="B98" i="24"/>
  <c r="C145" i="24"/>
  <c r="B144" i="24"/>
  <c r="B139" i="24"/>
  <c r="B145" i="24"/>
  <c r="C98" i="24"/>
  <c r="B97" i="24"/>
  <c r="C135" i="24"/>
  <c r="B90" i="24"/>
  <c r="B91" i="24"/>
  <c r="B136" i="24"/>
  <c r="C131" i="24"/>
  <c r="B137" i="24"/>
  <c r="C91" i="24"/>
  <c r="B131" i="24"/>
  <c r="C137" i="24"/>
  <c r="C97" i="24"/>
  <c r="C152" i="24"/>
  <c r="C144" i="24"/>
  <c r="C104" i="24"/>
  <c r="C136" i="24"/>
  <c r="F9" i="26"/>
  <c r="C90" i="24"/>
  <c r="B62" i="24"/>
  <c r="B63" i="24"/>
  <c r="B61" i="24"/>
  <c r="C48" i="24"/>
  <c r="B49" i="24"/>
  <c r="B50" i="24"/>
  <c r="B51" i="24"/>
  <c r="C56" i="24"/>
  <c r="B57" i="24"/>
  <c r="B58" i="24"/>
  <c r="B59" i="24"/>
  <c r="C52" i="24"/>
  <c r="B53" i="24"/>
  <c r="B54" i="24"/>
  <c r="B55" i="24"/>
  <c r="F6" i="26"/>
  <c r="F5" i="26"/>
  <c r="C37" i="24"/>
  <c r="C60" i="24"/>
  <c r="C45" i="24"/>
  <c r="C46" i="21"/>
  <c r="C163" i="21"/>
  <c r="C154" i="21"/>
  <c r="C145" i="21"/>
  <c r="C53" i="21"/>
  <c r="B101" i="21"/>
  <c r="C98" i="21"/>
  <c r="B109" i="21"/>
  <c r="C106" i="21"/>
  <c r="C57" i="21"/>
  <c r="B56" i="21"/>
  <c r="B55" i="21"/>
  <c r="B54" i="21"/>
  <c r="B58" i="21"/>
  <c r="B60" i="21"/>
  <c r="B59" i="21"/>
  <c r="B52" i="21"/>
  <c r="B50" i="21"/>
  <c r="B51" i="21"/>
  <c r="F15" i="26"/>
  <c r="C29" i="16"/>
  <c r="C102" i="16"/>
  <c r="C73" i="16"/>
  <c r="C72" i="16"/>
  <c r="C63" i="16"/>
  <c r="C71" i="16"/>
  <c r="C76" i="16"/>
  <c r="C65" i="16"/>
  <c r="C115" i="16"/>
  <c r="C104" i="16"/>
  <c r="C111" i="16"/>
  <c r="C107" i="16"/>
  <c r="C114" i="16"/>
  <c r="C103" i="16"/>
  <c r="C110" i="16"/>
  <c r="C106" i="16"/>
  <c r="C113" i="16"/>
  <c r="C109" i="16"/>
  <c r="C105" i="16"/>
  <c r="C116" i="16"/>
  <c r="C108" i="16"/>
  <c r="C112" i="16"/>
  <c r="I16" i="3"/>
  <c r="I15" i="3"/>
  <c r="B63" i="16" s="1"/>
  <c r="F7" i="26"/>
  <c r="F13" i="26"/>
  <c r="C157" i="16"/>
  <c r="C149" i="16"/>
  <c r="C143" i="16"/>
  <c r="C145" i="16"/>
  <c r="C151" i="16"/>
  <c r="C155" i="16"/>
  <c r="C147" i="16"/>
  <c r="C153" i="16"/>
  <c r="C159" i="16"/>
  <c r="F14" i="26"/>
  <c r="C36" i="16"/>
  <c r="C43" i="16"/>
  <c r="B33" i="16"/>
  <c r="E3" i="26"/>
  <c r="E2" i="26"/>
  <c r="C7" i="21"/>
  <c r="F38" i="26"/>
  <c r="B18" i="16"/>
  <c r="C18" i="16" s="1"/>
  <c r="C10" i="20"/>
  <c r="C6" i="20"/>
  <c r="C5" i="20"/>
  <c r="C4" i="20"/>
  <c r="C3" i="20"/>
  <c r="C8" i="20"/>
  <c r="C7" i="20"/>
  <c r="C3" i="7"/>
  <c r="C4" i="7"/>
  <c r="C5" i="7"/>
  <c r="C6" i="7"/>
  <c r="C7" i="7"/>
  <c r="C8" i="7"/>
  <c r="C10" i="7"/>
  <c r="C68" i="24"/>
  <c r="B68" i="24"/>
  <c r="C69" i="21"/>
  <c r="B95" i="23"/>
  <c r="C95" i="23"/>
  <c r="B13" i="16"/>
  <c r="C13" i="16" s="1"/>
  <c r="B14" i="16"/>
  <c r="C14" i="16" s="1"/>
  <c r="B15" i="16"/>
  <c r="C15" i="16" s="1"/>
  <c r="B12" i="16"/>
  <c r="C12" i="16" s="1"/>
  <c r="B10" i="16"/>
  <c r="C10" i="16" s="1"/>
  <c r="B9" i="16"/>
  <c r="C9" i="16" s="1"/>
  <c r="B11" i="16"/>
  <c r="C11" i="16" s="1"/>
  <c r="B8" i="16"/>
  <c r="C8" i="16" s="1"/>
  <c r="B7" i="16"/>
  <c r="C7" i="16" s="1"/>
  <c r="B21" i="16"/>
  <c r="C21" i="16" s="1"/>
  <c r="B161" i="21"/>
  <c r="C159" i="21"/>
  <c r="C105" i="21"/>
  <c r="B105" i="21"/>
  <c r="B89" i="4"/>
  <c r="C108" i="21"/>
  <c r="B88" i="4"/>
  <c r="B37" i="4"/>
  <c r="B107" i="21"/>
  <c r="B106" i="21"/>
  <c r="B159" i="4"/>
  <c r="B108" i="21"/>
  <c r="B161" i="4"/>
  <c r="C166" i="4"/>
  <c r="B162" i="4"/>
  <c r="C158" i="21"/>
  <c r="B163" i="4"/>
  <c r="C160" i="4"/>
  <c r="B166" i="4"/>
  <c r="B162" i="21"/>
  <c r="B160" i="4"/>
  <c r="B165" i="4"/>
  <c r="B160" i="21"/>
  <c r="C163" i="4"/>
  <c r="B164" i="4"/>
  <c r="C162" i="21"/>
  <c r="B159" i="21"/>
  <c r="B158" i="21"/>
  <c r="B22" i="16"/>
  <c r="C22" i="16" s="1"/>
  <c r="C92" i="4"/>
  <c r="B92" i="4"/>
  <c r="B69" i="21"/>
  <c r="B77" i="16"/>
  <c r="C150" i="21"/>
  <c r="C97" i="21"/>
  <c r="B155" i="4"/>
  <c r="B154" i="4"/>
  <c r="B100" i="21"/>
  <c r="B98" i="21"/>
  <c r="B29" i="4"/>
  <c r="B87" i="4"/>
  <c r="C100" i="21"/>
  <c r="B99" i="21"/>
  <c r="B86" i="4"/>
  <c r="B156" i="4"/>
  <c r="B97" i="21"/>
  <c r="B158" i="4"/>
  <c r="C149" i="21"/>
  <c r="B157" i="4"/>
  <c r="B153" i="21"/>
  <c r="B152" i="21"/>
  <c r="B151" i="21"/>
  <c r="B150" i="21"/>
  <c r="C158" i="4"/>
  <c r="B149" i="21"/>
  <c r="C153" i="21"/>
  <c r="F2" i="7"/>
  <c r="F2" i="20"/>
  <c r="B94" i="23"/>
  <c r="B110" i="24"/>
  <c r="B109" i="24"/>
  <c r="C107" i="24"/>
  <c r="B48" i="23"/>
  <c r="B111" i="24"/>
  <c r="C167" i="23"/>
  <c r="B167" i="23"/>
  <c r="B108" i="24"/>
  <c r="B168" i="23"/>
  <c r="B93" i="23"/>
  <c r="C159" i="24"/>
  <c r="B170" i="23"/>
  <c r="B159" i="24"/>
  <c r="B169" i="23"/>
  <c r="B107" i="24"/>
  <c r="B171" i="23"/>
  <c r="C102" i="24"/>
  <c r="B165" i="23"/>
  <c r="B92" i="23"/>
  <c r="B40" i="23"/>
  <c r="C171" i="23"/>
  <c r="B164" i="23"/>
  <c r="B104" i="24"/>
  <c r="C151" i="24"/>
  <c r="C163" i="23"/>
  <c r="B101" i="24"/>
  <c r="B163" i="23"/>
  <c r="C166" i="23"/>
  <c r="B162" i="23"/>
  <c r="B151" i="24"/>
  <c r="B91" i="23"/>
  <c r="B103" i="24"/>
  <c r="B100" i="24"/>
  <c r="B102" i="24"/>
  <c r="B166" i="23"/>
  <c r="B158" i="23"/>
  <c r="C158" i="23"/>
  <c r="B161" i="23"/>
  <c r="B90" i="23"/>
  <c r="B32" i="23"/>
  <c r="B143" i="24"/>
  <c r="B94" i="24"/>
  <c r="B89" i="23"/>
  <c r="B159" i="23"/>
  <c r="B93" i="24"/>
  <c r="B96" i="24"/>
  <c r="C161" i="23"/>
  <c r="B95" i="24"/>
  <c r="B157" i="23"/>
  <c r="B160" i="23"/>
  <c r="C143" i="24"/>
  <c r="C84" i="4"/>
  <c r="C8" i="4"/>
  <c r="C86" i="4"/>
  <c r="C45" i="4"/>
  <c r="C88" i="4"/>
  <c r="C90" i="4"/>
  <c r="C6" i="4"/>
  <c r="C11" i="23"/>
  <c r="C82" i="16"/>
  <c r="C113" i="24"/>
  <c r="C168" i="21"/>
  <c r="C113" i="21"/>
  <c r="B114" i="21"/>
  <c r="B113" i="21"/>
  <c r="B90" i="4"/>
  <c r="B45" i="4"/>
  <c r="C116" i="21"/>
  <c r="B91" i="4"/>
  <c r="B116" i="21"/>
  <c r="B115" i="21"/>
  <c r="B167" i="4"/>
  <c r="B170" i="21"/>
  <c r="B169" i="21"/>
  <c r="C171" i="4"/>
  <c r="B168" i="21"/>
  <c r="B168" i="4"/>
  <c r="B167" i="21"/>
  <c r="B169" i="4"/>
  <c r="C167" i="4"/>
  <c r="B170" i="4"/>
  <c r="C171" i="21"/>
  <c r="C167" i="21"/>
  <c r="B171" i="21"/>
  <c r="C168" i="4"/>
  <c r="B171" i="4"/>
  <c r="B154" i="23"/>
  <c r="B153" i="23"/>
  <c r="B156" i="23"/>
  <c r="B152" i="23"/>
  <c r="B155" i="23"/>
  <c r="B135" i="24"/>
  <c r="B88" i="23"/>
  <c r="B24" i="23"/>
  <c r="C87" i="24"/>
  <c r="B11" i="23"/>
  <c r="B88" i="24"/>
  <c r="C153" i="23"/>
  <c r="B86" i="24"/>
  <c r="C156" i="23"/>
  <c r="B89" i="24"/>
  <c r="B87" i="23"/>
  <c r="B87" i="24"/>
  <c r="C141" i="21"/>
  <c r="B142" i="21"/>
  <c r="C89" i="21"/>
  <c r="B149" i="4"/>
  <c r="B91" i="21"/>
  <c r="B90" i="21"/>
  <c r="B89" i="21"/>
  <c r="B152" i="4"/>
  <c r="B151" i="4"/>
  <c r="B8" i="4"/>
  <c r="B85" i="4"/>
  <c r="B92" i="21"/>
  <c r="B84" i="4"/>
  <c r="B150" i="4"/>
  <c r="B21" i="4"/>
  <c r="C92" i="21"/>
  <c r="C153" i="4"/>
  <c r="B141" i="21"/>
  <c r="B153" i="4"/>
  <c r="B140" i="21"/>
  <c r="B147" i="21" s="1"/>
  <c r="C147" i="21" s="1"/>
  <c r="B143" i="21"/>
  <c r="C144" i="21"/>
  <c r="C140" i="21"/>
  <c r="B144" i="21"/>
  <c r="B23" i="16"/>
  <c r="C23" i="16" s="1"/>
  <c r="C100" i="4"/>
  <c r="B16" i="16"/>
  <c r="C16" i="16" s="1"/>
  <c r="B17" i="16"/>
  <c r="C146" i="4"/>
  <c r="C144" i="23"/>
  <c r="C103" i="23"/>
  <c r="C79" i="23"/>
  <c r="B19" i="16"/>
  <c r="C19" i="16" s="1"/>
  <c r="B20" i="16"/>
  <c r="C20" i="16" s="1"/>
  <c r="C82" i="21"/>
  <c r="G3" i="26"/>
  <c r="G2" i="26"/>
  <c r="C74" i="16" l="1"/>
  <c r="C78" i="16"/>
  <c r="C142" i="16"/>
  <c r="C141" i="16"/>
  <c r="C140" i="16"/>
  <c r="C139" i="16"/>
  <c r="C138" i="16"/>
  <c r="C135" i="21"/>
  <c r="C84" i="21"/>
  <c r="C64" i="16"/>
  <c r="C61" i="16"/>
  <c r="C138" i="24"/>
  <c r="E138" i="24"/>
  <c r="D138" i="24"/>
  <c r="C154" i="24"/>
  <c r="E154" i="24"/>
  <c r="D154" i="24"/>
  <c r="C130" i="24"/>
  <c r="D130" i="24"/>
  <c r="E130" i="24"/>
  <c r="C146" i="24"/>
  <c r="E146" i="24"/>
  <c r="D146" i="24"/>
  <c r="B165" i="21"/>
  <c r="C165" i="21" s="1"/>
  <c r="C157" i="21"/>
  <c r="B156" i="21"/>
  <c r="C156" i="21" s="1"/>
  <c r="C148" i="21"/>
  <c r="B174" i="21"/>
  <c r="C174" i="21" s="1"/>
  <c r="C166" i="21"/>
  <c r="C58" i="16"/>
  <c r="C62" i="16"/>
  <c r="C60" i="16"/>
  <c r="B61" i="16"/>
  <c r="C78" i="21"/>
  <c r="C50" i="21"/>
  <c r="C112" i="21"/>
  <c r="C64" i="21"/>
  <c r="C62" i="21"/>
  <c r="C63" i="21"/>
  <c r="C62" i="24"/>
  <c r="C61" i="24"/>
  <c r="C63" i="24"/>
  <c r="C57" i="24"/>
  <c r="C58" i="24"/>
  <c r="C59" i="24"/>
  <c r="C49" i="24"/>
  <c r="C50" i="24"/>
  <c r="C51" i="24"/>
  <c r="H3" i="26"/>
  <c r="H2" i="26"/>
  <c r="H4" i="26"/>
  <c r="C55" i="21"/>
  <c r="C139" i="21"/>
  <c r="C56" i="21"/>
  <c r="C88" i="21"/>
  <c r="C104" i="21"/>
  <c r="C96" i="21"/>
  <c r="C54" i="21"/>
  <c r="C60" i="21"/>
  <c r="C58" i="21"/>
  <c r="C59" i="21"/>
  <c r="C52" i="21"/>
  <c r="C59" i="16"/>
  <c r="F18" i="26"/>
  <c r="F41" i="26"/>
  <c r="C134" i="16" s="1"/>
  <c r="F51" i="26"/>
  <c r="F22" i="26"/>
  <c r="F42" i="26"/>
  <c r="F52" i="26"/>
  <c r="F54" i="26"/>
  <c r="F53" i="26"/>
  <c r="F48" i="26"/>
  <c r="F47" i="26"/>
  <c r="F45" i="26"/>
  <c r="F44" i="26"/>
  <c r="F43" i="26"/>
  <c r="F46" i="26"/>
  <c r="C17" i="16"/>
  <c r="E154" i="4"/>
  <c r="D154" i="4"/>
  <c r="D88" i="4"/>
  <c r="E88" i="4"/>
  <c r="D140" i="21"/>
  <c r="E140" i="21"/>
  <c r="E152" i="23"/>
  <c r="D152" i="23"/>
  <c r="D159" i="4"/>
  <c r="E159" i="4"/>
  <c r="E91" i="23"/>
  <c r="D91" i="23"/>
  <c r="E21" i="4"/>
  <c r="D21" i="4"/>
  <c r="E86" i="4"/>
  <c r="D86" i="4"/>
  <c r="E167" i="21"/>
  <c r="D167" i="21"/>
  <c r="E32" i="23"/>
  <c r="D32" i="23"/>
  <c r="D162" i="23"/>
  <c r="E162" i="23"/>
  <c r="E93" i="23"/>
  <c r="D93" i="23"/>
  <c r="E104" i="21"/>
  <c r="D104" i="21"/>
  <c r="D85" i="24"/>
  <c r="E85" i="24"/>
  <c r="D24" i="23"/>
  <c r="E24" i="23"/>
  <c r="E167" i="4"/>
  <c r="D167" i="4"/>
  <c r="E45" i="4"/>
  <c r="D45" i="4"/>
  <c r="D99" i="24"/>
  <c r="E99" i="24"/>
  <c r="E106" i="24"/>
  <c r="D106" i="24"/>
  <c r="E96" i="21"/>
  <c r="D96" i="21"/>
  <c r="D87" i="23"/>
  <c r="E87" i="23"/>
  <c r="D89" i="23"/>
  <c r="E89" i="23"/>
  <c r="E95" i="23"/>
  <c r="D95" i="23"/>
  <c r="D84" i="4"/>
  <c r="E84" i="4"/>
  <c r="E88" i="21"/>
  <c r="D88" i="21"/>
  <c r="D90" i="4"/>
  <c r="E90" i="4"/>
  <c r="E157" i="23"/>
  <c r="D157" i="23"/>
  <c r="E29" i="4"/>
  <c r="D29" i="4"/>
  <c r="E68" i="24"/>
  <c r="D68" i="24"/>
  <c r="E149" i="4"/>
  <c r="D149" i="4"/>
  <c r="E92" i="4"/>
  <c r="D92" i="4"/>
  <c r="E48" i="23"/>
  <c r="D48" i="23"/>
  <c r="E113" i="21"/>
  <c r="D112" i="21"/>
  <c r="E92" i="24"/>
  <c r="D92" i="24"/>
  <c r="D69" i="21"/>
  <c r="E69" i="21"/>
  <c r="E40" i="23"/>
  <c r="D40" i="23"/>
  <c r="D167" i="23"/>
  <c r="E167" i="23"/>
  <c r="E149" i="21"/>
  <c r="D149" i="21"/>
  <c r="D157" i="21"/>
  <c r="E157" i="21"/>
  <c r="E37" i="4"/>
  <c r="D37" i="4"/>
  <c r="B2" i="4"/>
  <c r="B2" i="23"/>
  <c r="C142" i="4"/>
  <c r="C94" i="23"/>
  <c r="B182" i="23"/>
  <c r="B180" i="4"/>
  <c r="H17" i="26"/>
  <c r="C13" i="24"/>
  <c r="H9" i="26"/>
  <c r="C46" i="16" l="1"/>
  <c r="C67" i="16"/>
  <c r="C133" i="16"/>
  <c r="C18" i="24"/>
  <c r="C68" i="16"/>
  <c r="C21" i="24"/>
  <c r="C92" i="16"/>
  <c r="C50" i="16"/>
  <c r="C47" i="16"/>
  <c r="C18" i="21"/>
  <c r="C26" i="21"/>
  <c r="C132" i="16"/>
  <c r="C136" i="16"/>
  <c r="C161" i="16"/>
  <c r="C131" i="16"/>
  <c r="C53" i="24"/>
  <c r="C54" i="24"/>
  <c r="C55" i="24"/>
  <c r="C17" i="24"/>
  <c r="C26" i="24"/>
  <c r="C70" i="16"/>
  <c r="C66" i="16"/>
  <c r="C127" i="16"/>
  <c r="C39" i="16"/>
  <c r="C118" i="16"/>
  <c r="C189" i="16"/>
  <c r="C190" i="21" s="1"/>
  <c r="C188" i="16"/>
  <c r="C189" i="21" s="1"/>
  <c r="C190" i="16"/>
  <c r="C191" i="21" s="1"/>
  <c r="C56" i="16"/>
  <c r="C17" i="21"/>
  <c r="C21" i="21"/>
  <c r="C77" i="24"/>
  <c r="C15" i="24"/>
  <c r="H12" i="26"/>
  <c r="F2" i="26"/>
  <c r="H16" i="26"/>
  <c r="C12" i="21"/>
  <c r="H8" i="26"/>
  <c r="C14" i="21"/>
  <c r="C71" i="24" l="1"/>
  <c r="F19" i="26"/>
  <c r="F16" i="26"/>
  <c r="C9" i="21"/>
  <c r="C10" i="24"/>
  <c r="C85" i="16" l="1"/>
  <c r="C83" i="16"/>
  <c r="B83" i="16"/>
  <c r="C121" i="24" l="1"/>
  <c r="C119" i="24"/>
  <c r="C116" i="24"/>
  <c r="C175" i="23"/>
  <c r="C174" i="23"/>
  <c r="C143" i="23"/>
  <c r="C139" i="23"/>
  <c r="C138" i="23"/>
  <c r="C148" i="23" l="1"/>
  <c r="C157" i="23"/>
  <c r="C152" i="23"/>
  <c r="C162" i="23"/>
  <c r="C174" i="4"/>
  <c r="C175" i="4"/>
  <c r="C136" i="4"/>
  <c r="C140" i="4"/>
  <c r="C159" i="4" s="1"/>
  <c r="C145" i="4" l="1"/>
  <c r="C149" i="4"/>
  <c r="C154" i="4"/>
  <c r="C132" i="21"/>
  <c r="C123" i="21"/>
  <c r="C128" i="21" l="1"/>
  <c r="C92" i="24" l="1"/>
  <c r="C85" i="24"/>
  <c r="C99" i="24"/>
  <c r="C106" i="24"/>
  <c r="E85" i="5"/>
  <c r="E86" i="5"/>
  <c r="E87" i="5"/>
  <c r="E84" i="5"/>
  <c r="E77" i="5"/>
  <c r="E72" i="5"/>
  <c r="E69" i="5"/>
  <c r="E66" i="5"/>
  <c r="E63" i="5"/>
  <c r="E65" i="5"/>
  <c r="E67" i="5"/>
  <c r="E68" i="5"/>
  <c r="E70" i="5"/>
  <c r="E71" i="5"/>
  <c r="E73" i="5"/>
  <c r="E74" i="5"/>
  <c r="E75" i="5"/>
  <c r="E76" i="5"/>
  <c r="E78" i="5"/>
  <c r="E79" i="5"/>
  <c r="E80" i="5"/>
  <c r="E81" i="5"/>
  <c r="E64" i="5"/>
  <c r="E62" i="5"/>
  <c r="C5" i="3" l="1"/>
  <c r="I34" i="5"/>
  <c r="I14" i="5"/>
  <c r="I21" i="5"/>
  <c r="I28" i="5"/>
  <c r="C101" i="23" l="1"/>
  <c r="C98" i="23"/>
  <c r="C22" i="23"/>
  <c r="C21" i="23"/>
  <c r="C18" i="23"/>
  <c r="C17" i="23"/>
  <c r="C16" i="23"/>
  <c r="C15" i="23"/>
  <c r="C14" i="23"/>
  <c r="C13" i="23"/>
  <c r="C154" i="23" l="1"/>
  <c r="C159" i="23"/>
  <c r="C164" i="23"/>
  <c r="C92" i="23"/>
  <c r="C90" i="23"/>
  <c r="C104" i="23"/>
  <c r="C150" i="23"/>
  <c r="C145" i="23"/>
  <c r="C88" i="23"/>
  <c r="C107" i="23"/>
  <c r="C141" i="23"/>
  <c r="C84" i="23"/>
  <c r="C86" i="23"/>
  <c r="C82" i="23"/>
  <c r="B26" i="3" l="1"/>
  <c r="C16" i="3"/>
  <c r="C17" i="3"/>
  <c r="C13" i="3"/>
  <c r="C9" i="3"/>
  <c r="C11" i="3"/>
  <c r="C10" i="3"/>
  <c r="B25" i="3" l="1"/>
  <c r="C20" i="3"/>
  <c r="B24" i="3" s="1"/>
  <c r="C98" i="4"/>
  <c r="C95" i="4"/>
  <c r="C151" i="4" l="1"/>
  <c r="C164" i="4"/>
  <c r="C169" i="4"/>
  <c r="C161" i="4"/>
  <c r="C176" i="4"/>
  <c r="C138" i="4"/>
  <c r="C147" i="4"/>
  <c r="C101" i="4"/>
  <c r="C104" i="4"/>
  <c r="C77" i="4"/>
  <c r="C19" i="4"/>
  <c r="C18" i="4"/>
  <c r="C15" i="4"/>
  <c r="C14" i="4"/>
  <c r="C13" i="4"/>
  <c r="C12" i="4"/>
  <c r="C11" i="4"/>
  <c r="C10" i="4"/>
  <c r="C143" i="4" l="1"/>
  <c r="C86" i="16"/>
  <c r="C72" i="21"/>
  <c r="C135" i="4"/>
  <c r="C99" i="23"/>
  <c r="C96" i="4"/>
  <c r="O5" i="5"/>
  <c r="M5" i="5"/>
  <c r="C136" i="21" l="1"/>
  <c r="C85" i="21"/>
  <c r="C170" i="4"/>
  <c r="C162" i="4"/>
  <c r="C165" i="4"/>
  <c r="C115" i="21"/>
  <c r="C170" i="21"/>
  <c r="C129" i="21"/>
  <c r="C107" i="21"/>
  <c r="C161" i="21"/>
  <c r="C79" i="21"/>
  <c r="C157" i="4"/>
  <c r="C152" i="4"/>
  <c r="C160" i="23"/>
  <c r="C165" i="23"/>
  <c r="C155" i="23"/>
  <c r="C99" i="21"/>
  <c r="C152" i="21"/>
  <c r="C143" i="21"/>
  <c r="C91" i="21"/>
  <c r="C148" i="4"/>
  <c r="C102" i="4"/>
  <c r="C146" i="23"/>
  <c r="C105" i="23"/>
  <c r="C151" i="23"/>
  <c r="E56" i="5"/>
  <c r="I8" i="3" l="1"/>
  <c r="C194" i="21" s="1"/>
  <c r="I2" i="3"/>
  <c r="E57" i="5"/>
  <c r="C2" i="20" l="1"/>
  <c r="C181" i="24"/>
  <c r="C2" i="7"/>
  <c r="C178" i="21"/>
  <c r="G14" i="5"/>
  <c r="H14" i="5" l="1"/>
  <c r="C35" i="5"/>
  <c r="D34" i="5"/>
  <c r="C75" i="5" s="1"/>
  <c r="D22" i="5"/>
  <c r="D37" i="5"/>
  <c r="D35" i="5"/>
  <c r="C22" i="5"/>
  <c r="C36" i="5"/>
  <c r="C23" i="5"/>
  <c r="A5" i="5"/>
  <c r="C21" i="5"/>
  <c r="A8" i="5"/>
  <c r="D21" i="5"/>
  <c r="A7" i="5"/>
  <c r="A4" i="5"/>
  <c r="D20" i="5"/>
  <c r="D23" i="5"/>
  <c r="A6" i="5"/>
  <c r="D31" i="5"/>
  <c r="D36" i="5"/>
  <c r="C37" i="5"/>
  <c r="C20" i="5"/>
  <c r="B20" i="5" s="1"/>
  <c r="C29" i="5"/>
  <c r="A68" i="5" s="1"/>
  <c r="D13" i="5"/>
  <c r="D16" i="5"/>
  <c r="D17" i="5"/>
  <c r="A3" i="5"/>
  <c r="C34" i="5"/>
  <c r="B34" i="5" s="1"/>
  <c r="C15" i="5"/>
  <c r="A58" i="5" s="1"/>
  <c r="D27" i="5"/>
  <c r="C27" i="5"/>
  <c r="A64" i="5" s="1"/>
  <c r="C28" i="5"/>
  <c r="A66" i="5" s="1"/>
  <c r="C16" i="5"/>
  <c r="A60" i="5" s="1"/>
  <c r="D15" i="5"/>
  <c r="D29" i="5"/>
  <c r="C14" i="5"/>
  <c r="A56" i="5" s="1"/>
  <c r="C30" i="5"/>
  <c r="A70" i="5" s="1"/>
  <c r="D28" i="5"/>
  <c r="D30" i="5"/>
  <c r="D14" i="5"/>
  <c r="C13" i="5"/>
  <c r="B13" i="5" s="1"/>
  <c r="C21" i="4" l="1"/>
  <c r="C105" i="4" s="1"/>
  <c r="C29" i="4"/>
  <c r="C112" i="4" s="1"/>
  <c r="C37" i="4"/>
  <c r="C119" i="4" s="1"/>
  <c r="A10" i="5"/>
  <c r="C170" i="16"/>
  <c r="C174" i="16"/>
  <c r="C169" i="16"/>
  <c r="C173" i="16"/>
  <c r="C141" i="4"/>
  <c r="C80" i="23"/>
  <c r="C82" i="4"/>
  <c r="C117" i="24"/>
  <c r="C77" i="21"/>
  <c r="C127" i="21" s="1"/>
  <c r="B83" i="5"/>
  <c r="G13" i="5"/>
  <c r="H13" i="5"/>
  <c r="A9" i="5"/>
  <c r="L3" i="18"/>
  <c r="N3" i="18"/>
  <c r="A54" i="5"/>
  <c r="B27" i="5"/>
  <c r="C171" i="16" l="1"/>
  <c r="C175" i="16"/>
  <c r="C10" i="23"/>
  <c r="C97" i="23"/>
  <c r="C149" i="23"/>
  <c r="C5" i="4"/>
  <c r="C7" i="4"/>
  <c r="B86" i="5"/>
  <c r="C134" i="4"/>
  <c r="C71" i="21"/>
  <c r="C122" i="21" s="1"/>
  <c r="C124" i="21" s="1"/>
  <c r="C115" i="24"/>
  <c r="C173" i="23"/>
  <c r="C137" i="23"/>
  <c r="C70" i="24"/>
  <c r="C173" i="4"/>
  <c r="C76" i="24"/>
  <c r="C120" i="24"/>
  <c r="C6" i="23"/>
  <c r="C67" i="24"/>
  <c r="C65" i="24"/>
  <c r="C83" i="23"/>
  <c r="C80" i="4"/>
  <c r="C66" i="21"/>
  <c r="C81" i="23"/>
  <c r="B82" i="5"/>
  <c r="C85" i="23"/>
  <c r="C94" i="4"/>
  <c r="C9" i="4"/>
  <c r="C78" i="4"/>
  <c r="B79" i="5"/>
  <c r="D2" i="18"/>
  <c r="B84" i="5"/>
  <c r="J3" i="18"/>
  <c r="B85" i="5"/>
  <c r="D3" i="18"/>
  <c r="B80" i="5"/>
  <c r="F3" i="18"/>
  <c r="B81" i="5"/>
  <c r="A67" i="5"/>
  <c r="A35" i="5" s="1"/>
  <c r="F35" i="5" s="1"/>
  <c r="A55" i="5"/>
  <c r="A71" i="5"/>
  <c r="A37" i="5" s="1"/>
  <c r="F37" i="5" s="1"/>
  <c r="A59" i="5"/>
  <c r="A69" i="5"/>
  <c r="A36" i="5" s="1"/>
  <c r="F36" i="5" s="1"/>
  <c r="A65" i="5"/>
  <c r="A34" i="5" s="1"/>
  <c r="F34" i="5" s="1"/>
  <c r="A61" i="5"/>
  <c r="A57" i="5"/>
  <c r="C83" i="4" l="1"/>
  <c r="C81" i="4"/>
  <c r="C79" i="4"/>
  <c r="C12" i="23"/>
  <c r="C20" i="23"/>
  <c r="C17" i="4"/>
  <c r="H3" i="18"/>
  <c r="A20" i="5"/>
  <c r="F20" i="5" s="1"/>
  <c r="A13" i="5"/>
  <c r="F13" i="5" s="1"/>
  <c r="A14" i="5"/>
  <c r="F14" i="5" s="1"/>
  <c r="A21" i="5"/>
  <c r="F21" i="5" s="1"/>
  <c r="A23" i="5"/>
  <c r="F23" i="5" s="1"/>
  <c r="A16" i="5"/>
  <c r="F16" i="5" s="1"/>
  <c r="A27" i="5"/>
  <c r="F27" i="5" s="1"/>
  <c r="A28" i="5"/>
  <c r="F28" i="5" s="1"/>
  <c r="A29" i="5"/>
  <c r="F29" i="5" s="1"/>
  <c r="A22" i="5"/>
  <c r="F22" i="5" s="1"/>
  <c r="A15" i="5"/>
  <c r="F15" i="5" s="1"/>
  <c r="A30" i="5"/>
  <c r="F30" i="5" s="1"/>
  <c r="C134" i="24" l="1"/>
  <c r="C133" i="24"/>
  <c r="C169" i="23"/>
  <c r="C158" i="24"/>
  <c r="C157" i="24"/>
  <c r="C101" i="24"/>
  <c r="C150" i="24"/>
  <c r="C149" i="24"/>
  <c r="C142" i="24"/>
  <c r="C141" i="24"/>
  <c r="C139" i="24"/>
  <c r="C88" i="24"/>
  <c r="C94" i="24"/>
  <c r="C95" i="24"/>
  <c r="C109" i="24"/>
  <c r="C108" i="24"/>
  <c r="C132" i="24"/>
  <c r="B133" i="24"/>
  <c r="B132" i="24"/>
  <c r="B156" i="24"/>
  <c r="C168" i="23"/>
  <c r="C156" i="24"/>
  <c r="B158" i="24"/>
  <c r="B157" i="24"/>
  <c r="B149" i="24"/>
  <c r="B150" i="24"/>
  <c r="C148" i="24"/>
  <c r="B148" i="24"/>
  <c r="C140" i="24"/>
  <c r="B141" i="24"/>
  <c r="B140" i="24"/>
  <c r="B142" i="24"/>
  <c r="C7" i="23"/>
  <c r="C103" i="24"/>
  <c r="C100" i="24"/>
  <c r="C110" i="24"/>
  <c r="C96" i="24"/>
  <c r="C93" i="24"/>
  <c r="C86" i="24"/>
  <c r="C89" i="24"/>
  <c r="C40" i="23"/>
  <c r="B122" i="23" s="1"/>
  <c r="C91" i="23"/>
  <c r="C87" i="23"/>
  <c r="C24" i="23"/>
  <c r="B108" i="23" s="1"/>
  <c r="C89" i="23"/>
  <c r="C32" i="23"/>
  <c r="B115" i="23" s="1"/>
  <c r="C93" i="23"/>
  <c r="C48" i="23"/>
  <c r="B129" i="23" s="1"/>
  <c r="D108" i="23" l="1"/>
  <c r="E108" i="23"/>
  <c r="D129" i="23"/>
  <c r="E129" i="23"/>
  <c r="D122" i="23"/>
  <c r="E122" i="23"/>
  <c r="D115" i="23"/>
  <c r="E115" i="23"/>
  <c r="C43" i="23"/>
  <c r="C45" i="23"/>
  <c r="C44" i="23"/>
  <c r="C46" i="23"/>
  <c r="C47" i="23"/>
  <c r="C129" i="23" s="1"/>
  <c r="C41" i="23"/>
  <c r="C42" i="23"/>
  <c r="C50" i="23"/>
  <c r="C52" i="23"/>
  <c r="C49" i="23"/>
  <c r="C51" i="23"/>
  <c r="C53" i="23"/>
  <c r="C54" i="23"/>
  <c r="C55" i="23"/>
  <c r="C36" i="23"/>
  <c r="C38" i="23"/>
  <c r="C33" i="23"/>
  <c r="C34" i="23"/>
  <c r="C35" i="23"/>
  <c r="C37" i="23"/>
  <c r="C39" i="23"/>
  <c r="C108" i="23"/>
  <c r="C31" i="23"/>
  <c r="C26" i="23"/>
  <c r="C25" i="23"/>
  <c r="C29" i="23"/>
  <c r="C30" i="23" s="1"/>
  <c r="C28" i="23"/>
  <c r="C27" i="23"/>
  <c r="C133" i="23"/>
  <c r="C132" i="23"/>
  <c r="C122" i="23"/>
  <c r="C126" i="23"/>
  <c r="C125" i="23"/>
  <c r="C115" i="23"/>
  <c r="C119" i="23"/>
  <c r="C118" i="23"/>
  <c r="C156" i="4"/>
  <c r="C150" i="4"/>
  <c r="C170" i="23"/>
  <c r="C155" i="4"/>
  <c r="C176" i="23"/>
  <c r="C112" i="23"/>
  <c r="C111" i="23"/>
  <c r="C113" i="23"/>
  <c r="B110" i="23"/>
  <c r="B114" i="23"/>
  <c r="C114" i="23"/>
  <c r="C109" i="23"/>
  <c r="B111" i="23"/>
  <c r="B109" i="23"/>
  <c r="B112" i="23"/>
  <c r="B113" i="23"/>
  <c r="C110" i="23"/>
  <c r="B117" i="23"/>
  <c r="B118" i="23"/>
  <c r="B116" i="23"/>
  <c r="B120" i="23"/>
  <c r="C116" i="23"/>
  <c r="B119" i="23"/>
  <c r="C120" i="23"/>
  <c r="B121" i="23"/>
  <c r="C121" i="23"/>
  <c r="C117" i="23"/>
  <c r="B131" i="23"/>
  <c r="B133" i="23"/>
  <c r="B135" i="23"/>
  <c r="C135" i="23"/>
  <c r="C134" i="23"/>
  <c r="C130" i="23"/>
  <c r="B134" i="23"/>
  <c r="B132" i="23"/>
  <c r="B130" i="23"/>
  <c r="C131" i="23"/>
  <c r="C127" i="23"/>
  <c r="C123" i="23"/>
  <c r="B125" i="23"/>
  <c r="B124" i="23"/>
  <c r="B127" i="23"/>
  <c r="B128" i="23"/>
  <c r="B123" i="23"/>
  <c r="C128" i="23"/>
  <c r="B126" i="23"/>
  <c r="C124" i="23"/>
  <c r="B112" i="4"/>
  <c r="B119" i="4"/>
  <c r="B105" i="4"/>
  <c r="D112" i="4" l="1"/>
  <c r="E112" i="4"/>
  <c r="D105" i="4"/>
  <c r="E105" i="4"/>
  <c r="B126" i="4"/>
  <c r="D119" i="4"/>
  <c r="E119" i="4"/>
  <c r="C91" i="4"/>
  <c r="C85" i="4"/>
  <c r="C89" i="4"/>
  <c r="C87" i="4"/>
  <c r="C129" i="4"/>
  <c r="C127" i="4"/>
  <c r="C50" i="4"/>
  <c r="C46" i="4"/>
  <c r="B128" i="4"/>
  <c r="C132" i="4"/>
  <c r="C131" i="4"/>
  <c r="C128" i="4"/>
  <c r="C47" i="4"/>
  <c r="B129" i="4"/>
  <c r="C52" i="4"/>
  <c r="C48" i="4"/>
  <c r="C49" i="4"/>
  <c r="B130" i="4"/>
  <c r="B131" i="4"/>
  <c r="C51" i="4"/>
  <c r="B127" i="4"/>
  <c r="B132" i="4"/>
  <c r="C130" i="4"/>
  <c r="C116" i="4"/>
  <c r="C115" i="4"/>
  <c r="C122" i="4"/>
  <c r="C123" i="4"/>
  <c r="C31" i="4"/>
  <c r="C118" i="4"/>
  <c r="C117" i="4"/>
  <c r="B118" i="4"/>
  <c r="B117" i="4"/>
  <c r="B115" i="4"/>
  <c r="B116" i="4"/>
  <c r="C111" i="4"/>
  <c r="C109" i="4"/>
  <c r="C110" i="4"/>
  <c r="C108" i="4"/>
  <c r="B110" i="4"/>
  <c r="B108" i="4"/>
  <c r="B109" i="4"/>
  <c r="B111" i="4"/>
  <c r="C38" i="4"/>
  <c r="C124" i="4"/>
  <c r="B122" i="4"/>
  <c r="C125" i="4"/>
  <c r="B125" i="4"/>
  <c r="B124" i="4"/>
  <c r="B123" i="4"/>
  <c r="C26" i="4"/>
  <c r="C22" i="4"/>
  <c r="C27" i="4"/>
  <c r="C25" i="4"/>
  <c r="C106" i="4"/>
  <c r="C113" i="4"/>
  <c r="C23" i="4"/>
  <c r="C35" i="4"/>
  <c r="C24" i="4"/>
  <c r="C107" i="4"/>
  <c r="C28" i="4"/>
  <c r="C30" i="4"/>
  <c r="C44" i="4"/>
  <c r="C126" i="4" s="1"/>
  <c r="B121" i="4"/>
  <c r="B120" i="4"/>
  <c r="B113" i="4"/>
  <c r="B114" i="4"/>
  <c r="B106" i="4"/>
  <c r="B107" i="4"/>
  <c r="C32" i="4"/>
  <c r="C34" i="4"/>
  <c r="C114" i="4"/>
  <c r="C36" i="4"/>
  <c r="C33" i="4"/>
  <c r="C40" i="4"/>
  <c r="C121" i="4"/>
  <c r="C42" i="4"/>
  <c r="C43" i="4"/>
  <c r="C39" i="4"/>
  <c r="C41" i="4"/>
  <c r="C120" i="4"/>
  <c r="E126" i="4" l="1"/>
  <c r="D126" i="4"/>
</calcChain>
</file>

<file path=xl/sharedStrings.xml><?xml version="1.0" encoding="utf-8"?>
<sst xmlns="http://schemas.openxmlformats.org/spreadsheetml/2006/main" count="987" uniqueCount="691">
  <si>
    <t>Production URL</t>
  </si>
  <si>
    <t>Sandbox URL</t>
  </si>
  <si>
    <t>SaaS Info URL</t>
  </si>
  <si>
    <t>SF Ticket Number</t>
  </si>
  <si>
    <t>Environment Metadata</t>
  </si>
  <si>
    <t>Value</t>
  </si>
  <si>
    <t>Prod Alias</t>
  </si>
  <si>
    <t>Sandbox Alias</t>
  </si>
  <si>
    <t>Data Center Location</t>
  </si>
  <si>
    <t>fr</t>
  </si>
  <si>
    <t>Customer Abbreviation</t>
  </si>
  <si>
    <t xml:space="preserve">Prod Server Number </t>
  </si>
  <si>
    <t>Sandbox Server Number</t>
  </si>
  <si>
    <t>Customer Current Major Version (Production)</t>
  </si>
  <si>
    <t>Customer OU Name in AD</t>
  </si>
  <si>
    <t>New Relic</t>
  </si>
  <si>
    <t>Unencrypted PVMaster Pass.</t>
  </si>
  <si>
    <t>Encrypted PVMaster Pass.</t>
  </si>
  <si>
    <t>AWS Build</t>
  </si>
  <si>
    <t>Combined Web / App</t>
  </si>
  <si>
    <t>Environment Logistics</t>
  </si>
  <si>
    <t>Production</t>
  </si>
  <si>
    <t>Sandbox</t>
  </si>
  <si>
    <t>PRM License Count</t>
  </si>
  <si>
    <t># Servers</t>
  </si>
  <si>
    <t># Web Servers per Environment</t>
  </si>
  <si>
    <t>Environment Version</t>
  </si>
  <si>
    <t>Progressing Version</t>
  </si>
  <si>
    <t>Latest Release</t>
  </si>
  <si>
    <t># of Custom SAS Cubes/Models</t>
  </si>
  <si>
    <t>*Detailed List Available Below</t>
  </si>
  <si>
    <t>Report Migration Required</t>
  </si>
  <si>
    <t># of Interfaces</t>
  </si>
  <si>
    <t>PP  Connector</t>
  </si>
  <si>
    <t>LK Connector</t>
  </si>
  <si>
    <t>CTM Connector</t>
  </si>
  <si>
    <t>CTM in use</t>
  </si>
  <si>
    <t>IP Restrictions</t>
  </si>
  <si>
    <t>Open Suite</t>
  </si>
  <si>
    <t>No</t>
  </si>
  <si>
    <t>Yes</t>
  </si>
  <si>
    <t>Database Logistics</t>
  </si>
  <si>
    <t>Production (XXXPROD)</t>
  </si>
  <si>
    <t>Sandbox (XXXSANDBOX1)</t>
  </si>
  <si>
    <t>SQL MAX DOP</t>
  </si>
  <si>
    <t>SQL COST THRESHOLD</t>
  </si>
  <si>
    <t>DB Encryption</t>
  </si>
  <si>
    <t>Minimum Server Memory</t>
  </si>
  <si>
    <t>Maximum Server Memory</t>
  </si>
  <si>
    <t>DB size</t>
  </si>
  <si>
    <t>Report Farm URL</t>
  </si>
  <si>
    <t>https://pbirsfarm01fr.pvcloud.com/reportserver</t>
  </si>
  <si>
    <t>Resouce Alignment</t>
  </si>
  <si>
    <t>NAME</t>
  </si>
  <si>
    <t>CPUs</t>
  </si>
  <si>
    <t>RAM (GB)</t>
  </si>
  <si>
    <t>HD SIZES</t>
  </si>
  <si>
    <t>HD IS STANDARD</t>
  </si>
  <si>
    <t>CUSTOM SCHEDULED TASKS</t>
  </si>
  <si>
    <t>INSTANCE SIZE (AWS)</t>
  </si>
  <si>
    <t>AVAILABILITY ZONE (AWS)</t>
  </si>
  <si>
    <t>IP ADDRESS (AWS)</t>
  </si>
  <si>
    <t>INSTANCE ID (AWS)</t>
  </si>
  <si>
    <t>Production Servers</t>
  </si>
  <si>
    <t>WEB Server</t>
  </si>
  <si>
    <t>APP Server</t>
  </si>
  <si>
    <t>CTM Server</t>
  </si>
  <si>
    <t>SQL Server</t>
  </si>
  <si>
    <t>SAS Server</t>
  </si>
  <si>
    <t>PVE Server</t>
  </si>
  <si>
    <t>Additional Production Web Servers</t>
  </si>
  <si>
    <t>Sandbox Servers</t>
  </si>
  <si>
    <t>Additional Sandbox Web Servers</t>
  </si>
  <si>
    <t>Models</t>
  </si>
  <si>
    <t>Interfaces</t>
  </si>
  <si>
    <t>Databases</t>
  </si>
  <si>
    <t>Details</t>
  </si>
  <si>
    <t>Hours</t>
  </si>
  <si>
    <t>Build Type</t>
  </si>
  <si>
    <t>Upgrade</t>
  </si>
  <si>
    <t>Description</t>
  </si>
  <si>
    <t>Prod Customer Url</t>
  </si>
  <si>
    <t>Additonal Web</t>
  </si>
  <si>
    <t>Prod Servers</t>
  </si>
  <si>
    <t>Prod Version</t>
  </si>
  <si>
    <t>SB Version</t>
  </si>
  <si>
    <t>Customer Current Major Ver.</t>
  </si>
  <si>
    <t># of Integrations</t>
  </si>
  <si>
    <t>PRM Adapater</t>
  </si>
  <si>
    <t>PRM SB Aligned to Database</t>
  </si>
  <si>
    <t>PP Connector SB Location</t>
  </si>
  <si>
    <t>EU</t>
  </si>
  <si>
    <t>LK Card Link</t>
  </si>
  <si>
    <t>PP Connector SB Account Number</t>
  </si>
  <si>
    <t>N/A</t>
  </si>
  <si>
    <t>SaaS Info</t>
  </si>
  <si>
    <t>Source PRM DB:</t>
  </si>
  <si>
    <t>Source CTM DB:</t>
  </si>
  <si>
    <t>Notes</t>
  </si>
  <si>
    <t>Version mismatch</t>
  </si>
  <si>
    <t>Align CTM</t>
  </si>
  <si>
    <t>see LK card comments</t>
  </si>
  <si>
    <t>Total:</t>
  </si>
  <si>
    <t>Customer has some custom</t>
  </si>
  <si>
    <t>values in application.</t>
  </si>
  <si>
    <t>See LK attachments</t>
  </si>
  <si>
    <t>Build Analysis</t>
  </si>
  <si>
    <t>SB Sync Estimate</t>
  </si>
  <si>
    <t>Build Estimate per environment</t>
  </si>
  <si>
    <t>Resources Alignment</t>
  </si>
  <si>
    <t>Prod</t>
  </si>
  <si>
    <t>SB</t>
  </si>
  <si>
    <t>PVE CPU's</t>
  </si>
  <si>
    <t>PVE RAM</t>
  </si>
  <si>
    <t>Standard PVE Disk</t>
  </si>
  <si>
    <t>Web CPU's</t>
  </si>
  <si>
    <t>Web RAM</t>
  </si>
  <si>
    <t>Standard Web Disk</t>
  </si>
  <si>
    <t>App CPU's</t>
  </si>
  <si>
    <t>App RAM</t>
  </si>
  <si>
    <t>Standard App Disk</t>
  </si>
  <si>
    <t>SAS CPU</t>
  </si>
  <si>
    <t>SAS RAM</t>
  </si>
  <si>
    <t>Standard SAS Disk</t>
  </si>
  <si>
    <t>SQL CPU</t>
  </si>
  <si>
    <t>SQL RAM</t>
  </si>
  <si>
    <t>Standard SQL Disk</t>
  </si>
  <si>
    <t>Min SQL Memory</t>
  </si>
  <si>
    <t>Max SQL Memory</t>
  </si>
  <si>
    <t>CTM CPU's</t>
  </si>
  <si>
    <t>CTM RAM</t>
  </si>
  <si>
    <t>Standard CTM  Disk</t>
  </si>
  <si>
    <t>IP RESTICTIONS</t>
  </si>
  <si>
    <t>DB ENCRYPTION</t>
  </si>
  <si>
    <t>OPEN SUITE</t>
  </si>
  <si>
    <t>Objective</t>
  </si>
  <si>
    <t>NOTES</t>
  </si>
  <si>
    <t>COMPLETE</t>
  </si>
  <si>
    <t>Move LK Card</t>
  </si>
  <si>
    <t>https://planview.leankit.com/board/751178783
Drag or right click LK card Move to Lane -&gt; PRM + CTM under Pre-Prod and Sandbox in the Build Team In Progress column.  Assign card to yourself.</t>
  </si>
  <si>
    <t>Align Server Resources</t>
  </si>
  <si>
    <t>Take backup of all non system db's in Sandbox</t>
  </si>
  <si>
    <t>CD\</t>
  </si>
  <si>
    <t>(get-item DBBackups.0).start()</t>
  </si>
  <si>
    <t>(get-item DBBackups.0 | FT CurrentRunStatus, LastRunOutcome)</t>
  </si>
  <si>
    <t>F:</t>
  </si>
  <si>
    <t>Update Reporting Datasources</t>
  </si>
  <si>
    <t>URL</t>
  </si>
  <si>
    <t>Connection String</t>
  </si>
  <si>
    <t>PW</t>
  </si>
  <si>
    <t>hails-nGHrJ</t>
  </si>
  <si>
    <t>Sandbox TSQL post restore</t>
  </si>
  <si>
    <t>Connectors</t>
  </si>
  <si>
    <t>Update web.config files</t>
  </si>
  <si>
    <t>oData</t>
  </si>
  <si>
    <t>Planview</t>
  </si>
  <si>
    <t>Validation</t>
  </si>
  <si>
    <t>Validate ADM 01</t>
  </si>
  <si>
    <t>Validate Versions using following URLs</t>
  </si>
  <si>
    <t>Test odata with following URLs</t>
  </si>
  <si>
    <t>Test Progression Engine</t>
  </si>
  <si>
    <t>Administration &gt; Reporting &gt; Model Management</t>
  </si>
  <si>
    <t>Administration &gt; System Configuration &gt; Database Management</t>
  </si>
  <si>
    <t>Administration &gt; Reporting &gt; DataSet Management</t>
  </si>
  <si>
    <t>Test Access Manager and Validate TESE is functioning properly</t>
  </si>
  <si>
    <t>Content Search</t>
  </si>
  <si>
    <t>Validate CTM site launches successfully from PRM</t>
  </si>
  <si>
    <t>PRM Health Check</t>
  </si>
  <si>
    <t>CTM Health Check</t>
  </si>
  <si>
    <t>https://planview.leankit.com/board/751178783
Drag or right click LK card Move to Lane -&gt; Testing -&gt; Sandbox -&gt; 17 Testing and assign to UMT.</t>
  </si>
  <si>
    <t>COMMENTS</t>
  </si>
  <si>
    <t>Drag or right click LK card Move to Lane -&gt; Testing -&gt; Sandbox -&gt; BLD Schedule In-Place.</t>
  </si>
  <si>
    <t>Customer Notification</t>
  </si>
  <si>
    <t>This is a courtesy reminder to inform you that your sandbox environment upgrade will begin today at (using customer local time, specifiy start time here, no need for our start time) and is scheduled for X hours.  Please refrain from reporting issues until Planview has notified you that your upgrade is ready.
Best Regards,
Planview Cloud Operations</t>
  </si>
  <si>
    <t>Disable Monitoring in Datadog</t>
  </si>
  <si>
    <t>https://app.datadoghq.com/infrastructure</t>
  </si>
  <si>
    <t>Maintenance Begins</t>
  </si>
  <si>
    <t>Reboot all servers to receive Windows updates</t>
  </si>
  <si>
    <t>Sleep 5 minutes for reboot</t>
  </si>
  <si>
    <t>Display maintenance page</t>
  </si>
  <si>
    <t>Disable PRM Services</t>
  </si>
  <si>
    <t>Backup Databases</t>
  </si>
  <si>
    <t>Snapshots</t>
  </si>
  <si>
    <t>Run SQL CU update Pipe</t>
  </si>
  <si>
    <t>TARGET_SERVER_NAME</t>
  </si>
  <si>
    <t>CU_VERSION</t>
  </si>
  <si>
    <t>NODE_NAME</t>
  </si>
  <si>
    <t>Run Jenkins CTM Upgrade Pipe</t>
  </si>
  <si>
    <t>DNS_HOST_NAME</t>
  </si>
  <si>
    <t>CUSTOMER_CODE</t>
  </si>
  <si>
    <t>SKIP_SNAPS</t>
  </si>
  <si>
    <t>NODE_LABEL</t>
  </si>
  <si>
    <t xml:space="preserve">Run E1 Upgrade pipe </t>
  </si>
  <si>
    <t>Run Jenkins TRX Update pipe</t>
  </si>
  <si>
    <t>UPDATE_VERSION</t>
  </si>
  <si>
    <t>CUSTOMER_NAME</t>
  </si>
  <si>
    <t>Run Jenkins E1 Update pipe</t>
  </si>
  <si>
    <t>Apply key disk to all databases</t>
  </si>
  <si>
    <t>Key Disk</t>
  </si>
  <si>
    <t>Flush Akamai</t>
  </si>
  <si>
    <t>https://control.akamai.com/apps/fast-purge/#/ccu-main</t>
  </si>
  <si>
    <t>Drag or right click LK card Move to Lane -&gt; Testing -&gt; Sandbox -&gt; BLD Schedule In-Place and assign to UMT.</t>
  </si>
  <si>
    <t>Slack UMT</t>
  </si>
  <si>
    <t xml:space="preserve">Notify #e1-live-cutovers </t>
  </si>
  <si>
    <t>STEP</t>
  </si>
  <si>
    <t>Notify customers of outage</t>
  </si>
  <si>
    <r>
      <t xml:space="preserve">This is a courtesy reminder to inform you that your sandbox environment upgrade will begin today at </t>
    </r>
    <r>
      <rPr>
        <sz val="11"/>
        <color rgb="FFFF0000"/>
        <rFont val="Calibri"/>
        <family val="2"/>
        <scheme val="minor"/>
      </rPr>
      <t>(using customer local time, specifiy start time here, no need for our start time)</t>
    </r>
    <r>
      <rPr>
        <sz val="11"/>
        <color theme="1"/>
        <rFont val="Calibri"/>
        <family val="2"/>
        <scheme val="minor"/>
      </rPr>
      <t xml:space="preserve"> and is scheduled for </t>
    </r>
    <r>
      <rPr>
        <sz val="11"/>
        <color rgb="FFFF0000"/>
        <rFont val="Calibri"/>
        <family val="2"/>
        <scheme val="minor"/>
      </rPr>
      <t>X</t>
    </r>
    <r>
      <rPr>
        <sz val="11"/>
        <color theme="1"/>
        <rFont val="Calibri"/>
        <family val="2"/>
        <scheme val="minor"/>
      </rPr>
      <t xml:space="preserve"> hours.  Please refrain from reporting issues until Planview has notified you that your upgraded is ready.
Best Regards,
Planview Cloud Operations</t>
    </r>
  </si>
  <si>
    <t>Disable Monitoring in Datadog (4 hours)</t>
  </si>
  <si>
    <t>Stop Planview services and IIS on all web\app servers</t>
  </si>
  <si>
    <t>EXIT</t>
  </si>
  <si>
    <t>Take Backup of all databases</t>
  </si>
  <si>
    <t>Run Jenkins job to create AMI backups; Web(s), App, SQL, CTM</t>
  </si>
  <si>
    <t>https://jenkins.planviewcloud.net/job/create_ami_pipe/build?delay=0sec</t>
  </si>
  <si>
    <t>UPGRADE E1</t>
  </si>
  <si>
    <t>https://jenkins.planviewcloud.net/job/e1_upgrade_pipe/build?delay=0sec</t>
  </si>
  <si>
    <t>UPGRADE CTM</t>
  </si>
  <si>
    <t>https://jenkins.planviewcloud.net/job/ctm_upgrade_pipe/build?delay=0sec</t>
  </si>
  <si>
    <t>E1 Update</t>
  </si>
  <si>
    <t>https://jenkins.planviewcloud.net/job/e1_update_pipe/build?delay=0sec</t>
  </si>
  <si>
    <t>TRX Update</t>
  </si>
  <si>
    <t>https://jenkins.planviewcloud.net/job/trx_update_pipe/build?delay=0sec</t>
  </si>
  <si>
    <t>Run any patches and DM Generic fix, as necessary</t>
  </si>
  <si>
    <t>Drag or right click LK card Move to Lane -&gt; Testing -&gt; Sandbox -&gt; 18 Testing and assign to UMT.</t>
  </si>
  <si>
    <t>Pass = 2
Warn = 1
Fail = 0</t>
  </si>
  <si>
    <t>ISSUES (Link to Slack or Jira)</t>
  </si>
  <si>
    <t>Validate Versions using following URLs.</t>
  </si>
  <si>
    <t>Verify Generic fix for DM version is at latest</t>
  </si>
  <si>
    <t>select * from ip.dm_version order by seq desc</t>
  </si>
  <si>
    <t>Drag or right click LK card Move to Lane -&gt; Scheduled Cutoer -&gt; This Week -&gt; Cutovers -&gt; In Progress</t>
  </si>
  <si>
    <t>Notify customer that work is beginning</t>
  </si>
  <si>
    <t>This is a courtesy reminder to inform you that your production environment upgrade will begin today at (using customer local time, specifiy start time here, no need for our start time) and is scheduled for X hours.  Please refrain from reporting issues until Planview has notified you that your upgraded is ready.
Best Regards,
Planview Cloud Operations</t>
  </si>
  <si>
    <t>Prior to start time:</t>
  </si>
  <si>
    <t>Disable Monitoring in 24x7</t>
  </si>
  <si>
    <t>https://www.site24x7.com/app/client#/home/monitors</t>
  </si>
  <si>
    <t>At designated start time, disable web servers from F5</t>
  </si>
  <si>
    <t>Take Backup</t>
  </si>
  <si>
    <t>Run E1 Upgrade pipe</t>
  </si>
  <si>
    <t>NODE_NAME_TUP</t>
  </si>
  <si>
    <r>
      <t xml:space="preserve">This is a courtesy reminder to inform you that your production environment upgrade will begin today at </t>
    </r>
    <r>
      <rPr>
        <b/>
        <sz val="11"/>
        <color rgb="FFFF0000"/>
        <rFont val="Calibri"/>
        <family val="2"/>
        <scheme val="minor"/>
      </rPr>
      <t>(using customer local time, specifiy start time here, no need for our start time)</t>
    </r>
    <r>
      <rPr>
        <sz val="11"/>
        <color theme="1"/>
        <rFont val="Calibri"/>
        <family val="2"/>
        <scheme val="minor"/>
      </rPr>
      <t xml:space="preserve"> and is scheduled for </t>
    </r>
    <r>
      <rPr>
        <b/>
        <sz val="11"/>
        <color rgb="FFFF0000"/>
        <rFont val="Calibri"/>
        <family val="2"/>
        <scheme val="minor"/>
      </rPr>
      <t>X</t>
    </r>
    <r>
      <rPr>
        <sz val="11"/>
        <color theme="1"/>
        <rFont val="Calibri"/>
        <family val="2"/>
        <scheme val="minor"/>
      </rPr>
      <t xml:space="preserve"> hours.  Please refrain from reporting issues until Planview has notified you that your upgraded is ready.
Best Regards,
Planview Cloud Operations</t>
    </r>
  </si>
  <si>
    <t>Disable 24x7 Monitoring</t>
  </si>
  <si>
    <t>Disable Datadog monitoring, Select E1</t>
  </si>
  <si>
    <t>Restart Servers</t>
  </si>
  <si>
    <t>Run Jenkins job to upgrade</t>
  </si>
  <si>
    <t>Automated Complete
no additional web servers</t>
  </si>
  <si>
    <t>Run Jenksin Job to upgrade CTM</t>
  </si>
  <si>
    <t>https://jenkins.planviewcloud.net/job/e1_uppdate_pipe/build?delay=0sec</t>
  </si>
  <si>
    <t>Install Latest Progression / Patches</t>
  </si>
  <si>
    <t>Update datamart to laest generic fix to all DM databases</t>
  </si>
  <si>
    <t>Run progression db script against all db's if not at 06 version.</t>
  </si>
  <si>
    <t>Drag or right click LK card Move to Lane -&gt; Scheduled Cutoer -&gt; This Week -&gt; Cutovers -&gt; Go Live Testing and assign to UMT</t>
  </si>
  <si>
    <t>Command</t>
  </si>
  <si>
    <t>Params</t>
  </si>
  <si>
    <t>Values</t>
  </si>
  <si>
    <t>CALCS</t>
  </si>
  <si>
    <t xml:space="preserve">backup-pvdatabase </t>
  </si>
  <si>
    <t xml:space="preserve">-excludedatamart </t>
  </si>
  <si>
    <t xml:space="preserve">0 </t>
  </si>
  <si>
    <t xml:space="preserve">Invoke-Command </t>
  </si>
  <si>
    <t xml:space="preserve">-sqlbackupdirectory </t>
  </si>
  <si>
    <t>5</t>
  </si>
  <si>
    <t xml:space="preserve">Set-DataDogMaintWin </t>
  </si>
  <si>
    <t xml:space="preserve"> -Verbose</t>
  </si>
  <si>
    <t>10</t>
  </si>
  <si>
    <t xml:space="preserve">Invoke-sqlcmd </t>
  </si>
  <si>
    <t xml:space="preserve">-hosts </t>
  </si>
  <si>
    <t>168</t>
  </si>
  <si>
    <t xml:space="preserve">Get-PSDrive </t>
  </si>
  <si>
    <t xml:space="preserve">-END </t>
  </si>
  <si>
    <t xml:space="preserve">F:\Deploy\UpgradeDBBackup.sql </t>
  </si>
  <si>
    <t xml:space="preserve">Select-Object </t>
  </si>
  <si>
    <t>get-date</t>
  </si>
  <si>
    <t>OU=ZZZZ: Decommission Servers,OU=Hosting,DC=us,DC=planview,DC=world</t>
  </si>
  <si>
    <t>SB All</t>
  </si>
  <si>
    <t xml:space="preserve">Get-ADComputer </t>
  </si>
  <si>
    <t>.AddHours</t>
  </si>
  <si>
    <t>F:\sqlbackup</t>
  </si>
  <si>
    <t xml:space="preserve">Get-ChildItem </t>
  </si>
  <si>
    <t xml:space="preserve">-QueryTimeout </t>
  </si>
  <si>
    <t>\\</t>
  </si>
  <si>
    <t xml:space="preserve">Get-SqlAgent </t>
  </si>
  <si>
    <t xml:space="preserve">-ServerInstance </t>
  </si>
  <si>
    <t>\</t>
  </si>
  <si>
    <t xml:space="preserve">Get-SqlAgentJob </t>
  </si>
  <si>
    <t xml:space="preserve">-InputFile </t>
  </si>
  <si>
    <t>F$</t>
  </si>
  <si>
    <t>SB Web</t>
  </si>
  <si>
    <t xml:space="preserve">New-DDDowntime </t>
  </si>
  <si>
    <t xml:space="preserve"> -ScriptBlock</t>
  </si>
  <si>
    <t>sqlbackup</t>
  </si>
  <si>
    <t xml:space="preserve">-CustID </t>
  </si>
  <si>
    <t xml:space="preserve">"Muting environment for In Place Upgrade" </t>
  </si>
  <si>
    <t xml:space="preserve">start-sleep </t>
  </si>
  <si>
    <t>PSComputerName</t>
  </si>
  <si>
    <t>"</t>
  </si>
  <si>
    <t>Move-ADObject</t>
  </si>
  <si>
    <t>Prod All</t>
  </si>
  <si>
    <t xml:space="preserve">Enter-PVSession </t>
  </si>
  <si>
    <t>-TargetPath</t>
  </si>
  <si>
    <t xml:space="preserve"> {</t>
  </si>
  <si>
    <t xml:space="preserve"> -Recurse </t>
  </si>
  <si>
    <t>}</t>
  </si>
  <si>
    <t xml:space="preserve">copy-item </t>
  </si>
  <si>
    <t xml:space="preserve">Stop-Service </t>
  </si>
  <si>
    <t>*</t>
  </si>
  <si>
    <t xml:space="preserve">Copy-PVDatabase </t>
  </si>
  <si>
    <t xml:space="preserve">Start-Service </t>
  </si>
  <si>
    <t>@</t>
  </si>
  <si>
    <t>Prod Web</t>
  </si>
  <si>
    <t xml:space="preserve">Start-Process </t>
  </si>
  <si>
    <t xml:space="preserve">stop-WebAppPool </t>
  </si>
  <si>
    <t>('</t>
  </si>
  <si>
    <t xml:space="preserve"> -Mutelength </t>
  </si>
  <si>
    <t xml:space="preserve"> -Message </t>
  </si>
  <si>
    <t>$</t>
  </si>
  <si>
    <t xml:space="preserve">-ComputerName </t>
  </si>
  <si>
    <t xml:space="preserve"> -Command </t>
  </si>
  <si>
    <t>(</t>
  </si>
  <si>
    <t xml:space="preserve">-s </t>
  </si>
  <si>
    <t>)</t>
  </si>
  <si>
    <t xml:space="preserve"> -DisplayName </t>
  </si>
  <si>
    <t xml:space="preserve">, </t>
  </si>
  <si>
    <t xml:space="preserve"> Get-Service </t>
  </si>
  <si>
    <t xml:space="preserve">planview </t>
  </si>
  <si>
    <t>https://jenkins.planviewcloud.net/job/manage_reports_pipe/build?delay=0sec</t>
  </si>
  <si>
    <t>-AWS</t>
  </si>
  <si>
    <t>15</t>
  </si>
  <si>
    <t xml:space="preserve">Move-ADObject </t>
  </si>
  <si>
    <t xml:space="preserve"> Plan* </t>
  </si>
  <si>
    <r>
      <t>$content = [</t>
    </r>
    <r>
      <rPr>
        <sz val="9.75"/>
        <color rgb="FF2B91AF"/>
        <rFont val="Inherit"/>
      </rPr>
      <t>System</t>
    </r>
    <r>
      <rPr>
        <sz val="9.75"/>
        <color rgb="FF303336"/>
        <rFont val="Inherit"/>
      </rPr>
      <t>.IO.</t>
    </r>
    <r>
      <rPr>
        <sz val="9.75"/>
        <color rgb="FF2B91AF"/>
        <rFont val="Inherit"/>
      </rPr>
      <t>File</t>
    </r>
    <r>
      <rPr>
        <sz val="9.75"/>
        <color rgb="FF303336"/>
        <rFont val="Inherit"/>
      </rPr>
      <t>]::</t>
    </r>
    <r>
      <rPr>
        <sz val="9.75"/>
        <color rgb="FF2B91AF"/>
        <rFont val="Inherit"/>
      </rPr>
      <t>ReadAllText</t>
    </r>
    <r>
      <rPr>
        <sz val="9.75"/>
        <color rgb="FF303336"/>
        <rFont val="Inherit"/>
      </rPr>
      <t>(</t>
    </r>
    <r>
      <rPr>
        <sz val="9.75"/>
        <color rgb="FF7D2727"/>
        <rFont val="Inherit"/>
      </rPr>
      <t>"</t>
    </r>
  </si>
  <si>
    <t>60</t>
  </si>
  <si>
    <r>
      <t>.</t>
    </r>
    <r>
      <rPr>
        <sz val="9.75"/>
        <color rgb="FF2B91AF"/>
        <rFont val="Inherit"/>
      </rPr>
      <t>Replace</t>
    </r>
  </si>
  <si>
    <t>frankfurt.planviewcloud.net</t>
  </si>
  <si>
    <r>
      <t>[</t>
    </r>
    <r>
      <rPr>
        <sz val="9.75"/>
        <color rgb="FF2B91AF"/>
        <rFont val="Inherit"/>
      </rPr>
      <t>System</t>
    </r>
    <r>
      <rPr>
        <sz val="9.75"/>
        <color rgb="FF303336"/>
        <rFont val="Inherit"/>
      </rPr>
      <t>.IO.</t>
    </r>
    <r>
      <rPr>
        <sz val="9.75"/>
        <color rgb="FF2B91AF"/>
        <rFont val="Inherit"/>
      </rPr>
      <t>File</t>
    </r>
    <r>
      <rPr>
        <sz val="9.75"/>
        <color rgb="FF303336"/>
        <rFont val="Inherit"/>
      </rPr>
      <t>]::</t>
    </r>
    <r>
      <rPr>
        <sz val="9.75"/>
        <color rgb="FF2B91AF"/>
        <rFont val="Inherit"/>
      </rPr>
      <t>WriteAllText</t>
    </r>
    <r>
      <rPr>
        <sz val="9.75"/>
        <color rgb="FF303336"/>
        <rFont val="Inherit"/>
      </rPr>
      <t>(</t>
    </r>
    <r>
      <rPr>
        <sz val="9.75"/>
        <color rgb="FF7D2727"/>
        <rFont val="Inherit"/>
      </rPr>
      <t>"</t>
    </r>
  </si>
  <si>
    <t>Robocopy.exe</t>
  </si>
  <si>
    <t xml:space="preserve"> $content</t>
  </si>
  <si>
    <t xml:space="preserve"> -TargetPath "OU=ZZZZ: Decommission Servers,OU=Hosting,DC=us,DC=planview,DC=world"</t>
  </si>
  <si>
    <t xml:space="preserve">-Path </t>
  </si>
  <si>
    <t>|</t>
  </si>
  <si>
    <t xml:space="preserve"> -Destination </t>
  </si>
  <si>
    <t>F:\Planview\MidTier\webserver\Login\Oauth\web.config</t>
  </si>
  <si>
    <t>https://planview.lightning.force.com/lightning/r/Case/5001M00001Zu5wsQAB/view</t>
  </si>
  <si>
    <t>-Force</t>
  </si>
  <si>
    <t>F:\Planview\MidTier\webserver\objects\dbconnection.ini</t>
  </si>
  <si>
    <t xml:space="preserve"> -SourceDBServer </t>
  </si>
  <si>
    <t>C:\ProgramData\New Relic\.NET Agent\newrelic.config</t>
  </si>
  <si>
    <t xml:space="preserve">-SourcePVEServer </t>
  </si>
  <si>
    <t>F:\baseline\config.xml</t>
  </si>
  <si>
    <t xml:space="preserve"> -DestPVEServer </t>
  </si>
  <si>
    <r>
      <t>F</t>
    </r>
    <r>
      <rPr>
        <sz val="11"/>
        <color theme="1"/>
        <rFont val="Calibri"/>
        <family val="2"/>
        <scheme val="minor"/>
      </rPr>
      <t>:\troux\troux_home\18_0_0\utils\admin.properties</t>
    </r>
  </si>
  <si>
    <t xml:space="preserve"> -DestDBServer </t>
  </si>
  <si>
    <t>-sb</t>
  </si>
  <si>
    <t xml:space="preserve"> -SourceDB </t>
  </si>
  <si>
    <t>\F$\Planview\MidTier\webserver\objects\dbconnection.ini</t>
  </si>
  <si>
    <t xml:space="preserve"> -DestDB </t>
  </si>
  <si>
    <t xml:space="preserve">cd </t>
  </si>
  <si>
    <t xml:space="preserve"> -Cutover</t>
  </si>
  <si>
    <t xml:space="preserve">SQLSERVER: </t>
  </si>
  <si>
    <t>SQL\</t>
  </si>
  <si>
    <t>{(GCI "F:\sqlbackup\" | Measure-Object)} | ft PSComputerName, Count</t>
  </si>
  <si>
    <t xml:space="preserve">\Default\JobServer\Jobs </t>
  </si>
  <si>
    <t xml:space="preserve">(get-item DBBackups.0 | FT </t>
  </si>
  <si>
    <t xml:space="preserve">start-WebAppPool </t>
  </si>
  <si>
    <t>CurrentRunStatus</t>
  </si>
  <si>
    <t xml:space="preserve">chrome.exe </t>
  </si>
  <si>
    <t>LastRunOutcome</t>
  </si>
  <si>
    <t>(get-item DBBackups.0).drop()</t>
  </si>
  <si>
    <t xml:space="preserve">$Prodservers = </t>
  </si>
  <si>
    <t xml:space="preserve">-ErrorAction </t>
  </si>
  <si>
    <t xml:space="preserve">$SQLservers = </t>
  </si>
  <si>
    <t xml:space="preserve"> -Environment </t>
  </si>
  <si>
    <t xml:space="preserve">$servers = </t>
  </si>
  <si>
    <t xml:space="preserve">Restart-Computer </t>
  </si>
  <si>
    <t>Start-Transcript -Path F:\temp\</t>
  </si>
  <si>
    <t xml:space="preserve">Backup-SqlDatabase -ServerInstance </t>
  </si>
  <si>
    <t>\cutover.log</t>
  </si>
  <si>
    <t xml:space="preserve"> -Database </t>
  </si>
  <si>
    <t>Stop-Transcript</t>
  </si>
  <si>
    <t xml:space="preserve"> -BackupFile "\\</t>
  </si>
  <si>
    <t>\f$\planview\midtier\webserver\login\SAML\*.config"</t>
  </si>
  <si>
    <t xml:space="preserve"> -query </t>
  </si>
  <si>
    <t>\f$\planview\midtier\webserver\login\SAML\*.cer"</t>
  </si>
  <si>
    <t xml:space="preserve">  -Silent</t>
  </si>
  <si>
    <t>\f$\planview\midtier\webserver\login\SAML\*.pfx"</t>
  </si>
  <si>
    <t>/planview/login/body.asp?manual=Y</t>
  </si>
  <si>
    <t>/planview/diag/version.aspx</t>
  </si>
  <si>
    <t>/odataservice/OdataService.svc</t>
  </si>
  <si>
    <t>/planview/Progressing/ProgressInteractively.aspx</t>
  </si>
  <si>
    <t>/planview/AdminApplication/AdministerOLAPConnStrings.aspx</t>
  </si>
  <si>
    <t>/planview/AdminDatabase/Databases.aspx</t>
  </si>
  <si>
    <t>/planview/AdminApplication/AdminServices.aspx</t>
  </si>
  <si>
    <t>/ng/ctm/</t>
  </si>
  <si>
    <t xml:space="preserve">F:\Deploy\ImportConfig.bat </t>
  </si>
  <si>
    <t xml:space="preserve">Stop </t>
  </si>
  <si>
    <t>{Invoke-Expression -Command:"cmd.exe /c 'F:\ImportConfig.bat'"}</t>
  </si>
  <si>
    <t xml:space="preserve"> = </t>
  </si>
  <si>
    <t xml:space="preserve">Foreach-Object { $_ -replace "Abbreviation", </t>
  </si>
  <si>
    <t xml:space="preserve">Foreach-Object { $_ -replace </t>
  </si>
  <si>
    <t xml:space="preserve"> , "Abbreviation"</t>
  </si>
  <si>
    <t>{New-Item -Path F:\SqlBackup\SBSync -ItemType Directory}</t>
  </si>
  <si>
    <t>auprodswarm</t>
  </si>
  <si>
    <t>\F$\sqlbackup\SBSync\</t>
  </si>
  <si>
    <t>frprodswarm</t>
  </si>
  <si>
    <t>_SbSync_SBCTM.bak"</t>
  </si>
  <si>
    <t>_SbSync_PRDCTM.bak"</t>
  </si>
  <si>
    <t>_SbSync.bak"</t>
  </si>
  <si>
    <t xml:space="preserve"> -CompressionOption On</t>
  </si>
  <si>
    <t xml:space="preserve"> Master</t>
  </si>
  <si>
    <t xml:space="preserve">ALTER DATABASE </t>
  </si>
  <si>
    <t xml:space="preserve">SET SINGLE_USER WITH ROLLBACK IMMEDIATE </t>
  </si>
  <si>
    <t xml:space="preserve">DROP DATABASE </t>
  </si>
  <si>
    <t xml:space="preserve">RESTORE DATABASE </t>
  </si>
  <si>
    <t>FROM DISK = 'F:\SQLBackup\SBSync\</t>
  </si>
  <si>
    <t>WITH REPLACE, MOVE 'RPMDEV2' TO 'G:\sqldata\</t>
  </si>
  <si>
    <t>.mdf',</t>
  </si>
  <si>
    <t>MOVE 'RPMDEV2_log' TO 'G:\sqldata\</t>
  </si>
  <si>
    <t>.ldf'"</t>
  </si>
  <si>
    <t>_SbSync_PRDCTM.bak'</t>
  </si>
  <si>
    <t xml:space="preserve"> CTM*</t>
  </si>
  <si>
    <t xml:space="preserve">"Muting environment Sandbox Sync" </t>
  </si>
  <si>
    <t>MOVE 'troux_log' TO 'G:\sqldata\</t>
  </si>
  <si>
    <t>WITH REPLACE, MOVE 'troux' TO 'G:\sqldata\</t>
  </si>
  <si>
    <t xml:space="preserve">1800 </t>
  </si>
  <si>
    <t>/Reports/browse/</t>
  </si>
  <si>
    <t>/Data%20Sources</t>
  </si>
  <si>
    <t>US</t>
  </si>
  <si>
    <t xml:space="preserve"> -query "SELECT COUNT(*) FROM sys.databases where database_id not in ( 1,2,3,4 )"</t>
  </si>
  <si>
    <t>$ProdPrm</t>
  </si>
  <si>
    <t>$SbPrm</t>
  </si>
  <si>
    <t>$ProdAll</t>
  </si>
  <si>
    <t>$SbAll</t>
  </si>
  <si>
    <t>$ProdWebs</t>
  </si>
  <si>
    <t>$SBWebs</t>
  </si>
  <si>
    <t>Transactional DB Fixes</t>
  </si>
  <si>
    <t>fixes orphaned user</t>
  </si>
  <si>
    <t>exec sp_change_users_login 'Auto_fix', 'pv_report_user';</t>
  </si>
  <si>
    <t>exec sp_change_users_login 'Auto_fix', 'ip';</t>
  </si>
  <si>
    <t>exec sp_change_users_login 'Auto_fix', 'ro';</t>
  </si>
  <si>
    <t>Update tile table removing URL</t>
  </si>
  <si>
    <t>UPDATE ip.tile SET URL = REPLACE(URL, Left(URL, CHARINDEX('/PowerBI', URL) - 1), '') WHERE tile_type = 'PBIX' AND URL NOT LIKE '/PowerBI%';</t>
  </si>
  <si>
    <t>UPDATE ip.tile SET URL = REPLACE(URL, Left(URL, CHARINDEX('/Reports', URL) - 1), '') WHERE tile_type = 'REPORT' AND URL NOT LIKE '/Reports%';</t>
  </si>
  <si>
    <t>Enable CTM</t>
  </si>
  <si>
    <t>Update ip.global_options set option_value = 'Y' where option_id = '2245';</t>
  </si>
  <si>
    <t>Disables LK Connector</t>
  </si>
  <si>
    <t>update ip.global_options set option_value = 'N' where option_id = '7700';</t>
  </si>
  <si>
    <t>Defines CTM URL</t>
  </si>
  <si>
    <t>Update ip.global_options set option_value = '/ng/ctm' where option_id = '2242';</t>
  </si>
  <si>
    <t>Manual DB Copy Additional Update</t>
  </si>
  <si>
    <t>deletes job stream schedules</t>
  </si>
  <si>
    <t>delete from ip.jobq_fired_triggers;</t>
  </si>
  <si>
    <t>delete from ip.jobq_paused_trigger_grps;</t>
  </si>
  <si>
    <t>delete from ip.jobq_scheduler_state;</t>
  </si>
  <si>
    <t>delete from ip.jobq_locks;</t>
  </si>
  <si>
    <t>delete from ip.jobq_simple_triggers;</t>
  </si>
  <si>
    <t>delete from ip.jobq_simprop_triggers;</t>
  </si>
  <si>
    <t>delete from ip.jobq_blob_triggers;</t>
  </si>
  <si>
    <t>delete from ip.jobq_cron_triggers;</t>
  </si>
  <si>
    <t>delete from ip.jobq_triggers;</t>
  </si>
  <si>
    <t>delete from ip.jobq_job_details;</t>
  </si>
  <si>
    <t>delete from ip.jobq_calendars;</t>
  </si>
  <si>
    <t>delete from ip.job_stream_schedule;</t>
  </si>
  <si>
    <t>delete from ip.pv_process_log where logger='Admin.JobStream';</t>
  </si>
  <si>
    <t>Disables Project Place connector sync</t>
  </si>
  <si>
    <t>exec('update ip.planning_entity set [pp_sync] = ''PP`$SyncNo'' where pp_sync in (''PP`$SyncPP'',''PP`$SyncPVE'') ')"</t>
  </si>
  <si>
    <t>Datamart DB Fixes</t>
  </si>
  <si>
    <t>Sets pdb path for datamart load</t>
  </si>
  <si>
    <t>update history table</t>
  </si>
  <si>
    <t>created synonyms for DM load</t>
  </si>
  <si>
    <t>exec ip.psp_dm_create_synonyms;</t>
  </si>
  <si>
    <t>creates functions</t>
  </si>
  <si>
    <t>exec ip.psp_dm_create_function;</t>
  </si>
  <si>
    <t>truncated tables for dm load</t>
  </si>
  <si>
    <t>truncate table ip.dm_dimension_key;</t>
  </si>
  <si>
    <t>truncate table ip.dm_all_structure_stg;</t>
  </si>
  <si>
    <t>Truncate table ip.dm_structure_info_int;"</t>
  </si>
  <si>
    <t>runs stored procedure for model load</t>
  </si>
  <si>
    <t>exec ip.psp_ppm_cube_pop;</t>
  </si>
  <si>
    <t>exec ip.psp_ifm_cube;"</t>
  </si>
  <si>
    <t>PROD</t>
  </si>
  <si>
    <t>pvm</t>
  </si>
  <si>
    <t>CONFIG</t>
  </si>
  <si>
    <t>p</t>
  </si>
  <si>
    <t>production</t>
  </si>
  <si>
    <t>SANDBOX1</t>
  </si>
  <si>
    <t>ptvm</t>
  </si>
  <si>
    <t>development</t>
  </si>
  <si>
    <t>\\filegateway02\e1-prod-</t>
  </si>
  <si>
    <t>-content-shared\</t>
  </si>
  <si>
    <t>.pvcloud.com</t>
  </si>
  <si>
    <t>SANDBOX2</t>
  </si>
  <si>
    <t>pve</t>
  </si>
  <si>
    <t>combined</t>
  </si>
  <si>
    <t>SANDBOX3</t>
  </si>
  <si>
    <t>CTM</t>
  </si>
  <si>
    <t>Single Quote</t>
  </si>
  <si>
    <t/>
  </si>
  <si>
    <t>,</t>
  </si>
  <si>
    <t>Sandbox Sungaurd / London Server Names</t>
  </si>
  <si>
    <t>Additional Web Servers</t>
  </si>
  <si>
    <t>web</t>
  </si>
  <si>
    <t>app</t>
  </si>
  <si>
    <t>sql</t>
  </si>
  <si>
    <t>ptv</t>
  </si>
  <si>
    <t>sas</t>
  </si>
  <si>
    <t>Sandbox AWS Server Names</t>
  </si>
  <si>
    <t>Data Validation</t>
  </si>
  <si>
    <t>For AWS</t>
  </si>
  <si>
    <t>ctm</t>
  </si>
  <si>
    <t>Prod Sungaurd / London Server Names</t>
  </si>
  <si>
    <t>Type</t>
  </si>
  <si>
    <t>Rebuild</t>
  </si>
  <si>
    <t>sg</t>
  </si>
  <si>
    <t>DataCenter</t>
  </si>
  <si>
    <t>Prod AWS Server Names</t>
  </si>
  <si>
    <t>ln</t>
  </si>
  <si>
    <t>au</t>
  </si>
  <si>
    <t>rv</t>
  </si>
  <si>
    <t>1000-2000</t>
  </si>
  <si>
    <t>2000-3500</t>
  </si>
  <si>
    <t>3500-5000</t>
  </si>
  <si>
    <t>5000+</t>
  </si>
  <si>
    <t>Unlimited</t>
  </si>
  <si>
    <t>1SAT</t>
  </si>
  <si>
    <t>Maint</t>
  </si>
  <si>
    <t>Set Complex pvmaster password.  &lt;PVMasterPass&gt;</t>
  </si>
  <si>
    <t>1SUN</t>
  </si>
  <si>
    <t>&lt;add key="PveUserPassword" value="&lt;EncryptedPass&gt;" /&gt;</t>
  </si>
  <si>
    <t>2SAT</t>
  </si>
  <si>
    <t>2SUN</t>
  </si>
  <si>
    <t>\\filegateway02\e1-prod-&lt;DC&gt;-content-shared\\&lt;CustDNS&gt;.pvcloud.com</t>
  </si>
  <si>
    <t>3SAT</t>
  </si>
  <si>
    <t>3SUN</t>
  </si>
  <si>
    <t>4SAT</t>
  </si>
  <si>
    <t>4SUN</t>
  </si>
  <si>
    <t>SANDBOX</t>
  </si>
  <si>
    <t>12 or lower</t>
  </si>
  <si>
    <t>Current Version</t>
  </si>
  <si>
    <t>https://</t>
  </si>
  <si>
    <t>-sb.pvcloud.com</t>
  </si>
  <si>
    <t>Resource Comparison</t>
  </si>
  <si>
    <t>https://usreportfarm03.pvcloud.com/ReportServer</t>
  </si>
  <si>
    <t>Report Servers</t>
  </si>
  <si>
    <t>https://eureportfarm03.pvcloud.com/ReportServer</t>
  </si>
  <si>
    <t>https://pbirsfarm03au.pvcloud.com/reportserver</t>
  </si>
  <si>
    <t>None</t>
  </si>
  <si>
    <t>PP</t>
  </si>
  <si>
    <t>LK</t>
  </si>
  <si>
    <t xml:space="preserve"> 0 - 4</t>
  </si>
  <si>
    <t>Standard CTM Disk</t>
  </si>
  <si>
    <t xml:space="preserve"> 5 - 9</t>
  </si>
  <si>
    <t>Which AWS Environment</t>
  </si>
  <si>
    <t>10 +</t>
  </si>
  <si>
    <t>Enter Session Powershell</t>
  </si>
  <si>
    <t xml:space="preserve">Enter-PSSession -ComputerName </t>
  </si>
  <si>
    <t>Check Boxes</t>
  </si>
  <si>
    <t>Web Servers</t>
  </si>
  <si>
    <t>Scheduled Task Comparison</t>
  </si>
  <si>
    <t>PRM Web</t>
  </si>
  <si>
    <t>PRM App</t>
  </si>
  <si>
    <t>SQL</t>
  </si>
  <si>
    <t>PRM  Services</t>
  </si>
  <si>
    <t>NET</t>
  </si>
  <si>
    <t>Start</t>
  </si>
  <si>
    <t>PVAccessManager</t>
  </si>
  <si>
    <t>Jenkins Pipes</t>
  </si>
  <si>
    <t>Stop</t>
  </si>
  <si>
    <t>PlanviewAdminService</t>
  </si>
  <si>
    <t>https://jenkins.us.planview.world/job/e1_upgrade_pipe/build?delay=0sec</t>
  </si>
  <si>
    <t>PVCalendarServer</t>
  </si>
  <si>
    <t>https://jenkins.eu.planview.world/job/e1_upgrade_pipe/build?delay=0sec</t>
  </si>
  <si>
    <t>"PlanView Content Management Index Manager"</t>
  </si>
  <si>
    <t>https://jenkins.us.planview.world/job/ctm_upgrade_pipe/build?delay=0sec</t>
  </si>
  <si>
    <t>PlanviewEnterpriseScheduler</t>
  </si>
  <si>
    <t>https://jenkins.eu.planview.world/job/ctm_upgrade_pipe/build?delay=0sec</t>
  </si>
  <si>
    <t>PlanviewEnterpriseJobexecution</t>
  </si>
  <si>
    <t>https://jenkins.us.planview.world/job/manage_reports_pipe/build?delay=0sec</t>
  </si>
  <si>
    <t>tesegate</t>
  </si>
  <si>
    <t>https://jenkins.eu.planview.world/job/manage_reports_pipe/build?delay=0sec</t>
  </si>
  <si>
    <t>PRM Web Services</t>
  </si>
  <si>
    <t>PlanviewMessageLoggerDiagnosticService</t>
  </si>
  <si>
    <t>PlanviewPrmAdapterService</t>
  </si>
  <si>
    <t>PlanviewE1-PRMMonitorMessageLogger</t>
  </si>
  <si>
    <t>PlanviewE1-PRMPhalkonMessageLogger</t>
  </si>
  <si>
    <t>iisreset /stop</t>
  </si>
  <si>
    <t>CTM Services</t>
  </si>
  <si>
    <t>NET STOP</t>
  </si>
  <si>
    <t xml:space="preserve"> ctm_uaa</t>
  </si>
  <si>
    <t>NET START</t>
  </si>
  <si>
    <t xml:space="preserve"> ctm_gateway</t>
  </si>
  <si>
    <t xml:space="preserve"> ctm_server</t>
  </si>
  <si>
    <t>App Services</t>
  </si>
  <si>
    <t>Kill Tasks</t>
  </si>
  <si>
    <t>Jenkins Swarm</t>
  </si>
  <si>
    <t xml:space="preserve">taskkill /F /IM </t>
  </si>
  <si>
    <t>prodswarm</t>
  </si>
  <si>
    <t>"PlanviewAdminService.exe"</t>
  </si>
  <si>
    <t>"PvsMessageLogger.exe"</t>
  </si>
  <si>
    <t>Start-Process "chrome.exe" "https://</t>
  </si>
  <si>
    <t>.pvcloud.com/planview/diag/version.aspx"</t>
  </si>
  <si>
    <t>"PrmDiagService.exe"</t>
  </si>
  <si>
    <t>Start-Process "chrome.exe" "http://</t>
  </si>
  <si>
    <t>.pvcloud.com/odataservice/OdataService.svc"</t>
  </si>
  <si>
    <t>"PrmMonitorService.exe"</t>
  </si>
  <si>
    <t>.pvcloud.com/planview/Progressing/ProgressInteractively.aspx"</t>
  </si>
  <si>
    <t>.pvcloud.com/planview/AdminApplication/AdministerOLAPConnStrings.aspx"</t>
  </si>
  <si>
    <t>C:\Deploy\StopPRMServices.ps1</t>
  </si>
  <si>
    <t>.pvcloud.com/planview/AdminDatabase/Databases.aspx"</t>
  </si>
  <si>
    <t>.pvcloud.com/planview/AdminApplication/AdministerDataset.aspx"</t>
  </si>
  <si>
    <t>Mute Data Dog</t>
  </si>
  <si>
    <t>.pvcloud.com/planview/AdminApplication/AdminServices.aspx"</t>
  </si>
  <si>
    <t>Set-DataDogMaintWin -hosts @('</t>
  </si>
  <si>
    <t>) -End $(get-date).AddHours(4)</t>
  </si>
  <si>
    <t>.pvcloud.com/planview/AdminApplication/createcontentsearchindex.asp?step=1"</t>
  </si>
  <si>
    <t>.pvcloud.com/ng/ctm/"</t>
  </si>
  <si>
    <t>.pvcloud.com/planview/diag/health.aspx"</t>
  </si>
  <si>
    <t>/health"</t>
  </si>
  <si>
    <t>/uaa/health"</t>
  </si>
  <si>
    <t>Latest PRM Patch</t>
  </si>
  <si>
    <t>/tip/do/health"</t>
  </si>
  <si>
    <t>PRM18.0.4WebServerPlatformSetup.exe</t>
  </si>
  <si>
    <t>Copy Powershell</t>
  </si>
  <si>
    <t>copy-item -Path "F:\deploy\StopPRMServices.ps1" -Destination "\\</t>
  </si>
  <si>
    <t>\c$\Deploy\" -force -recurse</t>
  </si>
  <si>
    <t>Release</t>
  </si>
  <si>
    <t>&lt;add key=</t>
  </si>
  <si>
    <t>value="$&amp;quot;/7CbH&amp;amp;,[8" /&gt;</t>
  </si>
  <si>
    <t>value="User ID=/:(@8HLT[Kfi`r;password=$&amp;quot;/7CbH&amp;amp;,[8" /&gt;</t>
  </si>
  <si>
    <t xml:space="preserve"> </t>
  </si>
  <si>
    <t>TAB</t>
  </si>
  <si>
    <t>DESCRIPTION</t>
  </si>
  <si>
    <t>AUTOMATION</t>
  </si>
  <si>
    <t>SB Sync Tab</t>
  </si>
  <si>
    <t>Restore SB</t>
  </si>
  <si>
    <t>Enter-PVSession</t>
  </si>
  <si>
    <t xml:space="preserve">Copy-PVDatabase -SourcePVEServer </t>
  </si>
  <si>
    <t>-SourceDBServer</t>
  </si>
  <si>
    <t>-DestPVEServer</t>
  </si>
  <si>
    <t>-DestDBServer</t>
  </si>
  <si>
    <t>-SourceDB</t>
  </si>
  <si>
    <t>-DestDB</t>
  </si>
  <si>
    <t>-Verbose -Silent</t>
  </si>
  <si>
    <t>Tile URL Update</t>
  </si>
  <si>
    <t xml:space="preserve">UPDATE ip.tile SET URL = REPLACE(URL, Left(URL, CHARINDEX('/PowerBI', URL) - 1), '') WHERE tile_type = 'PBIX' AND URL NOT LIKE '/PowerBI%'; </t>
  </si>
  <si>
    <t>DB Backup Script</t>
  </si>
  <si>
    <r>
      <t>DECLARE</t>
    </r>
    <r>
      <rPr>
        <sz val="9"/>
        <color rgb="FF000000"/>
        <rFont val="Calibri"/>
        <family val="2"/>
        <scheme val="minor"/>
      </rPr>
      <t xml:space="preserve"> @name </t>
    </r>
    <r>
      <rPr>
        <sz val="9"/>
        <color rgb="FF0000FF"/>
        <rFont val="Calibri"/>
        <family val="2"/>
        <scheme val="minor"/>
      </rPr>
      <t>VARCHAR</t>
    </r>
    <r>
      <rPr>
        <sz val="9"/>
        <color rgb="FF808080"/>
        <rFont val="Calibri"/>
        <family val="2"/>
        <scheme val="minor"/>
      </rPr>
      <t>(</t>
    </r>
    <r>
      <rPr>
        <sz val="9"/>
        <color rgb="FF000000"/>
        <rFont val="Calibri"/>
        <family val="2"/>
        <scheme val="minor"/>
      </rPr>
      <t>50</t>
    </r>
    <r>
      <rPr>
        <sz val="9"/>
        <color rgb="FF808080"/>
        <rFont val="Calibri"/>
        <family val="2"/>
        <scheme val="minor"/>
      </rPr>
      <t xml:space="preserve">) </t>
    </r>
    <r>
      <rPr>
        <sz val="9"/>
        <color rgb="FF008000"/>
        <rFont val="Calibri"/>
        <family val="2"/>
        <scheme val="minor"/>
      </rPr>
      <t xml:space="preserve">-- database name  </t>
    </r>
  </si>
  <si>
    <r>
      <t>DECLARE</t>
    </r>
    <r>
      <rPr>
        <sz val="9"/>
        <color rgb="FF000000"/>
        <rFont val="Calibri"/>
        <family val="2"/>
        <scheme val="minor"/>
      </rPr>
      <t xml:space="preserve"> @path </t>
    </r>
    <r>
      <rPr>
        <sz val="9"/>
        <color rgb="FF0000FF"/>
        <rFont val="Calibri"/>
        <family val="2"/>
        <scheme val="minor"/>
      </rPr>
      <t>VARCHAR</t>
    </r>
    <r>
      <rPr>
        <sz val="9"/>
        <color rgb="FF808080"/>
        <rFont val="Calibri"/>
        <family val="2"/>
        <scheme val="minor"/>
      </rPr>
      <t>(</t>
    </r>
    <r>
      <rPr>
        <sz val="9"/>
        <color rgb="FF000000"/>
        <rFont val="Calibri"/>
        <family val="2"/>
        <scheme val="minor"/>
      </rPr>
      <t>256</t>
    </r>
    <r>
      <rPr>
        <sz val="9"/>
        <color rgb="FF808080"/>
        <rFont val="Calibri"/>
        <family val="2"/>
        <scheme val="minor"/>
      </rPr>
      <t xml:space="preserve">) </t>
    </r>
    <r>
      <rPr>
        <sz val="9"/>
        <color rgb="FF008000"/>
        <rFont val="Calibri"/>
        <family val="2"/>
        <scheme val="minor"/>
      </rPr>
      <t xml:space="preserve">-- path for backup files  </t>
    </r>
  </si>
  <si>
    <r>
      <t>DECLARE</t>
    </r>
    <r>
      <rPr>
        <sz val="9"/>
        <color rgb="FF000000"/>
        <rFont val="Calibri"/>
        <family val="2"/>
        <scheme val="minor"/>
      </rPr>
      <t xml:space="preserve"> @fileName </t>
    </r>
    <r>
      <rPr>
        <sz val="9"/>
        <color rgb="FF0000FF"/>
        <rFont val="Calibri"/>
        <family val="2"/>
        <scheme val="minor"/>
      </rPr>
      <t>VARCHAR</t>
    </r>
    <r>
      <rPr>
        <sz val="9"/>
        <color rgb="FF808080"/>
        <rFont val="Calibri"/>
        <family val="2"/>
        <scheme val="minor"/>
      </rPr>
      <t>(</t>
    </r>
    <r>
      <rPr>
        <sz val="9"/>
        <color rgb="FF000000"/>
        <rFont val="Calibri"/>
        <family val="2"/>
        <scheme val="minor"/>
      </rPr>
      <t>256</t>
    </r>
    <r>
      <rPr>
        <sz val="9"/>
        <color rgb="FF808080"/>
        <rFont val="Calibri"/>
        <family val="2"/>
        <scheme val="minor"/>
      </rPr>
      <t xml:space="preserve">) </t>
    </r>
    <r>
      <rPr>
        <sz val="9"/>
        <color rgb="FF008000"/>
        <rFont val="Calibri"/>
        <family val="2"/>
        <scheme val="minor"/>
      </rPr>
      <t xml:space="preserve">-- filename for backup  </t>
    </r>
  </si>
  <si>
    <r>
      <t>DECLARE</t>
    </r>
    <r>
      <rPr>
        <sz val="9"/>
        <color rgb="FF000000"/>
        <rFont val="Calibri"/>
        <family val="2"/>
        <scheme val="minor"/>
      </rPr>
      <t xml:space="preserve"> @fileDate </t>
    </r>
    <r>
      <rPr>
        <sz val="9"/>
        <color rgb="FF0000FF"/>
        <rFont val="Calibri"/>
        <family val="2"/>
        <scheme val="minor"/>
      </rPr>
      <t>VARCHAR</t>
    </r>
    <r>
      <rPr>
        <sz val="9"/>
        <color rgb="FF808080"/>
        <rFont val="Calibri"/>
        <family val="2"/>
        <scheme val="minor"/>
      </rPr>
      <t>(</t>
    </r>
    <r>
      <rPr>
        <sz val="9"/>
        <color rgb="FF000000"/>
        <rFont val="Calibri"/>
        <family val="2"/>
        <scheme val="minor"/>
      </rPr>
      <t>20</t>
    </r>
    <r>
      <rPr>
        <sz val="9"/>
        <color rgb="FF808080"/>
        <rFont val="Calibri"/>
        <family val="2"/>
        <scheme val="minor"/>
      </rPr>
      <t xml:space="preserve">) </t>
    </r>
    <r>
      <rPr>
        <sz val="9"/>
        <color rgb="FF008000"/>
        <rFont val="Calibri"/>
        <family val="2"/>
        <scheme val="minor"/>
      </rPr>
      <t>-- used for file name</t>
    </r>
  </si>
  <si>
    <t>-- specify database backup directory</t>
  </si>
  <si>
    <r>
      <t>SET</t>
    </r>
    <r>
      <rPr>
        <sz val="9"/>
        <color rgb="FF000000"/>
        <rFont val="Calibri"/>
        <family val="2"/>
        <scheme val="minor"/>
      </rPr>
      <t xml:space="preserve"> @path </t>
    </r>
    <r>
      <rPr>
        <sz val="9"/>
        <color rgb="FF808080"/>
        <rFont val="Calibri"/>
        <family val="2"/>
        <scheme val="minor"/>
      </rPr>
      <t xml:space="preserve">= </t>
    </r>
    <r>
      <rPr>
        <sz val="9"/>
        <color rgb="FFFF0000"/>
        <rFont val="Calibri"/>
        <family val="2"/>
        <scheme val="minor"/>
      </rPr>
      <t>'F:\SQLBackup\'</t>
    </r>
    <r>
      <rPr>
        <sz val="9"/>
        <color rgb="FF000000"/>
        <rFont val="Calibri"/>
        <family val="2"/>
        <scheme val="minor"/>
      </rPr>
      <t xml:space="preserve">  </t>
    </r>
  </si>
  <si>
    <t>-- specify filename format</t>
  </si>
  <si>
    <r>
      <t>SELECT</t>
    </r>
    <r>
      <rPr>
        <sz val="9"/>
        <color rgb="FF000000"/>
        <rFont val="Calibri"/>
        <family val="2"/>
        <scheme val="minor"/>
      </rPr>
      <t xml:space="preserve"> @fileDate </t>
    </r>
    <r>
      <rPr>
        <sz val="9"/>
        <color rgb="FF808080"/>
        <rFont val="Calibri"/>
        <family val="2"/>
        <scheme val="minor"/>
      </rPr>
      <t xml:space="preserve">= </t>
    </r>
    <r>
      <rPr>
        <sz val="9"/>
        <color rgb="FFFF00FF"/>
        <rFont val="Calibri"/>
        <family val="2"/>
        <scheme val="minor"/>
      </rPr>
      <t>CONVERT</t>
    </r>
    <r>
      <rPr>
        <sz val="9"/>
        <color rgb="FF808080"/>
        <rFont val="Calibri"/>
        <family val="2"/>
        <scheme val="minor"/>
      </rPr>
      <t>(</t>
    </r>
    <r>
      <rPr>
        <sz val="9"/>
        <color rgb="FF0000FF"/>
        <rFont val="Calibri"/>
        <family val="2"/>
        <scheme val="minor"/>
      </rPr>
      <t>VARCHAR</t>
    </r>
    <r>
      <rPr>
        <sz val="9"/>
        <color rgb="FF808080"/>
        <rFont val="Calibri"/>
        <family val="2"/>
        <scheme val="minor"/>
      </rPr>
      <t>(</t>
    </r>
    <r>
      <rPr>
        <sz val="9"/>
        <color rgb="FF000000"/>
        <rFont val="Calibri"/>
        <family val="2"/>
        <scheme val="minor"/>
      </rPr>
      <t>20</t>
    </r>
    <r>
      <rPr>
        <sz val="9"/>
        <color rgb="FF808080"/>
        <rFont val="Calibri"/>
        <family val="2"/>
        <scheme val="minor"/>
      </rPr>
      <t>),</t>
    </r>
    <r>
      <rPr>
        <sz val="9"/>
        <color rgb="FFFF00FF"/>
        <rFont val="Calibri"/>
        <family val="2"/>
        <scheme val="minor"/>
      </rPr>
      <t>GETDATE</t>
    </r>
    <r>
      <rPr>
        <sz val="9"/>
        <color rgb="FF808080"/>
        <rFont val="Calibri"/>
        <family val="2"/>
        <scheme val="minor"/>
      </rPr>
      <t>(),</t>
    </r>
    <r>
      <rPr>
        <sz val="9"/>
        <color rgb="FF000000"/>
        <rFont val="Calibri"/>
        <family val="2"/>
        <scheme val="minor"/>
      </rPr>
      <t>112</t>
    </r>
    <r>
      <rPr>
        <sz val="9"/>
        <color rgb="FF808080"/>
        <rFont val="Calibri"/>
        <family val="2"/>
        <scheme val="minor"/>
      </rPr>
      <t xml:space="preserve">) + </t>
    </r>
    <r>
      <rPr>
        <sz val="9"/>
        <color rgb="FFFF00FF"/>
        <rFont val="Calibri"/>
        <family val="2"/>
        <scheme val="minor"/>
      </rPr>
      <t>REPLACE</t>
    </r>
    <r>
      <rPr>
        <sz val="9"/>
        <color rgb="FF808080"/>
        <rFont val="Calibri"/>
        <family val="2"/>
        <scheme val="minor"/>
      </rPr>
      <t>(</t>
    </r>
    <r>
      <rPr>
        <sz val="9"/>
        <color rgb="FFFF00FF"/>
        <rFont val="Calibri"/>
        <family val="2"/>
        <scheme val="minor"/>
      </rPr>
      <t>CONVERT</t>
    </r>
    <r>
      <rPr>
        <sz val="9"/>
        <color rgb="FF808080"/>
        <rFont val="Calibri"/>
        <family val="2"/>
        <scheme val="minor"/>
      </rPr>
      <t>(</t>
    </r>
    <r>
      <rPr>
        <sz val="9"/>
        <color rgb="FF0000FF"/>
        <rFont val="Calibri"/>
        <family val="2"/>
        <scheme val="minor"/>
      </rPr>
      <t>VARCHAR</t>
    </r>
    <r>
      <rPr>
        <sz val="9"/>
        <color rgb="FF808080"/>
        <rFont val="Calibri"/>
        <family val="2"/>
        <scheme val="minor"/>
      </rPr>
      <t>(</t>
    </r>
    <r>
      <rPr>
        <sz val="9"/>
        <color rgb="FF000000"/>
        <rFont val="Calibri"/>
        <family val="2"/>
        <scheme val="minor"/>
      </rPr>
      <t>20</t>
    </r>
    <r>
      <rPr>
        <sz val="9"/>
        <color rgb="FF808080"/>
        <rFont val="Calibri"/>
        <family val="2"/>
        <scheme val="minor"/>
      </rPr>
      <t>),</t>
    </r>
    <r>
      <rPr>
        <sz val="9"/>
        <color rgb="FFFF00FF"/>
        <rFont val="Calibri"/>
        <family val="2"/>
        <scheme val="minor"/>
      </rPr>
      <t>GETDATE</t>
    </r>
    <r>
      <rPr>
        <sz val="9"/>
        <color rgb="FF808080"/>
        <rFont val="Calibri"/>
        <family val="2"/>
        <scheme val="minor"/>
      </rPr>
      <t>(),</t>
    </r>
    <r>
      <rPr>
        <sz val="9"/>
        <color rgb="FF000000"/>
        <rFont val="Calibri"/>
        <family val="2"/>
        <scheme val="minor"/>
      </rPr>
      <t>108</t>
    </r>
    <r>
      <rPr>
        <sz val="9"/>
        <color rgb="FF808080"/>
        <rFont val="Calibri"/>
        <family val="2"/>
        <scheme val="minor"/>
      </rPr>
      <t>),</t>
    </r>
    <r>
      <rPr>
        <sz val="9"/>
        <color rgb="FFFF0000"/>
        <rFont val="Calibri"/>
        <family val="2"/>
        <scheme val="minor"/>
      </rPr>
      <t>':'</t>
    </r>
    <r>
      <rPr>
        <sz val="9"/>
        <color rgb="FF808080"/>
        <rFont val="Calibri"/>
        <family val="2"/>
        <scheme val="minor"/>
      </rPr>
      <t>,</t>
    </r>
    <r>
      <rPr>
        <sz val="9"/>
        <color rgb="FFFF0000"/>
        <rFont val="Calibri"/>
        <family val="2"/>
        <scheme val="minor"/>
      </rPr>
      <t>''</t>
    </r>
    <r>
      <rPr>
        <sz val="9"/>
        <color rgb="FF808080"/>
        <rFont val="Calibri"/>
        <family val="2"/>
        <scheme val="minor"/>
      </rPr>
      <t>)</t>
    </r>
  </si>
  <si>
    <r>
      <t>DECLARE</t>
    </r>
    <r>
      <rPr>
        <sz val="9"/>
        <color rgb="FF000000"/>
        <rFont val="Calibri"/>
        <family val="2"/>
        <scheme val="minor"/>
      </rPr>
      <t xml:space="preserve"> db_cursor </t>
    </r>
    <r>
      <rPr>
        <sz val="9"/>
        <color rgb="FF0000FF"/>
        <rFont val="Calibri"/>
        <family val="2"/>
        <scheme val="minor"/>
      </rPr>
      <t>CURSOR</t>
    </r>
    <r>
      <rPr>
        <sz val="9"/>
        <color rgb="FF000000"/>
        <rFont val="Calibri"/>
        <family val="2"/>
        <scheme val="minor"/>
      </rPr>
      <t xml:space="preserve"> READ_ONLY </t>
    </r>
    <r>
      <rPr>
        <sz val="9"/>
        <color rgb="FF0000FF"/>
        <rFont val="Calibri"/>
        <family val="2"/>
        <scheme val="minor"/>
      </rPr>
      <t>FOR</t>
    </r>
    <r>
      <rPr>
        <sz val="9"/>
        <color rgb="FF000000"/>
        <rFont val="Calibri"/>
        <family val="2"/>
        <scheme val="minor"/>
      </rPr>
      <t xml:space="preserve">  </t>
    </r>
  </si>
  <si>
    <r>
      <t>SELECT</t>
    </r>
    <r>
      <rPr>
        <sz val="9"/>
        <color rgb="FF000000"/>
        <rFont val="Calibri"/>
        <family val="2"/>
        <scheme val="minor"/>
      </rPr>
      <t xml:space="preserve"> name</t>
    </r>
  </si>
  <si>
    <r>
      <t>FROM</t>
    </r>
    <r>
      <rPr>
        <sz val="9"/>
        <color rgb="FF000000"/>
        <rFont val="Calibri"/>
        <family val="2"/>
        <scheme val="minor"/>
      </rPr>
      <t xml:space="preserve"> master</t>
    </r>
    <r>
      <rPr>
        <sz val="9"/>
        <color rgb="FF808080"/>
        <rFont val="Calibri"/>
        <family val="2"/>
        <scheme val="minor"/>
      </rPr>
      <t>.</t>
    </r>
    <r>
      <rPr>
        <sz val="9"/>
        <color rgb="FF000000"/>
        <rFont val="Calibri"/>
        <family val="2"/>
        <scheme val="minor"/>
      </rPr>
      <t>dbo</t>
    </r>
    <r>
      <rPr>
        <sz val="9"/>
        <color rgb="FF808080"/>
        <rFont val="Calibri"/>
        <family val="2"/>
        <scheme val="minor"/>
      </rPr>
      <t>.</t>
    </r>
    <r>
      <rPr>
        <sz val="9"/>
        <color rgb="FF000000"/>
        <rFont val="Calibri"/>
        <family val="2"/>
        <scheme val="minor"/>
      </rPr>
      <t>sysdatabases</t>
    </r>
  </si>
  <si>
    <r>
      <t xml:space="preserve"> </t>
    </r>
    <r>
      <rPr>
        <sz val="9"/>
        <color rgb="FF0000FF"/>
        <rFont val="Calibri"/>
        <family val="2"/>
        <scheme val="minor"/>
      </rPr>
      <t>WHERE</t>
    </r>
    <r>
      <rPr>
        <sz val="9"/>
        <color rgb="FF000000"/>
        <rFont val="Calibri"/>
        <family val="2"/>
        <scheme val="minor"/>
      </rPr>
      <t xml:space="preserve"> name </t>
    </r>
    <r>
      <rPr>
        <sz val="9"/>
        <color rgb="FF808080"/>
        <rFont val="Calibri"/>
        <family val="2"/>
        <scheme val="minor"/>
      </rPr>
      <t>NOT IN (</t>
    </r>
    <r>
      <rPr>
        <sz val="9"/>
        <color rgb="FFFF0000"/>
        <rFont val="Calibri"/>
        <family val="2"/>
        <scheme val="minor"/>
      </rPr>
      <t>'master'</t>
    </r>
    <r>
      <rPr>
        <sz val="9"/>
        <color rgb="FF808080"/>
        <rFont val="Calibri"/>
        <family val="2"/>
        <scheme val="minor"/>
      </rPr>
      <t>,</t>
    </r>
    <r>
      <rPr>
        <sz val="9"/>
        <color rgb="FFFF0000"/>
        <rFont val="Calibri"/>
        <family val="2"/>
        <scheme val="minor"/>
      </rPr>
      <t>'model'</t>
    </r>
    <r>
      <rPr>
        <sz val="9"/>
        <color rgb="FF808080"/>
        <rFont val="Calibri"/>
        <family val="2"/>
        <scheme val="minor"/>
      </rPr>
      <t>,</t>
    </r>
    <r>
      <rPr>
        <sz val="9"/>
        <color rgb="FFFF0000"/>
        <rFont val="Calibri"/>
        <family val="2"/>
        <scheme val="minor"/>
      </rPr>
      <t>'msdb'</t>
    </r>
    <r>
      <rPr>
        <sz val="9"/>
        <color rgb="FF808080"/>
        <rFont val="Calibri"/>
        <family val="2"/>
        <scheme val="minor"/>
      </rPr>
      <t>,</t>
    </r>
    <r>
      <rPr>
        <sz val="9"/>
        <color rgb="FFFF0000"/>
        <rFont val="Calibri"/>
        <family val="2"/>
        <scheme val="minor"/>
      </rPr>
      <t>'tempdb'</t>
    </r>
    <r>
      <rPr>
        <sz val="9"/>
        <color rgb="FF808080"/>
        <rFont val="Calibri"/>
        <family val="2"/>
        <scheme val="minor"/>
      </rPr>
      <t>)</t>
    </r>
    <r>
      <rPr>
        <sz val="9"/>
        <color rgb="FF000000"/>
        <rFont val="Calibri"/>
        <family val="2"/>
        <scheme val="minor"/>
      </rPr>
      <t xml:space="preserve">  </t>
    </r>
    <r>
      <rPr>
        <sz val="9"/>
        <color rgb="FF008000"/>
        <rFont val="Calibri"/>
        <family val="2"/>
        <scheme val="minor"/>
      </rPr>
      <t>-- exclude these databases</t>
    </r>
  </si>
  <si>
    <r>
      <t>OPEN</t>
    </r>
    <r>
      <rPr>
        <sz val="9"/>
        <color rgb="FF000000"/>
        <rFont val="Calibri"/>
        <family val="2"/>
        <scheme val="minor"/>
      </rPr>
      <t xml:space="preserve"> db_cursor   </t>
    </r>
  </si>
  <si>
    <r>
      <t>FETCH</t>
    </r>
    <r>
      <rPr>
        <sz val="9"/>
        <color rgb="FF000000"/>
        <rFont val="Calibri"/>
        <family val="2"/>
        <scheme val="minor"/>
      </rPr>
      <t xml:space="preserve"> NEXT </t>
    </r>
    <r>
      <rPr>
        <sz val="9"/>
        <color rgb="FF0000FF"/>
        <rFont val="Calibri"/>
        <family val="2"/>
        <scheme val="minor"/>
      </rPr>
      <t>FROM</t>
    </r>
    <r>
      <rPr>
        <sz val="9"/>
        <color rgb="FF000000"/>
        <rFont val="Calibri"/>
        <family val="2"/>
        <scheme val="minor"/>
      </rPr>
      <t xml:space="preserve"> db_cursor </t>
    </r>
    <r>
      <rPr>
        <sz val="9"/>
        <color rgb="FF0000FF"/>
        <rFont val="Calibri"/>
        <family val="2"/>
        <scheme val="minor"/>
      </rPr>
      <t>INTO</t>
    </r>
    <r>
      <rPr>
        <sz val="9"/>
        <color rgb="FF000000"/>
        <rFont val="Calibri"/>
        <family val="2"/>
        <scheme val="minor"/>
      </rPr>
      <t xml:space="preserve"> @name   </t>
    </r>
  </si>
  <si>
    <r>
      <t xml:space="preserve">WHILE </t>
    </r>
    <r>
      <rPr>
        <sz val="9"/>
        <color rgb="FFFF00FF"/>
        <rFont val="Calibri"/>
        <family val="2"/>
        <scheme val="minor"/>
      </rPr>
      <t xml:space="preserve">@@FETCH_STATUS </t>
    </r>
    <r>
      <rPr>
        <sz val="9"/>
        <color rgb="FF808080"/>
        <rFont val="Calibri"/>
        <family val="2"/>
        <scheme val="minor"/>
      </rPr>
      <t>=</t>
    </r>
    <r>
      <rPr>
        <sz val="9"/>
        <color rgb="FF000000"/>
        <rFont val="Calibri"/>
        <family val="2"/>
        <scheme val="minor"/>
      </rPr>
      <t xml:space="preserve"> 0   </t>
    </r>
  </si>
  <si>
    <r>
      <t>BEGIN</t>
    </r>
    <r>
      <rPr>
        <sz val="9"/>
        <color rgb="FF000000"/>
        <rFont val="Calibri"/>
        <family val="2"/>
        <scheme val="minor"/>
      </rPr>
      <t xml:space="preserve">   </t>
    </r>
  </si>
  <si>
    <r>
      <t xml:space="preserve">   </t>
    </r>
    <r>
      <rPr>
        <sz val="9"/>
        <color rgb="FF0000FF"/>
        <rFont val="Calibri"/>
        <family val="2"/>
        <scheme val="minor"/>
      </rPr>
      <t>SET</t>
    </r>
    <r>
      <rPr>
        <sz val="9"/>
        <color rgb="FF000000"/>
        <rFont val="Calibri"/>
        <family val="2"/>
        <scheme val="minor"/>
      </rPr>
      <t xml:space="preserve"> @fileName </t>
    </r>
    <r>
      <rPr>
        <sz val="9"/>
        <color rgb="FF808080"/>
        <rFont val="Calibri"/>
        <family val="2"/>
        <scheme val="minor"/>
      </rPr>
      <t>=</t>
    </r>
    <r>
      <rPr>
        <sz val="9"/>
        <color rgb="FF000000"/>
        <rFont val="Calibri"/>
        <family val="2"/>
        <scheme val="minor"/>
      </rPr>
      <t xml:space="preserve"> @path </t>
    </r>
    <r>
      <rPr>
        <sz val="9"/>
        <color rgb="FF808080"/>
        <rFont val="Calibri"/>
        <family val="2"/>
        <scheme val="minor"/>
      </rPr>
      <t>+</t>
    </r>
    <r>
      <rPr>
        <sz val="9"/>
        <color rgb="FF000000"/>
        <rFont val="Calibri"/>
        <family val="2"/>
        <scheme val="minor"/>
      </rPr>
      <t xml:space="preserve"> @name </t>
    </r>
    <r>
      <rPr>
        <sz val="9"/>
        <color rgb="FF808080"/>
        <rFont val="Calibri"/>
        <family val="2"/>
        <scheme val="minor"/>
      </rPr>
      <t xml:space="preserve">+ </t>
    </r>
    <r>
      <rPr>
        <sz val="9"/>
        <color rgb="FFFF0000"/>
        <rFont val="Calibri"/>
        <family val="2"/>
        <scheme val="minor"/>
      </rPr>
      <t xml:space="preserve">'_' </t>
    </r>
    <r>
      <rPr>
        <sz val="9"/>
        <color rgb="FF808080"/>
        <rFont val="Calibri"/>
        <family val="2"/>
        <scheme val="minor"/>
      </rPr>
      <t>+</t>
    </r>
    <r>
      <rPr>
        <sz val="9"/>
        <color rgb="FF000000"/>
        <rFont val="Calibri"/>
        <family val="2"/>
        <scheme val="minor"/>
      </rPr>
      <t xml:space="preserve"> @fileDate </t>
    </r>
    <r>
      <rPr>
        <sz val="9"/>
        <color rgb="FF808080"/>
        <rFont val="Calibri"/>
        <family val="2"/>
        <scheme val="minor"/>
      </rPr>
      <t xml:space="preserve">+ </t>
    </r>
    <r>
      <rPr>
        <sz val="9"/>
        <color rgb="FFFF0000"/>
        <rFont val="Calibri"/>
        <family val="2"/>
        <scheme val="minor"/>
      </rPr>
      <t>'.BAK'</t>
    </r>
    <r>
      <rPr>
        <sz val="9"/>
        <color rgb="FF000000"/>
        <rFont val="Calibri"/>
        <family val="2"/>
        <scheme val="minor"/>
      </rPr>
      <t xml:space="preserve">  </t>
    </r>
  </si>
  <si>
    <r>
      <t xml:space="preserve">   </t>
    </r>
    <r>
      <rPr>
        <sz val="9"/>
        <color rgb="FF0000FF"/>
        <rFont val="Calibri"/>
        <family val="2"/>
        <scheme val="minor"/>
      </rPr>
      <t>BACKUP DATABASE</t>
    </r>
    <r>
      <rPr>
        <sz val="9"/>
        <color rgb="FF000000"/>
        <rFont val="Calibri"/>
        <family val="2"/>
        <scheme val="minor"/>
      </rPr>
      <t xml:space="preserve"> @name </t>
    </r>
    <r>
      <rPr>
        <sz val="9"/>
        <color rgb="FF0000FF"/>
        <rFont val="Calibri"/>
        <family val="2"/>
        <scheme val="minor"/>
      </rPr>
      <t xml:space="preserve">TO DISK </t>
    </r>
    <r>
      <rPr>
        <sz val="9"/>
        <color rgb="FF808080"/>
        <rFont val="Calibri"/>
        <family val="2"/>
        <scheme val="minor"/>
      </rPr>
      <t>=</t>
    </r>
    <r>
      <rPr>
        <sz val="9"/>
        <color rgb="FF000000"/>
        <rFont val="Calibri"/>
        <family val="2"/>
        <scheme val="minor"/>
      </rPr>
      <t xml:space="preserve"> @fileName </t>
    </r>
    <r>
      <rPr>
        <sz val="11"/>
        <color theme="1"/>
        <rFont val="Calibri"/>
        <family val="2"/>
        <scheme val="minor"/>
      </rPr>
      <t>with compression</t>
    </r>
  </si>
  <si>
    <r>
      <t xml:space="preserve">   </t>
    </r>
    <r>
      <rPr>
        <sz val="9"/>
        <color rgb="FF0000FF"/>
        <rFont val="Calibri"/>
        <family val="2"/>
        <scheme val="minor"/>
      </rPr>
      <t>FETCH</t>
    </r>
    <r>
      <rPr>
        <sz val="9"/>
        <color rgb="FF000000"/>
        <rFont val="Calibri"/>
        <family val="2"/>
        <scheme val="minor"/>
      </rPr>
      <t xml:space="preserve"> NEXT </t>
    </r>
    <r>
      <rPr>
        <sz val="9"/>
        <color rgb="FF0000FF"/>
        <rFont val="Calibri"/>
        <family val="2"/>
        <scheme val="minor"/>
      </rPr>
      <t>FROM</t>
    </r>
    <r>
      <rPr>
        <sz val="9"/>
        <color rgb="FF000000"/>
        <rFont val="Calibri"/>
        <family val="2"/>
        <scheme val="minor"/>
      </rPr>
      <t xml:space="preserve"> db_cursor </t>
    </r>
    <r>
      <rPr>
        <sz val="9"/>
        <color rgb="FF0000FF"/>
        <rFont val="Calibri"/>
        <family val="2"/>
        <scheme val="minor"/>
      </rPr>
      <t>INTO</t>
    </r>
    <r>
      <rPr>
        <sz val="9"/>
        <color rgb="FF000000"/>
        <rFont val="Calibri"/>
        <family val="2"/>
        <scheme val="minor"/>
      </rPr>
      <t xml:space="preserve"> @name   </t>
    </r>
  </si>
  <si>
    <r>
      <t>END</t>
    </r>
    <r>
      <rPr>
        <sz val="9"/>
        <color rgb="FF000000"/>
        <rFont val="Calibri"/>
        <family val="2"/>
        <scheme val="minor"/>
      </rPr>
      <t xml:space="preserve">   </t>
    </r>
  </si>
  <si>
    <r>
      <t>CLOSE</t>
    </r>
    <r>
      <rPr>
        <sz val="9"/>
        <color rgb="FF000000"/>
        <rFont val="Calibri"/>
        <family val="2"/>
        <scheme val="minor"/>
      </rPr>
      <t xml:space="preserve"> db_cursor   </t>
    </r>
  </si>
  <si>
    <r>
      <t>DEALLOCATE</t>
    </r>
    <r>
      <rPr>
        <sz val="9"/>
        <color rgb="FF000000"/>
        <rFont val="Calibri"/>
        <family val="2"/>
        <scheme val="minor"/>
      </rPr>
      <t xml:space="preserve"> db_cursor</t>
    </r>
  </si>
  <si>
    <t>Customer Models</t>
  </si>
  <si>
    <t>select * from ip.olap_properties where bism_ind ='N'</t>
  </si>
  <si>
    <t>CTM SQL User Grants</t>
  </si>
  <si>
    <t xml:space="preserve">DROP USER </t>
  </si>
  <si>
    <t xml:space="preserve">CREATE USER </t>
  </si>
  <si>
    <t>TIRS</t>
  </si>
  <si>
    <t xml:space="preserve">ALTER USER </t>
  </si>
  <si>
    <t>dbo</t>
  </si>
  <si>
    <t xml:space="preserve">ALTER ROLE </t>
  </si>
  <si>
    <t>[</t>
  </si>
  <si>
    <t xml:space="preserve"> ADD MEMBER </t>
  </si>
  <si>
    <t>]</t>
  </si>
  <si>
    <t xml:space="preserve">USE </t>
  </si>
  <si>
    <t>db_datareader</t>
  </si>
  <si>
    <t>GO</t>
  </si>
  <si>
    <t>db_owner</t>
  </si>
  <si>
    <t xml:space="preserve"> FOR LOGIN </t>
  </si>
  <si>
    <t xml:space="preserve"> WITH DEFAULT_SCHEMA=</t>
  </si>
  <si>
    <t>Connection Sting</t>
  </si>
  <si>
    <t>Data Source=</t>
  </si>
  <si>
    <t>Initial Catalog=</t>
  </si>
  <si>
    <t>;</t>
  </si>
  <si>
    <t xml:space="preserve">        ReportUserPassword = 'hails-nGHrJ'</t>
  </si>
  <si>
    <t xml:space="preserve">    &amp; "c:\deploy\Add-ReportUser.ps1" @reportUserCreationParams</t>
  </si>
  <si>
    <t>PS For Cutover</t>
  </si>
  <si>
    <r>
      <t>copy-item -Path "</t>
    </r>
    <r>
      <rPr>
        <sz val="11"/>
        <color theme="1"/>
        <rFont val="Calibri"/>
        <family val="2"/>
        <scheme val="minor"/>
      </rPr>
      <t>\\techservices\upgrade</t>
    </r>
    <r>
      <rPr>
        <sz val="11"/>
        <color rgb="FF000000"/>
        <rFont val="Calibri"/>
        <family val="2"/>
        <scheme val="minor"/>
      </rPr>
      <t>" -Destination "</t>
    </r>
    <r>
      <rPr>
        <sz val="11"/>
        <color theme="1"/>
        <rFont val="Calibri"/>
        <family val="2"/>
        <scheme val="minor"/>
      </rPr>
      <t>\\lnpvmBRKweb03\f$\</t>
    </r>
    <r>
      <rPr>
        <sz val="11"/>
        <color rgb="FF000000"/>
        <rFont val="Calibri"/>
        <family val="2"/>
        <scheme val="minor"/>
      </rPr>
      <t>" -Recurse -Force;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</si>
</sst>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0">
    <font>
      <sz val="11"/>
      <color theme="1"/>
      <name val="Calibri"/>
      <family val="2"/>
      <scheme val="minor"/>
    </font>
    <font>
      <sz val="10"/>
      <color theme="1"/>
      <name val="Calibri"/>
      <family val="2"/>
      <scheme val="minor"/>
    </font>
    <font>
      <b/>
      <sz val="11"/>
      <color theme="1"/>
      <name val="Calibri"/>
      <family val="2"/>
      <scheme val="minor"/>
    </font>
    <font>
      <sz val="11"/>
      <color rgb="FF000000"/>
      <name val="Calibri"/>
      <family val="2"/>
      <scheme val="minor"/>
    </font>
    <font>
      <sz val="8"/>
      <color theme="1"/>
      <name val="Calibri"/>
      <family val="2"/>
      <scheme val="minor"/>
    </font>
    <font>
      <u/>
      <sz val="11"/>
      <color theme="10"/>
      <name val="Calibri"/>
      <family val="2"/>
      <scheme val="minor"/>
    </font>
    <font>
      <sz val="11"/>
      <color rgb="FF222222"/>
      <name val="Calibri"/>
      <family val="2"/>
      <scheme val="minor"/>
    </font>
    <font>
      <u/>
      <sz val="11"/>
      <color theme="4"/>
      <name val="Calibri"/>
      <family val="2"/>
      <scheme val="minor"/>
    </font>
    <font>
      <sz val="8"/>
      <color theme="1"/>
      <name val="Calibri"/>
      <family val="2"/>
    </font>
    <font>
      <sz val="9"/>
      <color theme="1"/>
      <name val="Calibri"/>
      <family val="2"/>
      <scheme val="minor"/>
    </font>
    <font>
      <sz val="11"/>
      <color rgb="FFFF0000"/>
      <name val="Calibri"/>
      <family val="2"/>
      <scheme val="minor"/>
    </font>
    <font>
      <sz val="11"/>
      <name val="Calibri"/>
      <family val="2"/>
      <scheme val="minor"/>
    </font>
    <font>
      <sz val="9"/>
      <color rgb="FF1D1C1D"/>
      <name val="Consolas"/>
      <family val="3"/>
    </font>
    <font>
      <sz val="9"/>
      <color rgb="FF0000FF"/>
      <name val="Calibri"/>
      <family val="2"/>
      <scheme val="minor"/>
    </font>
    <font>
      <sz val="9"/>
      <color rgb="FF000000"/>
      <name val="Calibri"/>
      <family val="2"/>
      <scheme val="minor"/>
    </font>
    <font>
      <sz val="9"/>
      <color rgb="FF808080"/>
      <name val="Calibri"/>
      <family val="2"/>
      <scheme val="minor"/>
    </font>
    <font>
      <sz val="9"/>
      <color rgb="FF008000"/>
      <name val="Calibri"/>
      <family val="2"/>
      <scheme val="minor"/>
    </font>
    <font>
      <sz val="9"/>
      <color rgb="FFFF0000"/>
      <name val="Calibri"/>
      <family val="2"/>
      <scheme val="minor"/>
    </font>
    <font>
      <sz val="9"/>
      <color rgb="FFFF00FF"/>
      <name val="Calibri"/>
      <family val="2"/>
      <scheme val="minor"/>
    </font>
    <font>
      <sz val="10.5"/>
      <name val="Consolas"/>
      <family val="3"/>
    </font>
    <font>
      <sz val="11"/>
      <color rgb="FF3366FF"/>
      <name val="Segoe UI"/>
      <family val="2"/>
    </font>
    <font>
      <sz val="11"/>
      <color theme="5" tint="-0.249977111117893"/>
      <name val="Calibri"/>
      <family val="2"/>
      <scheme val="minor"/>
    </font>
    <font>
      <b/>
      <sz val="11"/>
      <color rgb="FFFF0000"/>
      <name val="Calibri"/>
      <family val="2"/>
      <scheme val="minor"/>
    </font>
    <font>
      <b/>
      <sz val="11"/>
      <color rgb="FFFF0000"/>
      <name val="Arial"/>
      <family val="2"/>
    </font>
    <font>
      <b/>
      <sz val="14"/>
      <color theme="0"/>
      <name val="Bahnschrift SemiLight SemiConde"/>
      <family val="2"/>
    </font>
    <font>
      <b/>
      <sz val="14"/>
      <color theme="1"/>
      <name val="Calibri"/>
      <family val="2"/>
      <scheme val="minor"/>
    </font>
    <font>
      <i/>
      <sz val="11"/>
      <color rgb="FFFF0000"/>
      <name val="Calibri"/>
      <family val="2"/>
      <scheme val="minor"/>
    </font>
    <font>
      <b/>
      <sz val="14"/>
      <color rgb="FF002060"/>
      <name val="Bahnschrift SemiLight SemiConde"/>
      <family val="2"/>
    </font>
    <font>
      <b/>
      <sz val="12"/>
      <color theme="1"/>
      <name val="Calibri"/>
      <family val="2"/>
      <scheme val="minor"/>
    </font>
    <font>
      <sz val="10"/>
      <name val="Calibri"/>
      <family val="2"/>
      <scheme val="minor"/>
    </font>
    <font>
      <b/>
      <sz val="11"/>
      <name val="Calibri"/>
      <family val="2"/>
      <scheme val="minor"/>
    </font>
    <font>
      <b/>
      <sz val="14"/>
      <color theme="1"/>
      <name val="Bahnschrift SemiLight SemiConde"/>
      <family val="2"/>
    </font>
    <font>
      <b/>
      <sz val="11"/>
      <color theme="0"/>
      <name val="Bahnschrift SemiLight SemiConde"/>
      <family val="2"/>
    </font>
    <font>
      <b/>
      <sz val="10"/>
      <color theme="0"/>
      <name val="Bahnschrift SemiLight SemiConde"/>
      <family val="2"/>
    </font>
    <font>
      <b/>
      <sz val="11"/>
      <color rgb="FF333333"/>
      <name val="Calibri"/>
      <family val="2"/>
      <scheme val="minor"/>
    </font>
    <font>
      <b/>
      <sz val="11"/>
      <color rgb="FF333333"/>
      <name val="Arial"/>
      <family val="2"/>
    </font>
    <font>
      <b/>
      <sz val="11"/>
      <color rgb="FF000000"/>
      <name val="Calibri"/>
      <family val="2"/>
      <scheme val="minor"/>
    </font>
    <font>
      <b/>
      <sz val="10"/>
      <color rgb="FF333333"/>
      <name val="Arial"/>
      <family val="2"/>
    </font>
    <font>
      <sz val="11"/>
      <color theme="5"/>
      <name val="Calibri"/>
      <family val="2"/>
      <scheme val="minor"/>
    </font>
    <font>
      <b/>
      <sz val="11"/>
      <color theme="5"/>
      <name val="Calibri"/>
      <family val="2"/>
      <scheme val="minor"/>
    </font>
    <font>
      <b/>
      <sz val="14"/>
      <color rgb="FFFFFFFF"/>
      <name val="Bahnschrift SemiLight SemiConde"/>
      <family val="2"/>
    </font>
    <font>
      <i/>
      <sz val="11"/>
      <color theme="1"/>
      <name val="Calibri"/>
      <family val="2"/>
      <scheme val="minor"/>
    </font>
    <font>
      <sz val="9.75"/>
      <color rgb="FF303336"/>
      <name val="Inherit"/>
    </font>
    <font>
      <sz val="9.75"/>
      <color rgb="FF2B91AF"/>
      <name val="Inherit"/>
    </font>
    <font>
      <sz val="9.75"/>
      <color rgb="FF7D2727"/>
      <name val="Inherit"/>
    </font>
    <font>
      <u/>
      <sz val="11"/>
      <name val="Calibri"/>
      <family val="2"/>
      <scheme val="minor"/>
    </font>
    <font>
      <sz val="8"/>
      <name val="Calibri"/>
      <family val="2"/>
      <scheme val="minor"/>
    </font>
    <font>
      <u/>
      <sz val="8"/>
      <color theme="10"/>
      <name val="Calibri"/>
      <family val="2"/>
      <scheme val="minor"/>
    </font>
    <font>
      <b/>
      <sz val="8"/>
      <color theme="1"/>
      <name val="Calibri"/>
      <family val="2"/>
      <scheme val="minor"/>
    </font>
    <font>
      <b/>
      <sz val="14"/>
      <color theme="4" tint="0.79998168889431442"/>
      <name val="Bahnschrift SemiLight SemiConde"/>
      <family val="2"/>
    </font>
  </fonts>
  <fills count="19">
    <fill>
      <patternFill patternType="none"/>
    </fill>
    <fill>
      <patternFill patternType="gray125"/>
    </fill>
    <fill>
      <patternFill patternType="solid">
        <fgColor theme="0" tint="-0.249977111117893"/>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bgColor indexed="64"/>
      </patternFill>
    </fill>
    <fill>
      <patternFill patternType="solid">
        <fgColor rgb="FF002060"/>
        <bgColor indexed="64"/>
      </patternFill>
    </fill>
    <fill>
      <patternFill patternType="solid">
        <fgColor theme="4" tint="-0.499984740745262"/>
        <bgColor indexed="64"/>
      </patternFill>
    </fill>
    <fill>
      <patternFill patternType="solid">
        <fgColor rgb="FFE1FFEB"/>
        <bgColor indexed="64"/>
      </patternFill>
    </fill>
    <fill>
      <patternFill patternType="solid">
        <fgColor rgb="FF90F0B7"/>
        <bgColor indexed="64"/>
      </patternFill>
    </fill>
    <fill>
      <patternFill patternType="solid">
        <fgColor rgb="FFC8F8E1"/>
        <bgColor indexed="64"/>
      </patternFill>
    </fill>
    <fill>
      <patternFill patternType="solid">
        <fgColor rgb="FFFFF3F3"/>
        <bgColor indexed="64"/>
      </patternFill>
    </fill>
    <fill>
      <patternFill patternType="solid">
        <fgColor rgb="FFFFCCCC"/>
        <bgColor indexed="64"/>
      </patternFill>
    </fill>
    <fill>
      <patternFill patternType="solid">
        <fgColor rgb="FFFFFF00"/>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rgb="FF203764"/>
        <bgColor rgb="FF000000"/>
      </patternFill>
    </fill>
  </fills>
  <borders count="89">
    <border>
      <left/>
      <right/>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diagonal/>
    </border>
    <border>
      <left/>
      <right/>
      <top style="medium">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theme="0"/>
      </bottom>
      <diagonal/>
    </border>
    <border>
      <left style="thin">
        <color indexed="64"/>
      </left>
      <right style="thin">
        <color indexed="64"/>
      </right>
      <top style="thin">
        <color theme="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indexed="64"/>
      </bottom>
      <diagonal/>
    </border>
    <border>
      <left style="thin">
        <color indexed="64"/>
      </left>
      <right/>
      <top style="medium">
        <color indexed="64"/>
      </top>
      <bottom/>
      <diagonal/>
    </border>
    <border>
      <left/>
      <right/>
      <top style="medium">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indexed="64"/>
      </bottom>
      <diagonal/>
    </border>
    <border>
      <left style="thin">
        <color indexed="64"/>
      </left>
      <right style="thin">
        <color indexed="64"/>
      </right>
      <top style="thin">
        <color theme="0"/>
      </top>
      <bottom style="thin">
        <color theme="0"/>
      </bottom>
      <diagonal/>
    </border>
    <border>
      <left/>
      <right style="thin">
        <color indexed="64"/>
      </right>
      <top style="thin">
        <color theme="0" tint="-0.14999847407452621"/>
      </top>
      <bottom/>
      <diagonal/>
    </border>
    <border>
      <left/>
      <right style="thin">
        <color indexed="64"/>
      </right>
      <top style="thin">
        <color theme="0" tint="-0.14999847407452621"/>
      </top>
      <bottom style="thin">
        <color theme="0" tint="-0.14999847407452621"/>
      </bottom>
      <diagonal/>
    </border>
    <border>
      <left style="thin">
        <color indexed="64"/>
      </left>
      <right style="thin">
        <color indexed="64"/>
      </right>
      <top style="thin">
        <color theme="0" tint="-4.9989318521683403E-2"/>
      </top>
      <bottom style="thin">
        <color theme="0" tint="-4.9989318521683403E-2"/>
      </bottom>
      <diagonal/>
    </border>
    <border>
      <left style="thin">
        <color indexed="64"/>
      </left>
      <right style="thin">
        <color indexed="64"/>
      </right>
      <top style="thin">
        <color theme="0" tint="-4.9989318521683403E-2"/>
      </top>
      <bottom/>
      <diagonal/>
    </border>
    <border>
      <left/>
      <right style="thin">
        <color indexed="64"/>
      </right>
      <top/>
      <bottom style="thin">
        <color theme="0" tint="-4.9989318521683403E-2"/>
      </bottom>
      <diagonal/>
    </border>
    <border>
      <left style="thin">
        <color indexed="64"/>
      </left>
      <right style="thin">
        <color indexed="64"/>
      </right>
      <top style="thin">
        <color theme="0" tint="-0.14999847407452621"/>
      </top>
      <bottom style="thin">
        <color theme="0" tint="-0.14999847407452621"/>
      </bottom>
      <diagonal/>
    </border>
    <border>
      <left style="thin">
        <color indexed="64"/>
      </left>
      <right style="thin">
        <color indexed="64"/>
      </right>
      <top style="thin">
        <color theme="0" tint="-0.14999847407452621"/>
      </top>
      <bottom/>
      <diagonal/>
    </border>
    <border>
      <left style="thin">
        <color indexed="64"/>
      </left>
      <right style="thin">
        <color indexed="64"/>
      </right>
      <top style="thin">
        <color indexed="64"/>
      </top>
      <bottom style="thin">
        <color theme="0" tint="-0.14999847407452621"/>
      </bottom>
      <diagonal/>
    </border>
    <border>
      <left style="thin">
        <color indexed="64"/>
      </left>
      <right style="thin">
        <color indexed="64"/>
      </right>
      <top/>
      <bottom style="thin">
        <color theme="0" tint="-0.14999847407452621"/>
      </bottom>
      <diagonal/>
    </border>
    <border>
      <left style="thin">
        <color indexed="64"/>
      </left>
      <right style="thin">
        <color indexed="64"/>
      </right>
      <top/>
      <bottom style="thin">
        <color theme="0" tint="-4.9989318521683403E-2"/>
      </bottom>
      <diagonal/>
    </border>
    <border>
      <left style="thin">
        <color indexed="64"/>
      </left>
      <right style="thin">
        <color indexed="64"/>
      </right>
      <top style="thin">
        <color theme="0" tint="-0.14999847407452621"/>
      </top>
      <bottom style="thin">
        <color indexed="64"/>
      </bottom>
      <diagonal/>
    </border>
    <border>
      <left style="thin">
        <color indexed="64"/>
      </left>
      <right/>
      <top style="thin">
        <color theme="0" tint="-0.14999847407452621"/>
      </top>
      <bottom style="thin">
        <color theme="0" tint="-0.14999847407452621"/>
      </bottom>
      <diagonal/>
    </border>
    <border>
      <left/>
      <right/>
      <top style="thin">
        <color theme="0"/>
      </top>
      <bottom style="thin">
        <color theme="0"/>
      </bottom>
      <diagonal/>
    </border>
    <border>
      <left/>
      <right style="thin">
        <color indexed="64"/>
      </right>
      <top style="thin">
        <color theme="0"/>
      </top>
      <bottom style="thin">
        <color theme="0"/>
      </bottom>
      <diagonal/>
    </border>
    <border>
      <left style="thin">
        <color indexed="64"/>
      </left>
      <right/>
      <top style="thin">
        <color theme="0"/>
      </top>
      <bottom style="thin">
        <color theme="0"/>
      </bottom>
      <diagonal/>
    </border>
    <border>
      <left style="thin">
        <color indexed="64"/>
      </left>
      <right/>
      <top style="thin">
        <color theme="0" tint="-0.14999847407452621"/>
      </top>
      <bottom/>
      <diagonal/>
    </border>
    <border>
      <left style="thin">
        <color indexed="64"/>
      </left>
      <right/>
      <top/>
      <bottom style="thin">
        <color theme="0" tint="-0.14999847407452621"/>
      </bottom>
      <diagonal/>
    </border>
    <border>
      <left/>
      <right style="thin">
        <color indexed="64"/>
      </right>
      <top/>
      <bottom style="thin">
        <color theme="0" tint="-0.14999847407452621"/>
      </bottom>
      <diagonal/>
    </border>
    <border>
      <left/>
      <right style="thin">
        <color indexed="64"/>
      </right>
      <top style="thin">
        <color theme="0"/>
      </top>
      <bottom style="thin">
        <color indexed="64"/>
      </bottom>
      <diagonal/>
    </border>
    <border>
      <left style="thin">
        <color indexed="64"/>
      </left>
      <right style="thin">
        <color indexed="64"/>
      </right>
      <top style="thin">
        <color theme="0" tint="-4.9989318521683403E-2"/>
      </top>
      <bottom style="thin">
        <color indexed="64"/>
      </bottom>
      <diagonal/>
    </border>
    <border>
      <left style="thin">
        <color indexed="64"/>
      </left>
      <right style="thin">
        <color indexed="64"/>
      </right>
      <top style="thin">
        <color indexed="64"/>
      </top>
      <bottom style="thin">
        <color theme="0" tint="-4.9989318521683403E-2"/>
      </bottom>
      <diagonal/>
    </border>
    <border>
      <left/>
      <right/>
      <top style="thin">
        <color indexed="64"/>
      </top>
      <bottom style="thin">
        <color indexed="64"/>
      </bottom>
      <diagonal/>
    </border>
    <border>
      <left style="thin">
        <color indexed="64"/>
      </left>
      <right/>
      <top style="thin">
        <color theme="0" tint="-0.14999847407452621"/>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6" tint="0.39997558519241921"/>
      </top>
      <bottom/>
      <diagonal/>
    </border>
    <border>
      <left style="thin">
        <color indexed="64"/>
      </left>
      <right style="thin">
        <color theme="0" tint="-0.249977111117893"/>
      </right>
      <top style="thin">
        <color theme="0" tint="-0.249977111117893"/>
      </top>
      <bottom style="thin">
        <color theme="0" tint="-0.249977111117893"/>
      </bottom>
      <diagonal/>
    </border>
    <border>
      <left style="thin">
        <color indexed="64"/>
      </left>
      <right style="thin">
        <color theme="0" tint="-0.249977111117893"/>
      </right>
      <top style="thin">
        <color theme="0" tint="-0.249977111117893"/>
      </top>
      <bottom/>
      <diagonal/>
    </border>
    <border>
      <left style="thin">
        <color indexed="64"/>
      </left>
      <right style="thin">
        <color theme="0" tint="-0.249977111117893"/>
      </right>
      <top style="thin">
        <color theme="0" tint="-0.249977111117893"/>
      </top>
      <bottom style="thin">
        <color indexed="64"/>
      </bottom>
      <diagonal/>
    </border>
    <border>
      <left style="thin">
        <color theme="0" tint="-0.249977111117893"/>
      </left>
      <right/>
      <top/>
      <bottom style="thin">
        <color indexed="64"/>
      </bottom>
      <diagonal/>
    </border>
    <border>
      <left style="thin">
        <color rgb="FF000000"/>
      </left>
      <right/>
      <top/>
      <bottom style="thin">
        <color indexed="64"/>
      </bottom>
      <diagonal/>
    </border>
    <border>
      <left style="thin">
        <color indexed="64"/>
      </left>
      <right/>
      <top style="thin">
        <color indexed="64"/>
      </top>
      <bottom style="thin">
        <color theme="0" tint="-0.14999847407452621"/>
      </bottom>
      <diagonal/>
    </border>
    <border>
      <left style="thin">
        <color indexed="64"/>
      </left>
      <right/>
      <top style="thin">
        <color theme="0"/>
      </top>
      <bottom style="thin">
        <color indexed="64"/>
      </bottom>
      <diagonal/>
    </border>
    <border>
      <left/>
      <right style="thin">
        <color indexed="64"/>
      </right>
      <top style="thin">
        <color theme="0" tint="-4.9989318521683403E-2"/>
      </top>
      <bottom/>
      <diagonal/>
    </border>
    <border>
      <left/>
      <right/>
      <top style="thin">
        <color indexed="64"/>
      </top>
      <bottom style="thin">
        <color theme="0"/>
      </bottom>
      <diagonal/>
    </border>
    <border>
      <left style="thin">
        <color theme="0"/>
      </left>
      <right style="thin">
        <color theme="0"/>
      </right>
      <top style="thin">
        <color theme="0"/>
      </top>
      <bottom style="thin">
        <color theme="0"/>
      </bottom>
      <diagonal/>
    </border>
    <border>
      <left style="thin">
        <color indexed="64"/>
      </left>
      <right/>
      <top style="thin">
        <color indexed="64"/>
      </top>
      <bottom style="thin">
        <color theme="0"/>
      </bottom>
      <diagonal/>
    </border>
    <border>
      <left style="thin">
        <color theme="0"/>
      </left>
      <right/>
      <top style="thin">
        <color theme="0"/>
      </top>
      <bottom style="thin">
        <color theme="0"/>
      </bottom>
      <diagonal/>
    </border>
    <border>
      <left style="thin">
        <color indexed="64"/>
      </left>
      <right/>
      <top style="thin">
        <color theme="0"/>
      </top>
      <bottom/>
      <diagonal/>
    </border>
    <border>
      <left style="thin">
        <color indexed="64"/>
      </left>
      <right style="thin">
        <color indexed="64"/>
      </right>
      <top style="thin">
        <color theme="0" tint="-4.9989318521683403E-2"/>
      </top>
      <bottom style="thin">
        <color theme="0" tint="-0.14999847407452621"/>
      </bottom>
      <diagonal/>
    </border>
    <border>
      <left style="thin">
        <color indexed="64"/>
      </left>
      <right style="thin">
        <color indexed="64"/>
      </right>
      <top style="thin">
        <color theme="0" tint="-0.14999847407452621"/>
      </top>
      <bottom style="thin">
        <color theme="0" tint="-4.9989318521683403E-2"/>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indexed="64"/>
      </left>
      <right/>
      <top/>
      <bottom style="thin">
        <color theme="0"/>
      </bottom>
      <diagonal/>
    </border>
    <border>
      <left style="thin">
        <color rgb="FF000000"/>
      </left>
      <right/>
      <top/>
      <bottom style="thin">
        <color theme="0"/>
      </bottom>
      <diagonal/>
    </border>
    <border>
      <left style="thin">
        <color rgb="FF000000"/>
      </left>
      <right/>
      <top style="thin">
        <color theme="0"/>
      </top>
      <bottom style="thin">
        <color theme="0"/>
      </bottom>
      <diagonal/>
    </border>
    <border>
      <left/>
      <right style="thin">
        <color indexed="64"/>
      </right>
      <top style="thin">
        <color rgb="FF000000"/>
      </top>
      <bottom style="thin">
        <color indexed="64"/>
      </bottom>
      <diagonal/>
    </border>
    <border>
      <left style="thin">
        <color indexed="64"/>
      </left>
      <right style="thin">
        <color indexed="64"/>
      </right>
      <top style="thin">
        <color theme="4" tint="0.79998168889431442"/>
      </top>
      <bottom/>
      <diagonal/>
    </border>
    <border>
      <left style="thin">
        <color indexed="64"/>
      </left>
      <right style="thin">
        <color indexed="64"/>
      </right>
      <top style="thin">
        <color theme="4" tint="0.59999389629810485"/>
      </top>
      <bottom/>
      <diagonal/>
    </border>
    <border>
      <left style="thin">
        <color indexed="64"/>
      </left>
      <right style="thin">
        <color indexed="64"/>
      </right>
      <top style="thin">
        <color indexed="64"/>
      </top>
      <bottom style="thin">
        <color theme="4" tint="0.79998168889431442"/>
      </bottom>
      <diagonal/>
    </border>
    <border>
      <left style="thin">
        <color indexed="64"/>
      </left>
      <right style="thin">
        <color indexed="64"/>
      </right>
      <top style="thin">
        <color theme="4" tint="0.59999389629810485"/>
      </top>
      <bottom style="thin">
        <color theme="4" tint="0.59999389629810485"/>
      </bottom>
      <diagonal/>
    </border>
    <border>
      <left style="thin">
        <color indexed="64"/>
      </left>
      <right style="thin">
        <color indexed="64"/>
      </right>
      <top/>
      <bottom style="thin">
        <color theme="4" tint="0.59999389629810485"/>
      </bottom>
      <diagonal/>
    </border>
    <border>
      <left/>
      <right style="thin">
        <color indexed="64"/>
      </right>
      <top style="thin">
        <color indexed="64"/>
      </top>
      <bottom style="thin">
        <color theme="0" tint="-4.9989318521683403E-2"/>
      </bottom>
      <diagonal/>
    </border>
    <border>
      <left/>
      <right style="thin">
        <color indexed="64"/>
      </right>
      <top style="thin">
        <color theme="0" tint="-4.9989318521683403E-2"/>
      </top>
      <bottom style="thin">
        <color indexed="64"/>
      </bottom>
      <diagonal/>
    </border>
    <border>
      <left style="thin">
        <color indexed="64"/>
      </left>
      <right style="thin">
        <color indexed="64"/>
      </right>
      <top/>
      <bottom style="thin">
        <color theme="4" tint="0.79998168889431442"/>
      </bottom>
      <diagonal/>
    </border>
  </borders>
  <cellStyleXfs count="2">
    <xf numFmtId="0" fontId="0" fillId="0" borderId="0"/>
    <xf numFmtId="0" fontId="5" fillId="0" borderId="0" applyNumberFormat="0" applyFill="0" applyBorder="0" applyAlignment="0" applyProtection="0"/>
  </cellStyleXfs>
  <cellXfs count="903">
    <xf numFmtId="0" fontId="0" fillId="0" borderId="0" xfId="0"/>
    <xf numFmtId="0" fontId="1" fillId="0" borderId="0" xfId="0" applyFont="1" applyBorder="1" applyAlignment="1">
      <alignment horizontal="center" vertical="center" wrapText="1"/>
    </xf>
    <xf numFmtId="0" fontId="2" fillId="0" borderId="0" xfId="0" applyFont="1"/>
    <xf numFmtId="49" fontId="0" fillId="0" borderId="0" xfId="0" applyNumberFormat="1"/>
    <xf numFmtId="0" fontId="5" fillId="0" borderId="0" xfId="1"/>
    <xf numFmtId="0" fontId="6" fillId="0" borderId="0" xfId="0" applyFont="1"/>
    <xf numFmtId="0" fontId="0" fillId="0" borderId="0" xfId="0" applyAlignment="1">
      <alignment horizontal="left"/>
    </xf>
    <xf numFmtId="0" fontId="0" fillId="0" borderId="0" xfId="0" applyAlignment="1">
      <alignment horizontal="left" vertical="top"/>
    </xf>
    <xf numFmtId="0" fontId="0" fillId="0" borderId="0" xfId="0" applyAlignment="1">
      <alignment horizontal="center" vertical="center"/>
    </xf>
    <xf numFmtId="0" fontId="0" fillId="0" borderId="0" xfId="0" applyNumberFormat="1"/>
    <xf numFmtId="0" fontId="0" fillId="0" borderId="12" xfId="0" applyBorder="1"/>
    <xf numFmtId="0" fontId="1" fillId="0" borderId="2" xfId="0" applyFont="1" applyBorder="1" applyAlignment="1">
      <alignment horizontal="right" vertical="center" wrapText="1"/>
    </xf>
    <xf numFmtId="0" fontId="1" fillId="0" borderId="1"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3" xfId="0" applyFont="1" applyBorder="1" applyAlignment="1">
      <alignment horizontal="center" vertical="center" wrapText="1"/>
    </xf>
    <xf numFmtId="0" fontId="0" fillId="0" borderId="3" xfId="0" applyBorder="1"/>
    <xf numFmtId="2" fontId="0" fillId="0" borderId="0" xfId="0" applyNumberFormat="1"/>
    <xf numFmtId="0" fontId="0" fillId="5" borderId="0" xfId="0" applyFill="1"/>
    <xf numFmtId="0" fontId="0" fillId="5" borderId="13" xfId="0" applyFill="1" applyBorder="1"/>
    <xf numFmtId="0" fontId="0" fillId="5" borderId="12" xfId="0" applyFill="1" applyBorder="1"/>
    <xf numFmtId="164" fontId="0" fillId="0" borderId="0" xfId="0" applyNumberFormat="1"/>
    <xf numFmtId="164" fontId="0" fillId="0" borderId="0" xfId="0" applyNumberFormat="1" applyAlignment="1">
      <alignment horizontal="left"/>
    </xf>
    <xf numFmtId="0" fontId="0" fillId="0" borderId="8" xfId="0" applyBorder="1" applyAlignment="1">
      <alignment horizontal="right"/>
    </xf>
    <xf numFmtId="49" fontId="4" fillId="0" borderId="0" xfId="0" applyNumberFormat="1" applyFont="1" applyAlignment="1">
      <alignment wrapText="1"/>
    </xf>
    <xf numFmtId="0" fontId="0" fillId="0" borderId="0" xfId="0" applyAlignment="1">
      <alignment wrapText="1"/>
    </xf>
    <xf numFmtId="0" fontId="8" fillId="0" borderId="0" xfId="0" applyFont="1" applyAlignment="1">
      <alignment horizontal="left" vertical="top"/>
    </xf>
    <xf numFmtId="0" fontId="9" fillId="0" borderId="0" xfId="0" applyFont="1" applyAlignment="1">
      <alignment horizontal="left" vertical="top"/>
    </xf>
    <xf numFmtId="0" fontId="9" fillId="0" borderId="0" xfId="0" applyFont="1"/>
    <xf numFmtId="0" fontId="4" fillId="0" borderId="0" xfId="0" applyFont="1" applyAlignment="1">
      <alignment vertical="center"/>
    </xf>
    <xf numFmtId="0" fontId="4" fillId="0" borderId="0" xfId="0" applyFont="1" applyAlignment="1">
      <alignment horizontal="left" vertical="top"/>
    </xf>
    <xf numFmtId="0" fontId="4" fillId="0" borderId="0" xfId="0" applyFont="1"/>
    <xf numFmtId="0" fontId="0" fillId="0" borderId="0" xfId="0" applyAlignment="1">
      <alignment horizontal="left" vertical="center" indent="4"/>
    </xf>
    <xf numFmtId="0" fontId="0" fillId="0" borderId="0" xfId="0" applyAlignment="1">
      <alignment vertical="center"/>
    </xf>
    <xf numFmtId="49" fontId="0" fillId="0" borderId="0" xfId="0" quotePrefix="1" applyNumberFormat="1"/>
    <xf numFmtId="0" fontId="3" fillId="0" borderId="0" xfId="0" applyFont="1"/>
    <xf numFmtId="0" fontId="2" fillId="2" borderId="0" xfId="0" applyFont="1" applyFill="1" applyAlignment="1">
      <alignment horizontal="center" vertical="center"/>
    </xf>
    <xf numFmtId="0" fontId="1" fillId="3" borderId="4" xfId="0" applyFont="1" applyFill="1" applyBorder="1" applyAlignment="1">
      <alignment horizontal="center" vertical="center" wrapText="1"/>
    </xf>
    <xf numFmtId="0" fontId="0" fillId="3" borderId="14" xfId="0" applyFill="1" applyBorder="1" applyAlignment="1">
      <alignment horizontal="center" vertical="center"/>
    </xf>
    <xf numFmtId="0" fontId="2" fillId="0" borderId="13" xfId="0" applyFont="1" applyBorder="1"/>
    <xf numFmtId="0" fontId="0" fillId="0" borderId="10" xfId="0" applyBorder="1"/>
    <xf numFmtId="0" fontId="0" fillId="0" borderId="13" xfId="0" applyBorder="1" applyAlignment="1">
      <alignment horizontal="center" vertical="center"/>
    </xf>
    <xf numFmtId="0" fontId="0" fillId="0" borderId="4" xfId="0" applyBorder="1"/>
    <xf numFmtId="0" fontId="0" fillId="6" borderId="4" xfId="0" applyFill="1" applyBorder="1"/>
    <xf numFmtId="0" fontId="5" fillId="6" borderId="4" xfId="1" applyFill="1" applyBorder="1"/>
    <xf numFmtId="0" fontId="0" fillId="6" borderId="5" xfId="0" applyFill="1" applyBorder="1"/>
    <xf numFmtId="0" fontId="0" fillId="6" borderId="5" xfId="0" applyFill="1" applyBorder="1" applyAlignment="1">
      <alignment wrapText="1"/>
    </xf>
    <xf numFmtId="0" fontId="0" fillId="6" borderId="3" xfId="0" applyFill="1" applyBorder="1"/>
    <xf numFmtId="0" fontId="0" fillId="0" borderId="0" xfId="0" quotePrefix="1"/>
    <xf numFmtId="0" fontId="0" fillId="0" borderId="12" xfId="0" applyBorder="1" applyAlignment="1">
      <alignment horizontal="right"/>
    </xf>
    <xf numFmtId="0" fontId="0" fillId="0" borderId="0" xfId="0" applyFont="1"/>
    <xf numFmtId="0" fontId="0" fillId="0" borderId="0" xfId="0" applyFont="1" applyFill="1" applyBorder="1"/>
    <xf numFmtId="0" fontId="0" fillId="0" borderId="5" xfId="0" applyFill="1" applyBorder="1"/>
    <xf numFmtId="0" fontId="0" fillId="0" borderId="5" xfId="0" applyFill="1" applyBorder="1" applyAlignment="1">
      <alignment wrapText="1"/>
    </xf>
    <xf numFmtId="0" fontId="0" fillId="6" borderId="41" xfId="0" applyFill="1" applyBorder="1"/>
    <xf numFmtId="0" fontId="0" fillId="0" borderId="16" xfId="0" applyFill="1" applyBorder="1"/>
    <xf numFmtId="0" fontId="11" fillId="6" borderId="5" xfId="1" applyFont="1" applyFill="1" applyBorder="1"/>
    <xf numFmtId="0" fontId="11" fillId="6" borderId="6" xfId="1" applyFont="1" applyFill="1" applyBorder="1"/>
    <xf numFmtId="0" fontId="5" fillId="6" borderId="30" xfId="1" applyFill="1" applyBorder="1"/>
    <xf numFmtId="0" fontId="11" fillId="0" borderId="4" xfId="1" applyFont="1" applyBorder="1"/>
    <xf numFmtId="0" fontId="11" fillId="6" borderId="40" xfId="1" applyFont="1" applyFill="1" applyBorder="1"/>
    <xf numFmtId="0" fontId="0" fillId="3" borderId="4" xfId="0" applyFill="1" applyBorder="1" applyAlignment="1">
      <alignment horizontal="center" vertical="center"/>
    </xf>
    <xf numFmtId="0" fontId="2" fillId="6" borderId="2" xfId="0" applyFont="1" applyFill="1" applyBorder="1"/>
    <xf numFmtId="0" fontId="2" fillId="6" borderId="10" xfId="0" applyFont="1" applyFill="1" applyBorder="1" applyAlignment="1">
      <alignment horizontal="center" vertical="center"/>
    </xf>
    <xf numFmtId="0" fontId="2" fillId="6" borderId="4" xfId="0" applyFont="1" applyFill="1" applyBorder="1" applyAlignment="1">
      <alignment horizontal="center" vertical="center"/>
    </xf>
    <xf numFmtId="0" fontId="2" fillId="0" borderId="4" xfId="0" applyFont="1" applyBorder="1"/>
    <xf numFmtId="0" fontId="0" fillId="0" borderId="2" xfId="0" applyBorder="1" applyAlignment="1">
      <alignment horizontal="right"/>
    </xf>
    <xf numFmtId="0" fontId="0" fillId="0" borderId="0" xfId="0" applyBorder="1" applyAlignment="1">
      <alignment horizontal="right"/>
    </xf>
    <xf numFmtId="0" fontId="0" fillId="0" borderId="5" xfId="0" applyBorder="1"/>
    <xf numFmtId="0" fontId="0" fillId="0" borderId="6" xfId="0" applyBorder="1"/>
    <xf numFmtId="0" fontId="12" fillId="0" borderId="0" xfId="0" applyFont="1" applyAlignment="1">
      <alignment horizontal="left" vertical="center"/>
    </xf>
    <xf numFmtId="0" fontId="13" fillId="0" borderId="0" xfId="0" applyFont="1" applyAlignment="1">
      <alignment vertical="center"/>
    </xf>
    <xf numFmtId="0" fontId="14" fillId="0" borderId="0" xfId="0" applyFont="1" applyAlignment="1">
      <alignment vertical="center"/>
    </xf>
    <xf numFmtId="0" fontId="16" fillId="0" borderId="0" xfId="0" applyFont="1" applyAlignment="1">
      <alignment vertical="center"/>
    </xf>
    <xf numFmtId="0" fontId="0" fillId="6" borderId="7" xfId="0" applyFont="1" applyFill="1" applyBorder="1" applyAlignment="1">
      <alignment horizontal="left" vertical="center"/>
    </xf>
    <xf numFmtId="0" fontId="0" fillId="6" borderId="52" xfId="0" applyFont="1" applyFill="1" applyBorder="1" applyAlignment="1">
      <alignment horizontal="left" vertical="center"/>
    </xf>
    <xf numFmtId="0" fontId="19" fillId="0" borderId="0" xfId="0" applyFont="1" applyAlignment="1">
      <alignment vertical="center"/>
    </xf>
    <xf numFmtId="0" fontId="20" fillId="0" borderId="0" xfId="0" applyFont="1" applyAlignment="1">
      <alignment horizontal="left" vertical="center" wrapText="1" indent="6"/>
    </xf>
    <xf numFmtId="0" fontId="0" fillId="0" borderId="0" xfId="0" applyAlignment="1">
      <alignment horizontal="right"/>
    </xf>
    <xf numFmtId="0" fontId="0" fillId="6" borderId="0" xfId="0" applyFont="1" applyFill="1" applyBorder="1" applyAlignment="1">
      <alignment horizontal="left" vertical="center" wrapText="1"/>
    </xf>
    <xf numFmtId="0" fontId="0" fillId="0" borderId="0" xfId="0" applyBorder="1"/>
    <xf numFmtId="0" fontId="0" fillId="7" borderId="4" xfId="0" applyFill="1" applyBorder="1" applyAlignment="1">
      <alignment horizontal="center" vertical="center"/>
    </xf>
    <xf numFmtId="0" fontId="0" fillId="7" borderId="4" xfId="0" applyFill="1" applyBorder="1"/>
    <xf numFmtId="0" fontId="5" fillId="7" borderId="4" xfId="1" applyFill="1" applyBorder="1"/>
    <xf numFmtId="0" fontId="11" fillId="7" borderId="6" xfId="1" applyFont="1" applyFill="1" applyBorder="1" applyAlignment="1">
      <alignment horizontal="center" vertical="center"/>
    </xf>
    <xf numFmtId="0" fontId="5" fillId="0" borderId="2" xfId="1" applyBorder="1"/>
    <xf numFmtId="0" fontId="5" fillId="6" borderId="2" xfId="1" applyFill="1" applyBorder="1"/>
    <xf numFmtId="0" fontId="0" fillId="7" borderId="6" xfId="0" applyFill="1" applyBorder="1"/>
    <xf numFmtId="0" fontId="5" fillId="6" borderId="4" xfId="1" applyFill="1" applyBorder="1" applyAlignment="1">
      <alignment wrapText="1"/>
    </xf>
    <xf numFmtId="0" fontId="11" fillId="6" borderId="3" xfId="1" applyFont="1" applyFill="1" applyBorder="1"/>
    <xf numFmtId="0" fontId="5" fillId="0" borderId="3" xfId="1" applyBorder="1" applyAlignment="1">
      <alignment horizontal="left" vertical="center"/>
    </xf>
    <xf numFmtId="0" fontId="11" fillId="6" borderId="45" xfId="1" applyFont="1" applyFill="1" applyBorder="1"/>
    <xf numFmtId="0" fontId="11" fillId="6" borderId="41" xfId="1" applyFont="1" applyFill="1" applyBorder="1"/>
    <xf numFmtId="0" fontId="11" fillId="6" borderId="3" xfId="1" applyFont="1" applyFill="1" applyBorder="1" applyAlignment="1">
      <alignment horizontal="center" vertical="center"/>
    </xf>
    <xf numFmtId="0" fontId="5" fillId="6" borderId="3" xfId="1" applyFill="1" applyBorder="1"/>
    <xf numFmtId="0" fontId="11" fillId="6" borderId="45" xfId="1" applyFont="1" applyFill="1" applyBorder="1" applyAlignment="1">
      <alignment horizontal="center" vertical="center"/>
    </xf>
    <xf numFmtId="0" fontId="11" fillId="6" borderId="5" xfId="1" applyFont="1" applyFill="1" applyBorder="1" applyAlignment="1">
      <alignment horizontal="center" vertical="center"/>
    </xf>
    <xf numFmtId="0" fontId="5" fillId="6" borderId="42" xfId="1" applyFill="1" applyBorder="1"/>
    <xf numFmtId="0" fontId="11" fillId="6" borderId="40" xfId="1" applyFont="1" applyFill="1" applyBorder="1" applyAlignment="1">
      <alignment horizontal="center" vertical="center"/>
    </xf>
    <xf numFmtId="0" fontId="11" fillId="6" borderId="41" xfId="1" applyFont="1" applyFill="1" applyBorder="1" applyAlignment="1">
      <alignment horizontal="center" vertical="center"/>
    </xf>
    <xf numFmtId="0" fontId="11" fillId="4" borderId="5" xfId="1" applyFont="1" applyFill="1" applyBorder="1" applyAlignment="1">
      <alignment horizontal="center" vertical="center"/>
    </xf>
    <xf numFmtId="0" fontId="11" fillId="4" borderId="38" xfId="1" applyFont="1" applyFill="1" applyBorder="1" applyAlignment="1">
      <alignment horizontal="center" vertical="center"/>
    </xf>
    <xf numFmtId="0" fontId="11" fillId="4" borderId="37" xfId="1" applyFont="1" applyFill="1" applyBorder="1" applyAlignment="1">
      <alignment horizontal="center" vertical="center"/>
    </xf>
    <xf numFmtId="0" fontId="0" fillId="0" borderId="34" xfId="0" applyBorder="1" applyAlignment="1">
      <alignment horizontal="center" vertical="center"/>
    </xf>
    <xf numFmtId="0" fontId="5" fillId="0" borderId="10" xfId="1" applyBorder="1" applyAlignment="1">
      <alignment horizontal="left" vertical="center"/>
    </xf>
    <xf numFmtId="0" fontId="11" fillId="0" borderId="48" xfId="1" applyFont="1" applyBorder="1" applyAlignment="1">
      <alignment horizontal="center" vertical="center"/>
    </xf>
    <xf numFmtId="0" fontId="0" fillId="0" borderId="48" xfId="0" applyBorder="1" applyAlignment="1">
      <alignment horizontal="center" vertical="center"/>
    </xf>
    <xf numFmtId="0" fontId="11" fillId="0" borderId="53" xfId="1" applyFont="1" applyBorder="1" applyAlignment="1">
      <alignment horizontal="center" vertical="center"/>
    </xf>
    <xf numFmtId="0" fontId="2" fillId="0" borderId="4" xfId="0" applyFont="1" applyBorder="1" applyAlignment="1">
      <alignment horizontal="center" vertical="center"/>
    </xf>
    <xf numFmtId="0" fontId="0" fillId="7" borderId="3" xfId="0" applyFill="1" applyBorder="1"/>
    <xf numFmtId="0" fontId="11" fillId="4" borderId="3" xfId="1" applyFont="1" applyFill="1" applyBorder="1" applyAlignment="1">
      <alignment horizontal="center" vertical="center"/>
    </xf>
    <xf numFmtId="0" fontId="11" fillId="4" borderId="6" xfId="1" applyFont="1" applyFill="1" applyBorder="1" applyAlignment="1">
      <alignment horizontal="center" vertical="center"/>
    </xf>
    <xf numFmtId="0" fontId="0" fillId="0" borderId="5" xfId="0" applyFont="1" applyBorder="1" applyAlignment="1">
      <alignment horizontal="center" vertical="center"/>
    </xf>
    <xf numFmtId="0" fontId="0" fillId="0" borderId="34" xfId="0" applyFont="1" applyBorder="1" applyAlignment="1">
      <alignment horizontal="center" vertical="center"/>
    </xf>
    <xf numFmtId="0" fontId="0" fillId="0" borderId="6" xfId="0" applyFont="1" applyBorder="1" applyAlignment="1">
      <alignment horizontal="center" vertical="center"/>
    </xf>
    <xf numFmtId="0" fontId="11" fillId="6" borderId="36" xfId="0" applyFont="1" applyFill="1" applyBorder="1" applyAlignment="1">
      <alignment horizontal="center" vertical="center"/>
    </xf>
    <xf numFmtId="0" fontId="11" fillId="6" borderId="6" xfId="1" applyFont="1" applyFill="1" applyBorder="1" applyAlignment="1">
      <alignment horizontal="center" vertical="center"/>
    </xf>
    <xf numFmtId="0" fontId="11" fillId="7" borderId="5" xfId="1" applyFont="1" applyFill="1" applyBorder="1"/>
    <xf numFmtId="0" fontId="0" fillId="6" borderId="5" xfId="0" applyFill="1" applyBorder="1" applyAlignment="1"/>
    <xf numFmtId="0" fontId="11" fillId="7" borderId="5" xfId="1" applyFont="1" applyFill="1" applyBorder="1" applyAlignment="1">
      <alignment horizontal="center" vertical="center"/>
    </xf>
    <xf numFmtId="0" fontId="11" fillId="7" borderId="16" xfId="1" applyFont="1" applyFill="1" applyBorder="1" applyAlignment="1">
      <alignment horizontal="center" vertical="center"/>
    </xf>
    <xf numFmtId="0" fontId="11" fillId="7" borderId="33" xfId="1" applyFont="1" applyFill="1" applyBorder="1" applyAlignment="1">
      <alignment horizontal="center" vertical="center"/>
    </xf>
    <xf numFmtId="0" fontId="0" fillId="0" borderId="30" xfId="0" applyBorder="1" applyAlignment="1">
      <alignment horizontal="center" vertical="center"/>
    </xf>
    <xf numFmtId="0" fontId="5" fillId="7" borderId="3" xfId="1" applyFill="1" applyBorder="1" applyAlignment="1">
      <alignment vertical="center"/>
    </xf>
    <xf numFmtId="0" fontId="5" fillId="7" borderId="6" xfId="1" applyFill="1" applyBorder="1" applyAlignment="1">
      <alignment horizontal="left" vertical="top"/>
    </xf>
    <xf numFmtId="0" fontId="0" fillId="6" borderId="4" xfId="0" applyFont="1" applyFill="1" applyBorder="1" applyAlignment="1">
      <alignment horizontal="left" vertical="center" wrapText="1"/>
    </xf>
    <xf numFmtId="0" fontId="0" fillId="6" borderId="4" xfId="0" applyFont="1" applyFill="1" applyBorder="1" applyAlignment="1">
      <alignment horizontal="center" vertical="center"/>
    </xf>
    <xf numFmtId="0" fontId="0" fillId="0" borderId="4" xfId="0" applyFont="1" applyBorder="1" applyAlignment="1">
      <alignment horizontal="center" vertical="center"/>
    </xf>
    <xf numFmtId="0" fontId="0" fillId="7" borderId="3" xfId="0" applyFill="1" applyBorder="1" applyAlignment="1">
      <alignment horizontal="left" vertical="center"/>
    </xf>
    <xf numFmtId="0" fontId="24" fillId="8" borderId="4" xfId="0" applyFont="1" applyFill="1" applyBorder="1"/>
    <xf numFmtId="0" fontId="25" fillId="0" borderId="0" xfId="0" applyFont="1"/>
    <xf numFmtId="0" fontId="24" fillId="8" borderId="23" xfId="0" applyFont="1" applyFill="1" applyBorder="1"/>
    <xf numFmtId="0" fontId="1" fillId="0" borderId="0" xfId="0" applyFont="1" applyAlignment="1">
      <alignment horizontal="right" vertical="top"/>
    </xf>
    <xf numFmtId="0" fontId="1" fillId="0" borderId="0" xfId="0" applyFont="1" applyAlignment="1">
      <alignment vertical="center"/>
    </xf>
    <xf numFmtId="0" fontId="1" fillId="0" borderId="51" xfId="0" applyFont="1" applyBorder="1" applyAlignment="1">
      <alignment horizontal="right" vertical="top"/>
    </xf>
    <xf numFmtId="0" fontId="1" fillId="0" borderId="57" xfId="0" applyFont="1" applyBorder="1" applyAlignment="1">
      <alignment horizontal="right" vertical="top"/>
    </xf>
    <xf numFmtId="49" fontId="1" fillId="0" borderId="0" xfId="0" applyNumberFormat="1" applyFont="1" applyAlignment="1">
      <alignment vertical="center"/>
    </xf>
    <xf numFmtId="0" fontId="24" fillId="8" borderId="4" xfId="0" applyFont="1" applyFill="1" applyBorder="1" applyAlignment="1">
      <alignment horizontal="left" vertical="center"/>
    </xf>
    <xf numFmtId="0" fontId="24" fillId="8" borderId="4" xfId="0" applyFont="1" applyFill="1" applyBorder="1" applyAlignment="1">
      <alignment horizontal="center"/>
    </xf>
    <xf numFmtId="0" fontId="1" fillId="0" borderId="8" xfId="0" applyFont="1" applyBorder="1" applyAlignment="1">
      <alignment horizontal="right" vertical="center"/>
    </xf>
    <xf numFmtId="0" fontId="26" fillId="0" borderId="0" xfId="0" applyFont="1"/>
    <xf numFmtId="0" fontId="1" fillId="0" borderId="7" xfId="0" applyFont="1" applyBorder="1" applyAlignment="1">
      <alignment horizontal="right"/>
    </xf>
    <xf numFmtId="0" fontId="1" fillId="0" borderId="30" xfId="0" applyFont="1" applyBorder="1" applyAlignment="1">
      <alignment horizontal="center" vertical="center"/>
    </xf>
    <xf numFmtId="0" fontId="1" fillId="0" borderId="7" xfId="0" applyFont="1" applyBorder="1" applyAlignment="1">
      <alignment horizontal="right" vertical="top"/>
    </xf>
    <xf numFmtId="0" fontId="1" fillId="0" borderId="11" xfId="0" applyFont="1" applyBorder="1" applyAlignment="1">
      <alignment horizontal="center" vertical="center"/>
    </xf>
    <xf numFmtId="0" fontId="1" fillId="0" borderId="12" xfId="0" applyFont="1" applyBorder="1" applyAlignment="1">
      <alignment horizontal="right" vertical="top"/>
    </xf>
    <xf numFmtId="0" fontId="1" fillId="0" borderId="6" xfId="0" applyFont="1" applyBorder="1" applyAlignment="1">
      <alignment horizontal="center" vertical="center"/>
    </xf>
    <xf numFmtId="0" fontId="24" fillId="9" borderId="4" xfId="0" applyFont="1" applyFill="1" applyBorder="1"/>
    <xf numFmtId="0" fontId="1" fillId="0" borderId="8" xfId="0" applyFont="1" applyBorder="1" applyAlignment="1">
      <alignment horizontal="right"/>
    </xf>
    <xf numFmtId="0" fontId="27" fillId="8" borderId="4" xfId="0" applyFont="1" applyFill="1" applyBorder="1"/>
    <xf numFmtId="0" fontId="27" fillId="10" borderId="4" xfId="0" applyFont="1" applyFill="1" applyBorder="1"/>
    <xf numFmtId="0" fontId="27" fillId="10" borderId="4" xfId="0" applyFont="1" applyFill="1" applyBorder="1" applyAlignment="1">
      <alignment horizontal="center" vertical="center"/>
    </xf>
    <xf numFmtId="0" fontId="27" fillId="10" borderId="30" xfId="0" applyFont="1" applyFill="1" applyBorder="1" applyAlignment="1">
      <alignment horizontal="center" vertical="center"/>
    </xf>
    <xf numFmtId="0" fontId="28" fillId="11" borderId="8" xfId="0" applyFont="1" applyFill="1" applyBorder="1" applyAlignment="1">
      <alignment horizontal="left"/>
    </xf>
    <xf numFmtId="0" fontId="2" fillId="12" borderId="58" xfId="0" applyFont="1" applyFill="1" applyBorder="1" applyAlignment="1">
      <alignment horizontal="center" vertical="center"/>
    </xf>
    <xf numFmtId="0" fontId="0" fillId="13" borderId="58" xfId="0" applyFill="1" applyBorder="1" applyAlignment="1">
      <alignment horizontal="center" vertical="center"/>
    </xf>
    <xf numFmtId="0" fontId="0" fillId="0" borderId="59" xfId="0" applyBorder="1" applyAlignment="1">
      <alignment horizontal="center" vertical="center"/>
    </xf>
    <xf numFmtId="0" fontId="24" fillId="9" borderId="2" xfId="0" applyFont="1" applyFill="1" applyBorder="1"/>
    <xf numFmtId="0" fontId="0" fillId="14" borderId="60" xfId="0" applyFill="1" applyBorder="1" applyAlignment="1">
      <alignment horizontal="right" vertical="center"/>
    </xf>
    <xf numFmtId="0" fontId="0" fillId="14" borderId="61" xfId="0" applyFill="1" applyBorder="1" applyAlignment="1">
      <alignment horizontal="right" vertical="center"/>
    </xf>
    <xf numFmtId="0" fontId="24" fillId="9" borderId="8" xfId="0" applyFont="1" applyFill="1" applyBorder="1"/>
    <xf numFmtId="0" fontId="0" fillId="14" borderId="62" xfId="0" applyFill="1" applyBorder="1" applyAlignment="1">
      <alignment horizontal="right" vertical="center" wrapText="1"/>
    </xf>
    <xf numFmtId="0" fontId="0" fillId="0" borderId="63" xfId="0" applyBorder="1" applyAlignment="1">
      <alignment horizontal="center" vertical="center"/>
    </xf>
    <xf numFmtId="0" fontId="0" fillId="0" borderId="13" xfId="0" applyBorder="1" applyAlignment="1">
      <alignment horizontal="center" vertical="center" wrapText="1"/>
    </xf>
    <xf numFmtId="0" fontId="1" fillId="15" borderId="4" xfId="0" applyFont="1" applyFill="1" applyBorder="1" applyAlignment="1">
      <alignment horizontal="center" vertical="center" wrapText="1"/>
    </xf>
    <xf numFmtId="0" fontId="7" fillId="16" borderId="18" xfId="0" applyFont="1" applyFill="1" applyBorder="1" applyAlignment="1">
      <alignment horizontal="left"/>
    </xf>
    <xf numFmtId="0" fontId="7" fillId="16" borderId="7" xfId="0" applyFont="1" applyFill="1" applyBorder="1" applyAlignment="1">
      <alignment horizontal="left"/>
    </xf>
    <xf numFmtId="0" fontId="0" fillId="3" borderId="20" xfId="0" applyFont="1" applyFill="1" applyBorder="1" applyAlignment="1">
      <alignment horizontal="left" vertical="center" wrapText="1"/>
    </xf>
    <xf numFmtId="0" fontId="0" fillId="3" borderId="7" xfId="0" applyFill="1" applyBorder="1" applyAlignment="1">
      <alignment horizontal="left"/>
    </xf>
    <xf numFmtId="0" fontId="0" fillId="0" borderId="64" xfId="0" applyBorder="1"/>
    <xf numFmtId="0" fontId="0" fillId="3" borderId="11" xfId="0" applyFill="1" applyBorder="1" applyAlignment="1">
      <alignment horizontal="left"/>
    </xf>
    <xf numFmtId="0" fontId="0" fillId="3" borderId="0" xfId="0" applyFont="1" applyFill="1" applyBorder="1" applyAlignment="1">
      <alignment horizontal="left" vertical="center" wrapText="1"/>
    </xf>
    <xf numFmtId="0" fontId="0" fillId="3" borderId="0" xfId="0" applyFont="1" applyFill="1" applyBorder="1" applyAlignment="1">
      <alignment horizontal="left"/>
    </xf>
    <xf numFmtId="0" fontId="0" fillId="3" borderId="13" xfId="0" applyFont="1" applyFill="1" applyBorder="1" applyAlignment="1">
      <alignment horizontal="left"/>
    </xf>
    <xf numFmtId="0" fontId="0" fillId="3" borderId="3" xfId="0" applyFill="1" applyBorder="1"/>
    <xf numFmtId="0" fontId="0" fillId="3" borderId="5" xfId="0" applyFill="1" applyBorder="1"/>
    <xf numFmtId="0" fontId="0" fillId="3" borderId="6" xfId="0" applyFill="1" applyBorder="1"/>
    <xf numFmtId="0" fontId="0" fillId="3" borderId="4"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7" xfId="0" applyNumberFormat="1" applyFont="1" applyFill="1" applyBorder="1" applyAlignment="1">
      <alignment horizontal="center" vertical="center" wrapText="1"/>
    </xf>
    <xf numFmtId="0" fontId="0" fillId="3" borderId="39" xfId="0" applyFill="1" applyBorder="1"/>
    <xf numFmtId="0" fontId="0" fillId="3" borderId="11" xfId="0" applyFill="1" applyBorder="1"/>
    <xf numFmtId="0" fontId="0" fillId="7" borderId="5" xfId="0" applyFill="1" applyBorder="1" applyAlignment="1">
      <alignment horizontal="left" vertical="center"/>
    </xf>
    <xf numFmtId="0" fontId="0" fillId="7" borderId="6" xfId="0" applyFill="1" applyBorder="1" applyAlignment="1">
      <alignment horizontal="left" vertical="center"/>
    </xf>
    <xf numFmtId="0" fontId="0" fillId="6" borderId="3" xfId="0" applyFill="1" applyBorder="1" applyAlignment="1">
      <alignment horizontal="left" vertical="center"/>
    </xf>
    <xf numFmtId="0" fontId="0" fillId="6" borderId="5" xfId="0" applyFill="1" applyBorder="1" applyAlignment="1">
      <alignment horizontal="left" vertical="center"/>
    </xf>
    <xf numFmtId="0" fontId="0" fillId="6" borderId="6" xfId="0" applyFill="1" applyBorder="1" applyAlignment="1">
      <alignment horizontal="left" vertical="center"/>
    </xf>
    <xf numFmtId="0" fontId="0" fillId="6" borderId="3" xfId="0" applyFont="1" applyFill="1" applyBorder="1" applyAlignment="1">
      <alignment horizontal="left" vertical="center"/>
    </xf>
    <xf numFmtId="0" fontId="0" fillId="6" borderId="5" xfId="0" applyFont="1" applyFill="1" applyBorder="1" applyAlignment="1">
      <alignment horizontal="left" vertical="center"/>
    </xf>
    <xf numFmtId="0" fontId="0" fillId="7" borderId="3" xfId="0" applyFont="1" applyFill="1" applyBorder="1" applyAlignment="1">
      <alignment horizontal="left" vertical="center"/>
    </xf>
    <xf numFmtId="0" fontId="0" fillId="7" borderId="5" xfId="0" applyFont="1" applyFill="1" applyBorder="1"/>
    <xf numFmtId="0" fontId="2" fillId="7" borderId="3" xfId="0" applyFont="1" applyFill="1" applyBorder="1"/>
    <xf numFmtId="0" fontId="0" fillId="0" borderId="0" xfId="0" applyAlignment="1">
      <alignment horizontal="left" vertical="center"/>
    </xf>
    <xf numFmtId="0" fontId="2" fillId="6" borderId="46" xfId="0" applyFont="1" applyFill="1" applyBorder="1" applyAlignment="1">
      <alignment horizontal="left" vertical="center"/>
    </xf>
    <xf numFmtId="0" fontId="2" fillId="0" borderId="0" xfId="0" applyFont="1" applyAlignment="1">
      <alignment horizontal="left" vertical="center"/>
    </xf>
    <xf numFmtId="0" fontId="2" fillId="6" borderId="0" xfId="0" applyFont="1" applyFill="1" applyBorder="1" applyAlignment="1">
      <alignment horizontal="left" vertical="center"/>
    </xf>
    <xf numFmtId="0" fontId="2" fillId="0" borderId="4" xfId="0" applyFont="1" applyBorder="1" applyAlignment="1">
      <alignment horizontal="left" vertical="center"/>
    </xf>
    <xf numFmtId="0" fontId="2" fillId="6" borderId="4" xfId="0" applyFont="1" applyFill="1" applyBorder="1" applyAlignment="1">
      <alignment horizontal="left" vertical="center"/>
    </xf>
    <xf numFmtId="0" fontId="2" fillId="7" borderId="5" xfId="0" applyFont="1" applyFill="1" applyBorder="1" applyAlignment="1">
      <alignment horizontal="left" vertical="center"/>
    </xf>
    <xf numFmtId="0" fontId="2" fillId="6" borderId="2" xfId="0" applyFont="1" applyFill="1" applyBorder="1" applyAlignment="1">
      <alignment horizontal="left" vertical="center"/>
    </xf>
    <xf numFmtId="0" fontId="2" fillId="6" borderId="57" xfId="0" applyFont="1" applyFill="1" applyBorder="1" applyAlignment="1">
      <alignment horizontal="left" vertical="center"/>
    </xf>
    <xf numFmtId="0" fontId="2" fillId="7" borderId="2" xfId="0" applyFont="1" applyFill="1" applyBorder="1" applyAlignment="1">
      <alignment horizontal="left" vertical="center"/>
    </xf>
    <xf numFmtId="0" fontId="2" fillId="6" borderId="65" xfId="0" applyFont="1" applyFill="1" applyBorder="1" applyAlignment="1">
      <alignment horizontal="left" vertical="center"/>
    </xf>
    <xf numFmtId="0" fontId="5" fillId="7" borderId="3" xfId="1" applyFill="1" applyBorder="1"/>
    <xf numFmtId="0" fontId="11" fillId="7" borderId="33" xfId="1" applyFont="1" applyFill="1" applyBorder="1"/>
    <xf numFmtId="0" fontId="5" fillId="7" borderId="68" xfId="1" applyFill="1" applyBorder="1"/>
    <xf numFmtId="0" fontId="11" fillId="7" borderId="47" xfId="1" applyFont="1" applyFill="1" applyBorder="1"/>
    <xf numFmtId="0" fontId="11" fillId="6" borderId="42" xfId="1" applyFont="1" applyFill="1" applyBorder="1"/>
    <xf numFmtId="0" fontId="0" fillId="6" borderId="41" xfId="0" applyFont="1" applyFill="1" applyBorder="1" applyAlignment="1">
      <alignment horizontal="center" vertical="center"/>
    </xf>
    <xf numFmtId="0" fontId="0" fillId="6" borderId="6" xfId="0" applyFont="1" applyFill="1" applyBorder="1" applyAlignment="1">
      <alignment horizontal="center"/>
    </xf>
    <xf numFmtId="0" fontId="0" fillId="4" borderId="5" xfId="0" applyFont="1" applyFill="1" applyBorder="1" applyAlignment="1">
      <alignment horizontal="center"/>
    </xf>
    <xf numFmtId="0" fontId="21" fillId="4" borderId="5" xfId="0" applyFont="1" applyFill="1" applyBorder="1" applyAlignment="1">
      <alignment horizontal="center"/>
    </xf>
    <xf numFmtId="0" fontId="11" fillId="7" borderId="34" xfId="1" applyFont="1" applyFill="1" applyBorder="1" applyAlignment="1">
      <alignment horizontal="center" vertical="center"/>
    </xf>
    <xf numFmtId="0" fontId="11" fillId="4" borderId="8" xfId="1" applyFont="1" applyFill="1" applyBorder="1" applyAlignment="1">
      <alignment horizontal="center" vertical="center"/>
    </xf>
    <xf numFmtId="0" fontId="11" fillId="6" borderId="42" xfId="1" applyFont="1" applyFill="1" applyBorder="1" applyAlignment="1">
      <alignment horizontal="center" vertical="center"/>
    </xf>
    <xf numFmtId="0" fontId="5" fillId="7" borderId="32" xfId="1" applyFill="1" applyBorder="1"/>
    <xf numFmtId="0" fontId="11" fillId="7" borderId="3" xfId="1" applyFont="1" applyFill="1" applyBorder="1"/>
    <xf numFmtId="0" fontId="0" fillId="7" borderId="34" xfId="0" applyFill="1" applyBorder="1"/>
    <xf numFmtId="0" fontId="0" fillId="4" borderId="5" xfId="0" applyFont="1" applyFill="1" applyBorder="1"/>
    <xf numFmtId="0" fontId="2" fillId="4" borderId="5" xfId="0" applyFont="1" applyFill="1" applyBorder="1"/>
    <xf numFmtId="0" fontId="0" fillId="7" borderId="34" xfId="0" applyFont="1" applyFill="1" applyBorder="1"/>
    <xf numFmtId="0" fontId="0" fillId="4" borderId="38" xfId="0" applyFill="1" applyBorder="1"/>
    <xf numFmtId="0" fontId="0" fillId="4" borderId="37" xfId="0" applyFill="1" applyBorder="1"/>
    <xf numFmtId="0" fontId="0" fillId="4" borderId="5" xfId="0" applyFill="1" applyBorder="1"/>
    <xf numFmtId="0" fontId="0" fillId="4" borderId="37" xfId="0" applyFont="1" applyFill="1" applyBorder="1"/>
    <xf numFmtId="0" fontId="11" fillId="4" borderId="54" xfId="1" applyFont="1" applyFill="1" applyBorder="1" applyAlignment="1">
      <alignment horizontal="center" vertical="center"/>
    </xf>
    <xf numFmtId="0" fontId="21" fillId="4" borderId="5" xfId="1" applyFont="1" applyFill="1" applyBorder="1" applyAlignment="1">
      <alignment horizontal="center" vertical="center"/>
    </xf>
    <xf numFmtId="0" fontId="11" fillId="4" borderId="55" xfId="1" applyFont="1" applyFill="1" applyBorder="1" applyAlignment="1">
      <alignment horizontal="center" vertical="center"/>
    </xf>
    <xf numFmtId="0" fontId="21" fillId="4" borderId="37" xfId="1" applyFont="1" applyFill="1" applyBorder="1" applyAlignment="1">
      <alignment horizontal="center" vertical="center"/>
    </xf>
    <xf numFmtId="0" fontId="21" fillId="4" borderId="38" xfId="1" applyFont="1" applyFill="1" applyBorder="1" applyAlignment="1">
      <alignment horizontal="center" vertical="center"/>
    </xf>
    <xf numFmtId="0" fontId="2" fillId="4" borderId="54" xfId="0" applyFont="1" applyFill="1" applyBorder="1"/>
    <xf numFmtId="0" fontId="0" fillId="7" borderId="15" xfId="0" applyFont="1" applyFill="1" applyBorder="1"/>
    <xf numFmtId="0" fontId="0" fillId="7" borderId="16" xfId="0" applyFont="1" applyFill="1" applyBorder="1"/>
    <xf numFmtId="0" fontId="11" fillId="7" borderId="3" xfId="1" applyFont="1" applyFill="1" applyBorder="1" applyAlignment="1">
      <alignment horizontal="center" vertical="center"/>
    </xf>
    <xf numFmtId="0" fontId="11" fillId="7" borderId="15" xfId="1" applyFont="1" applyFill="1" applyBorder="1" applyAlignment="1">
      <alignment horizontal="center" vertical="center"/>
    </xf>
    <xf numFmtId="0" fontId="22" fillId="6" borderId="5" xfId="1" applyFont="1" applyFill="1" applyBorder="1" applyAlignment="1">
      <alignment horizontal="center" vertical="center"/>
    </xf>
    <xf numFmtId="0" fontId="0" fillId="6" borderId="6" xfId="0" applyFont="1" applyFill="1" applyBorder="1"/>
    <xf numFmtId="0" fontId="0" fillId="6" borderId="5" xfId="0" applyFont="1" applyFill="1" applyBorder="1"/>
    <xf numFmtId="0" fontId="0" fillId="6" borderId="41" xfId="0" applyFont="1" applyFill="1" applyBorder="1"/>
    <xf numFmtId="0" fontId="0" fillId="6" borderId="40" xfId="0" applyFont="1" applyFill="1" applyBorder="1"/>
    <xf numFmtId="0" fontId="0" fillId="6" borderId="43" xfId="0" applyFont="1" applyFill="1" applyBorder="1"/>
    <xf numFmtId="0" fontId="21" fillId="7" borderId="5" xfId="1" applyFont="1" applyFill="1" applyBorder="1" applyAlignment="1">
      <alignment horizontal="center" vertical="center"/>
    </xf>
    <xf numFmtId="0" fontId="11" fillId="7" borderId="32" xfId="1" applyFont="1" applyFill="1" applyBorder="1" applyAlignment="1">
      <alignment horizontal="center" vertical="center"/>
    </xf>
    <xf numFmtId="0" fontId="21" fillId="7" borderId="34" xfId="1" applyFont="1" applyFill="1" applyBorder="1" applyAlignment="1">
      <alignment horizontal="center" vertical="center"/>
    </xf>
    <xf numFmtId="0" fontId="5" fillId="6" borderId="10" xfId="1" applyFill="1" applyBorder="1"/>
    <xf numFmtId="0" fontId="11" fillId="6" borderId="0" xfId="1" applyFont="1" applyFill="1" applyBorder="1" applyAlignment="1">
      <alignment horizontal="center" vertical="center"/>
    </xf>
    <xf numFmtId="0" fontId="11" fillId="6" borderId="35" xfId="1" applyFont="1" applyFill="1" applyBorder="1" applyAlignment="1">
      <alignment horizontal="center" vertical="center"/>
    </xf>
    <xf numFmtId="0" fontId="11" fillId="6" borderId="36" xfId="1" applyFont="1" applyFill="1" applyBorder="1" applyAlignment="1">
      <alignment horizontal="center" vertical="center"/>
    </xf>
    <xf numFmtId="0" fontId="0" fillId="6" borderId="4" xfId="0" applyFill="1" applyBorder="1" applyAlignment="1">
      <alignment horizontal="center" vertical="center"/>
    </xf>
    <xf numFmtId="0" fontId="0" fillId="16" borderId="4" xfId="0" applyFill="1" applyBorder="1" applyAlignment="1">
      <alignment horizontal="center" vertical="center"/>
    </xf>
    <xf numFmtId="0" fontId="0" fillId="6" borderId="40" xfId="0" applyFill="1" applyBorder="1"/>
    <xf numFmtId="0" fontId="2" fillId="4" borderId="3" xfId="0" applyFont="1" applyFill="1" applyBorder="1"/>
    <xf numFmtId="0" fontId="2" fillId="4" borderId="6" xfId="0" applyFont="1" applyFill="1" applyBorder="1"/>
    <xf numFmtId="0" fontId="2" fillId="4" borderId="55" xfId="0" applyFont="1" applyFill="1" applyBorder="1"/>
    <xf numFmtId="0" fontId="0" fillId="7" borderId="3" xfId="0" applyFont="1" applyFill="1" applyBorder="1"/>
    <xf numFmtId="0" fontId="0" fillId="7" borderId="6" xfId="0" applyFont="1" applyFill="1" applyBorder="1"/>
    <xf numFmtId="0" fontId="0" fillId="4" borderId="3" xfId="0" applyFont="1" applyFill="1" applyBorder="1"/>
    <xf numFmtId="0" fontId="0" fillId="4" borderId="6" xfId="0" applyFont="1" applyFill="1" applyBorder="1"/>
    <xf numFmtId="0" fontId="0" fillId="4" borderId="55" xfId="0" applyFont="1" applyFill="1" applyBorder="1"/>
    <xf numFmtId="0" fontId="0" fillId="4" borderId="54" xfId="0" applyFont="1" applyFill="1" applyBorder="1"/>
    <xf numFmtId="0" fontId="0" fillId="4" borderId="38" xfId="0" applyFont="1" applyFill="1" applyBorder="1"/>
    <xf numFmtId="0" fontId="23" fillId="6" borderId="7" xfId="0" applyFont="1" applyFill="1" applyBorder="1" applyAlignment="1">
      <alignment horizontal="left" vertical="center"/>
    </xf>
    <xf numFmtId="0" fontId="0" fillId="0" borderId="4" xfId="0" applyBorder="1" applyAlignment="1">
      <alignment vertical="center" wrapText="1"/>
    </xf>
    <xf numFmtId="0" fontId="0" fillId="6" borderId="4" xfId="0" applyFill="1" applyBorder="1" applyAlignment="1">
      <alignment vertical="center" wrapText="1"/>
    </xf>
    <xf numFmtId="0" fontId="0" fillId="7" borderId="3" xfId="0" applyFill="1" applyBorder="1" applyAlignment="1">
      <alignment vertical="center" wrapText="1"/>
    </xf>
    <xf numFmtId="0" fontId="0" fillId="7" borderId="5" xfId="0" applyFill="1" applyBorder="1" applyAlignment="1">
      <alignment vertical="center" wrapText="1"/>
    </xf>
    <xf numFmtId="0" fontId="0" fillId="7" borderId="6" xfId="0" applyFill="1" applyBorder="1" applyAlignment="1">
      <alignment vertical="center" wrapText="1"/>
    </xf>
    <xf numFmtId="0" fontId="0" fillId="7" borderId="4" xfId="0" applyFill="1" applyBorder="1" applyAlignment="1">
      <alignment vertical="center" wrapText="1"/>
    </xf>
    <xf numFmtId="0" fontId="0" fillId="0" borderId="0" xfId="0" applyAlignment="1">
      <alignment vertical="center" wrapText="1"/>
    </xf>
    <xf numFmtId="0" fontId="0" fillId="16" borderId="30" xfId="0" applyFill="1" applyBorder="1" applyAlignment="1">
      <alignment horizontal="center" vertical="center"/>
    </xf>
    <xf numFmtId="0" fontId="0" fillId="3" borderId="4" xfId="0" applyFill="1" applyBorder="1" applyAlignment="1">
      <alignment horizontal="center"/>
    </xf>
    <xf numFmtId="0" fontId="0" fillId="16" borderId="4" xfId="0" applyFill="1" applyBorder="1" applyAlignment="1">
      <alignment horizontal="center"/>
    </xf>
    <xf numFmtId="0" fontId="24" fillId="9" borderId="4" xfId="0" applyFont="1" applyFill="1" applyBorder="1" applyAlignment="1">
      <alignment horizontal="center" vertical="center"/>
    </xf>
    <xf numFmtId="0" fontId="24" fillId="9" borderId="9" xfId="0" applyFont="1" applyFill="1" applyBorder="1" applyAlignment="1">
      <alignment horizontal="center" vertical="center"/>
    </xf>
    <xf numFmtId="0" fontId="31" fillId="9" borderId="24" xfId="0" applyFont="1" applyFill="1" applyBorder="1" applyAlignment="1">
      <alignment horizontal="center" vertical="center"/>
    </xf>
    <xf numFmtId="0" fontId="24" fillId="9" borderId="69" xfId="0" applyFont="1" applyFill="1" applyBorder="1" applyAlignment="1">
      <alignment horizontal="center" vertical="center"/>
    </xf>
    <xf numFmtId="0" fontId="24" fillId="9" borderId="69" xfId="0" applyFont="1" applyFill="1" applyBorder="1" applyAlignment="1">
      <alignment horizontal="center" vertical="center" wrapText="1"/>
    </xf>
    <xf numFmtId="0" fontId="0" fillId="7" borderId="5" xfId="0" applyFont="1" applyFill="1" applyBorder="1" applyAlignment="1">
      <alignment horizontal="left" vertical="center"/>
    </xf>
    <xf numFmtId="0" fontId="2" fillId="7" borderId="12" xfId="0" applyFont="1" applyFill="1" applyBorder="1" applyAlignment="1">
      <alignment horizontal="left" vertical="center"/>
    </xf>
    <xf numFmtId="0" fontId="0" fillId="7" borderId="32" xfId="0" applyFont="1" applyFill="1" applyBorder="1" applyAlignment="1">
      <alignment horizontal="left" vertical="center" wrapText="1"/>
    </xf>
    <xf numFmtId="0" fontId="0" fillId="6" borderId="42" xfId="0" applyFill="1" applyBorder="1" applyAlignment="1">
      <alignment horizontal="left" vertical="center" wrapText="1"/>
    </xf>
    <xf numFmtId="0" fontId="0" fillId="6" borderId="42" xfId="0" applyFont="1" applyFill="1" applyBorder="1" applyAlignment="1">
      <alignment horizontal="left" vertical="center"/>
    </xf>
    <xf numFmtId="0" fontId="2" fillId="0" borderId="70" xfId="0" applyFont="1" applyFill="1" applyBorder="1" applyAlignment="1">
      <alignment horizontal="left" vertical="center"/>
    </xf>
    <xf numFmtId="0" fontId="0" fillId="0" borderId="32" xfId="0" applyFill="1" applyBorder="1" applyAlignment="1">
      <alignment horizontal="left" vertical="center"/>
    </xf>
    <xf numFmtId="0" fontId="0" fillId="0" borderId="5" xfId="0" applyFill="1" applyBorder="1" applyAlignment="1">
      <alignment horizontal="left" vertical="center"/>
    </xf>
    <xf numFmtId="0" fontId="0" fillId="0" borderId="16" xfId="0" applyFill="1" applyBorder="1" applyAlignment="1">
      <alignment horizontal="left" vertical="center"/>
    </xf>
    <xf numFmtId="0" fontId="0" fillId="3" borderId="6" xfId="0" applyFill="1" applyBorder="1" applyAlignment="1">
      <alignment horizontal="center"/>
    </xf>
    <xf numFmtId="0" fontId="0" fillId="0" borderId="6" xfId="0" applyBorder="1" applyAlignment="1">
      <alignment vertical="center" wrapText="1"/>
    </xf>
    <xf numFmtId="0" fontId="32" fillId="9" borderId="71" xfId="0" applyFont="1" applyFill="1" applyBorder="1" applyAlignment="1">
      <alignment horizontal="center" vertical="center"/>
    </xf>
    <xf numFmtId="0" fontId="24" fillId="9" borderId="71" xfId="0" applyFont="1" applyFill="1" applyBorder="1" applyAlignment="1">
      <alignment horizontal="center" vertical="center"/>
    </xf>
    <xf numFmtId="0" fontId="24" fillId="9" borderId="69" xfId="0" applyFont="1" applyFill="1" applyBorder="1"/>
    <xf numFmtId="0" fontId="0" fillId="0" borderId="5" xfId="0" applyFill="1" applyBorder="1" applyAlignment="1"/>
    <xf numFmtId="0" fontId="33" fillId="9" borderId="69" xfId="0" applyFont="1" applyFill="1" applyBorder="1" applyAlignment="1">
      <alignment horizontal="center" vertical="center" wrapText="1"/>
    </xf>
    <xf numFmtId="0" fontId="24" fillId="7" borderId="24" xfId="0" applyFont="1" applyFill="1" applyBorder="1" applyAlignment="1">
      <alignment horizontal="center" vertical="center"/>
    </xf>
    <xf numFmtId="0" fontId="2" fillId="0" borderId="6" xfId="0" applyFont="1" applyBorder="1" applyAlignment="1">
      <alignment horizontal="right" vertical="center"/>
    </xf>
    <xf numFmtId="0" fontId="2" fillId="0" borderId="32" xfId="0" applyFont="1" applyBorder="1" applyAlignment="1">
      <alignment vertical="center" wrapText="1"/>
    </xf>
    <xf numFmtId="0" fontId="2" fillId="0" borderId="5" xfId="0" applyFont="1" applyBorder="1" applyAlignment="1">
      <alignment vertical="center"/>
    </xf>
    <xf numFmtId="0" fontId="2" fillId="7" borderId="2" xfId="0" applyFont="1" applyFill="1" applyBorder="1"/>
    <xf numFmtId="0" fontId="2" fillId="0" borderId="3" xfId="0" applyFont="1" applyBorder="1"/>
    <xf numFmtId="0" fontId="2" fillId="0" borderId="16" xfId="0" applyFont="1" applyBorder="1" applyAlignment="1">
      <alignment horizontal="right"/>
    </xf>
    <xf numFmtId="0" fontId="2" fillId="0" borderId="34" xfId="0" applyFont="1" applyBorder="1" applyAlignment="1">
      <alignment horizontal="right"/>
    </xf>
    <xf numFmtId="0" fontId="2" fillId="7" borderId="34" xfId="0" applyFont="1" applyFill="1" applyBorder="1" applyAlignment="1">
      <alignment horizontal="right"/>
    </xf>
    <xf numFmtId="0" fontId="2" fillId="7" borderId="6" xfId="0" applyFont="1" applyFill="1" applyBorder="1" applyAlignment="1">
      <alignment horizontal="right"/>
    </xf>
    <xf numFmtId="0" fontId="2" fillId="6" borderId="5" xfId="0" applyFont="1" applyFill="1" applyBorder="1" applyAlignment="1">
      <alignment horizontal="right"/>
    </xf>
    <xf numFmtId="0" fontId="2" fillId="0" borderId="32" xfId="0" applyFont="1" applyBorder="1" applyAlignment="1">
      <alignment horizontal="left"/>
    </xf>
    <xf numFmtId="0" fontId="2" fillId="4" borderId="3" xfId="0" applyFont="1" applyFill="1" applyBorder="1" applyAlignment="1">
      <alignment horizontal="right"/>
    </xf>
    <xf numFmtId="0" fontId="2" fillId="4" borderId="5" xfId="0" applyFont="1" applyFill="1" applyBorder="1" applyAlignment="1">
      <alignment horizontal="right"/>
    </xf>
    <xf numFmtId="0" fontId="2" fillId="4" borderId="6" xfId="0" applyFont="1" applyFill="1" applyBorder="1" applyAlignment="1">
      <alignment horizontal="right"/>
    </xf>
    <xf numFmtId="0" fontId="2" fillId="7" borderId="5" xfId="0" applyFont="1" applyFill="1" applyBorder="1" applyAlignment="1">
      <alignment horizontal="right"/>
    </xf>
    <xf numFmtId="0" fontId="2" fillId="7" borderId="3" xfId="0" applyFont="1" applyFill="1" applyBorder="1" applyAlignment="1">
      <alignment horizontal="right"/>
    </xf>
    <xf numFmtId="0" fontId="2" fillId="7" borderId="16" xfId="0" applyFont="1" applyFill="1" applyBorder="1" applyAlignment="1">
      <alignment horizontal="right"/>
    </xf>
    <xf numFmtId="0" fontId="2" fillId="6" borderId="3" xfId="0" applyFont="1" applyFill="1" applyBorder="1"/>
    <xf numFmtId="0" fontId="2" fillId="6" borderId="41" xfId="0" applyFont="1" applyFill="1" applyBorder="1" applyAlignment="1">
      <alignment horizontal="right"/>
    </xf>
    <xf numFmtId="0" fontId="2" fillId="6" borderId="40" xfId="0" applyFont="1" applyFill="1" applyBorder="1" applyAlignment="1">
      <alignment horizontal="right"/>
    </xf>
    <xf numFmtId="0" fontId="2" fillId="7" borderId="33" xfId="0" applyFont="1" applyFill="1" applyBorder="1" applyAlignment="1">
      <alignment horizontal="right"/>
    </xf>
    <xf numFmtId="0" fontId="2" fillId="4" borderId="38" xfId="0" applyFont="1" applyFill="1" applyBorder="1" applyAlignment="1">
      <alignment horizontal="right"/>
    </xf>
    <xf numFmtId="0" fontId="2" fillId="6" borderId="11" xfId="0" applyFont="1" applyFill="1" applyBorder="1" applyAlignment="1">
      <alignment horizontal="left" vertical="center"/>
    </xf>
    <xf numFmtId="0" fontId="2" fillId="7" borderId="4" xfId="0" applyFont="1" applyFill="1" applyBorder="1"/>
    <xf numFmtId="0" fontId="2" fillId="6" borderId="4" xfId="0" applyFont="1" applyFill="1" applyBorder="1"/>
    <xf numFmtId="0" fontId="2" fillId="6" borderId="29" xfId="0" applyFont="1" applyFill="1" applyBorder="1" applyAlignment="1">
      <alignment vertical="center"/>
    </xf>
    <xf numFmtId="0" fontId="2" fillId="7" borderId="16" xfId="0" applyFont="1" applyFill="1" applyBorder="1" applyAlignment="1">
      <alignment vertical="center"/>
    </xf>
    <xf numFmtId="0" fontId="2" fillId="6" borderId="45" xfId="0" applyFont="1" applyFill="1" applyBorder="1"/>
    <xf numFmtId="0" fontId="2" fillId="0" borderId="34" xfId="0" applyFont="1" applyBorder="1" applyAlignment="1">
      <alignment vertical="center"/>
    </xf>
    <xf numFmtId="0" fontId="2" fillId="0" borderId="16" xfId="0" applyFont="1" applyBorder="1" applyAlignment="1">
      <alignment vertical="center"/>
    </xf>
    <xf numFmtId="0" fontId="2" fillId="0" borderId="16" xfId="0" applyFont="1" applyBorder="1" applyAlignment="1">
      <alignment horizontal="right" vertical="center"/>
    </xf>
    <xf numFmtId="0" fontId="2" fillId="0" borderId="34" xfId="0" applyFont="1" applyBorder="1" applyAlignment="1">
      <alignment horizontal="right" vertical="center"/>
    </xf>
    <xf numFmtId="0" fontId="2" fillId="0" borderId="33" xfId="0" applyFont="1" applyBorder="1" applyAlignment="1">
      <alignment vertical="center"/>
    </xf>
    <xf numFmtId="0" fontId="2" fillId="6" borderId="5" xfId="0" applyFont="1" applyFill="1" applyBorder="1" applyAlignment="1">
      <alignment vertical="center"/>
    </xf>
    <xf numFmtId="0" fontId="2" fillId="7" borderId="3" xfId="0" applyFont="1" applyFill="1" applyBorder="1" applyAlignment="1">
      <alignment vertical="center"/>
    </xf>
    <xf numFmtId="0" fontId="2" fillId="7" borderId="5" xfId="0" applyFont="1" applyFill="1" applyBorder="1" applyAlignment="1">
      <alignment horizontal="right" vertical="center"/>
    </xf>
    <xf numFmtId="0" fontId="2" fillId="4" borderId="3" xfId="0" applyFont="1" applyFill="1" applyBorder="1" applyAlignment="1">
      <alignment horizontal="right" vertical="center"/>
    </xf>
    <xf numFmtId="0" fontId="2" fillId="4" borderId="6" xfId="0" applyFont="1" applyFill="1" applyBorder="1" applyAlignment="1">
      <alignment horizontal="right" vertical="center"/>
    </xf>
    <xf numFmtId="0" fontId="34" fillId="6" borderId="40" xfId="0" applyFont="1" applyFill="1" applyBorder="1" applyAlignment="1">
      <alignment horizontal="right"/>
    </xf>
    <xf numFmtId="0" fontId="35" fillId="4" borderId="3" xfId="0" applyFont="1" applyFill="1" applyBorder="1" applyAlignment="1">
      <alignment horizontal="right"/>
    </xf>
    <xf numFmtId="0" fontId="35" fillId="4" borderId="37" xfId="0" applyFont="1" applyFill="1" applyBorder="1" applyAlignment="1">
      <alignment horizontal="right"/>
    </xf>
    <xf numFmtId="0" fontId="35" fillId="4" borderId="5" xfId="0" applyFont="1" applyFill="1" applyBorder="1" applyAlignment="1">
      <alignment horizontal="right"/>
    </xf>
    <xf numFmtId="0" fontId="35" fillId="4" borderId="38" xfId="0" applyFont="1" applyFill="1" applyBorder="1" applyAlignment="1">
      <alignment horizontal="right"/>
    </xf>
    <xf numFmtId="0" fontId="35" fillId="4" borderId="6" xfId="0" applyFont="1" applyFill="1" applyBorder="1" applyAlignment="1">
      <alignment horizontal="right"/>
    </xf>
    <xf numFmtId="0" fontId="35" fillId="7" borderId="3" xfId="0" applyFont="1" applyFill="1" applyBorder="1" applyAlignment="1">
      <alignment horizontal="right"/>
    </xf>
    <xf numFmtId="0" fontId="35" fillId="7" borderId="34" xfId="0" applyFont="1" applyFill="1" applyBorder="1" applyAlignment="1">
      <alignment horizontal="right"/>
    </xf>
    <xf numFmtId="0" fontId="35" fillId="7" borderId="5" xfId="0" applyFont="1" applyFill="1" applyBorder="1" applyAlignment="1">
      <alignment horizontal="right"/>
    </xf>
    <xf numFmtId="0" fontId="35" fillId="7" borderId="16" xfId="0" applyFont="1" applyFill="1" applyBorder="1" applyAlignment="1">
      <alignment horizontal="right"/>
    </xf>
    <xf numFmtId="0" fontId="35" fillId="7" borderId="6" xfId="0" applyFont="1" applyFill="1" applyBorder="1" applyAlignment="1">
      <alignment horizontal="right"/>
    </xf>
    <xf numFmtId="0" fontId="35" fillId="4" borderId="55" xfId="0" applyFont="1" applyFill="1" applyBorder="1" applyAlignment="1">
      <alignment horizontal="right"/>
    </xf>
    <xf numFmtId="0" fontId="34" fillId="0" borderId="16" xfId="0" applyFont="1" applyBorder="1" applyAlignment="1">
      <alignment horizontal="right"/>
    </xf>
    <xf numFmtId="0" fontId="34" fillId="0" borderId="34" xfId="0" applyFont="1" applyBorder="1" applyAlignment="1">
      <alignment horizontal="right"/>
    </xf>
    <xf numFmtId="0" fontId="2" fillId="0" borderId="5" xfId="0" applyFont="1" applyBorder="1" applyAlignment="1">
      <alignment horizontal="right"/>
    </xf>
    <xf numFmtId="0" fontId="2" fillId="6" borderId="45" xfId="0" applyFont="1" applyFill="1" applyBorder="1" applyAlignment="1">
      <alignment horizontal="right"/>
    </xf>
    <xf numFmtId="0" fontId="2" fillId="0" borderId="32" xfId="0" applyFont="1" applyBorder="1"/>
    <xf numFmtId="0" fontId="2" fillId="0" borderId="15" xfId="0" applyFont="1" applyBorder="1" applyAlignment="1">
      <alignment horizontal="right" vertical="center"/>
    </xf>
    <xf numFmtId="0" fontId="2" fillId="0" borderId="5" xfId="0" applyFont="1" applyBorder="1" applyAlignment="1">
      <alignment horizontal="right" vertical="center"/>
    </xf>
    <xf numFmtId="0" fontId="2" fillId="4" borderId="55" xfId="0" applyFont="1" applyFill="1" applyBorder="1" applyAlignment="1">
      <alignment horizontal="right" vertical="center"/>
    </xf>
    <xf numFmtId="0" fontId="2" fillId="4" borderId="37" xfId="0" applyFont="1" applyFill="1" applyBorder="1" applyAlignment="1">
      <alignment horizontal="right" vertical="center"/>
    </xf>
    <xf numFmtId="0" fontId="2" fillId="4" borderId="5" xfId="0" applyFont="1" applyFill="1" applyBorder="1" applyAlignment="1">
      <alignment horizontal="right" vertical="center"/>
    </xf>
    <xf numFmtId="0" fontId="2" fillId="0" borderId="3" xfId="0" applyFont="1" applyBorder="1" applyAlignment="1">
      <alignment horizontal="right" vertical="center"/>
    </xf>
    <xf numFmtId="0" fontId="2" fillId="7" borderId="3" xfId="0" applyFont="1" applyFill="1" applyBorder="1" applyAlignment="1">
      <alignment horizontal="right" vertical="center"/>
    </xf>
    <xf numFmtId="0" fontId="2" fillId="7" borderId="34" xfId="0" applyFont="1" applyFill="1" applyBorder="1" applyAlignment="1">
      <alignment horizontal="right" vertical="center"/>
    </xf>
    <xf numFmtId="0" fontId="2" fillId="7" borderId="6" xfId="0" applyFont="1" applyFill="1" applyBorder="1" applyAlignment="1">
      <alignment vertical="center"/>
    </xf>
    <xf numFmtId="0" fontId="2" fillId="7" borderId="4" xfId="0" applyFont="1" applyFill="1" applyBorder="1" applyAlignment="1">
      <alignment horizontal="left" vertical="center"/>
    </xf>
    <xf numFmtId="0" fontId="2" fillId="7" borderId="3" xfId="0" applyFont="1" applyFill="1" applyBorder="1" applyAlignment="1">
      <alignment horizontal="left" vertical="center"/>
    </xf>
    <xf numFmtId="0" fontId="36" fillId="0" borderId="5" xfId="0" applyFont="1" applyFill="1" applyBorder="1" applyAlignment="1">
      <alignment vertical="center"/>
    </xf>
    <xf numFmtId="0" fontId="36" fillId="6" borderId="5" xfId="0" applyFont="1" applyFill="1" applyBorder="1" applyAlignment="1">
      <alignment vertical="center"/>
    </xf>
    <xf numFmtId="0" fontId="36" fillId="0" borderId="0" xfId="0" applyFont="1" applyFill="1" applyBorder="1"/>
    <xf numFmtId="0" fontId="36" fillId="6" borderId="0" xfId="0" applyFont="1" applyFill="1" applyBorder="1" applyAlignment="1">
      <alignment horizontal="left" vertical="center"/>
    </xf>
    <xf numFmtId="0" fontId="36" fillId="0" borderId="0" xfId="0" applyFont="1" applyFill="1" applyBorder="1" applyAlignment="1">
      <alignment horizontal="left" vertical="center"/>
    </xf>
    <xf numFmtId="0" fontId="36" fillId="6" borderId="0" xfId="0" applyFont="1" applyFill="1" applyBorder="1"/>
    <xf numFmtId="0" fontId="36" fillId="7" borderId="13" xfId="0" applyFont="1" applyFill="1" applyBorder="1"/>
    <xf numFmtId="0" fontId="11" fillId="6" borderId="5" xfId="0" applyFont="1" applyFill="1" applyBorder="1" applyAlignment="1">
      <alignment horizontal="center"/>
    </xf>
    <xf numFmtId="0" fontId="11" fillId="6" borderId="6" xfId="0" applyFont="1" applyFill="1" applyBorder="1" applyAlignment="1">
      <alignment horizontal="center"/>
    </xf>
    <xf numFmtId="0" fontId="11" fillId="7" borderId="5" xfId="0" applyFont="1" applyFill="1" applyBorder="1" applyAlignment="1">
      <alignment horizontal="center"/>
    </xf>
    <xf numFmtId="0" fontId="11" fillId="4" borderId="5" xfId="0" applyFont="1" applyFill="1" applyBorder="1" applyAlignment="1">
      <alignment horizontal="center"/>
    </xf>
    <xf numFmtId="0" fontId="0" fillId="6" borderId="0" xfId="0" applyFont="1" applyFill="1" applyAlignment="1">
      <alignment horizontal="center" vertical="center" wrapText="1"/>
    </xf>
    <xf numFmtId="0" fontId="11" fillId="7" borderId="34" xfId="1" applyFont="1" applyFill="1" applyBorder="1"/>
    <xf numFmtId="0" fontId="24" fillId="9" borderId="31" xfId="0" applyFont="1" applyFill="1" applyBorder="1" applyAlignment="1">
      <alignment horizontal="center" vertical="center"/>
    </xf>
    <xf numFmtId="0" fontId="24" fillId="9" borderId="25" xfId="0" applyFont="1" applyFill="1" applyBorder="1" applyAlignment="1">
      <alignment horizontal="center" vertical="center"/>
    </xf>
    <xf numFmtId="0" fontId="24" fillId="9" borderId="0" xfId="0" applyFont="1" applyFill="1" applyAlignment="1">
      <alignment horizontal="center" vertical="center" wrapText="1"/>
    </xf>
    <xf numFmtId="0" fontId="11" fillId="7" borderId="3" xfId="1" applyFont="1" applyFill="1" applyBorder="1" applyAlignment="1">
      <alignment vertical="center"/>
    </xf>
    <xf numFmtId="0" fontId="11" fillId="7" borderId="6" xfId="1" applyFont="1" applyFill="1" applyBorder="1" applyAlignment="1">
      <alignment vertical="center"/>
    </xf>
    <xf numFmtId="0" fontId="2" fillId="4" borderId="5" xfId="0" applyFont="1" applyFill="1" applyBorder="1" applyAlignment="1">
      <alignment vertical="center"/>
    </xf>
    <xf numFmtId="0" fontId="2" fillId="4" borderId="38" xfId="0" applyFont="1" applyFill="1" applyBorder="1" applyAlignment="1">
      <alignment vertical="center"/>
    </xf>
    <xf numFmtId="0" fontId="2" fillId="4" borderId="37" xfId="0" applyFont="1" applyFill="1" applyBorder="1" applyAlignment="1">
      <alignment vertical="center"/>
    </xf>
    <xf numFmtId="0" fontId="2" fillId="4" borderId="54" xfId="0" applyFont="1" applyFill="1" applyBorder="1" applyAlignment="1">
      <alignment vertical="center"/>
    </xf>
    <xf numFmtId="0" fontId="2" fillId="0" borderId="3" xfId="0" applyFont="1" applyBorder="1" applyAlignment="1">
      <alignment vertical="center"/>
    </xf>
    <xf numFmtId="0" fontId="2" fillId="0" borderId="6" xfId="0" applyFont="1" applyBorder="1" applyAlignment="1">
      <alignment vertical="center"/>
    </xf>
    <xf numFmtId="0" fontId="2" fillId="4" borderId="3" xfId="0" applyFont="1" applyFill="1" applyBorder="1" applyAlignment="1">
      <alignment vertical="center"/>
    </xf>
    <xf numFmtId="0" fontId="2" fillId="4" borderId="44" xfId="0" applyFont="1" applyFill="1" applyBorder="1" applyAlignment="1">
      <alignment horizontal="right" vertical="center"/>
    </xf>
    <xf numFmtId="0" fontId="2" fillId="0" borderId="32" xfId="0" applyFont="1" applyBorder="1" applyAlignment="1">
      <alignment horizontal="right" vertical="center"/>
    </xf>
    <xf numFmtId="0" fontId="2" fillId="6" borderId="6" xfId="0" applyFont="1" applyFill="1" applyBorder="1"/>
    <xf numFmtId="0" fontId="22" fillId="7" borderId="5" xfId="0" applyFont="1" applyFill="1" applyBorder="1" applyAlignment="1">
      <alignment horizontal="left" vertical="center"/>
    </xf>
    <xf numFmtId="0" fontId="11" fillId="7" borderId="6" xfId="0" applyFont="1" applyFill="1" applyBorder="1" applyAlignment="1">
      <alignment horizontal="left" vertical="center"/>
    </xf>
    <xf numFmtId="0" fontId="30" fillId="7" borderId="5" xfId="0" applyFont="1" applyFill="1" applyBorder="1" applyAlignment="1">
      <alignment horizontal="left" vertical="center"/>
    </xf>
    <xf numFmtId="0" fontId="34" fillId="7" borderId="6" xfId="0" applyFont="1" applyFill="1" applyBorder="1" applyAlignment="1">
      <alignment horizontal="right"/>
    </xf>
    <xf numFmtId="0" fontId="2" fillId="6" borderId="10" xfId="0" applyFont="1" applyFill="1" applyBorder="1"/>
    <xf numFmtId="0" fontId="2" fillId="6" borderId="0" xfId="0" applyFont="1" applyFill="1" applyBorder="1" applyAlignment="1">
      <alignment horizontal="right"/>
    </xf>
    <xf numFmtId="0" fontId="35" fillId="6" borderId="3" xfId="0" applyFont="1" applyFill="1" applyBorder="1" applyAlignment="1">
      <alignment horizontal="right"/>
    </xf>
    <xf numFmtId="0" fontId="35" fillId="6" borderId="5" xfId="0" applyFont="1" applyFill="1" applyBorder="1" applyAlignment="1">
      <alignment horizontal="right"/>
    </xf>
    <xf numFmtId="0" fontId="35" fillId="6" borderId="6" xfId="0" applyFont="1" applyFill="1" applyBorder="1" applyAlignment="1">
      <alignment horizontal="right"/>
    </xf>
    <xf numFmtId="0" fontId="35" fillId="6" borderId="11" xfId="0" applyFont="1" applyFill="1" applyBorder="1" applyAlignment="1">
      <alignment horizontal="right"/>
    </xf>
    <xf numFmtId="0" fontId="35" fillId="6" borderId="41" xfId="0" applyFont="1" applyFill="1" applyBorder="1" applyAlignment="1">
      <alignment horizontal="right"/>
    </xf>
    <xf numFmtId="0" fontId="35" fillId="6" borderId="40" xfId="0" applyFont="1" applyFill="1" applyBorder="1" applyAlignment="1">
      <alignment horizontal="right"/>
    </xf>
    <xf numFmtId="0" fontId="5" fillId="6" borderId="42" xfId="1" applyFont="1" applyFill="1" applyBorder="1"/>
    <xf numFmtId="0" fontId="21" fillId="6" borderId="41" xfId="1" applyFont="1" applyFill="1" applyBorder="1" applyAlignment="1">
      <alignment horizontal="center" vertical="center"/>
    </xf>
    <xf numFmtId="0" fontId="21" fillId="6" borderId="40" xfId="1" applyFont="1" applyFill="1" applyBorder="1" applyAlignment="1">
      <alignment horizontal="center" vertical="center"/>
    </xf>
    <xf numFmtId="0" fontId="34" fillId="7" borderId="16" xfId="0" applyFont="1" applyFill="1" applyBorder="1" applyAlignment="1">
      <alignment horizontal="right"/>
    </xf>
    <xf numFmtId="0" fontId="34" fillId="7" borderId="34" xfId="0" applyFont="1" applyFill="1" applyBorder="1" applyAlignment="1">
      <alignment horizontal="right"/>
    </xf>
    <xf numFmtId="0" fontId="11" fillId="7" borderId="5" xfId="0" applyFont="1" applyFill="1" applyBorder="1" applyAlignment="1">
      <alignment horizontal="center" vertical="center"/>
    </xf>
    <xf numFmtId="0" fontId="11" fillId="7" borderId="16" xfId="1" applyFont="1" applyFill="1" applyBorder="1"/>
    <xf numFmtId="0" fontId="2" fillId="6" borderId="4" xfId="0" applyFont="1" applyFill="1" applyBorder="1" applyAlignment="1">
      <alignment horizontal="center" vertical="center" wrapText="1"/>
    </xf>
    <xf numFmtId="0" fontId="2" fillId="0" borderId="4" xfId="0" applyFont="1" applyBorder="1" applyAlignment="1">
      <alignment horizontal="center" vertical="center" wrapText="1"/>
    </xf>
    <xf numFmtId="0" fontId="11" fillId="6" borderId="43" xfId="1" applyFont="1" applyFill="1" applyBorder="1" applyAlignment="1">
      <alignment horizontal="center" vertical="center"/>
    </xf>
    <xf numFmtId="0" fontId="0" fillId="6" borderId="4" xfId="0" applyFill="1" applyBorder="1" applyAlignment="1">
      <alignment horizontal="center" vertical="center" wrapText="1"/>
    </xf>
    <xf numFmtId="0" fontId="0" fillId="6" borderId="30" xfId="0" applyFill="1" applyBorder="1" applyAlignment="1">
      <alignment horizontal="center" vertical="center" wrapText="1"/>
    </xf>
    <xf numFmtId="0" fontId="0" fillId="0" borderId="30" xfId="0" applyBorder="1" applyAlignment="1">
      <alignment horizontal="center" vertical="center" wrapText="1"/>
    </xf>
    <xf numFmtId="0" fontId="0" fillId="0" borderId="0" xfId="0" applyAlignment="1">
      <alignment horizontal="center" vertical="center" wrapText="1"/>
    </xf>
    <xf numFmtId="0" fontId="10" fillId="6" borderId="5" xfId="1" applyFont="1" applyFill="1" applyBorder="1" applyAlignment="1">
      <alignment horizontal="center" vertical="center"/>
    </xf>
    <xf numFmtId="0" fontId="10" fillId="6" borderId="41" xfId="1" applyFont="1" applyFill="1" applyBorder="1" applyAlignment="1">
      <alignment horizontal="center" vertical="center"/>
    </xf>
    <xf numFmtId="0" fontId="10" fillId="4" borderId="54" xfId="1" applyFont="1" applyFill="1" applyBorder="1" applyAlignment="1">
      <alignment horizontal="center" vertical="center"/>
    </xf>
    <xf numFmtId="0" fontId="10" fillId="4" borderId="6" xfId="1" applyFont="1" applyFill="1" applyBorder="1" applyAlignment="1">
      <alignment horizontal="center" vertical="center"/>
    </xf>
    <xf numFmtId="0" fontId="11" fillId="7" borderId="5" xfId="0" applyFont="1" applyFill="1" applyBorder="1" applyAlignment="1">
      <alignment horizontal="left" vertical="center"/>
    </xf>
    <xf numFmtId="0" fontId="11" fillId="7" borderId="16" xfId="0" applyFont="1" applyFill="1" applyBorder="1" applyAlignment="1">
      <alignment horizontal="left" vertical="center"/>
    </xf>
    <xf numFmtId="0" fontId="11" fillId="7" borderId="34" xfId="0" applyFont="1" applyFill="1" applyBorder="1" applyAlignment="1">
      <alignment horizontal="left" vertical="center"/>
    </xf>
    <xf numFmtId="0" fontId="2" fillId="6" borderId="4" xfId="0" applyFont="1" applyFill="1" applyBorder="1" applyAlignment="1">
      <alignment vertical="center"/>
    </xf>
    <xf numFmtId="0" fontId="2" fillId="6" borderId="3" xfId="0" applyFont="1" applyFill="1" applyBorder="1" applyAlignment="1">
      <alignment vertical="center"/>
    </xf>
    <xf numFmtId="0" fontId="2" fillId="6" borderId="6" xfId="0" applyFont="1" applyFill="1" applyBorder="1" applyAlignment="1">
      <alignment vertical="center"/>
    </xf>
    <xf numFmtId="0" fontId="2" fillId="4" borderId="6" xfId="0" applyFont="1" applyFill="1" applyBorder="1" applyAlignment="1">
      <alignment vertical="center"/>
    </xf>
    <xf numFmtId="0" fontId="2" fillId="6" borderId="3" xfId="0" applyFont="1" applyFill="1" applyBorder="1" applyAlignment="1">
      <alignment horizontal="right" vertical="center"/>
    </xf>
    <xf numFmtId="0" fontId="2" fillId="4" borderId="2" xfId="0" applyFont="1" applyFill="1" applyBorder="1" applyAlignment="1">
      <alignment horizontal="right" vertical="center"/>
    </xf>
    <xf numFmtId="0" fontId="2" fillId="4" borderId="8" xfId="0" applyFont="1" applyFill="1" applyBorder="1" applyAlignment="1">
      <alignment vertical="center"/>
    </xf>
    <xf numFmtId="0" fontId="2" fillId="4" borderId="12" xfId="0" applyFont="1" applyFill="1" applyBorder="1" applyAlignment="1">
      <alignment vertical="center"/>
    </xf>
    <xf numFmtId="0" fontId="2" fillId="6" borderId="5" xfId="0" applyFont="1" applyFill="1" applyBorder="1" applyAlignment="1">
      <alignment horizontal="right" vertical="center"/>
    </xf>
    <xf numFmtId="0" fontId="2" fillId="7" borderId="5" xfId="0" applyFont="1" applyFill="1" applyBorder="1" applyAlignment="1">
      <alignment vertical="center"/>
    </xf>
    <xf numFmtId="0" fontId="34" fillId="6" borderId="46" xfId="0" applyFont="1" applyFill="1" applyBorder="1" applyAlignment="1">
      <alignment horizontal="right"/>
    </xf>
    <xf numFmtId="0" fontId="34" fillId="6" borderId="45" xfId="0" applyFont="1" applyFill="1" applyBorder="1" applyAlignment="1">
      <alignment horizontal="right"/>
    </xf>
    <xf numFmtId="0" fontId="37" fillId="4" borderId="3" xfId="0" applyFont="1" applyFill="1" applyBorder="1" applyAlignment="1">
      <alignment horizontal="right"/>
    </xf>
    <xf numFmtId="0" fontId="37" fillId="4" borderId="37" xfId="0" applyFont="1" applyFill="1" applyBorder="1" applyAlignment="1">
      <alignment horizontal="right"/>
    </xf>
    <xf numFmtId="0" fontId="37" fillId="4" borderId="5" xfId="0" applyFont="1" applyFill="1" applyBorder="1" applyAlignment="1">
      <alignment horizontal="right"/>
    </xf>
    <xf numFmtId="0" fontId="37" fillId="4" borderId="38" xfId="0" applyFont="1" applyFill="1" applyBorder="1" applyAlignment="1">
      <alignment horizontal="right"/>
    </xf>
    <xf numFmtId="0" fontId="37" fillId="4" borderId="6" xfId="0" applyFont="1" applyFill="1" applyBorder="1" applyAlignment="1">
      <alignment horizontal="right"/>
    </xf>
    <xf numFmtId="0" fontId="35" fillId="7" borderId="32" xfId="0" applyFont="1" applyFill="1" applyBorder="1" applyAlignment="1">
      <alignment horizontal="right"/>
    </xf>
    <xf numFmtId="0" fontId="2" fillId="0" borderId="33" xfId="0" applyFont="1" applyBorder="1" applyAlignment="1">
      <alignment horizontal="right"/>
    </xf>
    <xf numFmtId="0" fontId="2" fillId="6" borderId="41" xfId="0" applyFont="1" applyFill="1" applyBorder="1" applyAlignment="1">
      <alignment horizontal="right" vertical="center"/>
    </xf>
    <xf numFmtId="0" fontId="2" fillId="6" borderId="45" xfId="0" applyFont="1" applyFill="1" applyBorder="1" applyAlignment="1">
      <alignment horizontal="right" vertical="center"/>
    </xf>
    <xf numFmtId="0" fontId="2" fillId="4" borderId="54" xfId="0" applyFont="1" applyFill="1" applyBorder="1" applyAlignment="1">
      <alignment horizontal="right" vertical="center"/>
    </xf>
    <xf numFmtId="0" fontId="2" fillId="6" borderId="40" xfId="0" applyFont="1" applyFill="1" applyBorder="1" applyAlignment="1">
      <alignment horizontal="right" vertical="center"/>
    </xf>
    <xf numFmtId="0" fontId="2" fillId="0" borderId="32" xfId="0" applyFont="1" applyBorder="1" applyAlignment="1">
      <alignment horizontal="left" vertical="center"/>
    </xf>
    <xf numFmtId="0" fontId="2" fillId="0" borderId="30" xfId="0" applyFont="1" applyBorder="1"/>
    <xf numFmtId="0" fontId="2" fillId="0" borderId="6" xfId="0" applyFont="1" applyBorder="1"/>
    <xf numFmtId="0" fontId="24" fillId="17" borderId="69" xfId="0" applyFont="1" applyFill="1" applyBorder="1" applyAlignment="1">
      <alignment horizontal="center" vertical="center"/>
    </xf>
    <xf numFmtId="0" fontId="24" fillId="17" borderId="69" xfId="0" applyFont="1" applyFill="1" applyBorder="1" applyAlignment="1">
      <alignment horizontal="center" vertical="center" wrapText="1"/>
    </xf>
    <xf numFmtId="0" fontId="2" fillId="6" borderId="6" xfId="0" applyFont="1" applyFill="1" applyBorder="1" applyAlignment="1">
      <alignment horizontal="right" vertical="center"/>
    </xf>
    <xf numFmtId="0" fontId="2" fillId="16" borderId="4" xfId="0" applyFont="1" applyFill="1" applyBorder="1" applyAlignment="1">
      <alignment horizontal="center" vertical="center"/>
    </xf>
    <xf numFmtId="0" fontId="0" fillId="16" borderId="30" xfId="0" applyFill="1" applyBorder="1" applyAlignment="1">
      <alignment horizontal="center"/>
    </xf>
    <xf numFmtId="0" fontId="2" fillId="3" borderId="4" xfId="0" applyFont="1" applyFill="1" applyBorder="1" applyAlignment="1">
      <alignment horizontal="center" vertical="center"/>
    </xf>
    <xf numFmtId="0" fontId="21" fillId="7" borderId="16" xfId="1" applyFont="1" applyFill="1" applyBorder="1" applyAlignment="1">
      <alignment horizontal="center" vertical="center"/>
    </xf>
    <xf numFmtId="0" fontId="21" fillId="4" borderId="44" xfId="1" applyFont="1" applyFill="1" applyBorder="1" applyAlignment="1">
      <alignment horizontal="center" vertical="center"/>
    </xf>
    <xf numFmtId="0" fontId="0" fillId="6" borderId="40" xfId="0" applyFont="1" applyFill="1" applyBorder="1" applyAlignment="1">
      <alignment horizontal="left" vertical="center"/>
    </xf>
    <xf numFmtId="0" fontId="0" fillId="6" borderId="45" xfId="0" applyFont="1" applyFill="1" applyBorder="1" applyAlignment="1">
      <alignment horizontal="left" vertical="center"/>
    </xf>
    <xf numFmtId="0" fontId="0" fillId="7" borderId="34" xfId="0" applyFont="1" applyFill="1" applyBorder="1" applyAlignment="1">
      <alignment horizontal="left" vertical="center" wrapText="1"/>
    </xf>
    <xf numFmtId="0" fontId="0" fillId="7" borderId="33" xfId="0" applyFont="1" applyFill="1" applyBorder="1" applyAlignment="1">
      <alignment horizontal="left" vertical="center" wrapText="1"/>
    </xf>
    <xf numFmtId="0" fontId="38" fillId="4" borderId="38" xfId="1" applyFont="1" applyFill="1" applyBorder="1" applyAlignment="1">
      <alignment horizontal="center" vertical="center"/>
    </xf>
    <xf numFmtId="0" fontId="38" fillId="4" borderId="8" xfId="1" applyFont="1" applyFill="1" applyBorder="1" applyAlignment="1">
      <alignment horizontal="center" vertical="center"/>
    </xf>
    <xf numFmtId="0" fontId="38" fillId="6" borderId="5" xfId="1" applyFont="1" applyFill="1" applyBorder="1" applyAlignment="1">
      <alignment horizontal="center" vertical="center"/>
    </xf>
    <xf numFmtId="0" fontId="38" fillId="4" borderId="5" xfId="1" applyFont="1" applyFill="1" applyBorder="1" applyAlignment="1">
      <alignment horizontal="center" vertical="center"/>
    </xf>
    <xf numFmtId="0" fontId="38" fillId="4" borderId="38" xfId="0" applyFont="1" applyFill="1" applyBorder="1" applyAlignment="1">
      <alignment horizontal="center"/>
    </xf>
    <xf numFmtId="0" fontId="38" fillId="4" borderId="5" xfId="0" applyFont="1" applyFill="1" applyBorder="1" applyAlignment="1">
      <alignment horizontal="center"/>
    </xf>
    <xf numFmtId="0" fontId="38" fillId="4" borderId="6" xfId="0" applyFont="1" applyFill="1" applyBorder="1" applyAlignment="1">
      <alignment horizontal="center"/>
    </xf>
    <xf numFmtId="0" fontId="2" fillId="7" borderId="0" xfId="0" applyFont="1" applyFill="1"/>
    <xf numFmtId="0" fontId="2" fillId="6" borderId="3" xfId="0" applyFont="1" applyFill="1" applyBorder="1" applyAlignment="1">
      <alignment horizontal="left"/>
    </xf>
    <xf numFmtId="0" fontId="2" fillId="6" borderId="6" xfId="0" applyFont="1" applyFill="1" applyBorder="1" applyAlignment="1">
      <alignment horizontal="right"/>
    </xf>
    <xf numFmtId="0" fontId="2" fillId="4" borderId="44" xfId="0" applyFont="1" applyFill="1" applyBorder="1" applyAlignment="1">
      <alignment horizontal="right"/>
    </xf>
    <xf numFmtId="0" fontId="0" fillId="7" borderId="5" xfId="0" applyFont="1" applyFill="1" applyBorder="1" applyAlignment="1">
      <alignment horizontal="center" vertical="center"/>
    </xf>
    <xf numFmtId="0" fontId="38" fillId="7" borderId="5" xfId="0" applyFont="1" applyFill="1" applyBorder="1" applyAlignment="1">
      <alignment horizontal="center"/>
    </xf>
    <xf numFmtId="0" fontId="0" fillId="6" borderId="5" xfId="0" applyFont="1" applyFill="1" applyBorder="1" applyAlignment="1">
      <alignment horizontal="center"/>
    </xf>
    <xf numFmtId="0" fontId="21" fillId="6" borderId="5" xfId="0" applyFont="1" applyFill="1" applyBorder="1" applyAlignment="1">
      <alignment horizontal="center"/>
    </xf>
    <xf numFmtId="0" fontId="5" fillId="6" borderId="6" xfId="1" applyFill="1" applyBorder="1" applyAlignment="1">
      <alignment horizontal="left" vertical="top"/>
    </xf>
    <xf numFmtId="0" fontId="5" fillId="6" borderId="5" xfId="1" applyFill="1" applyBorder="1"/>
    <xf numFmtId="0" fontId="0" fillId="6" borderId="3" xfId="0" applyFill="1" applyBorder="1" applyAlignment="1">
      <alignment vertical="center" wrapText="1"/>
    </xf>
    <xf numFmtId="0" fontId="11" fillId="7" borderId="34" xfId="1" applyFont="1" applyFill="1" applyBorder="1" applyAlignment="1">
      <alignment horizontal="center" vertical="center" wrapText="1"/>
    </xf>
    <xf numFmtId="0" fontId="30" fillId="6" borderId="42" xfId="0" applyFont="1" applyFill="1" applyBorder="1"/>
    <xf numFmtId="0" fontId="0" fillId="6" borderId="40" xfId="0" applyFont="1" applyFill="1" applyBorder="1" applyAlignment="1">
      <alignment horizontal="center" vertical="center"/>
    </xf>
    <xf numFmtId="0" fontId="0" fillId="6" borderId="40" xfId="0" applyFont="1" applyFill="1" applyBorder="1" applyAlignment="1">
      <alignment horizontal="center"/>
    </xf>
    <xf numFmtId="0" fontId="21" fillId="6" borderId="40" xfId="0" applyFont="1" applyFill="1" applyBorder="1" applyAlignment="1">
      <alignment horizontal="center"/>
    </xf>
    <xf numFmtId="0" fontId="11" fillId="4" borderId="44" xfId="0" applyFont="1" applyFill="1" applyBorder="1" applyAlignment="1">
      <alignment horizontal="center"/>
    </xf>
    <xf numFmtId="0" fontId="11" fillId="7" borderId="32" xfId="1" applyFont="1" applyFill="1" applyBorder="1"/>
    <xf numFmtId="0" fontId="0" fillId="3" borderId="3" xfId="0" applyFill="1" applyBorder="1" applyAlignment="1">
      <alignment vertical="center"/>
    </xf>
    <xf numFmtId="0" fontId="0" fillId="7" borderId="0" xfId="0" applyFill="1" applyBorder="1"/>
    <xf numFmtId="0" fontId="0" fillId="7" borderId="41" xfId="0" applyFill="1" applyBorder="1"/>
    <xf numFmtId="0" fontId="0" fillId="4" borderId="5" xfId="0" applyFont="1" applyFill="1" applyBorder="1" applyAlignment="1">
      <alignment horizontal="left" vertical="center"/>
    </xf>
    <xf numFmtId="0" fontId="0" fillId="13" borderId="75" xfId="0" applyFill="1" applyBorder="1" applyAlignment="1">
      <alignment horizontal="center" vertical="center" wrapText="1"/>
    </xf>
    <xf numFmtId="0" fontId="40" fillId="18" borderId="8" xfId="0" applyFont="1" applyFill="1" applyBorder="1"/>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wrapText="1"/>
    </xf>
    <xf numFmtId="0" fontId="0" fillId="0" borderId="1" xfId="0" applyBorder="1" applyAlignment="1">
      <alignment horizontal="center" vertical="center"/>
    </xf>
    <xf numFmtId="0" fontId="40" fillId="18" borderId="4" xfId="0" applyFont="1" applyFill="1" applyBorder="1"/>
    <xf numFmtId="0" fontId="2" fillId="11" borderId="76" xfId="0" applyFont="1" applyFill="1" applyBorder="1" applyAlignment="1">
      <alignment horizontal="left" vertical="center"/>
    </xf>
    <xf numFmtId="0" fontId="0" fillId="0" borderId="1" xfId="0" applyBorder="1" applyAlignment="1">
      <alignment horizontal="center" vertical="center" wrapText="1"/>
    </xf>
    <xf numFmtId="0" fontId="2" fillId="11" borderId="62" xfId="0" applyFont="1" applyFill="1" applyBorder="1" applyAlignment="1">
      <alignment horizontal="left" vertical="center"/>
    </xf>
    <xf numFmtId="0" fontId="41" fillId="12" borderId="58" xfId="0" applyFont="1" applyFill="1" applyBorder="1" applyAlignment="1">
      <alignment horizontal="right" vertical="center"/>
    </xf>
    <xf numFmtId="0" fontId="41" fillId="0" borderId="0" xfId="0" applyFont="1" applyAlignment="1">
      <alignment horizontal="center" vertical="center"/>
    </xf>
    <xf numFmtId="0" fontId="41" fillId="0" borderId="7" xfId="0" applyFont="1" applyBorder="1" applyAlignment="1">
      <alignment horizontal="center" vertical="center"/>
    </xf>
    <xf numFmtId="0" fontId="41" fillId="12" borderId="62" xfId="0" applyFont="1" applyFill="1" applyBorder="1" applyAlignment="1">
      <alignment horizontal="right" vertical="center"/>
    </xf>
    <xf numFmtId="0" fontId="41" fillId="0" borderId="13" xfId="0" applyFont="1" applyBorder="1" applyAlignment="1">
      <alignment horizontal="center" vertical="center"/>
    </xf>
    <xf numFmtId="0" fontId="41" fillId="0" borderId="11" xfId="0" applyFont="1" applyBorder="1" applyAlignment="1">
      <alignment horizontal="center" vertical="center"/>
    </xf>
    <xf numFmtId="0" fontId="1" fillId="0" borderId="2" xfId="0" applyFont="1" applyBorder="1" applyAlignment="1">
      <alignment horizontal="right"/>
    </xf>
    <xf numFmtId="0" fontId="1" fillId="0" borderId="6" xfId="0" applyFont="1" applyBorder="1" applyAlignment="1">
      <alignment horizontal="right"/>
    </xf>
    <xf numFmtId="0" fontId="0" fillId="0" borderId="7" xfId="0" applyBorder="1"/>
    <xf numFmtId="0" fontId="0" fillId="0" borderId="11" xfId="0" applyBorder="1"/>
    <xf numFmtId="0" fontId="0" fillId="0" borderId="13" xfId="0" applyBorder="1"/>
    <xf numFmtId="0" fontId="2" fillId="4" borderId="2" xfId="0" applyFont="1" applyFill="1" applyBorder="1"/>
    <xf numFmtId="0" fontId="2" fillId="4" borderId="1" xfId="0" applyFont="1" applyFill="1" applyBorder="1"/>
    <xf numFmtId="0" fontId="2" fillId="4" borderId="10" xfId="0" applyFont="1" applyFill="1" applyBorder="1"/>
    <xf numFmtId="0" fontId="0" fillId="0" borderId="77" xfId="0" applyBorder="1"/>
    <xf numFmtId="0" fontId="0" fillId="0" borderId="49" xfId="0" applyBorder="1"/>
    <xf numFmtId="0" fontId="2" fillId="0" borderId="70" xfId="0" applyFont="1" applyBorder="1"/>
    <xf numFmtId="0" fontId="0" fillId="0" borderId="78" xfId="0" applyBorder="1"/>
    <xf numFmtId="0" fontId="0" fillId="0" borderId="79" xfId="0" applyBorder="1"/>
    <xf numFmtId="0" fontId="1" fillId="3" borderId="30" xfId="0" applyFont="1" applyFill="1" applyBorder="1" applyAlignment="1">
      <alignment horizontal="center" vertical="center" wrapText="1"/>
    </xf>
    <xf numFmtId="0" fontId="0" fillId="0" borderId="70" xfId="0" applyBorder="1"/>
    <xf numFmtId="0" fontId="0" fillId="3" borderId="4" xfId="0" applyFill="1" applyBorder="1"/>
    <xf numFmtId="0" fontId="0" fillId="4" borderId="80" xfId="0" applyFill="1" applyBorder="1"/>
    <xf numFmtId="0" fontId="0" fillId="4" borderId="4" xfId="0" applyFill="1" applyBorder="1"/>
    <xf numFmtId="0" fontId="1" fillId="3" borderId="30" xfId="0" applyNumberFormat="1" applyFont="1" applyFill="1" applyBorder="1" applyAlignment="1">
      <alignment horizontal="center" vertical="center" wrapText="1"/>
    </xf>
    <xf numFmtId="0" fontId="4" fillId="0" borderId="32" xfId="0" applyFont="1" applyBorder="1"/>
    <xf numFmtId="0" fontId="4" fillId="0" borderId="34" xfId="0" applyFont="1" applyBorder="1"/>
    <xf numFmtId="0" fontId="4" fillId="0" borderId="15" xfId="0" applyFont="1" applyBorder="1"/>
    <xf numFmtId="0" fontId="0" fillId="0" borderId="15" xfId="0" applyBorder="1"/>
    <xf numFmtId="0" fontId="0" fillId="0" borderId="34" xfId="0" applyBorder="1"/>
    <xf numFmtId="49" fontId="2" fillId="0" borderId="0" xfId="0" applyNumberFormat="1" applyFont="1"/>
    <xf numFmtId="0" fontId="42" fillId="0" borderId="0" xfId="0" applyFont="1"/>
    <xf numFmtId="0" fontId="44" fillId="0" borderId="0" xfId="0" applyFont="1"/>
    <xf numFmtId="49" fontId="45" fillId="0" borderId="0" xfId="1" applyNumberFormat="1" applyFont="1"/>
    <xf numFmtId="49" fontId="11" fillId="0" borderId="0" xfId="1" applyNumberFormat="1" applyFont="1"/>
    <xf numFmtId="0" fontId="0" fillId="7" borderId="16" xfId="0" applyFont="1" applyFill="1" applyBorder="1" applyAlignment="1">
      <alignment horizontal="left" vertical="center" wrapText="1"/>
    </xf>
    <xf numFmtId="0" fontId="2" fillId="7" borderId="66" xfId="0" applyFont="1" applyFill="1" applyBorder="1" applyAlignment="1">
      <alignment horizontal="right" vertical="center"/>
    </xf>
    <xf numFmtId="0" fontId="2" fillId="7" borderId="49" xfId="0" applyFont="1" applyFill="1" applyBorder="1" applyAlignment="1">
      <alignment horizontal="right" vertical="center"/>
    </xf>
    <xf numFmtId="0" fontId="2" fillId="7" borderId="72" xfId="0" applyFont="1" applyFill="1" applyBorder="1" applyAlignment="1">
      <alignment horizontal="right" vertical="center"/>
    </xf>
    <xf numFmtId="0" fontId="0" fillId="0" borderId="33" xfId="0" applyFont="1" applyFill="1" applyBorder="1" applyAlignment="1">
      <alignment horizontal="left" vertical="center"/>
    </xf>
    <xf numFmtId="0" fontId="0" fillId="6" borderId="5" xfId="0" applyFill="1" applyBorder="1" applyAlignment="1">
      <alignment vertical="center" wrapText="1"/>
    </xf>
    <xf numFmtId="0" fontId="2" fillId="6" borderId="8" xfId="0" applyFont="1" applyFill="1" applyBorder="1" applyAlignment="1">
      <alignment horizontal="left" vertical="center"/>
    </xf>
    <xf numFmtId="0" fontId="0" fillId="6" borderId="5" xfId="0" applyFill="1" applyBorder="1" applyAlignment="1">
      <alignment horizontal="left" vertical="center" wrapText="1"/>
    </xf>
    <xf numFmtId="0" fontId="4" fillId="0" borderId="34" xfId="0" applyFont="1" applyFill="1" applyBorder="1"/>
    <xf numFmtId="0" fontId="4" fillId="0" borderId="12" xfId="0" applyFont="1" applyFill="1" applyBorder="1"/>
    <xf numFmtId="0" fontId="0" fillId="15" borderId="4" xfId="0" applyFill="1" applyBorder="1" applyAlignment="1">
      <alignment horizontal="center" vertical="center"/>
    </xf>
    <xf numFmtId="0" fontId="4" fillId="0" borderId="8" xfId="0" applyFont="1" applyBorder="1" applyAlignment="1">
      <alignment horizontal="right" vertical="center" wrapText="1"/>
    </xf>
    <xf numFmtId="0" fontId="47" fillId="0" borderId="8" xfId="1" applyFont="1" applyBorder="1" applyAlignment="1">
      <alignment horizontal="right" vertical="center" wrapText="1"/>
    </xf>
    <xf numFmtId="0" fontId="4" fillId="0" borderId="8" xfId="0" applyFont="1" applyBorder="1" applyAlignment="1">
      <alignment horizontal="right"/>
    </xf>
    <xf numFmtId="0" fontId="48" fillId="4" borderId="17" xfId="0" applyFont="1" applyFill="1" applyBorder="1"/>
    <xf numFmtId="0" fontId="48" fillId="0" borderId="78" xfId="0" applyFont="1" applyBorder="1"/>
    <xf numFmtId="0" fontId="4" fillId="0" borderId="79" xfId="0" applyFont="1" applyBorder="1"/>
    <xf numFmtId="0" fontId="4" fillId="0" borderId="64" xfId="0" applyFont="1" applyBorder="1"/>
    <xf numFmtId="0" fontId="48" fillId="4" borderId="19" xfId="0" applyFont="1" applyFill="1" applyBorder="1"/>
    <xf numFmtId="0" fontId="4" fillId="0" borderId="17" xfId="0" applyFont="1" applyBorder="1"/>
    <xf numFmtId="0" fontId="4" fillId="0" borderId="21" xfId="0" applyFont="1" applyBorder="1"/>
    <xf numFmtId="0" fontId="4" fillId="0" borderId="22" xfId="0" applyFont="1" applyBorder="1"/>
    <xf numFmtId="0" fontId="4" fillId="0" borderId="15" xfId="0" applyFont="1" applyBorder="1" applyAlignment="1">
      <alignment horizontal="right"/>
    </xf>
    <xf numFmtId="0" fontId="4" fillId="0" borderId="34" xfId="0" applyFont="1" applyBorder="1" applyAlignment="1">
      <alignment horizontal="right"/>
    </xf>
    <xf numFmtId="0" fontId="4" fillId="0" borderId="12" xfId="0" applyFont="1" applyBorder="1" applyAlignment="1">
      <alignment horizontal="right"/>
    </xf>
    <xf numFmtId="0" fontId="10" fillId="6" borderId="5" xfId="0" applyFont="1" applyFill="1" applyBorder="1" applyAlignment="1">
      <alignment horizontal="left" vertical="center" wrapText="1"/>
    </xf>
    <xf numFmtId="0" fontId="10" fillId="7" borderId="16" xfId="0" applyFont="1" applyFill="1" applyBorder="1" applyAlignment="1">
      <alignment horizontal="left" vertical="center" wrapText="1"/>
    </xf>
    <xf numFmtId="0" fontId="0" fillId="0" borderId="34" xfId="0" applyFill="1" applyBorder="1" applyAlignment="1">
      <alignment horizontal="left" vertical="center"/>
    </xf>
    <xf numFmtId="0" fontId="2" fillId="4" borderId="74" xfId="0" applyFont="1" applyFill="1" applyBorder="1" applyAlignment="1">
      <alignment horizontal="right" vertical="center"/>
    </xf>
    <xf numFmtId="0" fontId="2" fillId="4" borderId="8" xfId="0" applyFont="1" applyFill="1" applyBorder="1" applyAlignment="1">
      <alignment horizontal="right" vertical="center"/>
    </xf>
    <xf numFmtId="0" fontId="2" fillId="4" borderId="73" xfId="0" applyFont="1" applyFill="1" applyBorder="1" applyAlignment="1">
      <alignment horizontal="right" vertical="center"/>
    </xf>
    <xf numFmtId="0" fontId="2" fillId="6" borderId="50" xfId="0" applyFont="1" applyFill="1" applyBorder="1" applyAlignment="1">
      <alignment horizontal="right" vertical="center"/>
    </xf>
    <xf numFmtId="0" fontId="2" fillId="4" borderId="38" xfId="0" applyFont="1" applyFill="1" applyBorder="1" applyAlignment="1">
      <alignment horizontal="right" vertical="center"/>
    </xf>
    <xf numFmtId="0" fontId="2" fillId="0" borderId="16" xfId="0" applyFont="1" applyFill="1" applyBorder="1" applyAlignment="1">
      <alignment horizontal="right" vertical="center"/>
    </xf>
    <xf numFmtId="0" fontId="2" fillId="7" borderId="8" xfId="0" applyFont="1" applyFill="1" applyBorder="1" applyAlignment="1">
      <alignment horizontal="right" vertical="center"/>
    </xf>
    <xf numFmtId="0" fontId="2" fillId="6" borderId="46" xfId="0" applyFont="1" applyFill="1" applyBorder="1" applyAlignment="1">
      <alignment horizontal="right" vertical="center"/>
    </xf>
    <xf numFmtId="0" fontId="2" fillId="0" borderId="77" xfId="0" applyFont="1" applyFill="1" applyBorder="1" applyAlignment="1">
      <alignment horizontal="right" vertical="center"/>
    </xf>
    <xf numFmtId="0" fontId="2" fillId="0" borderId="49" xfId="0" applyFont="1" applyFill="1" applyBorder="1" applyAlignment="1">
      <alignment horizontal="right" vertical="center"/>
    </xf>
    <xf numFmtId="0" fontId="2" fillId="0" borderId="12" xfId="0" applyFont="1" applyFill="1" applyBorder="1" applyAlignment="1">
      <alignment horizontal="right" vertical="center"/>
    </xf>
    <xf numFmtId="0" fontId="4" fillId="6" borderId="42" xfId="0" applyFont="1" applyFill="1" applyBorder="1" applyAlignment="1">
      <alignment horizontal="left" vertical="center" wrapText="1"/>
    </xf>
    <xf numFmtId="0" fontId="4" fillId="6" borderId="43" xfId="0" applyFont="1" applyFill="1" applyBorder="1" applyAlignment="1">
      <alignment horizontal="left" vertical="center" wrapText="1"/>
    </xf>
    <xf numFmtId="0" fontId="2" fillId="7" borderId="1" xfId="0" applyFont="1" applyFill="1" applyBorder="1" applyAlignment="1">
      <alignment horizontal="left" vertical="center"/>
    </xf>
    <xf numFmtId="0" fontId="10" fillId="7" borderId="5" xfId="0" applyFont="1" applyFill="1" applyBorder="1" applyAlignment="1">
      <alignment horizontal="left" vertical="center"/>
    </xf>
    <xf numFmtId="0" fontId="0" fillId="6" borderId="10" xfId="0" applyFont="1" applyFill="1" applyBorder="1" applyAlignment="1">
      <alignment horizontal="left" vertical="center"/>
    </xf>
    <xf numFmtId="0" fontId="0" fillId="6" borderId="35" xfId="0" applyFont="1" applyFill="1" applyBorder="1" applyAlignment="1">
      <alignment horizontal="left" vertical="center"/>
    </xf>
    <xf numFmtId="0" fontId="0" fillId="6" borderId="7" xfId="0" applyFill="1" applyBorder="1" applyAlignment="1">
      <alignment horizontal="left" vertical="center"/>
    </xf>
    <xf numFmtId="0" fontId="2" fillId="6" borderId="3" xfId="0" applyFont="1" applyFill="1" applyBorder="1" applyAlignment="1">
      <alignment horizontal="left" vertical="center" wrapText="1"/>
    </xf>
    <xf numFmtId="0" fontId="2" fillId="6" borderId="43" xfId="0" applyFont="1" applyFill="1" applyBorder="1" applyAlignment="1">
      <alignment horizontal="right" vertical="center"/>
    </xf>
    <xf numFmtId="0" fontId="2" fillId="6" borderId="40" xfId="0" applyFont="1" applyFill="1" applyBorder="1" applyAlignment="1">
      <alignment horizontal="left" vertical="center"/>
    </xf>
    <xf numFmtId="0" fontId="0" fillId="6" borderId="42" xfId="0" applyFill="1" applyBorder="1" applyAlignment="1">
      <alignment horizontal="left" vertical="center"/>
    </xf>
    <xf numFmtId="0" fontId="11" fillId="6" borderId="5" xfId="0" applyFont="1" applyFill="1" applyBorder="1" applyAlignment="1">
      <alignment horizontal="left" vertical="center"/>
    </xf>
    <xf numFmtId="0" fontId="0" fillId="6" borderId="40" xfId="0" applyFill="1" applyBorder="1" applyAlignment="1">
      <alignment horizontal="left" vertical="center"/>
    </xf>
    <xf numFmtId="0" fontId="0" fillId="6" borderId="41" xfId="0" applyFill="1" applyBorder="1" applyAlignment="1">
      <alignment horizontal="left" vertical="center"/>
    </xf>
    <xf numFmtId="0" fontId="2" fillId="0" borderId="3" xfId="0" applyFont="1" applyFill="1" applyBorder="1" applyAlignment="1">
      <alignment horizontal="left" vertical="center"/>
    </xf>
    <xf numFmtId="0" fontId="0" fillId="0" borderId="3" xfId="0" applyFill="1" applyBorder="1" applyAlignment="1">
      <alignment horizontal="left" vertical="center"/>
    </xf>
    <xf numFmtId="0" fontId="2" fillId="0" borderId="6" xfId="0" applyFont="1" applyFill="1" applyBorder="1" applyAlignment="1">
      <alignment horizontal="left" vertical="center"/>
    </xf>
    <xf numFmtId="0" fontId="5" fillId="7" borderId="4" xfId="1" applyFill="1" applyBorder="1" applyAlignment="1">
      <alignment horizontal="left" vertical="center" wrapText="1"/>
    </xf>
    <xf numFmtId="0" fontId="11" fillId="7" borderId="4" xfId="0" applyFont="1" applyFill="1" applyBorder="1" applyAlignment="1">
      <alignment horizontal="center" vertical="center"/>
    </xf>
    <xf numFmtId="0" fontId="30" fillId="7" borderId="2" xfId="0" applyFont="1" applyFill="1" applyBorder="1" applyAlignment="1">
      <alignment horizontal="left" vertical="center"/>
    </xf>
    <xf numFmtId="0" fontId="5" fillId="7" borderId="3" xfId="1" applyFill="1" applyBorder="1" applyAlignment="1">
      <alignment horizontal="left" vertical="center" wrapText="1"/>
    </xf>
    <xf numFmtId="0" fontId="2" fillId="6" borderId="0" xfId="0" applyFont="1" applyFill="1" applyBorder="1" applyAlignment="1">
      <alignment horizontal="right" vertical="center"/>
    </xf>
    <xf numFmtId="0" fontId="2" fillId="6" borderId="5" xfId="0" applyFont="1" applyFill="1" applyBorder="1" applyAlignment="1">
      <alignment horizontal="left" vertical="top"/>
    </xf>
    <xf numFmtId="0" fontId="5" fillId="6" borderId="0" xfId="1" applyFill="1" applyBorder="1" applyAlignment="1">
      <alignment horizontal="left" vertical="center" wrapText="1"/>
    </xf>
    <xf numFmtId="0" fontId="2" fillId="0" borderId="8" xfId="0" applyFont="1" applyFill="1" applyBorder="1" applyAlignment="1">
      <alignment horizontal="right" vertical="center"/>
    </xf>
    <xf numFmtId="0" fontId="0" fillId="0" borderId="5" xfId="0" applyFont="1" applyFill="1" applyBorder="1" applyAlignment="1">
      <alignment horizontal="center" vertical="center"/>
    </xf>
    <xf numFmtId="0" fontId="2" fillId="0" borderId="32" xfId="0" applyFont="1" applyFill="1" applyBorder="1" applyAlignment="1">
      <alignment horizontal="left" vertical="center"/>
    </xf>
    <xf numFmtId="0" fontId="2" fillId="0" borderId="34" xfId="0" applyFont="1" applyFill="1" applyBorder="1" applyAlignment="1">
      <alignment horizontal="right" vertical="center"/>
    </xf>
    <xf numFmtId="0" fontId="2" fillId="0" borderId="15" xfId="0" applyFont="1" applyFill="1" applyBorder="1" applyAlignment="1">
      <alignment horizontal="right" vertical="center"/>
    </xf>
    <xf numFmtId="0" fontId="0" fillId="0" borderId="15" xfId="0" applyFont="1" applyFill="1" applyBorder="1" applyAlignment="1">
      <alignment horizontal="center" vertical="center"/>
    </xf>
    <xf numFmtId="0" fontId="0" fillId="0" borderId="34" xfId="0" applyFont="1" applyFill="1" applyBorder="1" applyAlignment="1">
      <alignment horizontal="center" vertical="center"/>
    </xf>
    <xf numFmtId="0" fontId="0" fillId="0" borderId="34" xfId="0" applyFont="1" applyFill="1" applyBorder="1" applyAlignment="1">
      <alignment horizontal="left" vertical="center"/>
    </xf>
    <xf numFmtId="0" fontId="0" fillId="0" borderId="32" xfId="0" applyFont="1" applyFill="1" applyBorder="1" applyAlignment="1">
      <alignment horizontal="left" vertical="center"/>
    </xf>
    <xf numFmtId="0" fontId="11" fillId="6" borderId="7" xfId="0" applyFont="1" applyFill="1" applyBorder="1" applyAlignment="1">
      <alignment horizontal="left" vertical="center"/>
    </xf>
    <xf numFmtId="0" fontId="2" fillId="6" borderId="42" xfId="0" applyFont="1" applyFill="1" applyBorder="1"/>
    <xf numFmtId="0" fontId="2" fillId="7" borderId="5" xfId="0" applyFont="1" applyFill="1" applyBorder="1" applyAlignment="1">
      <alignment horizontal="right" vertical="center" wrapText="1"/>
    </xf>
    <xf numFmtId="0" fontId="30" fillId="7" borderId="8" xfId="0" applyFont="1" applyFill="1" applyBorder="1" applyAlignment="1">
      <alignment horizontal="left" vertical="center"/>
    </xf>
    <xf numFmtId="0" fontId="5" fillId="7" borderId="2" xfId="1" applyFill="1" applyBorder="1" applyAlignment="1">
      <alignment horizontal="left" vertical="center"/>
    </xf>
    <xf numFmtId="0" fontId="2" fillId="7" borderId="7" xfId="0" applyFont="1" applyFill="1" applyBorder="1" applyAlignment="1">
      <alignment horizontal="right"/>
    </xf>
    <xf numFmtId="0" fontId="38" fillId="7" borderId="5" xfId="1" applyFont="1" applyFill="1" applyBorder="1" applyAlignment="1">
      <alignment horizontal="center" vertical="center"/>
    </xf>
    <xf numFmtId="0" fontId="38" fillId="7" borderId="6" xfId="1" applyFont="1" applyFill="1" applyBorder="1" applyAlignment="1">
      <alignment horizontal="center" vertical="center"/>
    </xf>
    <xf numFmtId="0" fontId="38" fillId="7" borderId="34" xfId="1" applyFont="1" applyFill="1" applyBorder="1" applyAlignment="1">
      <alignment horizontal="center" vertical="center"/>
    </xf>
    <xf numFmtId="0" fontId="2" fillId="7" borderId="32" xfId="0" applyFont="1" applyFill="1" applyBorder="1" applyAlignment="1">
      <alignment horizontal="left"/>
    </xf>
    <xf numFmtId="0" fontId="2" fillId="7" borderId="11" xfId="0" applyFont="1" applyFill="1" applyBorder="1" applyAlignment="1">
      <alignment horizontal="right"/>
    </xf>
    <xf numFmtId="0" fontId="11" fillId="7" borderId="16" xfId="1" applyFont="1" applyFill="1" applyBorder="1" applyAlignment="1">
      <alignment horizontal="center" vertical="center" wrapText="1"/>
    </xf>
    <xf numFmtId="0" fontId="0" fillId="6" borderId="41" xfId="0" applyFont="1" applyFill="1" applyBorder="1" applyAlignment="1">
      <alignment horizontal="center"/>
    </xf>
    <xf numFmtId="0" fontId="2" fillId="6" borderId="42" xfId="0" applyFont="1" applyFill="1" applyBorder="1" applyAlignment="1">
      <alignment horizontal="left"/>
    </xf>
    <xf numFmtId="0" fontId="0" fillId="3" borderId="12" xfId="0" applyFill="1" applyBorder="1" applyAlignment="1">
      <alignment horizontal="center" vertical="center"/>
    </xf>
    <xf numFmtId="0" fontId="11" fillId="4" borderId="6" xfId="0" applyFont="1" applyFill="1" applyBorder="1" applyAlignment="1">
      <alignment horizontal="center"/>
    </xf>
    <xf numFmtId="0" fontId="30" fillId="6" borderId="8" xfId="0" applyFont="1" applyFill="1" applyBorder="1" applyAlignment="1">
      <alignment horizontal="right"/>
    </xf>
    <xf numFmtId="0" fontId="5" fillId="4" borderId="5" xfId="1" applyFill="1" applyBorder="1" applyAlignment="1">
      <alignment horizontal="left"/>
    </xf>
    <xf numFmtId="0" fontId="5" fillId="6" borderId="5" xfId="1" applyFill="1" applyBorder="1" applyAlignment="1">
      <alignment horizontal="left"/>
    </xf>
    <xf numFmtId="0" fontId="2" fillId="4" borderId="55" xfId="0" applyFont="1" applyFill="1" applyBorder="1" applyAlignment="1">
      <alignment horizontal="right"/>
    </xf>
    <xf numFmtId="0" fontId="0" fillId="4" borderId="38" xfId="0" applyFont="1" applyFill="1" applyBorder="1" applyAlignment="1">
      <alignment horizontal="center"/>
    </xf>
    <xf numFmtId="0" fontId="5" fillId="4" borderId="7" xfId="1" applyFill="1" applyBorder="1" applyAlignment="1">
      <alignment horizontal="left"/>
    </xf>
    <xf numFmtId="0" fontId="0" fillId="4" borderId="67" xfId="0" applyFont="1" applyFill="1" applyBorder="1" applyAlignment="1">
      <alignment horizontal="center"/>
    </xf>
    <xf numFmtId="0" fontId="0" fillId="4" borderId="7" xfId="0" applyFont="1" applyFill="1" applyBorder="1" applyAlignment="1">
      <alignment horizontal="center"/>
    </xf>
    <xf numFmtId="0" fontId="21" fillId="4" borderId="7" xfId="0" applyFont="1" applyFill="1" applyBorder="1" applyAlignment="1">
      <alignment horizontal="center"/>
    </xf>
    <xf numFmtId="0" fontId="2" fillId="4" borderId="37" xfId="0" applyFont="1" applyFill="1" applyBorder="1" applyAlignment="1">
      <alignment horizontal="right"/>
    </xf>
    <xf numFmtId="0" fontId="5" fillId="4" borderId="55" xfId="1" applyFill="1" applyBorder="1" applyAlignment="1">
      <alignment horizontal="left" vertical="center"/>
    </xf>
    <xf numFmtId="0" fontId="0" fillId="7" borderId="32" xfId="0" applyFill="1" applyBorder="1" applyAlignment="1">
      <alignment horizontal="center" vertical="center" wrapText="1"/>
    </xf>
    <xf numFmtId="0" fontId="0" fillId="3" borderId="83" xfId="0" applyFill="1" applyBorder="1" applyAlignment="1">
      <alignment horizontal="center" vertical="center"/>
    </xf>
    <xf numFmtId="0" fontId="5" fillId="7" borderId="3" xfId="1" applyFill="1" applyBorder="1" applyAlignment="1">
      <alignment horizontal="left" vertical="center"/>
    </xf>
    <xf numFmtId="0" fontId="5" fillId="4" borderId="3" xfId="1" applyFill="1" applyBorder="1" applyAlignment="1">
      <alignment horizontal="left" vertical="center"/>
    </xf>
    <xf numFmtId="0" fontId="5" fillId="7" borderId="5" xfId="1" applyFill="1" applyBorder="1" applyAlignment="1">
      <alignment horizontal="left" vertical="center"/>
    </xf>
    <xf numFmtId="0" fontId="0" fillId="16" borderId="4" xfId="0" applyFill="1" applyBorder="1" applyAlignment="1">
      <alignment vertical="center"/>
    </xf>
    <xf numFmtId="0" fontId="0" fillId="3" borderId="4" xfId="0" applyFill="1" applyBorder="1" applyAlignment="1">
      <alignment vertical="center"/>
    </xf>
    <xf numFmtId="0" fontId="0" fillId="7" borderId="16" xfId="0" applyFill="1" applyBorder="1" applyAlignment="1">
      <alignment horizontal="left" vertical="center"/>
    </xf>
    <xf numFmtId="0" fontId="5" fillId="7" borderId="5" xfId="1" applyFill="1" applyBorder="1"/>
    <xf numFmtId="0" fontId="2" fillId="0" borderId="0" xfId="0" applyFont="1" applyAlignment="1">
      <alignment horizontal="right"/>
    </xf>
    <xf numFmtId="0" fontId="5" fillId="4" borderId="3" xfId="1" applyFill="1" applyBorder="1"/>
    <xf numFmtId="0" fontId="5" fillId="4" borderId="55" xfId="1" applyFill="1" applyBorder="1"/>
    <xf numFmtId="0" fontId="5" fillId="6" borderId="3" xfId="1" applyFill="1" applyBorder="1" applyAlignment="1">
      <alignment horizontal="left"/>
    </xf>
    <xf numFmtId="0" fontId="5" fillId="4" borderId="3" xfId="1" applyFill="1" applyBorder="1" applyAlignment="1">
      <alignment horizontal="left"/>
    </xf>
    <xf numFmtId="0" fontId="38" fillId="6" borderId="5" xfId="0" applyFont="1" applyFill="1" applyBorder="1" applyAlignment="1">
      <alignment horizontal="center"/>
    </xf>
    <xf numFmtId="0" fontId="29" fillId="6" borderId="3" xfId="1" applyFont="1" applyFill="1" applyBorder="1"/>
    <xf numFmtId="0" fontId="29" fillId="6" borderId="41" xfId="1" applyFont="1" applyFill="1" applyBorder="1"/>
    <xf numFmtId="0" fontId="29" fillId="6" borderId="40" xfId="1" applyFont="1" applyFill="1" applyBorder="1"/>
    <xf numFmtId="0" fontId="29" fillId="6" borderId="5" xfId="1" applyFont="1" applyFill="1" applyBorder="1"/>
    <xf numFmtId="0" fontId="29" fillId="6" borderId="45" xfId="1" applyFont="1" applyFill="1" applyBorder="1"/>
    <xf numFmtId="0" fontId="2" fillId="7" borderId="6" xfId="0" applyFont="1" applyFill="1" applyBorder="1" applyAlignment="1">
      <alignment horizontal="right" vertical="center"/>
    </xf>
    <xf numFmtId="0" fontId="29" fillId="7" borderId="3" xfId="1" applyFont="1" applyFill="1" applyBorder="1"/>
    <xf numFmtId="0" fontId="29" fillId="7" borderId="5" xfId="1" applyFont="1" applyFill="1" applyBorder="1" applyAlignment="1">
      <alignment horizontal="center" vertical="center"/>
    </xf>
    <xf numFmtId="0" fontId="29" fillId="7" borderId="6" xfId="1" applyFont="1" applyFill="1" applyBorder="1" applyAlignment="1">
      <alignment horizontal="center" vertical="center"/>
    </xf>
    <xf numFmtId="0" fontId="29" fillId="4" borderId="5" xfId="1" applyFont="1" applyFill="1" applyBorder="1" applyAlignment="1">
      <alignment horizontal="center" vertical="center"/>
    </xf>
    <xf numFmtId="0" fontId="29" fillId="4" borderId="6" xfId="1" applyFont="1" applyFill="1" applyBorder="1" applyAlignment="1">
      <alignment horizontal="center" vertical="center"/>
    </xf>
    <xf numFmtId="0" fontId="29" fillId="7" borderId="3" xfId="1" applyFont="1" applyFill="1" applyBorder="1" applyAlignment="1">
      <alignment horizontal="left" vertical="center"/>
    </xf>
    <xf numFmtId="0" fontId="38" fillId="6" borderId="6" xfId="0" applyFont="1" applyFill="1" applyBorder="1" applyAlignment="1">
      <alignment horizontal="center" vertical="center"/>
    </xf>
    <xf numFmtId="0" fontId="38" fillId="7" borderId="6" xfId="0" applyFont="1" applyFill="1" applyBorder="1" applyAlignment="1">
      <alignment horizontal="center"/>
    </xf>
    <xf numFmtId="0" fontId="38" fillId="7" borderId="6" xfId="0" applyFont="1" applyFill="1" applyBorder="1" applyAlignment="1">
      <alignment horizontal="left" vertical="center" wrapText="1"/>
    </xf>
    <xf numFmtId="0" fontId="38" fillId="7" borderId="5" xfId="0" applyFont="1" applyFill="1" applyBorder="1" applyAlignment="1">
      <alignment horizontal="center" vertical="center"/>
    </xf>
    <xf numFmtId="0" fontId="38" fillId="6" borderId="6" xfId="0" applyFont="1" applyFill="1" applyBorder="1" applyAlignment="1">
      <alignment horizontal="center"/>
    </xf>
    <xf numFmtId="0" fontId="38" fillId="4" borderId="7" xfId="0" applyFont="1" applyFill="1" applyBorder="1" applyAlignment="1">
      <alignment horizontal="center"/>
    </xf>
    <xf numFmtId="0" fontId="38" fillId="4" borderId="11" xfId="0" applyFont="1" applyFill="1" applyBorder="1" applyAlignment="1">
      <alignment horizontal="center"/>
    </xf>
    <xf numFmtId="0" fontId="38" fillId="6" borderId="45" xfId="1" applyFont="1" applyFill="1" applyBorder="1" applyAlignment="1">
      <alignment horizontal="center" vertical="center"/>
    </xf>
    <xf numFmtId="0" fontId="38" fillId="7" borderId="16" xfId="1" applyFont="1" applyFill="1" applyBorder="1" applyAlignment="1">
      <alignment horizontal="center" vertical="center"/>
    </xf>
    <xf numFmtId="0" fontId="38" fillId="7" borderId="33" xfId="1" applyFont="1" applyFill="1" applyBorder="1" applyAlignment="1">
      <alignment horizontal="center" vertical="center"/>
    </xf>
    <xf numFmtId="0" fontId="38" fillId="4" borderId="6" xfId="1" applyFont="1" applyFill="1" applyBorder="1" applyAlignment="1">
      <alignment horizontal="center" vertical="center"/>
    </xf>
    <xf numFmtId="0" fontId="0" fillId="6" borderId="6" xfId="0" applyFill="1" applyBorder="1"/>
    <xf numFmtId="0" fontId="2" fillId="7" borderId="7" xfId="0" applyFont="1" applyFill="1" applyBorder="1" applyAlignment="1">
      <alignment horizontal="left" vertical="center"/>
    </xf>
    <xf numFmtId="0" fontId="0" fillId="0" borderId="4" xfId="0" applyFill="1" applyBorder="1" applyAlignment="1">
      <alignment vertical="center" wrapText="1"/>
    </xf>
    <xf numFmtId="0" fontId="2" fillId="7" borderId="10" xfId="0" applyFont="1" applyFill="1" applyBorder="1" applyAlignment="1">
      <alignment horizontal="left" vertical="center"/>
    </xf>
    <xf numFmtId="0" fontId="2" fillId="6" borderId="5" xfId="0" applyFont="1" applyFill="1" applyBorder="1"/>
    <xf numFmtId="0" fontId="36" fillId="6" borderId="40" xfId="0" applyFont="1" applyFill="1" applyBorder="1" applyAlignment="1">
      <alignment horizontal="right"/>
    </xf>
    <xf numFmtId="0" fontId="36" fillId="6" borderId="40" xfId="0" applyFont="1" applyFill="1" applyBorder="1" applyAlignment="1">
      <alignment horizontal="right" vertical="center"/>
    </xf>
    <xf numFmtId="0" fontId="36" fillId="6" borderId="41" xfId="0" applyFont="1" applyFill="1" applyBorder="1" applyAlignment="1">
      <alignment horizontal="right" vertical="center"/>
    </xf>
    <xf numFmtId="0" fontId="36" fillId="6" borderId="5" xfId="0" applyFont="1" applyFill="1" applyBorder="1" applyAlignment="1">
      <alignment horizontal="right"/>
    </xf>
    <xf numFmtId="0" fontId="2" fillId="0" borderId="16" xfId="0" applyFont="1" applyFill="1" applyBorder="1" applyAlignment="1">
      <alignment horizontal="left" vertical="center"/>
    </xf>
    <xf numFmtId="0" fontId="2" fillId="0" borderId="34" xfId="0" applyFont="1" applyFill="1" applyBorder="1" applyAlignment="1">
      <alignment horizontal="left" vertical="center"/>
    </xf>
    <xf numFmtId="0" fontId="0" fillId="0" borderId="33" xfId="0" applyFill="1" applyBorder="1" applyAlignment="1">
      <alignment horizontal="left" vertical="center"/>
    </xf>
    <xf numFmtId="0" fontId="0" fillId="16" borderId="84" xfId="0" applyFill="1" applyBorder="1" applyAlignment="1">
      <alignment horizontal="center" vertical="center"/>
    </xf>
    <xf numFmtId="0" fontId="0" fillId="16" borderId="85" xfId="0" applyFill="1" applyBorder="1" applyAlignment="1">
      <alignment horizontal="center" vertical="center"/>
    </xf>
    <xf numFmtId="0" fontId="5" fillId="6" borderId="40" xfId="1" applyFill="1" applyBorder="1"/>
    <xf numFmtId="0" fontId="5" fillId="6" borderId="41" xfId="1" applyFill="1" applyBorder="1"/>
    <xf numFmtId="0" fontId="5" fillId="6" borderId="43" xfId="1" applyFill="1" applyBorder="1"/>
    <xf numFmtId="0" fontId="5" fillId="6" borderId="45" xfId="1" applyFill="1" applyBorder="1"/>
    <xf numFmtId="0" fontId="5" fillId="6" borderId="40" xfId="1" applyFill="1" applyBorder="1" applyAlignment="1">
      <alignment horizontal="left" vertical="center"/>
    </xf>
    <xf numFmtId="0" fontId="5" fillId="6" borderId="5" xfId="1" applyFill="1" applyBorder="1" applyAlignment="1">
      <alignment horizontal="left" vertical="center"/>
    </xf>
    <xf numFmtId="0" fontId="5" fillId="6" borderId="41" xfId="1" applyFill="1" applyBorder="1" applyAlignment="1">
      <alignment horizontal="left" vertical="center"/>
    </xf>
    <xf numFmtId="0" fontId="5" fillId="6" borderId="45" xfId="1" applyFill="1" applyBorder="1" applyAlignment="1">
      <alignment horizontal="left" vertical="center"/>
    </xf>
    <xf numFmtId="0" fontId="38" fillId="6" borderId="5" xfId="0" applyFont="1" applyFill="1" applyBorder="1" applyAlignment="1">
      <alignment horizontal="center" vertical="center"/>
    </xf>
    <xf numFmtId="0" fontId="49" fillId="3" borderId="4" xfId="0" applyFont="1" applyFill="1" applyBorder="1" applyAlignment="1">
      <alignment horizontal="center" vertical="center"/>
    </xf>
    <xf numFmtId="49" fontId="1" fillId="15" borderId="4" xfId="0" applyNumberFormat="1" applyFont="1" applyFill="1" applyBorder="1" applyAlignment="1">
      <alignment horizontal="center" vertical="center" wrapText="1"/>
    </xf>
    <xf numFmtId="0" fontId="0" fillId="4" borderId="5" xfId="0" applyFill="1" applyBorder="1" applyAlignment="1">
      <alignment horizontal="center" vertical="center"/>
    </xf>
    <xf numFmtId="0" fontId="0" fillId="4" borderId="6" xfId="0" applyFill="1" applyBorder="1" applyAlignment="1">
      <alignment horizontal="center" vertical="center"/>
    </xf>
    <xf numFmtId="0" fontId="0" fillId="4" borderId="6" xfId="0" applyFont="1" applyFill="1" applyBorder="1" applyAlignment="1">
      <alignment horizontal="center" vertical="center"/>
    </xf>
    <xf numFmtId="0" fontId="0" fillId="4" borderId="5" xfId="0" applyFont="1" applyFill="1" applyBorder="1" applyAlignment="1">
      <alignment horizontal="center" vertical="center"/>
    </xf>
    <xf numFmtId="0" fontId="2" fillId="6" borderId="3" xfId="0" applyFont="1" applyFill="1" applyBorder="1" applyAlignment="1">
      <alignment horizontal="right"/>
    </xf>
    <xf numFmtId="0" fontId="2" fillId="6" borderId="8" xfId="0" applyFont="1" applyFill="1" applyBorder="1" applyAlignment="1">
      <alignment horizontal="right"/>
    </xf>
    <xf numFmtId="0" fontId="11" fillId="6" borderId="4" xfId="1" applyFont="1" applyFill="1" applyBorder="1"/>
    <xf numFmtId="0" fontId="2" fillId="0" borderId="3" xfId="0" applyFont="1" applyFill="1" applyBorder="1"/>
    <xf numFmtId="0" fontId="0" fillId="0" borderId="6" xfId="0" applyFont="1" applyFill="1" applyBorder="1" applyAlignment="1">
      <alignment horizontal="center" vertical="center"/>
    </xf>
    <xf numFmtId="0" fontId="5" fillId="0" borderId="3" xfId="1" applyFill="1" applyBorder="1"/>
    <xf numFmtId="0" fontId="2" fillId="0" borderId="3" xfId="0" applyFont="1" applyFill="1" applyBorder="1" applyAlignment="1">
      <alignment horizontal="left"/>
    </xf>
    <xf numFmtId="0" fontId="2" fillId="0" borderId="6" xfId="0" applyFont="1" applyFill="1" applyBorder="1" applyAlignment="1">
      <alignment horizontal="right"/>
    </xf>
    <xf numFmtId="0" fontId="5" fillId="0" borderId="3" xfId="1" applyFill="1" applyBorder="1" applyAlignment="1">
      <alignment horizontal="left"/>
    </xf>
    <xf numFmtId="0" fontId="11" fillId="0" borderId="6" xfId="0" applyFont="1" applyFill="1" applyBorder="1" applyAlignment="1">
      <alignment horizontal="center"/>
    </xf>
    <xf numFmtId="0" fontId="2" fillId="0" borderId="3" xfId="0" applyFont="1" applyFill="1" applyBorder="1" applyAlignment="1">
      <alignment horizontal="right"/>
    </xf>
    <xf numFmtId="0" fontId="0" fillId="0" borderId="4" xfId="0" applyFill="1" applyBorder="1" applyAlignment="1">
      <alignment horizontal="center" vertical="center"/>
    </xf>
    <xf numFmtId="0" fontId="2" fillId="0" borderId="4" xfId="0" applyFont="1" applyFill="1" applyBorder="1" applyAlignment="1">
      <alignment horizontal="left" vertical="center"/>
    </xf>
    <xf numFmtId="0" fontId="5" fillId="0" borderId="6" xfId="1" applyFill="1" applyBorder="1" applyAlignment="1">
      <alignment horizontal="left" vertical="top"/>
    </xf>
    <xf numFmtId="0" fontId="2" fillId="0" borderId="5" xfId="0" applyFont="1" applyFill="1" applyBorder="1" applyAlignment="1">
      <alignment horizontal="left" vertical="center"/>
    </xf>
    <xf numFmtId="0" fontId="5" fillId="0" borderId="5" xfId="1" applyFill="1" applyBorder="1"/>
    <xf numFmtId="0" fontId="2" fillId="0" borderId="11" xfId="0" applyFont="1" applyFill="1" applyBorder="1" applyAlignment="1">
      <alignment horizontal="right" vertical="center"/>
    </xf>
    <xf numFmtId="0" fontId="30" fillId="0" borderId="3" xfId="0" applyFont="1" applyFill="1" applyBorder="1" applyAlignment="1">
      <alignment horizontal="left"/>
    </xf>
    <xf numFmtId="0" fontId="11" fillId="0" borderId="3" xfId="1" applyFont="1" applyFill="1" applyBorder="1"/>
    <xf numFmtId="0" fontId="2" fillId="7" borderId="5" xfId="0" applyFont="1" applyFill="1" applyBorder="1"/>
    <xf numFmtId="0" fontId="0" fillId="7" borderId="5" xfId="0" applyFill="1" applyBorder="1"/>
    <xf numFmtId="0" fontId="0" fillId="7" borderId="5" xfId="0" applyFont="1" applyFill="1" applyBorder="1" applyAlignment="1">
      <alignment horizontal="center"/>
    </xf>
    <xf numFmtId="0" fontId="0" fillId="7" borderId="41" xfId="0" applyFont="1" applyFill="1" applyBorder="1" applyAlignment="1">
      <alignment horizontal="center"/>
    </xf>
    <xf numFmtId="0" fontId="0" fillId="7" borderId="0" xfId="0" applyFont="1" applyFill="1" applyBorder="1" applyAlignment="1">
      <alignment horizontal="center"/>
    </xf>
    <xf numFmtId="0" fontId="38" fillId="7" borderId="0" xfId="0" applyFont="1" applyFill="1" applyBorder="1" applyAlignment="1">
      <alignment horizontal="center"/>
    </xf>
    <xf numFmtId="0" fontId="2" fillId="7" borderId="0" xfId="0" applyFont="1" applyFill="1" applyBorder="1" applyAlignment="1">
      <alignment horizontal="right"/>
    </xf>
    <xf numFmtId="0" fontId="0" fillId="7" borderId="7" xfId="0" applyFont="1" applyFill="1" applyBorder="1" applyAlignment="1">
      <alignment horizontal="center"/>
    </xf>
    <xf numFmtId="0" fontId="5" fillId="0" borderId="10" xfId="1" applyFill="1" applyBorder="1"/>
    <xf numFmtId="0" fontId="39" fillId="6" borderId="5" xfId="0" applyFont="1" applyFill="1" applyBorder="1" applyAlignment="1">
      <alignment horizontal="left" vertical="center" wrapText="1"/>
    </xf>
    <xf numFmtId="0" fontId="2" fillId="0" borderId="6" xfId="0" applyFont="1" applyFill="1" applyBorder="1"/>
    <xf numFmtId="0" fontId="0" fillId="0" borderId="3" xfId="0" applyFill="1" applyBorder="1"/>
    <xf numFmtId="0" fontId="0" fillId="0" borderId="6" xfId="0" applyFill="1" applyBorder="1"/>
    <xf numFmtId="0" fontId="34" fillId="0" borderId="6" xfId="0" applyFont="1" applyFill="1" applyBorder="1" applyAlignment="1">
      <alignment horizontal="right"/>
    </xf>
    <xf numFmtId="0" fontId="22" fillId="6" borderId="4" xfId="0" applyFont="1" applyFill="1" applyBorder="1" applyAlignment="1">
      <alignment horizontal="left" vertical="center"/>
    </xf>
    <xf numFmtId="0" fontId="30" fillId="0" borderId="3" xfId="0" applyFont="1" applyFill="1" applyBorder="1"/>
    <xf numFmtId="0" fontId="0" fillId="0" borderId="11" xfId="0" applyFont="1" applyFill="1" applyBorder="1" applyAlignment="1">
      <alignment horizontal="center"/>
    </xf>
    <xf numFmtId="0" fontId="2" fillId="0" borderId="10" xfId="0" applyFont="1" applyFill="1" applyBorder="1" applyAlignment="1">
      <alignment horizontal="left"/>
    </xf>
    <xf numFmtId="0" fontId="2" fillId="0" borderId="11" xfId="0" applyFont="1" applyFill="1" applyBorder="1" applyAlignment="1">
      <alignment horizontal="right"/>
    </xf>
    <xf numFmtId="0" fontId="2" fillId="4" borderId="7" xfId="0" applyFont="1" applyFill="1" applyBorder="1" applyAlignment="1">
      <alignment horizontal="right"/>
    </xf>
    <xf numFmtId="0" fontId="2" fillId="4" borderId="67" xfId="0" applyFont="1" applyFill="1" applyBorder="1" applyAlignment="1">
      <alignment horizontal="right"/>
    </xf>
    <xf numFmtId="0" fontId="2" fillId="4" borderId="11" xfId="0" applyFont="1" applyFill="1" applyBorder="1" applyAlignment="1">
      <alignment horizontal="right"/>
    </xf>
    <xf numFmtId="0" fontId="2" fillId="4" borderId="86" xfId="0" applyFont="1" applyFill="1" applyBorder="1" applyAlignment="1">
      <alignment horizontal="right"/>
    </xf>
    <xf numFmtId="0" fontId="2" fillId="4" borderId="87" xfId="0" applyFont="1" applyFill="1" applyBorder="1" applyAlignment="1">
      <alignment horizontal="right"/>
    </xf>
    <xf numFmtId="0" fontId="5" fillId="0" borderId="1" xfId="1" applyFill="1" applyBorder="1" applyAlignment="1">
      <alignment horizontal="left" vertical="center"/>
    </xf>
    <xf numFmtId="0" fontId="0" fillId="0" borderId="13" xfId="0" applyFill="1" applyBorder="1" applyAlignment="1">
      <alignment horizontal="center" vertical="center"/>
    </xf>
    <xf numFmtId="0" fontId="2" fillId="0" borderId="1" xfId="0" applyFont="1" applyFill="1" applyBorder="1"/>
    <xf numFmtId="0" fontId="2" fillId="0" borderId="13" xfId="0" applyFont="1" applyFill="1" applyBorder="1" applyAlignment="1">
      <alignment horizontal="right" vertical="center"/>
    </xf>
    <xf numFmtId="0" fontId="0" fillId="4" borderId="38" xfId="0" applyFill="1" applyBorder="1" applyAlignment="1">
      <alignment horizontal="center" vertical="center"/>
    </xf>
    <xf numFmtId="0" fontId="11" fillId="6" borderId="41" xfId="0" applyFont="1" applyFill="1" applyBorder="1" applyAlignment="1">
      <alignment horizontal="center"/>
    </xf>
    <xf numFmtId="0" fontId="38" fillId="6" borderId="41" xfId="0" applyFont="1" applyFill="1" applyBorder="1" applyAlignment="1">
      <alignment horizontal="center"/>
    </xf>
    <xf numFmtId="0" fontId="11" fillId="6" borderId="41" xfId="1" applyFont="1" applyFill="1" applyBorder="1" applyAlignment="1">
      <alignment horizontal="center" vertical="center" wrapText="1"/>
    </xf>
    <xf numFmtId="0" fontId="0" fillId="6" borderId="40" xfId="0" applyFill="1" applyBorder="1" applyAlignment="1">
      <alignment horizontal="center" vertical="center"/>
    </xf>
    <xf numFmtId="0" fontId="11" fillId="6" borderId="6" xfId="1" applyFont="1" applyFill="1" applyBorder="1" applyAlignment="1">
      <alignment horizontal="center" vertical="center" wrapText="1"/>
    </xf>
    <xf numFmtId="0" fontId="38" fillId="6" borderId="43" xfId="1" applyFont="1" applyFill="1" applyBorder="1" applyAlignment="1">
      <alignment horizontal="center" vertical="center" wrapText="1"/>
    </xf>
    <xf numFmtId="0" fontId="38" fillId="6" borderId="41" xfId="1" applyFont="1" applyFill="1" applyBorder="1" applyAlignment="1">
      <alignment horizontal="center" vertical="center" wrapText="1"/>
    </xf>
    <xf numFmtId="0" fontId="2" fillId="7" borderId="16" xfId="0" applyFont="1" applyFill="1" applyBorder="1" applyAlignment="1">
      <alignment horizontal="right" vertical="center"/>
    </xf>
    <xf numFmtId="0" fontId="2" fillId="0" borderId="33" xfId="0" applyFont="1" applyFill="1" applyBorder="1"/>
    <xf numFmtId="0" fontId="0" fillId="0" borderId="33" xfId="0" applyFill="1" applyBorder="1"/>
    <xf numFmtId="0" fontId="2" fillId="0" borderId="16" xfId="0" applyFont="1" applyFill="1" applyBorder="1"/>
    <xf numFmtId="0" fontId="0" fillId="0" borderId="16" xfId="0" applyFill="1" applyBorder="1" applyAlignment="1">
      <alignment horizontal="center" vertical="center" wrapText="1"/>
    </xf>
    <xf numFmtId="0" fontId="0" fillId="13" borderId="58" xfId="0" applyFill="1" applyBorder="1" applyAlignment="1">
      <alignment horizontal="center" vertical="center" wrapText="1"/>
    </xf>
    <xf numFmtId="0" fontId="5" fillId="15" borderId="4" xfId="1" applyFill="1" applyBorder="1" applyAlignment="1">
      <alignment horizontal="center" vertical="center"/>
    </xf>
    <xf numFmtId="0" fontId="5" fillId="3" borderId="4" xfId="1" quotePrefix="1" applyNumberFormat="1" applyFill="1" applyBorder="1" applyAlignment="1">
      <alignment horizontal="center" vertical="center"/>
    </xf>
    <xf numFmtId="49" fontId="1" fillId="0" borderId="4" xfId="0" applyNumberFormat="1" applyFont="1" applyBorder="1" applyAlignment="1">
      <alignment horizontal="center" vertical="center"/>
    </xf>
    <xf numFmtId="0" fontId="1" fillId="0" borderId="4" xfId="0" applyFont="1" applyBorder="1" applyAlignment="1">
      <alignment horizontal="center" vertical="center"/>
    </xf>
    <xf numFmtId="0" fontId="0" fillId="0" borderId="4" xfId="0" applyBorder="1" applyAlignment="1">
      <alignment horizontal="center" vertical="center"/>
    </xf>
    <xf numFmtId="0" fontId="0" fillId="6" borderId="3" xfId="0" applyFill="1" applyBorder="1" applyAlignment="1">
      <alignment horizontal="center" vertical="center"/>
    </xf>
    <xf numFmtId="0" fontId="0" fillId="6" borderId="5" xfId="0" applyFill="1" applyBorder="1" applyAlignment="1">
      <alignment horizontal="center" vertical="center"/>
    </xf>
    <xf numFmtId="0" fontId="0" fillId="6" borderId="6" xfId="0" applyFill="1" applyBorder="1" applyAlignment="1">
      <alignment horizontal="center" vertical="center"/>
    </xf>
    <xf numFmtId="0" fontId="0" fillId="16" borderId="26" xfId="0" applyFill="1" applyBorder="1" applyAlignment="1">
      <alignment horizontal="center" vertical="center"/>
    </xf>
    <xf numFmtId="0" fontId="0" fillId="7" borderId="3" xfId="0" applyFill="1" applyBorder="1" applyAlignment="1">
      <alignment horizontal="center" vertical="center"/>
    </xf>
    <xf numFmtId="0" fontId="0" fillId="7" borderId="5" xfId="0" applyFill="1" applyBorder="1" applyAlignment="1">
      <alignment horizontal="center" vertical="center"/>
    </xf>
    <xf numFmtId="0" fontId="0" fillId="7" borderId="6" xfId="0" applyFill="1" applyBorder="1" applyAlignment="1">
      <alignment horizontal="center" vertical="center"/>
    </xf>
    <xf numFmtId="0" fontId="0" fillId="3" borderId="26" xfId="0" applyFill="1" applyBorder="1" applyAlignment="1">
      <alignment horizontal="center" vertical="center"/>
    </xf>
    <xf numFmtId="0" fontId="0" fillId="16" borderId="6" xfId="0" applyFill="1" applyBorder="1" applyAlignment="1">
      <alignment horizontal="center" vertical="center"/>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6" borderId="3" xfId="0" applyFill="1" applyBorder="1" applyAlignment="1">
      <alignment horizontal="center" vertical="center" wrapText="1"/>
    </xf>
    <xf numFmtId="0" fontId="0" fillId="6" borderId="6" xfId="0" applyFill="1" applyBorder="1" applyAlignment="1">
      <alignment horizontal="center" vertical="center" wrapText="1"/>
    </xf>
    <xf numFmtId="0" fontId="0" fillId="4" borderId="3" xfId="0" applyFill="1" applyBorder="1" applyAlignment="1">
      <alignment horizontal="center"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xf numFmtId="0" fontId="0" fillId="6" borderId="5" xfId="0" applyFill="1" applyBorder="1" applyAlignment="1">
      <alignment horizontal="center" vertical="center" wrapText="1"/>
    </xf>
    <xf numFmtId="0" fontId="0" fillId="16" borderId="5" xfId="0" applyFill="1" applyBorder="1" applyAlignment="1">
      <alignment horizontal="center" vertical="center"/>
    </xf>
    <xf numFmtId="0" fontId="0" fillId="7" borderId="5" xfId="0" applyFill="1" applyBorder="1" applyAlignment="1">
      <alignment horizontal="center" vertical="center" wrapText="1"/>
    </xf>
    <xf numFmtId="0" fontId="0" fillId="7" borderId="6" xfId="0" applyFill="1" applyBorder="1" applyAlignment="1">
      <alignment horizontal="center" vertical="center" wrapText="1"/>
    </xf>
    <xf numFmtId="0" fontId="0" fillId="6" borderId="5" xfId="0" applyFont="1" applyFill="1" applyBorder="1" applyAlignment="1">
      <alignment horizontal="center" vertical="center"/>
    </xf>
    <xf numFmtId="0" fontId="0" fillId="6" borderId="6" xfId="0" applyFont="1" applyFill="1" applyBorder="1" applyAlignment="1">
      <alignment horizontal="center" vertical="center"/>
    </xf>
    <xf numFmtId="0" fontId="0" fillId="0" borderId="10" xfId="0" applyBorder="1" applyAlignment="1">
      <alignment horizontal="center" vertical="center" wrapText="1"/>
    </xf>
    <xf numFmtId="0" fontId="0" fillId="6" borderId="7" xfId="0" applyFill="1" applyBorder="1" applyAlignment="1">
      <alignment horizontal="center" vertical="center"/>
    </xf>
    <xf numFmtId="0" fontId="0" fillId="7" borderId="7" xfId="0" applyFill="1" applyBorder="1" applyAlignment="1">
      <alignment horizontal="center" vertical="center"/>
    </xf>
    <xf numFmtId="0" fontId="0" fillId="0" borderId="6" xfId="0" applyBorder="1" applyAlignment="1">
      <alignment horizontal="center" vertical="center"/>
    </xf>
    <xf numFmtId="0" fontId="0" fillId="0" borderId="6" xfId="0" applyBorder="1" applyAlignment="1">
      <alignment horizontal="center" vertical="center" wrapText="1"/>
    </xf>
    <xf numFmtId="0" fontId="0" fillId="0" borderId="3" xfId="0" applyFill="1" applyBorder="1" applyAlignment="1">
      <alignment horizontal="center" vertical="center" wrapText="1"/>
    </xf>
    <xf numFmtId="0" fontId="0" fillId="0" borderId="6" xfId="0" applyFill="1" applyBorder="1" applyAlignment="1">
      <alignment horizontal="center" vertical="center" wrapText="1"/>
    </xf>
    <xf numFmtId="0" fontId="0" fillId="3" borderId="7" xfId="0" applyFill="1" applyBorder="1" applyAlignment="1">
      <alignment horizontal="center" vertical="center"/>
    </xf>
    <xf numFmtId="0" fontId="2" fillId="6" borderId="3" xfId="0" applyFont="1" applyFill="1" applyBorder="1" applyAlignment="1">
      <alignment horizontal="left" vertical="center"/>
    </xf>
    <xf numFmtId="0" fontId="2" fillId="6" borderId="5" xfId="0" applyFont="1" applyFill="1" applyBorder="1" applyAlignment="1">
      <alignment horizontal="left" vertical="center"/>
    </xf>
    <xf numFmtId="0" fontId="2" fillId="6" borderId="6" xfId="0" applyFont="1" applyFill="1" applyBorder="1" applyAlignment="1">
      <alignment horizontal="left" vertical="center"/>
    </xf>
    <xf numFmtId="0" fontId="5" fillId="0" borderId="4" xfId="1" applyBorder="1" applyAlignment="1">
      <alignment horizontal="center" vertical="center"/>
    </xf>
    <xf numFmtId="0" fontId="0" fillId="0" borderId="4" xfId="0" applyBorder="1" applyAlignment="1">
      <alignment horizontal="center" vertical="center"/>
    </xf>
    <xf numFmtId="0" fontId="1" fillId="0" borderId="4" xfId="0" applyFont="1" applyBorder="1" applyAlignment="1">
      <alignment horizontal="center" vertical="center"/>
    </xf>
    <xf numFmtId="49" fontId="1" fillId="0" borderId="4" xfId="0" applyNumberFormat="1" applyFont="1" applyBorder="1" applyAlignment="1">
      <alignment horizontal="center" vertical="center"/>
    </xf>
    <xf numFmtId="0" fontId="5" fillId="0" borderId="29" xfId="1" applyBorder="1" applyAlignment="1">
      <alignment horizontal="left" vertical="center"/>
    </xf>
    <xf numFmtId="0" fontId="1" fillId="0" borderId="56" xfId="0" applyFont="1" applyBorder="1" applyAlignment="1">
      <alignment horizontal="left" vertical="center"/>
    </xf>
    <xf numFmtId="0" fontId="1" fillId="0" borderId="30" xfId="0" applyFont="1" applyBorder="1" applyAlignment="1">
      <alignment horizontal="left" vertical="center"/>
    </xf>
    <xf numFmtId="0" fontId="1" fillId="0" borderId="29" xfId="0" applyFont="1" applyBorder="1" applyAlignment="1">
      <alignment horizontal="left" vertical="center"/>
    </xf>
    <xf numFmtId="0" fontId="24" fillId="8" borderId="19" xfId="0" applyFont="1" applyFill="1" applyBorder="1" applyAlignment="1">
      <alignment horizontal="center"/>
    </xf>
    <xf numFmtId="0" fontId="24" fillId="8" borderId="0" xfId="0" applyFont="1" applyFill="1" applyAlignment="1">
      <alignment horizontal="center"/>
    </xf>
    <xf numFmtId="0" fontId="0" fillId="3" borderId="26" xfId="0" applyFill="1" applyBorder="1" applyAlignment="1">
      <alignment horizontal="center" vertical="center"/>
    </xf>
    <xf numFmtId="0" fontId="0" fillId="3" borderId="28" xfId="0" applyFill="1" applyBorder="1" applyAlignment="1">
      <alignment horizontal="center" vertical="center"/>
    </xf>
    <xf numFmtId="0" fontId="0" fillId="0" borderId="3" xfId="0" applyFill="1" applyBorder="1" applyAlignment="1">
      <alignment horizontal="center" vertical="center"/>
    </xf>
    <xf numFmtId="0" fontId="0" fillId="0" borderId="5" xfId="0" applyFill="1" applyBorder="1" applyAlignment="1">
      <alignment horizontal="center" vertical="center"/>
    </xf>
    <xf numFmtId="0" fontId="0" fillId="7" borderId="3" xfId="0" applyFill="1" applyBorder="1" applyAlignment="1">
      <alignment horizontal="center" vertical="center"/>
    </xf>
    <xf numFmtId="0" fontId="0" fillId="7" borderId="5" xfId="0" applyFill="1" applyBorder="1" applyAlignment="1">
      <alignment horizontal="center" vertical="center"/>
    </xf>
    <xf numFmtId="0" fontId="0" fillId="6" borderId="3" xfId="0" applyFill="1" applyBorder="1" applyAlignment="1">
      <alignment horizontal="center" vertical="center"/>
    </xf>
    <xf numFmtId="0" fontId="0" fillId="6" borderId="5" xfId="0" applyFill="1" applyBorder="1" applyAlignment="1">
      <alignment horizontal="center" vertical="center"/>
    </xf>
    <xf numFmtId="0" fontId="0" fillId="6" borderId="6" xfId="0" applyFill="1" applyBorder="1" applyAlignment="1">
      <alignment horizontal="center" vertical="center"/>
    </xf>
    <xf numFmtId="0" fontId="0" fillId="16" borderId="28" xfId="0" applyFill="1" applyBorder="1" applyAlignment="1">
      <alignment horizontal="center" vertical="center"/>
    </xf>
    <xf numFmtId="0" fontId="0" fillId="16" borderId="3" xfId="0" applyFill="1" applyBorder="1" applyAlignment="1">
      <alignment horizontal="center" vertical="center"/>
    </xf>
    <xf numFmtId="0" fontId="0" fillId="16" borderId="6" xfId="0" applyFill="1" applyBorder="1" applyAlignment="1">
      <alignment horizontal="center" vertical="center"/>
    </xf>
    <xf numFmtId="0" fontId="0" fillId="0" borderId="6" xfId="0" applyFill="1" applyBorder="1" applyAlignment="1">
      <alignment horizontal="center" vertical="center"/>
    </xf>
    <xf numFmtId="0" fontId="0" fillId="3" borderId="27" xfId="0" applyFill="1" applyBorder="1" applyAlignment="1">
      <alignment horizontal="center" vertical="center"/>
    </xf>
    <xf numFmtId="0" fontId="0" fillId="3" borderId="3"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16" borderId="26" xfId="0" applyFill="1" applyBorder="1" applyAlignment="1">
      <alignment horizontal="center" vertical="center"/>
    </xf>
    <xf numFmtId="0" fontId="2" fillId="6" borderId="2" xfId="0" applyFont="1" applyFill="1" applyBorder="1" applyAlignment="1">
      <alignment horizontal="left" vertical="top"/>
    </xf>
    <xf numFmtId="0" fontId="2" fillId="6" borderId="8" xfId="0" applyFont="1" applyFill="1" applyBorder="1" applyAlignment="1">
      <alignment horizontal="left" vertical="top"/>
    </xf>
    <xf numFmtId="0" fontId="0" fillId="7" borderId="6" xfId="0" applyFill="1" applyBorder="1" applyAlignment="1">
      <alignment horizontal="center" vertical="center"/>
    </xf>
    <xf numFmtId="0" fontId="0" fillId="16" borderId="27" xfId="0" applyFill="1" applyBorder="1" applyAlignment="1">
      <alignment horizontal="center" vertical="center"/>
    </xf>
    <xf numFmtId="0" fontId="2" fillId="6" borderId="1" xfId="0" applyFont="1" applyFill="1" applyBorder="1" applyAlignment="1">
      <alignment horizontal="left" vertical="top"/>
    </xf>
    <xf numFmtId="0" fontId="2" fillId="6" borderId="0" xfId="0" applyFont="1" applyFill="1" applyBorder="1" applyAlignment="1">
      <alignment horizontal="left" vertical="top"/>
    </xf>
    <xf numFmtId="0" fontId="2" fillId="6" borderId="13" xfId="0" applyFont="1" applyFill="1" applyBorder="1" applyAlignment="1">
      <alignment horizontal="left" vertical="top"/>
    </xf>
    <xf numFmtId="0" fontId="2" fillId="7" borderId="2" xfId="0" applyFont="1" applyFill="1" applyBorder="1" applyAlignment="1">
      <alignment horizontal="left" vertical="top"/>
    </xf>
    <xf numFmtId="0" fontId="2" fillId="7" borderId="8" xfId="0" applyFont="1" applyFill="1" applyBorder="1" applyAlignment="1">
      <alignment horizontal="left" vertical="top"/>
    </xf>
    <xf numFmtId="0" fontId="2" fillId="7" borderId="12" xfId="0" applyFont="1" applyFill="1" applyBorder="1" applyAlignment="1">
      <alignment horizontal="left" vertical="top"/>
    </xf>
    <xf numFmtId="0" fontId="0" fillId="16" borderId="5" xfId="0" applyFill="1" applyBorder="1" applyAlignment="1">
      <alignment horizontal="center" vertical="center"/>
    </xf>
    <xf numFmtId="0" fontId="0" fillId="6" borderId="10" xfId="0" applyFill="1" applyBorder="1" applyAlignment="1">
      <alignment horizontal="center" vertical="center"/>
    </xf>
    <xf numFmtId="0" fontId="0" fillId="6" borderId="7" xfId="0" applyFill="1" applyBorder="1" applyAlignment="1">
      <alignment horizontal="center" vertical="center"/>
    </xf>
    <xf numFmtId="0" fontId="0" fillId="6" borderId="0" xfId="0" applyFill="1" applyBorder="1" applyAlignment="1">
      <alignment horizontal="center" vertical="center"/>
    </xf>
    <xf numFmtId="0" fontId="0" fillId="7" borderId="10" xfId="0" applyFill="1" applyBorder="1" applyAlignment="1">
      <alignment horizontal="center" vertical="center"/>
    </xf>
    <xf numFmtId="0" fontId="0" fillId="7" borderId="7" xfId="0" applyFill="1" applyBorder="1" applyAlignment="1">
      <alignment horizontal="center" vertical="center"/>
    </xf>
    <xf numFmtId="0" fontId="0" fillId="7" borderId="11" xfId="0" applyFill="1" applyBorder="1" applyAlignment="1">
      <alignment horizontal="center" vertical="center"/>
    </xf>
    <xf numFmtId="0" fontId="0" fillId="16" borderId="82" xfId="0" applyFill="1" applyBorder="1" applyAlignment="1">
      <alignment horizontal="center" vertical="center"/>
    </xf>
    <xf numFmtId="0" fontId="0" fillId="6" borderId="1" xfId="0" applyFill="1" applyBorder="1" applyAlignment="1">
      <alignment horizontal="center" vertical="center"/>
    </xf>
    <xf numFmtId="0" fontId="0" fillId="0" borderId="10" xfId="0" applyBorder="1" applyAlignment="1">
      <alignment horizontal="center" vertical="center" wrapText="1"/>
    </xf>
    <xf numFmtId="0" fontId="0" fillId="0" borderId="7" xfId="0" applyBorder="1" applyAlignment="1">
      <alignment horizontal="center" vertical="center" wrapText="1"/>
    </xf>
    <xf numFmtId="0" fontId="0" fillId="6" borderId="3" xfId="0" applyFill="1" applyBorder="1" applyAlignment="1">
      <alignment horizontal="center" vertical="center" wrapText="1"/>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0" fillId="0" borderId="2" xfId="0" applyBorder="1" applyAlignment="1">
      <alignment horizontal="center" vertical="center"/>
    </xf>
    <xf numFmtId="0" fontId="0" fillId="0" borderId="8" xfId="0" applyBorder="1" applyAlignment="1">
      <alignment horizontal="center" vertical="center"/>
    </xf>
    <xf numFmtId="0" fontId="0" fillId="6" borderId="10" xfId="0" applyFill="1" applyBorder="1" applyAlignment="1">
      <alignment horizontal="center" vertical="center" wrapText="1"/>
    </xf>
    <xf numFmtId="0" fontId="0" fillId="6" borderId="7" xfId="0" applyFill="1" applyBorder="1" applyAlignment="1">
      <alignment horizontal="center" vertical="center" wrapText="1"/>
    </xf>
    <xf numFmtId="0" fontId="0" fillId="7" borderId="3" xfId="0" applyFill="1" applyBorder="1" applyAlignment="1">
      <alignment horizontal="center" vertical="center" wrapText="1"/>
    </xf>
    <xf numFmtId="0" fontId="0" fillId="7" borderId="5" xfId="0" applyFill="1" applyBorder="1" applyAlignment="1">
      <alignment horizontal="center" vertical="center" wrapText="1"/>
    </xf>
    <xf numFmtId="0" fontId="0" fillId="7" borderId="6" xfId="0" applyFill="1" applyBorder="1" applyAlignment="1">
      <alignment horizontal="center" vertical="center" wrapText="1"/>
    </xf>
    <xf numFmtId="0" fontId="0" fillId="4" borderId="38" xfId="0" applyFill="1" applyBorder="1" applyAlignment="1">
      <alignment horizontal="center"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xf numFmtId="0" fontId="0" fillId="4" borderId="3" xfId="0" applyFill="1" applyBorder="1" applyAlignment="1">
      <alignment horizontal="center" vertical="center" wrapText="1"/>
    </xf>
    <xf numFmtId="0" fontId="0" fillId="6" borderId="3" xfId="0" applyFont="1" applyFill="1" applyBorder="1" applyAlignment="1">
      <alignment horizontal="center" vertical="center"/>
    </xf>
    <xf numFmtId="0" fontId="0" fillId="6" borderId="5" xfId="0" applyFont="1" applyFill="1" applyBorder="1" applyAlignment="1">
      <alignment horizontal="center" vertical="center"/>
    </xf>
    <xf numFmtId="0" fontId="0" fillId="6" borderId="6" xfId="0" applyFont="1" applyFill="1" applyBorder="1" applyAlignment="1">
      <alignment horizontal="center" vertical="center"/>
    </xf>
    <xf numFmtId="0" fontId="0" fillId="6" borderId="3" xfId="0" applyFont="1" applyFill="1" applyBorder="1" applyAlignment="1">
      <alignment horizontal="center" vertical="center" wrapText="1"/>
    </xf>
    <xf numFmtId="0" fontId="0" fillId="6" borderId="5" xfId="0" applyFont="1" applyFill="1" applyBorder="1" applyAlignment="1">
      <alignment horizontal="center" vertical="center" wrapText="1"/>
    </xf>
    <xf numFmtId="0" fontId="0" fillId="6" borderId="6" xfId="0" applyFont="1" applyFill="1" applyBorder="1" applyAlignment="1">
      <alignment horizontal="center" vertical="center" wrapText="1"/>
    </xf>
    <xf numFmtId="0" fontId="0" fillId="7" borderId="16" xfId="0" applyFill="1" applyBorder="1" applyAlignment="1">
      <alignment horizontal="center" vertical="center" wrapText="1"/>
    </xf>
    <xf numFmtId="0" fontId="0" fillId="3" borderId="81" xfId="0" applyFill="1" applyBorder="1" applyAlignment="1">
      <alignment horizontal="center" vertical="center"/>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3"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3" borderId="3" xfId="0" applyFont="1" applyFill="1" applyBorder="1" applyAlignment="1">
      <alignment horizontal="center" vertical="center"/>
    </xf>
    <xf numFmtId="0" fontId="0" fillId="3" borderId="5" xfId="0" applyFont="1" applyFill="1" applyBorder="1" applyAlignment="1">
      <alignment horizontal="center" vertical="center"/>
    </xf>
    <xf numFmtId="0" fontId="0" fillId="3" borderId="6" xfId="0" applyFont="1" applyFill="1" applyBorder="1" applyAlignment="1">
      <alignment horizontal="center" vertical="center"/>
    </xf>
    <xf numFmtId="0" fontId="0" fillId="0" borderId="3" xfId="0" applyFill="1" applyBorder="1" applyAlignment="1">
      <alignment horizontal="center" vertical="center" wrapText="1"/>
    </xf>
    <xf numFmtId="0" fontId="0" fillId="0" borderId="5" xfId="0" applyFill="1" applyBorder="1" applyAlignment="1">
      <alignment horizontal="center" vertical="center" wrapText="1"/>
    </xf>
    <xf numFmtId="0" fontId="0" fillId="0" borderId="6" xfId="0" applyFill="1" applyBorder="1" applyAlignment="1">
      <alignment horizontal="center" vertical="center" wrapText="1"/>
    </xf>
    <xf numFmtId="0" fontId="0" fillId="3" borderId="88" xfId="0" applyFill="1" applyBorder="1" applyAlignment="1">
      <alignment horizontal="center" vertical="center"/>
    </xf>
    <xf numFmtId="0" fontId="0" fillId="0" borderId="2" xfId="0" applyFill="1" applyBorder="1" applyAlignment="1">
      <alignment horizontal="center" vertical="center"/>
    </xf>
    <xf numFmtId="0" fontId="0" fillId="0" borderId="8" xfId="0" applyFill="1" applyBorder="1" applyAlignment="1">
      <alignment horizontal="center" vertical="center"/>
    </xf>
    <xf numFmtId="0" fontId="0" fillId="0" borderId="12" xfId="0" applyFill="1" applyBorder="1" applyAlignment="1">
      <alignment horizontal="center" vertical="center"/>
    </xf>
    <xf numFmtId="0" fontId="0" fillId="3" borderId="10" xfId="0" applyFill="1" applyBorder="1" applyAlignment="1">
      <alignment horizontal="center" vertical="center"/>
    </xf>
    <xf numFmtId="0" fontId="0" fillId="3" borderId="7" xfId="0" applyFill="1" applyBorder="1" applyAlignment="1">
      <alignment horizontal="center" vertical="center"/>
    </xf>
    <xf numFmtId="0" fontId="0" fillId="3" borderId="11" xfId="0" applyFill="1" applyBorder="1" applyAlignment="1">
      <alignment horizontal="center" vertical="center"/>
    </xf>
    <xf numFmtId="0" fontId="0" fillId="0" borderId="10" xfId="0" applyFill="1" applyBorder="1" applyAlignment="1">
      <alignment horizontal="center" vertical="center"/>
    </xf>
    <xf numFmtId="0" fontId="0" fillId="0" borderId="7" xfId="0" applyFill="1" applyBorder="1" applyAlignment="1">
      <alignment horizontal="center" vertical="center"/>
    </xf>
    <xf numFmtId="0" fontId="0" fillId="0" borderId="11" xfId="0" applyFill="1" applyBorder="1" applyAlignment="1">
      <alignment horizontal="center" vertical="center"/>
    </xf>
    <xf numFmtId="0" fontId="0" fillId="6" borderId="11" xfId="0" applyFill="1" applyBorder="1" applyAlignment="1">
      <alignment horizontal="center" vertical="center"/>
    </xf>
    <xf numFmtId="0" fontId="0" fillId="0" borderId="0" xfId="0" applyFill="1" applyBorder="1" applyAlignment="1">
      <alignment horizontal="center" vertical="center"/>
    </xf>
    <xf numFmtId="0" fontId="0" fillId="16" borderId="10" xfId="0" applyFill="1" applyBorder="1" applyAlignment="1">
      <alignment horizontal="center" vertical="center"/>
    </xf>
    <xf numFmtId="0" fontId="0" fillId="16" borderId="7" xfId="0" applyFill="1" applyBorder="1" applyAlignment="1">
      <alignment horizontal="center" vertical="center"/>
    </xf>
    <xf numFmtId="0" fontId="0" fillId="16" borderId="11" xfId="0" applyFill="1" applyBorder="1" applyAlignment="1">
      <alignment horizontal="center" vertical="center"/>
    </xf>
    <xf numFmtId="0" fontId="0" fillId="16" borderId="3" xfId="0" applyFont="1" applyFill="1" applyBorder="1" applyAlignment="1">
      <alignment horizontal="center" vertical="center"/>
    </xf>
    <xf numFmtId="0" fontId="0" fillId="16" borderId="5" xfId="0" applyFont="1" applyFill="1" applyBorder="1" applyAlignment="1">
      <alignment horizontal="center" vertical="center"/>
    </xf>
    <xf numFmtId="0" fontId="0" fillId="16" borderId="6" xfId="0" applyFont="1" applyFill="1" applyBorder="1" applyAlignment="1">
      <alignment horizontal="center" vertical="center"/>
    </xf>
    <xf numFmtId="0" fontId="2" fillId="6" borderId="3" xfId="0" applyFont="1" applyFill="1" applyBorder="1" applyAlignment="1">
      <alignment horizontal="left" vertical="center"/>
    </xf>
    <xf numFmtId="0" fontId="2" fillId="6" borderId="5" xfId="0" applyFont="1" applyFill="1" applyBorder="1" applyAlignment="1">
      <alignment horizontal="left" vertical="center"/>
    </xf>
    <xf numFmtId="0" fontId="2" fillId="6" borderId="6" xfId="0" applyFont="1" applyFill="1" applyBorder="1" applyAlignment="1">
      <alignment horizontal="left" vertical="center"/>
    </xf>
  </cellXfs>
  <cellStyles count="2">
    <cellStyle name="Hyperlink" xfId="1" builtinId="8"/>
    <cellStyle name="Normal" xfId="0" builtinId="0"/>
  </cellStyles>
  <dxfs count="6">
    <dxf>
      <fill>
        <patternFill>
          <bgColor rgb="FFFFFF00"/>
        </patternFill>
      </fill>
    </dxf>
    <dxf>
      <fill>
        <patternFill>
          <bgColor theme="5" tint="0.79998168889431442"/>
        </patternFill>
      </fill>
    </dxf>
    <dxf>
      <fill>
        <patternFill>
          <bgColor theme="5" tint="0.79998168889431442"/>
        </patternFill>
      </fill>
    </dxf>
    <dxf>
      <fill>
        <patternFill>
          <bgColor theme="4" tint="0.79998168889431442"/>
        </patternFill>
      </fill>
    </dxf>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site24x7.com/app/client" TargetMode="External"/><Relationship Id="rId2" Type="http://schemas.openxmlformats.org/officeDocument/2006/relationships/hyperlink" Target="https://control.akamai.com/apps/fast-purge/" TargetMode="External"/><Relationship Id="rId1" Type="http://schemas.openxmlformats.org/officeDocument/2006/relationships/hyperlink" Target="file:///\\techservices\Cutover\ImportConfig.bat" TargetMode="External"/><Relationship Id="rId5" Type="http://schemas.openxmlformats.org/officeDocument/2006/relationships/printerSettings" Target="../printerSettings/printerSettings10.bin"/><Relationship Id="rId4" Type="http://schemas.openxmlformats.org/officeDocument/2006/relationships/hyperlink" Target="https://planview.lightning.force.com/lightning/r/Case/5001M00001Zu5wsQAB/view"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jenkins.us.planview.world/job/ctm_upgrade_pipe/build?delay=0sec" TargetMode="External"/><Relationship Id="rId13" Type="http://schemas.openxmlformats.org/officeDocument/2006/relationships/printerSettings" Target="../printerSettings/printerSettings11.bin"/><Relationship Id="rId3" Type="http://schemas.openxmlformats.org/officeDocument/2006/relationships/hyperlink" Target="https://pbirsfarm03au.pvcloud.com/reportserver" TargetMode="External"/><Relationship Id="rId7" Type="http://schemas.openxmlformats.org/officeDocument/2006/relationships/hyperlink" Target="https://jenkins.eu.planview.world/job/e1_upgrade_pipe/build?delay=0sec" TargetMode="External"/><Relationship Id="rId12" Type="http://schemas.openxmlformats.org/officeDocument/2006/relationships/hyperlink" Target="https://jenkins.planviewcloud.net/job/manage_reports_pipe/build?delay=0sec" TargetMode="External"/><Relationship Id="rId2" Type="http://schemas.openxmlformats.org/officeDocument/2006/relationships/hyperlink" Target="https://eureportfarm03.pvcloud.com/ReportServer" TargetMode="External"/><Relationship Id="rId1" Type="http://schemas.openxmlformats.org/officeDocument/2006/relationships/hyperlink" Target="https://usreportfarm03.pvcloud.com/ReportServer" TargetMode="External"/><Relationship Id="rId6" Type="http://schemas.openxmlformats.org/officeDocument/2006/relationships/hyperlink" Target="https://jenkins.us.planview.world/job/e1_upgrade_pipe/build?delay=0sec" TargetMode="External"/><Relationship Id="rId11" Type="http://schemas.openxmlformats.org/officeDocument/2006/relationships/hyperlink" Target="https://jenkins.eu.planview.world/job/manage_reports_pipe/build?delay=0sec" TargetMode="External"/><Relationship Id="rId5" Type="http://schemas.openxmlformats.org/officeDocument/2006/relationships/hyperlink" Target="file:///\\filegateway02\e1-prod-%3cDC%3e-content-shared\%3cCustDNS%3e.pvcloud.com" TargetMode="External"/><Relationship Id="rId10" Type="http://schemas.openxmlformats.org/officeDocument/2006/relationships/hyperlink" Target="https://jenkins.us.planview.world/job/manage_reports_pipe/build?delay=0sec" TargetMode="External"/><Relationship Id="rId4" Type="http://schemas.openxmlformats.org/officeDocument/2006/relationships/hyperlink" Target="https://pbirsfarm01fr.pvcloud.com/reportserver" TargetMode="External"/><Relationship Id="rId9" Type="http://schemas.openxmlformats.org/officeDocument/2006/relationships/hyperlink" Target="https://jenkins.eu.planview.world/job/ctm_upgrade_pipe/build?delay=0sec"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file:///\\sgcvmdfs01\SaaS%20Customer%20Key%20Files"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planview.leankit.com/board/751178783Drag%20or%20right%20click%20LK%20card%20Move%20to%20Lane%20-%3e%20PRM%20+%20CTM%20under%20Pre-Prod%20and%20Sandbox%20in%20the%20Build%20Team%20In%20Progress%20column.%20%20Assign%20card%20to%20yourself." TargetMode="External"/><Relationship Id="rId1" Type="http://schemas.openxmlformats.org/officeDocument/2006/relationships/hyperlink" Target="https://planview.leankit.com/board/751178783Drag%20or%20right%20click%20LK%20card%20Move%20to%20Lane%20-%3e%20Testing%20-%3e%20Sandbox%20-%3e%2017%20Testing%20and%20assign%20to%20UMT."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file:///\\sgcvmdfs01\SaaS%20Customer%20Key%20Files" TargetMode="External"/><Relationship Id="rId2" Type="http://schemas.openxmlformats.org/officeDocument/2006/relationships/hyperlink" Target="https://control.akamai.com/apps/fast-purge/" TargetMode="External"/><Relationship Id="rId1" Type="http://schemas.openxmlformats.org/officeDocument/2006/relationships/hyperlink" Target="https://jenkins.us.planview.world/job/deploy_sql_cu_pipe/" TargetMode="External"/><Relationship Id="rId5" Type="http://schemas.openxmlformats.org/officeDocument/2006/relationships/printerSettings" Target="../printerSettings/printerSettings4.bin"/><Relationship Id="rId4" Type="http://schemas.openxmlformats.org/officeDocument/2006/relationships/hyperlink" Target="https://planview.lightning.force.com/lightning" TargetMode="Externa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jenkins.planviewcloud.net/job/e1_upgrade_pipe/" TargetMode="External"/><Relationship Id="rId7" Type="http://schemas.openxmlformats.org/officeDocument/2006/relationships/hyperlink" Target="https://jenkins.planviewcloud.net/job/trx_update_pipe/build?delay=0sec" TargetMode="External"/><Relationship Id="rId2" Type="http://schemas.openxmlformats.org/officeDocument/2006/relationships/hyperlink" Target="https://jenkins.planviewcloud.net/job/e1_upgrade_pipe/build?delay=0sec" TargetMode="External"/><Relationship Id="rId1" Type="http://schemas.openxmlformats.org/officeDocument/2006/relationships/hyperlink" Target="https://jenkins.planviewcloud.net/job/create_ami_pipe/build?delay=0sec" TargetMode="External"/><Relationship Id="rId6" Type="http://schemas.openxmlformats.org/officeDocument/2006/relationships/hyperlink" Target="https://jenkins.planviewcloud.net/job/e1_update_pipe/build?delay=0sec" TargetMode="External"/><Relationship Id="rId5" Type="http://schemas.openxmlformats.org/officeDocument/2006/relationships/hyperlink" Target="https://control.akamai.com/apps/fast-purge/" TargetMode="External"/><Relationship Id="rId4" Type="http://schemas.openxmlformats.org/officeDocument/2006/relationships/hyperlink" Target="https://jenkins.planviewcloud.net/job/ctm_upgrade_pipe/build?delay=0sec"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file:///\\sgcvmdfs01\SaaS%20Customer%20Key%20Files" TargetMode="External"/><Relationship Id="rId2" Type="http://schemas.openxmlformats.org/officeDocument/2006/relationships/hyperlink" Target="https://www.site24x7.com/app/client" TargetMode="External"/><Relationship Id="rId1" Type="http://schemas.openxmlformats.org/officeDocument/2006/relationships/hyperlink" Target="https://jenkins.us.planview.world/job/deploy_sql_cu_pipe/" TargetMode="External"/><Relationship Id="rId5" Type="http://schemas.openxmlformats.org/officeDocument/2006/relationships/printerSettings" Target="../printerSettings/printerSettings7.bin"/><Relationship Id="rId4" Type="http://schemas.openxmlformats.org/officeDocument/2006/relationships/hyperlink" Target="https://control.akamai.com/apps/fast-purge/"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file:///\\sgcvmdfs01\SaaS%20Customer%20Key%20Files" TargetMode="External"/><Relationship Id="rId3" Type="http://schemas.openxmlformats.org/officeDocument/2006/relationships/hyperlink" Target="https://jenkins.planviewcloud.net/job/e1_upgrade_pipe/" TargetMode="External"/><Relationship Id="rId7" Type="http://schemas.openxmlformats.org/officeDocument/2006/relationships/hyperlink" Target="https://www.site24x7.com/app/client" TargetMode="External"/><Relationship Id="rId2" Type="http://schemas.openxmlformats.org/officeDocument/2006/relationships/hyperlink" Target="https://jenkins.planviewcloud.net/job/e1_upgrade_pipe/build?delay=0sec" TargetMode="External"/><Relationship Id="rId1" Type="http://schemas.openxmlformats.org/officeDocument/2006/relationships/hyperlink" Target="https://jenkins.planviewcloud.net/job/create_ami_pipe/build?delay=0sec" TargetMode="External"/><Relationship Id="rId6" Type="http://schemas.openxmlformats.org/officeDocument/2006/relationships/hyperlink" Target="https://jenkins.planviewcloud.net/job/trx_update_pipe/build?delay=0sec" TargetMode="External"/><Relationship Id="rId5" Type="http://schemas.openxmlformats.org/officeDocument/2006/relationships/hyperlink" Target="https://jenkins.planviewcloud.net/job/e1_uppdate_pipe/build?delay=0sec" TargetMode="External"/><Relationship Id="rId10" Type="http://schemas.openxmlformats.org/officeDocument/2006/relationships/printerSettings" Target="../printerSettings/printerSettings8.bin"/><Relationship Id="rId4" Type="http://schemas.openxmlformats.org/officeDocument/2006/relationships/hyperlink" Target="https://control.akamai.com/apps/fast-purge/" TargetMode="External"/><Relationship Id="rId9" Type="http://schemas.openxmlformats.org/officeDocument/2006/relationships/hyperlink" Target="https://jenkins.planviewcloud.net/job/ctm_upgrade_pipe/build?delay=0sec"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X102"/>
  <sheetViews>
    <sheetView tabSelected="1" topLeftCell="A70" zoomScaleNormal="100" workbookViewId="0">
      <selection activeCell="C40" sqref="C40"/>
    </sheetView>
  </sheetViews>
  <sheetFormatPr defaultRowHeight="15"/>
  <cols>
    <col min="1" max="1" width="42.85546875" customWidth="1"/>
    <col min="2" max="2" width="25.5703125" customWidth="1"/>
    <col min="3" max="3" width="26.140625" customWidth="1"/>
    <col min="4" max="4" width="33.140625" bestFit="1" customWidth="1"/>
    <col min="5" max="5" width="30.7109375" bestFit="1" customWidth="1"/>
    <col min="6" max="6" width="44.7109375" customWidth="1"/>
    <col min="7" max="7" width="90.28515625" customWidth="1"/>
    <col min="8" max="8" width="35.7109375" customWidth="1"/>
    <col min="9" max="9" width="46.85546875" customWidth="1"/>
    <col min="10" max="10" width="25.42578125" customWidth="1"/>
    <col min="11" max="11" width="26" customWidth="1"/>
    <col min="12" max="12" width="25.28515625" customWidth="1"/>
  </cols>
  <sheetData>
    <row r="1" spans="1:7" ht="18">
      <c r="A1" s="128" t="s">
        <v>0</v>
      </c>
      <c r="B1" s="803"/>
      <c r="C1" s="804"/>
      <c r="D1" s="805"/>
    </row>
    <row r="2" spans="1:7" ht="18.75">
      <c r="A2" s="128" t="s">
        <v>1</v>
      </c>
      <c r="B2" s="803"/>
      <c r="C2" s="804"/>
      <c r="D2" s="805"/>
      <c r="G2" s="129"/>
    </row>
    <row r="3" spans="1:7" ht="18">
      <c r="A3" s="128" t="s">
        <v>2</v>
      </c>
      <c r="B3" s="806"/>
      <c r="C3" s="804"/>
      <c r="D3" s="805"/>
    </row>
    <row r="4" spans="1:7" ht="18">
      <c r="A4" s="128" t="s">
        <v>3</v>
      </c>
      <c r="B4" s="806"/>
      <c r="C4" s="804"/>
      <c r="D4" s="805"/>
    </row>
    <row r="6" spans="1:7" ht="18">
      <c r="A6" s="130" t="s">
        <v>4</v>
      </c>
      <c r="B6" s="807" t="s">
        <v>5</v>
      </c>
      <c r="C6" s="808"/>
    </row>
    <row r="7" spans="1:7">
      <c r="A7" s="131" t="s">
        <v>6</v>
      </c>
      <c r="B7" s="801"/>
      <c r="C7" s="801"/>
      <c r="D7" s="132"/>
    </row>
    <row r="8" spans="1:7">
      <c r="A8" s="131" t="s">
        <v>7</v>
      </c>
      <c r="B8" s="801"/>
      <c r="C8" s="801"/>
      <c r="D8" s="132"/>
    </row>
    <row r="9" spans="1:7">
      <c r="A9" s="131" t="s">
        <v>8</v>
      </c>
      <c r="B9" s="801"/>
      <c r="C9" s="801"/>
      <c r="D9" s="132"/>
    </row>
    <row r="10" spans="1:7">
      <c r="A10" s="131" t="s">
        <v>10</v>
      </c>
      <c r="B10" s="801"/>
      <c r="C10" s="801"/>
      <c r="D10" s="132"/>
    </row>
    <row r="11" spans="1:7">
      <c r="A11" s="131" t="s">
        <v>11</v>
      </c>
      <c r="B11" s="802"/>
      <c r="C11" s="802"/>
      <c r="D11" s="132"/>
    </row>
    <row r="12" spans="1:7">
      <c r="A12" s="131" t="s">
        <v>12</v>
      </c>
      <c r="B12" s="801"/>
      <c r="C12" s="801"/>
      <c r="D12" s="132"/>
    </row>
    <row r="13" spans="1:7">
      <c r="A13" s="131" t="s">
        <v>13</v>
      </c>
      <c r="B13" s="802"/>
      <c r="C13" s="802"/>
      <c r="D13" s="132"/>
    </row>
    <row r="14" spans="1:7">
      <c r="A14" s="131" t="s">
        <v>14</v>
      </c>
      <c r="B14" s="801"/>
      <c r="C14" s="801"/>
      <c r="D14" s="132"/>
    </row>
    <row r="15" spans="1:7">
      <c r="A15" s="131" t="s">
        <v>15</v>
      </c>
      <c r="B15" s="801"/>
      <c r="C15" s="801"/>
      <c r="D15" s="132"/>
    </row>
    <row r="16" spans="1:7">
      <c r="A16" s="131" t="s">
        <v>16</v>
      </c>
      <c r="B16" s="801"/>
      <c r="C16" s="801"/>
      <c r="D16" s="132"/>
    </row>
    <row r="17" spans="1:4" ht="12" customHeight="1">
      <c r="A17" s="131" t="s">
        <v>17</v>
      </c>
      <c r="B17" s="801"/>
      <c r="C17" s="801"/>
      <c r="D17" s="132"/>
    </row>
    <row r="18" spans="1:4">
      <c r="A18" s="133" t="s">
        <v>18</v>
      </c>
      <c r="B18" s="801"/>
      <c r="C18" s="801"/>
      <c r="D18" s="132"/>
    </row>
    <row r="19" spans="1:4">
      <c r="A19" s="134" t="s">
        <v>19</v>
      </c>
      <c r="B19" s="801"/>
      <c r="C19" s="801"/>
      <c r="D19" s="135"/>
    </row>
    <row r="21" spans="1:4" ht="18">
      <c r="A21" s="136" t="s">
        <v>20</v>
      </c>
      <c r="B21" s="137" t="s">
        <v>21</v>
      </c>
      <c r="C21" s="137" t="s">
        <v>22</v>
      </c>
    </row>
    <row r="22" spans="1:4" ht="15" customHeight="1">
      <c r="A22" s="138" t="s">
        <v>23</v>
      </c>
      <c r="B22" s="762"/>
      <c r="C22" s="762"/>
    </row>
    <row r="23" spans="1:4">
      <c r="A23" s="138" t="s">
        <v>24</v>
      </c>
      <c r="B23" s="762"/>
      <c r="C23" s="762"/>
    </row>
    <row r="24" spans="1:4">
      <c r="A24" s="138" t="s">
        <v>25</v>
      </c>
      <c r="B24" s="762"/>
      <c r="C24" s="762"/>
    </row>
    <row r="25" spans="1:4">
      <c r="A25" s="138" t="s">
        <v>26</v>
      </c>
      <c r="B25" s="762"/>
      <c r="C25" s="762"/>
    </row>
    <row r="26" spans="1:4">
      <c r="A26" s="138" t="s">
        <v>27</v>
      </c>
      <c r="B26" s="762"/>
      <c r="C26" s="762"/>
    </row>
    <row r="27" spans="1:4">
      <c r="A27" s="138" t="s">
        <v>28</v>
      </c>
      <c r="B27" s="761"/>
      <c r="C27" s="761"/>
    </row>
    <row r="28" spans="1:4">
      <c r="A28" s="138" t="s">
        <v>29</v>
      </c>
      <c r="B28" s="762"/>
      <c r="C28" s="762"/>
      <c r="D28" s="139" t="s">
        <v>30</v>
      </c>
    </row>
    <row r="29" spans="1:4">
      <c r="A29" s="138" t="s">
        <v>31</v>
      </c>
      <c r="B29" s="762"/>
      <c r="C29" s="762"/>
    </row>
    <row r="30" spans="1:4">
      <c r="A30" s="138" t="s">
        <v>32</v>
      </c>
      <c r="B30" s="762"/>
      <c r="C30" s="762"/>
      <c r="D30" s="139" t="s">
        <v>30</v>
      </c>
    </row>
    <row r="31" spans="1:4">
      <c r="A31" s="138" t="s">
        <v>33</v>
      </c>
      <c r="B31" s="762"/>
      <c r="C31" s="762"/>
    </row>
    <row r="32" spans="1:4">
      <c r="A32" s="138" t="s">
        <v>34</v>
      </c>
      <c r="B32" s="762"/>
      <c r="C32" s="762"/>
    </row>
    <row r="33" spans="1:11">
      <c r="A33" s="138" t="s">
        <v>35</v>
      </c>
      <c r="B33" s="762"/>
      <c r="C33" s="762"/>
    </row>
    <row r="34" spans="1:11">
      <c r="A34" s="140" t="s">
        <v>36</v>
      </c>
      <c r="B34" s="141"/>
      <c r="C34" s="762"/>
    </row>
    <row r="35" spans="1:11">
      <c r="A35" s="142" t="s">
        <v>37</v>
      </c>
      <c r="B35" s="143"/>
      <c r="C35" s="762"/>
    </row>
    <row r="36" spans="1:11">
      <c r="A36" s="144" t="s">
        <v>38</v>
      </c>
      <c r="B36" s="145"/>
      <c r="C36" s="145"/>
    </row>
    <row r="38" spans="1:11" ht="18">
      <c r="A38" s="146" t="s">
        <v>41</v>
      </c>
      <c r="B38" s="137" t="s">
        <v>42</v>
      </c>
      <c r="C38" s="137" t="s">
        <v>43</v>
      </c>
    </row>
    <row r="39" spans="1:11">
      <c r="A39" s="503" t="s">
        <v>44</v>
      </c>
      <c r="B39" s="762"/>
      <c r="C39" s="762"/>
    </row>
    <row r="40" spans="1:11">
      <c r="A40" s="147" t="s">
        <v>45</v>
      </c>
      <c r="B40" s="762"/>
      <c r="C40" s="762"/>
    </row>
    <row r="41" spans="1:11">
      <c r="A41" s="147" t="s">
        <v>46</v>
      </c>
      <c r="B41" s="762"/>
      <c r="C41" s="762"/>
    </row>
    <row r="42" spans="1:11">
      <c r="A42" s="147" t="s">
        <v>47</v>
      </c>
      <c r="B42" s="762"/>
      <c r="C42" s="762"/>
    </row>
    <row r="43" spans="1:11">
      <c r="A43" s="140" t="s">
        <v>48</v>
      </c>
      <c r="B43" s="121"/>
      <c r="C43" s="763"/>
    </row>
    <row r="44" spans="1:11">
      <c r="A44" s="504" t="s">
        <v>49</v>
      </c>
      <c r="B44" s="763"/>
      <c r="C44" s="763"/>
    </row>
    <row r="46" spans="1:11" ht="18">
      <c r="A46" s="146" t="s">
        <v>50</v>
      </c>
      <c r="B46" s="799"/>
      <c r="C46" s="800"/>
      <c r="D46" s="800"/>
    </row>
    <row r="48" spans="1:11" ht="18">
      <c r="A48" s="128" t="s">
        <v>52</v>
      </c>
      <c r="B48" s="148"/>
      <c r="C48" s="148"/>
      <c r="D48" s="148"/>
      <c r="E48" s="148"/>
      <c r="F48" s="148"/>
      <c r="G48" s="148"/>
      <c r="H48" s="148"/>
      <c r="I48" s="148"/>
      <c r="J48" s="148"/>
      <c r="K48" s="148"/>
    </row>
    <row r="49" spans="1:11" ht="18">
      <c r="A49" s="149"/>
      <c r="B49" s="150" t="s">
        <v>53</v>
      </c>
      <c r="C49" s="151" t="s">
        <v>54</v>
      </c>
      <c r="D49" s="150" t="s">
        <v>55</v>
      </c>
      <c r="E49" s="150" t="s">
        <v>56</v>
      </c>
      <c r="F49" s="150" t="s">
        <v>57</v>
      </c>
      <c r="G49" s="150" t="s">
        <v>58</v>
      </c>
      <c r="H49" s="150" t="s">
        <v>59</v>
      </c>
      <c r="I49" s="150" t="s">
        <v>60</v>
      </c>
      <c r="J49" s="150" t="s">
        <v>61</v>
      </c>
      <c r="K49" s="150" t="s">
        <v>62</v>
      </c>
    </row>
    <row r="50" spans="1:11" ht="15.75">
      <c r="A50" s="152" t="s">
        <v>63</v>
      </c>
      <c r="B50" s="8"/>
      <c r="C50" s="8"/>
      <c r="D50" s="8"/>
      <c r="E50" s="8"/>
      <c r="F50" s="8"/>
      <c r="G50" s="8"/>
      <c r="H50" s="8"/>
      <c r="I50" s="8"/>
      <c r="J50" s="8"/>
      <c r="K50" s="8"/>
    </row>
    <row r="51" spans="1:11">
      <c r="A51" s="153" t="s">
        <v>64</v>
      </c>
      <c r="B51" s="154"/>
      <c r="C51" s="154"/>
      <c r="D51" s="154"/>
      <c r="E51" s="758"/>
      <c r="F51" s="154"/>
      <c r="G51" s="487"/>
      <c r="H51" s="154"/>
      <c r="I51" s="154"/>
      <c r="J51" s="154"/>
      <c r="K51" s="154"/>
    </row>
    <row r="52" spans="1:11">
      <c r="A52" s="153" t="s">
        <v>65</v>
      </c>
      <c r="B52" s="8"/>
      <c r="C52" s="8"/>
      <c r="D52" s="8"/>
      <c r="E52" s="412"/>
      <c r="F52" s="8"/>
      <c r="G52" s="412"/>
      <c r="H52" s="412"/>
      <c r="I52" s="8"/>
      <c r="J52" s="8"/>
      <c r="K52" s="8"/>
    </row>
    <row r="53" spans="1:11">
      <c r="A53" s="153" t="s">
        <v>66</v>
      </c>
      <c r="B53" s="8"/>
      <c r="C53" s="8"/>
      <c r="D53" s="8"/>
      <c r="E53" s="412"/>
      <c r="F53" s="8"/>
      <c r="G53" s="412"/>
      <c r="H53" s="8"/>
      <c r="I53" s="8"/>
      <c r="J53" s="8"/>
      <c r="K53" s="8"/>
    </row>
    <row r="54" spans="1:11">
      <c r="A54" s="153" t="s">
        <v>67</v>
      </c>
      <c r="B54" s="8"/>
      <c r="C54" s="8"/>
      <c r="D54" s="8"/>
      <c r="E54" s="412"/>
      <c r="F54" s="155"/>
      <c r="G54" s="412"/>
      <c r="H54" s="8"/>
      <c r="I54" s="8"/>
      <c r="J54" s="8"/>
      <c r="K54" s="8"/>
    </row>
    <row r="55" spans="1:11">
      <c r="A55" s="153" t="s">
        <v>68</v>
      </c>
      <c r="B55" s="8"/>
      <c r="C55" s="8"/>
      <c r="D55" s="8"/>
      <c r="E55" s="8"/>
      <c r="F55" s="8"/>
      <c r="G55" s="412"/>
      <c r="H55" s="8"/>
      <c r="I55" s="8"/>
      <c r="J55" s="8"/>
      <c r="K55" s="8"/>
    </row>
    <row r="56" spans="1:11">
      <c r="A56" s="153" t="s">
        <v>69</v>
      </c>
      <c r="B56" s="8"/>
      <c r="C56" s="8"/>
      <c r="D56" s="8"/>
      <c r="E56" s="8"/>
      <c r="F56" s="8"/>
      <c r="G56" s="412"/>
      <c r="H56" s="8"/>
      <c r="I56" s="8"/>
      <c r="J56" s="8"/>
      <c r="K56" s="8"/>
    </row>
    <row r="57" spans="1:11" ht="18">
      <c r="A57" s="156" t="s">
        <v>70</v>
      </c>
      <c r="B57" s="8"/>
      <c r="C57" s="8"/>
      <c r="D57" s="8"/>
      <c r="E57" s="8"/>
      <c r="F57" s="8"/>
      <c r="G57" s="8"/>
      <c r="H57" s="8"/>
      <c r="I57" s="8"/>
      <c r="J57" s="8"/>
      <c r="K57" s="8"/>
    </row>
    <row r="58" spans="1:11">
      <c r="A58" s="157"/>
      <c r="B58" s="8"/>
      <c r="C58" s="8"/>
      <c r="D58" s="8"/>
      <c r="E58" s="8"/>
      <c r="F58" s="8"/>
      <c r="G58" s="412"/>
      <c r="H58" s="8"/>
      <c r="I58" s="8"/>
      <c r="J58" s="8"/>
      <c r="K58" s="8"/>
    </row>
    <row r="59" spans="1:11">
      <c r="A59" s="157"/>
      <c r="B59" s="8"/>
      <c r="C59" s="8"/>
      <c r="D59" s="8"/>
      <c r="E59" s="8"/>
      <c r="F59" s="8"/>
      <c r="G59" s="8"/>
      <c r="H59" s="8"/>
      <c r="I59" s="8"/>
      <c r="J59" s="8"/>
      <c r="K59" s="8"/>
    </row>
    <row r="60" spans="1:11">
      <c r="A60" s="157"/>
      <c r="B60" s="8"/>
      <c r="C60" s="8"/>
      <c r="D60" s="8"/>
      <c r="E60" s="8"/>
      <c r="F60" s="8"/>
      <c r="G60" s="8"/>
      <c r="H60" s="8"/>
      <c r="I60" s="8"/>
      <c r="J60" s="8"/>
      <c r="K60" s="8"/>
    </row>
    <row r="61" spans="1:11">
      <c r="A61" s="157"/>
      <c r="B61" s="8"/>
      <c r="C61" s="8"/>
      <c r="D61" s="8"/>
      <c r="E61" s="8"/>
      <c r="F61" s="8"/>
      <c r="G61" s="8"/>
      <c r="H61" s="8"/>
      <c r="I61" s="8"/>
      <c r="J61" s="8"/>
      <c r="K61" s="8"/>
    </row>
    <row r="62" spans="1:11">
      <c r="A62" s="157"/>
      <c r="B62" s="8"/>
      <c r="C62" s="8"/>
      <c r="D62" s="8"/>
      <c r="E62" s="8"/>
      <c r="F62" s="8"/>
      <c r="G62" s="8"/>
      <c r="H62" s="8"/>
      <c r="I62" s="8"/>
      <c r="J62" s="8"/>
      <c r="K62" s="8"/>
    </row>
    <row r="63" spans="1:11">
      <c r="A63" s="157"/>
      <c r="B63" s="8"/>
      <c r="C63" s="8"/>
      <c r="D63" s="8"/>
      <c r="E63" s="8"/>
      <c r="F63" s="8"/>
      <c r="G63" s="8"/>
      <c r="H63" s="8"/>
      <c r="I63" s="8"/>
      <c r="J63" s="8"/>
      <c r="K63" s="8"/>
    </row>
    <row r="64" spans="1:11">
      <c r="A64" s="157"/>
      <c r="B64" s="8"/>
      <c r="C64" s="8"/>
      <c r="D64" s="8"/>
      <c r="E64" s="8"/>
      <c r="F64" s="8"/>
      <c r="G64" s="8"/>
      <c r="H64" s="8"/>
      <c r="I64" s="8"/>
      <c r="J64" s="8"/>
      <c r="K64" s="8"/>
    </row>
    <row r="65" spans="1:11">
      <c r="A65" s="157"/>
      <c r="B65" s="8"/>
      <c r="C65" s="8"/>
      <c r="D65" s="8"/>
      <c r="E65" s="8"/>
      <c r="F65" s="8"/>
      <c r="G65" s="8"/>
      <c r="H65" s="8"/>
      <c r="I65" s="8"/>
      <c r="J65" s="8"/>
      <c r="K65" s="8"/>
    </row>
    <row r="66" spans="1:11">
      <c r="A66" s="157"/>
      <c r="B66" s="8"/>
      <c r="C66" s="8"/>
      <c r="D66" s="8"/>
      <c r="E66" s="8"/>
      <c r="F66" s="8"/>
      <c r="G66" s="8"/>
      <c r="H66" s="8"/>
      <c r="I66" s="8"/>
      <c r="J66" s="8"/>
      <c r="K66" s="8"/>
    </row>
    <row r="67" spans="1:11">
      <c r="A67" s="157"/>
      <c r="B67" s="8"/>
      <c r="C67" s="8"/>
      <c r="D67" s="8"/>
      <c r="E67" s="8"/>
      <c r="F67" s="8"/>
      <c r="G67" s="8"/>
      <c r="H67" s="8"/>
      <c r="I67" s="8"/>
      <c r="J67" s="8"/>
      <c r="K67" s="8"/>
    </row>
    <row r="68" spans="1:11">
      <c r="A68" s="158"/>
      <c r="B68" s="8"/>
      <c r="C68" s="8"/>
      <c r="D68" s="8"/>
      <c r="E68" s="8"/>
      <c r="F68" s="8"/>
      <c r="G68" s="40"/>
      <c r="H68" s="8"/>
      <c r="I68" s="8"/>
      <c r="J68" s="8"/>
      <c r="K68" s="8"/>
    </row>
    <row r="69" spans="1:11" ht="18">
      <c r="A69" s="149"/>
      <c r="B69" s="150" t="s">
        <v>53</v>
      </c>
      <c r="C69" s="150" t="s">
        <v>54</v>
      </c>
      <c r="D69" s="150" t="s">
        <v>55</v>
      </c>
      <c r="E69" s="150" t="s">
        <v>56</v>
      </c>
      <c r="F69" s="150" t="s">
        <v>57</v>
      </c>
      <c r="G69" s="150" t="s">
        <v>58</v>
      </c>
      <c r="H69" s="150" t="s">
        <v>59</v>
      </c>
      <c r="I69" s="150" t="s">
        <v>60</v>
      </c>
      <c r="J69" s="150" t="s">
        <v>61</v>
      </c>
      <c r="K69" s="150" t="s">
        <v>62</v>
      </c>
    </row>
    <row r="70" spans="1:11" ht="15.75">
      <c r="A70" s="152" t="s">
        <v>71</v>
      </c>
      <c r="B70" s="8"/>
      <c r="C70" s="8"/>
      <c r="D70" s="8"/>
      <c r="E70" s="8"/>
      <c r="F70" s="8"/>
      <c r="G70" s="8"/>
      <c r="H70" s="8"/>
      <c r="I70" s="8"/>
      <c r="J70" s="8"/>
      <c r="K70" s="8"/>
    </row>
    <row r="71" spans="1:11">
      <c r="A71" s="153" t="s">
        <v>64</v>
      </c>
      <c r="B71" s="154"/>
      <c r="C71" s="154"/>
      <c r="D71" s="154"/>
      <c r="E71" s="758"/>
      <c r="F71" s="154"/>
      <c r="G71" s="487"/>
      <c r="H71" s="154"/>
      <c r="I71" s="154"/>
      <c r="J71" s="154"/>
      <c r="K71" s="154"/>
    </row>
    <row r="72" spans="1:11">
      <c r="A72" s="153" t="s">
        <v>65</v>
      </c>
      <c r="B72" s="8"/>
      <c r="C72" s="8"/>
      <c r="D72" s="8"/>
      <c r="E72" s="412"/>
      <c r="F72" s="8"/>
      <c r="G72" s="412"/>
      <c r="H72" s="412"/>
      <c r="I72" s="8"/>
      <c r="J72" s="8"/>
      <c r="K72" s="8"/>
    </row>
    <row r="73" spans="1:11">
      <c r="A73" s="153" t="s">
        <v>66</v>
      </c>
      <c r="B73" s="8"/>
      <c r="C73" s="8"/>
      <c r="D73" s="8"/>
      <c r="E73" s="412"/>
      <c r="F73" s="8"/>
      <c r="G73" s="412"/>
      <c r="H73" s="8"/>
      <c r="I73" s="8"/>
      <c r="J73" s="8"/>
      <c r="K73" s="8"/>
    </row>
    <row r="74" spans="1:11">
      <c r="A74" s="153" t="s">
        <v>67</v>
      </c>
      <c r="B74" s="8"/>
      <c r="C74" s="8"/>
      <c r="D74" s="8"/>
      <c r="E74" s="412"/>
      <c r="F74" s="8"/>
      <c r="G74" s="412"/>
      <c r="H74" s="8"/>
      <c r="I74" s="8"/>
      <c r="J74" s="8"/>
      <c r="K74" s="8"/>
    </row>
    <row r="75" spans="1:11">
      <c r="A75" s="153" t="s">
        <v>68</v>
      </c>
      <c r="B75" s="8"/>
      <c r="C75" s="8"/>
      <c r="D75" s="8"/>
      <c r="E75" s="8"/>
      <c r="F75" s="8"/>
      <c r="G75" s="412"/>
      <c r="H75" s="8"/>
      <c r="I75" s="8"/>
      <c r="J75" s="8"/>
      <c r="K75" s="8"/>
    </row>
    <row r="76" spans="1:11">
      <c r="A76" s="153" t="s">
        <v>69</v>
      </c>
      <c r="B76" s="8"/>
      <c r="C76" s="8"/>
      <c r="D76" s="8"/>
      <c r="E76" s="8"/>
      <c r="F76" s="8"/>
      <c r="G76" s="412"/>
      <c r="H76" s="8"/>
      <c r="I76" s="8"/>
      <c r="J76" s="8"/>
      <c r="K76" s="8"/>
    </row>
    <row r="77" spans="1:11" ht="18">
      <c r="A77" s="159" t="s">
        <v>72</v>
      </c>
      <c r="B77" s="8"/>
      <c r="C77" s="8"/>
      <c r="D77" s="8"/>
      <c r="E77" s="8"/>
      <c r="F77" s="8"/>
      <c r="G77" s="8"/>
      <c r="H77" s="8"/>
      <c r="I77" s="8"/>
      <c r="J77" s="8"/>
      <c r="K77" s="8"/>
    </row>
    <row r="78" spans="1:11">
      <c r="A78" s="157"/>
      <c r="B78" s="8"/>
      <c r="C78" s="8"/>
      <c r="D78" s="8"/>
      <c r="E78" s="8"/>
      <c r="F78" s="8"/>
      <c r="G78" s="412"/>
      <c r="H78" s="8"/>
      <c r="I78" s="8"/>
      <c r="J78" s="8"/>
      <c r="K78" s="8"/>
    </row>
    <row r="79" spans="1:11">
      <c r="A79" s="157"/>
      <c r="B79" s="8"/>
      <c r="C79" s="8"/>
      <c r="D79" s="8"/>
      <c r="E79" s="8"/>
      <c r="F79" s="8"/>
      <c r="G79" s="8"/>
      <c r="H79" s="8"/>
      <c r="I79" s="8"/>
      <c r="J79" s="8"/>
      <c r="K79" s="8"/>
    </row>
    <row r="80" spans="1:11">
      <c r="A80" s="157"/>
      <c r="B80" s="8"/>
      <c r="C80" s="8"/>
      <c r="D80" s="8"/>
      <c r="E80" s="8"/>
      <c r="F80" s="8"/>
      <c r="G80" s="8"/>
      <c r="H80" s="8"/>
      <c r="I80" s="8"/>
      <c r="J80" s="8"/>
      <c r="K80" s="8"/>
    </row>
    <row r="81" spans="1:24">
      <c r="A81" s="157"/>
      <c r="B81" s="8"/>
      <c r="C81" s="8"/>
      <c r="D81" s="8"/>
      <c r="E81" s="8"/>
      <c r="F81" s="8"/>
      <c r="G81" s="8"/>
      <c r="H81" s="8"/>
      <c r="I81" s="8"/>
      <c r="J81" s="8"/>
      <c r="K81" s="8"/>
    </row>
    <row r="82" spans="1:24">
      <c r="A82" s="157"/>
      <c r="B82" s="8"/>
      <c r="C82" s="8"/>
      <c r="D82" s="8"/>
      <c r="E82" s="8"/>
      <c r="F82" s="8"/>
      <c r="G82" s="8"/>
      <c r="H82" s="8"/>
      <c r="I82" s="8"/>
      <c r="J82" s="8"/>
      <c r="K82" s="8"/>
    </row>
    <row r="83" spans="1:24">
      <c r="A83" s="157"/>
      <c r="B83" s="8"/>
      <c r="C83" s="8"/>
      <c r="D83" s="8"/>
      <c r="E83" s="8"/>
      <c r="F83" s="8"/>
      <c r="G83" s="8"/>
      <c r="H83" s="8"/>
      <c r="I83" s="8"/>
      <c r="J83" s="8"/>
      <c r="K83" s="8"/>
    </row>
    <row r="84" spans="1:24">
      <c r="A84" s="157"/>
      <c r="B84" s="8"/>
      <c r="C84" s="8"/>
      <c r="D84" s="8"/>
      <c r="E84" s="8"/>
      <c r="F84" s="8"/>
      <c r="G84" s="8"/>
      <c r="H84" s="8"/>
      <c r="I84" s="8"/>
      <c r="J84" s="8"/>
      <c r="K84" s="8"/>
    </row>
    <row r="85" spans="1:24">
      <c r="A85" s="157"/>
      <c r="B85" s="8"/>
      <c r="C85" s="8"/>
      <c r="D85" s="8"/>
      <c r="E85" s="8"/>
      <c r="F85" s="8"/>
      <c r="G85" s="8"/>
      <c r="H85" s="8"/>
      <c r="I85" s="8"/>
      <c r="J85" s="8"/>
      <c r="K85" s="8"/>
    </row>
    <row r="86" spans="1:24">
      <c r="A86" s="157"/>
      <c r="B86" s="8"/>
      <c r="C86" s="8"/>
      <c r="D86" s="8"/>
      <c r="E86" s="8"/>
      <c r="F86" s="8"/>
      <c r="G86" s="8"/>
      <c r="H86" s="8"/>
      <c r="I86" s="8"/>
      <c r="J86" s="8"/>
      <c r="K86" s="8"/>
    </row>
    <row r="87" spans="1:24">
      <c r="A87" s="157"/>
      <c r="B87" s="8"/>
      <c r="C87" s="8"/>
      <c r="D87" s="8"/>
      <c r="E87" s="8"/>
      <c r="F87" s="8"/>
      <c r="G87" s="8"/>
      <c r="H87" s="8"/>
      <c r="I87" s="8"/>
      <c r="J87" s="8"/>
      <c r="K87" s="8"/>
    </row>
    <row r="88" spans="1:24">
      <c r="A88" s="160"/>
      <c r="B88" s="161"/>
      <c r="C88" s="162"/>
      <c r="D88" s="162"/>
      <c r="E88" s="162"/>
      <c r="F88" s="40"/>
      <c r="G88" s="40"/>
      <c r="H88" s="40"/>
      <c r="I88" s="40"/>
      <c r="J88" s="40"/>
      <c r="K88" s="40"/>
    </row>
    <row r="90" spans="1:24" ht="18">
      <c r="A90" s="493" t="s">
        <v>73</v>
      </c>
      <c r="B90" s="488"/>
      <c r="C90" s="488"/>
      <c r="D90" s="488"/>
      <c r="E90" s="488"/>
      <c r="F90" s="488"/>
      <c r="G90" s="488"/>
      <c r="H90" s="488"/>
      <c r="I90" s="488"/>
      <c r="J90" s="488"/>
      <c r="K90" s="488"/>
      <c r="L90" s="488"/>
      <c r="M90" s="488"/>
      <c r="N90" s="488"/>
      <c r="O90" s="488"/>
      <c r="P90" s="488"/>
      <c r="Q90" s="488"/>
      <c r="R90" s="488"/>
      <c r="S90" s="488"/>
      <c r="T90" s="488"/>
      <c r="U90" s="488"/>
      <c r="V90" s="488"/>
      <c r="W90" s="488"/>
      <c r="X90" s="488"/>
    </row>
    <row r="91" spans="1:24" ht="29.25" customHeight="1">
      <c r="A91" s="494" t="s">
        <v>21</v>
      </c>
      <c r="B91" s="495"/>
      <c r="C91" s="495"/>
      <c r="D91" s="495"/>
      <c r="E91" s="495"/>
      <c r="F91" s="495"/>
      <c r="G91" s="495"/>
      <c r="H91" s="495"/>
      <c r="I91" s="495"/>
      <c r="J91" s="495"/>
      <c r="K91" s="495"/>
      <c r="L91" s="495"/>
      <c r="M91" s="495"/>
      <c r="N91" s="495"/>
      <c r="O91" s="495"/>
      <c r="P91" s="495"/>
      <c r="Q91" s="495"/>
      <c r="R91" s="495"/>
      <c r="S91" s="495"/>
      <c r="T91" s="495"/>
      <c r="U91" s="495"/>
      <c r="V91" s="495"/>
      <c r="W91" s="495"/>
      <c r="X91" s="788"/>
    </row>
    <row r="92" spans="1:24" ht="33.75" customHeight="1">
      <c r="A92" s="496" t="s">
        <v>22</v>
      </c>
      <c r="B92" s="162"/>
      <c r="C92" s="162"/>
      <c r="D92" s="162"/>
      <c r="E92" s="162"/>
      <c r="F92" s="162"/>
      <c r="G92" s="162"/>
      <c r="H92" s="162"/>
      <c r="I92" s="162"/>
      <c r="J92" s="162"/>
      <c r="K92" s="162"/>
      <c r="L92" s="162"/>
      <c r="M92" s="162"/>
      <c r="N92" s="162"/>
      <c r="O92" s="162"/>
      <c r="P92" s="162"/>
      <c r="Q92" s="162"/>
      <c r="R92" s="162"/>
      <c r="S92" s="162"/>
      <c r="T92" s="162"/>
      <c r="U92" s="162"/>
      <c r="V92" s="162"/>
      <c r="W92" s="162"/>
      <c r="X92" s="491"/>
    </row>
    <row r="94" spans="1:24" ht="18">
      <c r="A94" s="493" t="s">
        <v>74</v>
      </c>
      <c r="B94" s="488"/>
      <c r="C94" s="488"/>
      <c r="D94" s="488"/>
      <c r="E94" s="488"/>
      <c r="F94" s="488"/>
      <c r="G94" s="488"/>
      <c r="H94" s="488"/>
      <c r="I94" s="488"/>
      <c r="J94" s="488"/>
      <c r="K94" s="488"/>
      <c r="L94" s="488"/>
      <c r="M94" s="488"/>
      <c r="N94" s="488"/>
      <c r="O94" s="488"/>
      <c r="P94" s="488"/>
      <c r="Q94" s="488"/>
      <c r="R94" s="488"/>
      <c r="S94" s="488"/>
      <c r="T94" s="488"/>
      <c r="U94" s="488"/>
      <c r="V94" s="488"/>
      <c r="W94" s="488"/>
      <c r="X94" s="488"/>
    </row>
    <row r="95" spans="1:24" ht="33.75" customHeight="1">
      <c r="A95" s="494" t="s">
        <v>21</v>
      </c>
      <c r="B95" s="495"/>
      <c r="C95" s="495"/>
      <c r="D95" s="495"/>
      <c r="E95" s="495"/>
      <c r="F95" s="495"/>
      <c r="G95" s="495"/>
      <c r="H95" s="495"/>
      <c r="I95" s="495"/>
      <c r="J95" s="495"/>
      <c r="K95" s="495"/>
      <c r="L95" s="495"/>
      <c r="M95" s="495"/>
      <c r="N95" s="495"/>
      <c r="O95" s="495"/>
      <c r="P95" s="495"/>
      <c r="Q95" s="495"/>
      <c r="R95" s="495"/>
      <c r="S95" s="495"/>
      <c r="T95" s="495"/>
      <c r="U95" s="495"/>
      <c r="V95" s="495"/>
      <c r="W95" s="495"/>
      <c r="X95" s="788"/>
    </row>
    <row r="96" spans="1:24" ht="33.75" customHeight="1">
      <c r="A96" s="496" t="s">
        <v>22</v>
      </c>
      <c r="B96" s="162"/>
      <c r="C96" s="162"/>
      <c r="D96" s="162"/>
      <c r="E96" s="162"/>
      <c r="F96" s="162"/>
      <c r="G96" s="162"/>
      <c r="H96" s="162"/>
      <c r="I96" s="162"/>
      <c r="J96" s="162"/>
      <c r="K96" s="162"/>
      <c r="L96" s="162"/>
      <c r="M96" s="162"/>
      <c r="N96" s="162"/>
      <c r="O96" s="162"/>
      <c r="P96" s="162"/>
      <c r="Q96" s="162"/>
      <c r="R96" s="162"/>
      <c r="S96" s="162"/>
      <c r="T96" s="162"/>
      <c r="U96" s="162"/>
      <c r="V96" s="162"/>
      <c r="W96" s="162"/>
      <c r="X96" s="491"/>
    </row>
    <row r="98" spans="1:24" ht="18">
      <c r="A98" s="493" t="s">
        <v>75</v>
      </c>
      <c r="B98" s="488"/>
      <c r="C98" s="488"/>
      <c r="D98" s="488"/>
      <c r="E98" s="488"/>
      <c r="F98" s="488"/>
      <c r="G98" s="488"/>
      <c r="H98" s="488"/>
      <c r="I98" s="488"/>
      <c r="J98" s="488"/>
      <c r="K98" s="488"/>
      <c r="L98" s="488"/>
      <c r="M98" s="488"/>
      <c r="N98" s="488"/>
      <c r="O98" s="488"/>
      <c r="P98" s="488"/>
      <c r="Q98" s="488"/>
      <c r="R98" s="488"/>
      <c r="S98" s="488"/>
      <c r="T98" s="488"/>
      <c r="U98" s="488"/>
      <c r="V98" s="488"/>
      <c r="W98" s="488"/>
      <c r="X98" s="488"/>
    </row>
    <row r="99" spans="1:24" ht="30.75" customHeight="1">
      <c r="A99" s="494" t="s">
        <v>21</v>
      </c>
      <c r="B99" s="492"/>
      <c r="C99" s="492"/>
      <c r="D99" s="492"/>
      <c r="E99" s="492"/>
      <c r="F99" s="492"/>
      <c r="G99" s="492"/>
      <c r="H99" s="492"/>
      <c r="I99" s="492"/>
      <c r="J99" s="492"/>
      <c r="K99" s="492"/>
      <c r="L99" s="492"/>
      <c r="M99" s="492"/>
      <c r="N99" s="492"/>
      <c r="O99" s="492"/>
      <c r="P99" s="492"/>
      <c r="Q99" s="492"/>
      <c r="R99" s="492"/>
      <c r="S99" s="492"/>
      <c r="T99" s="492"/>
      <c r="U99" s="492"/>
      <c r="V99" s="492"/>
      <c r="W99" s="492"/>
      <c r="X99" s="489"/>
    </row>
    <row r="100" spans="1:24" ht="29.25" customHeight="1">
      <c r="A100" s="497" t="s">
        <v>76</v>
      </c>
      <c r="B100" s="498"/>
      <c r="C100" s="498"/>
      <c r="D100" s="498"/>
      <c r="E100" s="498"/>
      <c r="F100" s="498"/>
      <c r="G100" s="498"/>
      <c r="H100" s="498"/>
      <c r="I100" s="498"/>
      <c r="J100" s="498"/>
      <c r="K100" s="498"/>
      <c r="L100" s="498"/>
      <c r="M100" s="498"/>
      <c r="N100" s="498"/>
      <c r="O100" s="498"/>
      <c r="P100" s="498"/>
      <c r="Q100" s="498"/>
      <c r="R100" s="498"/>
      <c r="S100" s="498"/>
      <c r="T100" s="498"/>
      <c r="U100" s="498"/>
      <c r="V100" s="498"/>
      <c r="W100" s="498"/>
      <c r="X100" s="499"/>
    </row>
    <row r="101" spans="1:24" ht="31.5" customHeight="1">
      <c r="A101" s="494" t="s">
        <v>22</v>
      </c>
      <c r="B101" s="8"/>
      <c r="C101" s="8"/>
      <c r="D101" s="8"/>
      <c r="E101" s="8"/>
      <c r="F101" s="8"/>
      <c r="G101" s="8"/>
      <c r="H101" s="8"/>
      <c r="I101" s="8"/>
      <c r="J101" s="8"/>
      <c r="K101" s="8"/>
      <c r="L101" s="8"/>
      <c r="M101" s="8"/>
      <c r="N101" s="8"/>
      <c r="O101" s="8"/>
      <c r="P101" s="8"/>
      <c r="Q101" s="8"/>
      <c r="R101" s="8"/>
      <c r="S101" s="8"/>
      <c r="T101" s="8"/>
      <c r="U101" s="8"/>
      <c r="V101" s="8"/>
      <c r="W101" s="8"/>
      <c r="X101" s="490"/>
    </row>
    <row r="102" spans="1:24" ht="26.25" customHeight="1">
      <c r="A102" s="500" t="s">
        <v>76</v>
      </c>
      <c r="B102" s="501"/>
      <c r="C102" s="501"/>
      <c r="D102" s="501"/>
      <c r="E102" s="501"/>
      <c r="F102" s="501"/>
      <c r="G102" s="501"/>
      <c r="H102" s="501"/>
      <c r="I102" s="501"/>
      <c r="J102" s="501"/>
      <c r="K102" s="501"/>
      <c r="L102" s="501"/>
      <c r="M102" s="501"/>
      <c r="N102" s="501"/>
      <c r="O102" s="501"/>
      <c r="P102" s="501"/>
      <c r="Q102" s="501"/>
      <c r="R102" s="501"/>
      <c r="S102" s="501"/>
      <c r="T102" s="501"/>
      <c r="U102" s="501"/>
      <c r="V102" s="501"/>
      <c r="W102" s="501"/>
      <c r="X102" s="502"/>
    </row>
  </sheetData>
  <mergeCells count="19">
    <mergeCell ref="B13:C13"/>
    <mergeCell ref="B1:D1"/>
    <mergeCell ref="B2:D2"/>
    <mergeCell ref="B3:D3"/>
    <mergeCell ref="B4:D4"/>
    <mergeCell ref="B6:C6"/>
    <mergeCell ref="B7:C7"/>
    <mergeCell ref="B8:C8"/>
    <mergeCell ref="B9:C9"/>
    <mergeCell ref="B10:C10"/>
    <mergeCell ref="B11:C11"/>
    <mergeCell ref="B12:C12"/>
    <mergeCell ref="B46:D46"/>
    <mergeCell ref="B14:C14"/>
    <mergeCell ref="B15:C15"/>
    <mergeCell ref="B16:C16"/>
    <mergeCell ref="B17:C17"/>
    <mergeCell ref="B18:C18"/>
    <mergeCell ref="B19:C19"/>
  </mergeCells>
  <phoneticPr fontId="46" type="noConversion"/>
  <dataValidations count="1">
    <dataValidation allowBlank="1" showInputMessage="1" showErrorMessage="1" promptTitle="Alias only" prompt="Netbios alias. No HTTPS or pvcloud.com." sqref="B7:B19"/>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343"/>
  <sheetViews>
    <sheetView topLeftCell="B49" workbookViewId="0">
      <selection activeCell="D93" sqref="D93"/>
    </sheetView>
  </sheetViews>
  <sheetFormatPr defaultRowHeight="15"/>
  <cols>
    <col min="2" max="2" width="20.5703125" bestFit="1" customWidth="1"/>
    <col min="3" max="3" width="62.42578125" bestFit="1" customWidth="1"/>
    <col min="4" max="4" width="79.42578125" bestFit="1" customWidth="1"/>
    <col min="6" max="6" width="134.140625" bestFit="1" customWidth="1"/>
    <col min="7" max="7" width="60" bestFit="1" customWidth="1"/>
    <col min="8" max="8" width="255.5703125" customWidth="1"/>
    <col min="9" max="9" width="23.42578125" customWidth="1"/>
  </cols>
  <sheetData>
    <row r="1" spans="2:8">
      <c r="B1" s="2" t="s">
        <v>250</v>
      </c>
      <c r="C1" s="527" t="s">
        <v>251</v>
      </c>
      <c r="D1" s="527" t="s">
        <v>252</v>
      </c>
      <c r="E1" s="527" t="s">
        <v>253</v>
      </c>
    </row>
    <row r="2" spans="2:8">
      <c r="B2" t="s">
        <v>254</v>
      </c>
      <c r="C2" s="3" t="s">
        <v>255</v>
      </c>
      <c r="D2" s="527" t="s">
        <v>256</v>
      </c>
      <c r="E2">
        <f>COUNTIF('Upgrade Data'!J4:'Upgrade Data'!J7,"*web*") + 1</f>
        <v>1</v>
      </c>
      <c r="F2" t="e">
        <f ca="1">_xlfn.CONCAT(G2,D26,G3)</f>
        <v>#NAME?</v>
      </c>
      <c r="G2" t="e">
        <f ca="1">IF(E2=4,_xlfn.CONCAT(D72,'Upgrade Data'!I3,D72,D26,D72,'Upgrade Data'!J4,D72,D26,D72,'Upgrade Data'!J5,D72,D26,D72,'Upgrade Data'!J5,D72),IF(E2=3,_xlfn.CONCAT(D72,'Upgrade Data'!I3,D72,D26,D72,'Upgrade Data'!J4,D72,D26,D72,'Upgrade Data'!J5,D72),IF(E2=2,_xlfn.CONCAT(D72,'Upgrade Data'!I3,D72,D26,D72,'Upgrade Data'!J4,D72),IF(E2=1,_xlfn.CONCAT(D72,'Upgrade Data'!I3,D72),""))))</f>
        <v>#NAME?</v>
      </c>
      <c r="H2" t="str">
        <f>IF(AND('Upgrade Data'!F12=TRUE,E2=4),_xlfn.CONCAT(D72,'Upgrade Data'!I3,F38,D72,D26,D72,'Upgrade Data'!J4,F38,D72,D26,D72,'Upgrade Data'!J5,F38,D72,D26,D72,'Upgrade Data'!J6,F38,D72),IF(AND('Upgrade Data'!F12=TRUE,E2=3),_xlfn.CONCAT(D72,'Upgrade Data'!I3,F38,D72,D26,D72,'Upgrade Data'!J4,F38,D72,D26,D72,'Upgrade Data'!J5,F38,D72),IF(AND('Upgrade Data'!F12=TRUE,E2=2),_xlfn.CONCAT(D72,'Upgrade Data'!I3,F38,D72,D26,D72,'Upgrade Data'!J4,F38,D72),IF(AND('Upgrade Data'!F12=TRUE,E2=1),_xlfn.CONCAT(D72,'Upgrade Data'!I3,F38,D72),"Non AWS Build"))))</f>
        <v>Non AWS Build</v>
      </c>
    </row>
    <row r="3" spans="2:8">
      <c r="B3" t="s">
        <v>257</v>
      </c>
      <c r="C3" s="3" t="s">
        <v>258</v>
      </c>
      <c r="D3" s="3" t="s">
        <v>259</v>
      </c>
      <c r="E3">
        <f>COUNTIF('Upgrade Data'!J10:'Upgrade Data'!J13,"*web*") + 1</f>
        <v>1</v>
      </c>
      <c r="F3" t="str">
        <f>IF(E5=0,_xlfn.CONCAT(G4),_xlfn.CONCAT(G4,D26,G5))</f>
        <v/>
      </c>
      <c r="G3" t="e">
        <f ca="1">IF(E3=4,_xlfn.CONCAT(D72,'Upgrade Data'!I9,D72,D26,D72,'Upgrade Data'!J10,D72,D26,D72,'Upgrade Data'!J11,D72,D26,D72,'Upgrade Data'!J12,D72),IF(E3=3,_xlfn.CONCAT(D72,'Upgrade Data'!I9,D72,D26,D72,'Upgrade Data'!J10,D72,D26,D72,'Upgrade Data'!J11,D72),IF(E3=2,_xlfn.CONCAT(D72,'Upgrade Data'!I9,D72,D26,D72,'Upgrade Data'!J10,D72),IF(E3=1,_xlfn.CONCAT(D72,'Upgrade Data'!I9,D72),""))))</f>
        <v>#NAME?</v>
      </c>
      <c r="H3" t="str">
        <f>IF(AND('Upgrade Data'!F12=TRUE,E3=4),_xlfn.CONCAT(D72,'Upgrade Data'!I9,F38,D72,D26,D72,'Upgrade Data'!J10,F38,D72,D26,D72,'Upgrade Data'!J11,F38,D72,D26,D72,'Upgrade Data'!J12,F38,D72),IF(AND('Upgrade Data'!F12=TRUE,E3=3),_xlfn.CONCAT(D72,'Upgrade Data'!I9,F38,D72,D26,D72,'Upgrade Data'!J10,F38,D72,D26,D72,'Upgrade Data'!J11,F38,D72),IF(AND('Upgrade Data'!F12=TRUE,E3=2),_xlfn.CONCAT(D72,'Upgrade Data'!I9,F38,D72,D26,D72,'Upgrade Data'!J10,F38,D72),IF(AND('Upgrade Data'!F12=TRUE,E3=1),_xlfn.CONCAT(D72,'Upgrade Data'!I9,F38,D72),"Non AWS Build"))))</f>
        <v>Non AWS Build</v>
      </c>
    </row>
    <row r="4" spans="2:8">
      <c r="B4" t="s">
        <v>260</v>
      </c>
      <c r="C4" s="3" t="s">
        <v>261</v>
      </c>
      <c r="D4" s="3" t="s">
        <v>262</v>
      </c>
      <c r="G4" t="str">
        <f>IF(E4=4,_xlfn.CONCAT('Upgrade Data'!I15,D26,'Upgrade Data'!J15,D26,'Upgrade Data'!J16,D26,'Upgrade Data'!J17),IF(E4=3,_xlfn.CONCAT('Upgrade Data'!I15,D26,'Upgrade Data'!J15,D26,'Upgrade Data'!J16),IF(E4=2,_xlfn.CONCAT('Upgrade Data'!I15,D26,'Upgrade Data'!J15),IF(E4=1,'Upgrade Data'!I15,""))))</f>
        <v/>
      </c>
      <c r="H4" t="str">
        <f>IF(AND('Upgrade Data'!F12=TRUE,E3=4),_xlfn.CONCAT(D72,'Upgrade Data'!I3,F38,D72,D26,D72,'Upgrade Data'!J4,F38,D72,D26,D72,'Upgrade Data'!J5,F38,D72,D26,D72,'Upgrade Data'!J6,F38,D72),IF(AND('Upgrade Data'!F12=TRUE,E3=3),_xlfn.CONCAT(D72,'Upgrade Data'!I3,F38,D72,D26,D72,'Upgrade Data'!J4,F38,D72,D26,D72,'Upgrade Data'!J5,F38,D72),IF(AND('Upgrade Data'!F12=TRUE,E3=2),_xlfn.CONCAT(D72,'Upgrade Data'!I3,F38,D72,D26,D72,'Upgrade Data'!J4,F38,D72),IF(AND('Upgrade Data'!F12=TRUE,E3=1),_xlfn.CONCAT(D72,'Upgrade Data'!I3,F38,D72),"Non AWS Build"))))</f>
        <v>Non AWS Build</v>
      </c>
    </row>
    <row r="5" spans="2:8">
      <c r="B5" s="3" t="s">
        <v>263</v>
      </c>
      <c r="C5" s="3" t="s">
        <v>264</v>
      </c>
      <c r="D5" s="3" t="s">
        <v>265</v>
      </c>
      <c r="F5">
        <f>('Upgrade Data'!I3)</f>
        <v>0</v>
      </c>
      <c r="G5" t="str">
        <f>IF(E5=4,_xlfn.CONCAT('Upgrade Data'!I21,D26,'Upgrade Data'!J21,D26,'Upgrade Data'!J22,D26,'Upgrade Data'!J23),IF(E5=3,_xlfn.CONCAT('Upgrade Data'!I21,D26,'Upgrade Data'!J21,D26,'Upgrade Data'!J22),IF(E5=2,_xlfn.CONCAT('Upgrade Data'!I21,D26,'Upgrade Data'!J21),IF(E5=1,'Upgrade Data'!I21,""))))</f>
        <v/>
      </c>
    </row>
    <row r="6" spans="2:8">
      <c r="B6" t="s">
        <v>266</v>
      </c>
      <c r="C6" s="33" t="s">
        <v>267</v>
      </c>
      <c r="D6" s="3" t="s">
        <v>268</v>
      </c>
      <c r="F6">
        <f>('Upgrade Data'!I4)</f>
        <v>0</v>
      </c>
    </row>
    <row r="7" spans="2:8">
      <c r="B7" t="s">
        <v>269</v>
      </c>
      <c r="C7" s="3" t="s">
        <v>270</v>
      </c>
      <c r="D7" s="3" t="s">
        <v>271</v>
      </c>
      <c r="F7">
        <f>('Upgrade Data'!I5)</f>
        <v>0</v>
      </c>
      <c r="H7" t="s">
        <v>272</v>
      </c>
    </row>
    <row r="8" spans="2:8">
      <c r="B8" t="s">
        <v>273</v>
      </c>
      <c r="C8" s="3" t="s">
        <v>274</v>
      </c>
      <c r="D8" s="3" t="s">
        <v>275</v>
      </c>
      <c r="F8">
        <f>('Upgrade Data'!I6)</f>
        <v>0</v>
      </c>
      <c r="H8" t="e">
        <f ca="1">_xlfn.CONCAT(D72,F42,D72,D26,D72,F46,D72,D26,D72,F48,D72,D26,H3)</f>
        <v>#NAME?</v>
      </c>
    </row>
    <row r="9" spans="2:8">
      <c r="B9" s="3" t="s">
        <v>276</v>
      </c>
      <c r="C9" s="3" t="s">
        <v>277</v>
      </c>
      <c r="D9" s="3" t="s">
        <v>278</v>
      </c>
      <c r="F9">
        <f>('Upgrade Data'!I7)</f>
        <v>0</v>
      </c>
      <c r="H9" t="e">
        <f ca="1">IF(AND(MasterConfig!B19=TRUE,'Upgrade Data'!F12=TRUE),_xlfn.CONCAT(D72,F13,D72,D26,D72,F12,D72,D26,D72,F14,D72),IF(AND(MasterConfig!B19=FALSE,'Upgrade Data'!F12=TRUE),_xlfn.CONCAT(D72,F13,D72,D26,D72,F12,D72,D26,D72,F14,D72,D26,G3),IF(AND(MasterConfig!B19=FALSE,'Upgrade Data'!F12=FALSE),_xlfn.CONCAT(D72,F13,D72,D26,D72,F12,D72,D26,D72,F14,D72,D26,D72,F15,D72,D26,G3),_xlfn.CONCAT(D72,F13,D72,D26,D72,F12,D72,D26,D72,F14,D72,D26,D72,F15,D72))))</f>
        <v>#NAME?</v>
      </c>
    </row>
    <row r="10" spans="2:8">
      <c r="B10" t="s">
        <v>279</v>
      </c>
      <c r="C10" s="3" t="s">
        <v>280</v>
      </c>
      <c r="D10" s="3" t="s">
        <v>281</v>
      </c>
    </row>
    <row r="11" spans="2:8">
      <c r="B11" t="s">
        <v>282</v>
      </c>
      <c r="C11" s="3" t="s">
        <v>283</v>
      </c>
      <c r="D11" s="3" t="s">
        <v>284</v>
      </c>
      <c r="F11">
        <f>('Upgrade Data'!I9)</f>
        <v>0</v>
      </c>
      <c r="H11" t="s">
        <v>285</v>
      </c>
    </row>
    <row r="12" spans="2:8">
      <c r="B12" s="3" t="s">
        <v>286</v>
      </c>
      <c r="C12" s="3" t="s">
        <v>287</v>
      </c>
      <c r="D12" s="3" t="s">
        <v>288</v>
      </c>
      <c r="F12">
        <f>('Upgrade Data'!I10)</f>
        <v>0</v>
      </c>
      <c r="H12" t="e">
        <f ca="1">_xlfn.CONCAT(H3)</f>
        <v>#NAME?</v>
      </c>
    </row>
    <row r="13" spans="2:8">
      <c r="B13" s="3" t="s">
        <v>260</v>
      </c>
      <c r="C13" s="3" t="s">
        <v>289</v>
      </c>
      <c r="D13" s="3" t="s">
        <v>290</v>
      </c>
      <c r="F13">
        <f>('Upgrade Data'!I11)</f>
        <v>0</v>
      </c>
    </row>
    <row r="14" spans="2:8">
      <c r="B14" s="3" t="s">
        <v>291</v>
      </c>
      <c r="C14" s="3" t="s">
        <v>292</v>
      </c>
      <c r="D14" s="3" t="s">
        <v>293</v>
      </c>
      <c r="F14">
        <f>('Upgrade Data'!I12)</f>
        <v>0</v>
      </c>
    </row>
    <row r="15" spans="2:8">
      <c r="B15" t="s">
        <v>263</v>
      </c>
      <c r="C15" s="3" t="s">
        <v>294</v>
      </c>
      <c r="D15" t="str">
        <f>" "</f>
        <v xml:space="preserve"> </v>
      </c>
      <c r="F15">
        <f>('Upgrade Data'!I13)</f>
        <v>0</v>
      </c>
      <c r="H15" t="s">
        <v>295</v>
      </c>
    </row>
    <row r="16" spans="2:8">
      <c r="B16" s="3" t="s">
        <v>296</v>
      </c>
      <c r="C16" s="3" t="s">
        <v>297</v>
      </c>
      <c r="D16" s="3" t="s">
        <v>298</v>
      </c>
      <c r="F16" t="e">
        <f ca="1">IF('Upgrade Data'!E5="fr",_xlfn.CONCAT('Upgrade Data'!I4,F38,D26,'Upgrade Data'!I10,F38,D26,H2,D26,H3),_xlfn.CONCAT('Upgrade Data'!I4,D26,'Upgrade Data'!I10,D26,F2))</f>
        <v>#NAME?</v>
      </c>
      <c r="H16" t="e">
        <f ca="1">_xlfn.CONCAT(D72,F41,D72,D26,D72,F45,D72,D26,D72,F47,D72,D26,H2)</f>
        <v>#NAME?</v>
      </c>
    </row>
    <row r="17" spans="2:8">
      <c r="B17" s="3" t="s">
        <v>273</v>
      </c>
      <c r="C17" s="3" t="s">
        <v>299</v>
      </c>
      <c r="D17" s="3" t="s">
        <v>300</v>
      </c>
      <c r="H17" t="e">
        <f ca="1">IF(AND(MasterConfig!B19=TRUE,'Upgrade Data'!F12=TRUE),_xlfn.CONCAT(D72,F7,D72,D26,D72,F6,D72,D26,D72,F8,D72),IF(AND(MasterConfig!B19=FALSE,'Upgrade Data'!F12=TRUE),_xlfn.CONCAT(D72,F7,D72,D26,D72,F6,D72,D26,D72,F8,D72,D26,G2),IF(AND(MasterConfig!B19=FALSE,'Upgrade Data'!F12=FALSE),_xlfn.CONCAT(D72,F7,D72,D26,D72,F6,D72,D26,D72,F8,D72,D26,D72,F15,D72,D26,G2),_xlfn.CONCAT(D72,F7,D72,D26,D72,F6,D72,D26,D72,F8,D72,D26,D72,F15,D72))))</f>
        <v>#NAME?</v>
      </c>
    </row>
    <row r="18" spans="2:8">
      <c r="B18" s="3" t="s">
        <v>301</v>
      </c>
      <c r="C18" s="3" t="s">
        <v>302</v>
      </c>
      <c r="D18" s="3" t="s">
        <v>303</v>
      </c>
      <c r="F18" t="str">
        <f>IF('Upgrade Data'!B30=TRUE,F3,_xlfn.CONCAT('Upgrade Data'!I16,D26,'Upgrade Data'!I22,D26,F3))</f>
        <v xml:space="preserve">0CTM, , </v>
      </c>
    </row>
    <row r="19" spans="2:8">
      <c r="B19" s="3" t="s">
        <v>304</v>
      </c>
      <c r="C19" s="3" t="s">
        <v>305</v>
      </c>
      <c r="D19" s="527" t="s">
        <v>306</v>
      </c>
      <c r="F19" t="e">
        <f ca="1">_xlfn.CONCAT('Upgrade Data'!I4,D26,'Upgrade Data'!I10,D26,F2)</f>
        <v>#NAME?</v>
      </c>
      <c r="H19" t="s">
        <v>307</v>
      </c>
    </row>
    <row r="20" spans="2:8">
      <c r="B20" t="s">
        <v>308</v>
      </c>
      <c r="C20" s="3" t="s">
        <v>309</v>
      </c>
      <c r="D20" s="3" t="s">
        <v>310</v>
      </c>
      <c r="F20" t="str">
        <f>IF(AND('Upgrade Data'!I23="",'Upgrade Data'!F12=TRUE),_xlfn.CONCAT('Upgrade Data'!I17),_xlfn.CONCAT('Upgrade Data'!I17,D26,'Upgrade Data'!I23))</f>
        <v xml:space="preserve">, </v>
      </c>
    </row>
    <row r="21" spans="2:8">
      <c r="C21" s="3" t="s">
        <v>311</v>
      </c>
      <c r="D21" s="47" t="str">
        <f>"') "</f>
        <v xml:space="preserve">') </v>
      </c>
      <c r="F21" t="str">
        <f>_xlfn.CONCAT('Upgrade Data'!I11)</f>
        <v>0</v>
      </c>
      <c r="G21" t="str">
        <f>_xlfn.CONCAT('Upgrade Data'!I5)</f>
        <v>0</v>
      </c>
    </row>
    <row r="22" spans="2:8">
      <c r="C22" s="3" t="s">
        <v>312</v>
      </c>
      <c r="D22" s="3" t="s">
        <v>313</v>
      </c>
      <c r="F22" t="str">
        <f>IF('Upgrade Data'!F12=TRUE,_xlfn.CONCAT('Upgrade Data'!I5,F38,D26,'Upgrade Data'!I11,F38),"#Non AWS Build")</f>
        <v>#Non AWS Build</v>
      </c>
    </row>
    <row r="23" spans="2:8">
      <c r="C23" s="3" t="s">
        <v>314</v>
      </c>
      <c r="D23" t="str">
        <f>"','"</f>
        <v>','</v>
      </c>
    </row>
    <row r="24" spans="2:8">
      <c r="C24" s="3" t="s">
        <v>315</v>
      </c>
      <c r="D24" s="3" t="s">
        <v>316</v>
      </c>
      <c r="F24" t="str">
        <f>IF('Upgrade Data'!E5="sg","https://jenkins.us.planview.world/job/manage_reports_pipe/build?delay=0sec","https://jenkins.eu.planview.world/job/manage_reports_pipe/build?delay=0sec")</f>
        <v>https://jenkins.eu.planview.world/job/manage_reports_pipe/build?delay=0sec</v>
      </c>
    </row>
    <row r="25" spans="2:8">
      <c r="C25" s="3" t="s">
        <v>317</v>
      </c>
      <c r="D25" s="3" t="s">
        <v>318</v>
      </c>
      <c r="F25" t="str">
        <f>IF('Upgrade Data'!E5="sg","https://jenkins.us.planview.world/job/install_e1_fasttrack/build?delay=0sec","https://jenkins.eu.planview.world/job/install_e1_fasttrack/build?delay=0sec")</f>
        <v>https://jenkins.eu.planview.world/job/install_e1_fasttrack/build?delay=0sec</v>
      </c>
    </row>
    <row r="26" spans="2:8">
      <c r="C26" s="3" t="s">
        <v>319</v>
      </c>
      <c r="D26" s="3" t="s">
        <v>320</v>
      </c>
      <c r="F26" t="str">
        <f>IF('Upgrade Data'!E5="sg","https://jenkins.us.planview.world/job/refresh_olap_properties_table/build?delay=0sec","https://jenkins.eu.planview.world/job/refresh_olap_properties_table/build?delay=0sec")</f>
        <v>https://jenkins.eu.planview.world/job/refresh_olap_properties_table/build?delay=0sec</v>
      </c>
    </row>
    <row r="27" spans="2:8">
      <c r="C27" s="3" t="s">
        <v>321</v>
      </c>
      <c r="D27" s="3" t="s">
        <v>322</v>
      </c>
      <c r="F27" t="s">
        <v>323</v>
      </c>
    </row>
    <row r="28" spans="2:8">
      <c r="C28" s="3" t="s">
        <v>324</v>
      </c>
      <c r="D28" s="3" t="s">
        <v>325</v>
      </c>
    </row>
    <row r="29" spans="2:8">
      <c r="C29" s="3" t="s">
        <v>326</v>
      </c>
      <c r="D29" s="3" t="s">
        <v>327</v>
      </c>
    </row>
    <row r="30" spans="2:8">
      <c r="C30" s="528" t="s">
        <v>328</v>
      </c>
      <c r="D30" s="3" t="s">
        <v>329</v>
      </c>
    </row>
    <row r="31" spans="2:8">
      <c r="C31" s="528" t="s">
        <v>330</v>
      </c>
      <c r="D31" s="3" t="s">
        <v>331</v>
      </c>
    </row>
    <row r="32" spans="2:8">
      <c r="C32" s="528" t="s">
        <v>332</v>
      </c>
      <c r="D32" s="3" t="s">
        <v>333</v>
      </c>
    </row>
    <row r="33" spans="3:6">
      <c r="C33" s="528" t="s">
        <v>334</v>
      </c>
      <c r="D33" s="3" t="s">
        <v>335</v>
      </c>
      <c r="F33" s="4" t="s">
        <v>200</v>
      </c>
    </row>
    <row r="34" spans="3:6">
      <c r="C34" s="3" t="s">
        <v>336</v>
      </c>
      <c r="D34" s="3" t="s">
        <v>337</v>
      </c>
      <c r="F34" s="4" t="s">
        <v>233</v>
      </c>
    </row>
    <row r="35" spans="3:6">
      <c r="C35" s="3" t="s">
        <v>338</v>
      </c>
      <c r="D35" t="s">
        <v>339</v>
      </c>
      <c r="F35" s="4" t="s">
        <v>340</v>
      </c>
    </row>
    <row r="36" spans="3:6">
      <c r="C36" s="3" t="s">
        <v>341</v>
      </c>
      <c r="D36" t="s">
        <v>342</v>
      </c>
    </row>
    <row r="37" spans="3:6">
      <c r="C37" s="3" t="s">
        <v>343</v>
      </c>
      <c r="D37" t="s">
        <v>344</v>
      </c>
    </row>
    <row r="38" spans="3:6">
      <c r="C38" s="3" t="s">
        <v>345</v>
      </c>
      <c r="D38" t="s">
        <v>346</v>
      </c>
      <c r="F38" t="str">
        <f>IF('Upgrade Data'!F5="fr",".frankfurt.planviewcloud.net",".sydney.planviewcloud.net")</f>
        <v>.sydney.planviewcloud.net</v>
      </c>
    </row>
    <row r="39" spans="3:6">
      <c r="C39" s="3" t="s">
        <v>347</v>
      </c>
      <c r="D39" s="529" t="s">
        <v>348</v>
      </c>
    </row>
    <row r="40" spans="3:6">
      <c r="C40" s="3" t="s">
        <v>349</v>
      </c>
      <c r="D40" s="3" t="s">
        <v>350</v>
      </c>
    </row>
    <row r="41" spans="3:6">
      <c r="C41" s="3" t="s">
        <v>351</v>
      </c>
      <c r="D41" s="3" t="s">
        <v>352</v>
      </c>
      <c r="F41" t="str">
        <f>_xlfn.CONCAT('Upgrade Data'!I5,Automation!F38)</f>
        <v>0.sydney.planviewcloud.net</v>
      </c>
    </row>
    <row r="42" spans="3:6">
      <c r="C42" s="3" t="s">
        <v>353</v>
      </c>
      <c r="D42" s="3" t="s">
        <v>354</v>
      </c>
      <c r="F42" t="str">
        <f>_xlfn.CONCAT('Upgrade Data'!I11,Automation!F38)</f>
        <v>0.sydney.planviewcloud.net</v>
      </c>
    </row>
    <row r="43" spans="3:6">
      <c r="C43" s="3" t="s">
        <v>355</v>
      </c>
      <c r="D43" s="3" t="s">
        <v>356</v>
      </c>
      <c r="F43" t="str">
        <f>_xlfn.CONCAT('Upgrade Data'!I3,Automation!F38)</f>
        <v>0.sydney.planviewcloud.net</v>
      </c>
    </row>
    <row r="44" spans="3:6">
      <c r="C44" s="3" t="s">
        <v>143</v>
      </c>
      <c r="D44" s="3" t="s">
        <v>357</v>
      </c>
      <c r="F44" t="str">
        <f>_xlfn.CONCAT('Upgrade Data'!I9,Automation!F38)</f>
        <v>0.sydney.planviewcloud.net</v>
      </c>
    </row>
    <row r="45" spans="3:6">
      <c r="C45" s="3" t="s">
        <v>358</v>
      </c>
      <c r="D45" s="3" t="s">
        <v>359</v>
      </c>
      <c r="F45" t="str">
        <f>_xlfn.CONCAT('Upgrade Data'!I4,Automation!F38)</f>
        <v>0.sydney.planviewcloud.net</v>
      </c>
    </row>
    <row r="46" spans="3:6">
      <c r="C46" s="3" t="s">
        <v>360</v>
      </c>
      <c r="D46" s="3" t="s">
        <v>145</v>
      </c>
      <c r="F46" t="str">
        <f>_xlfn.CONCAT('Upgrade Data'!I10,Automation!F38)</f>
        <v>0.sydney.planviewcloud.net</v>
      </c>
    </row>
    <row r="47" spans="3:6">
      <c r="C47" s="3" t="s">
        <v>361</v>
      </c>
      <c r="D47" s="3" t="s">
        <v>362</v>
      </c>
      <c r="F47" t="str">
        <f>_xlfn.CONCAT('Upgrade Data'!I6,Automation!F38)</f>
        <v>0.sydney.planviewcloud.net</v>
      </c>
    </row>
    <row r="48" spans="3:6">
      <c r="C48" s="3" t="s">
        <v>363</v>
      </c>
      <c r="D48" s="3" t="s">
        <v>364</v>
      </c>
      <c r="F48" t="str">
        <f>_xlfn.CONCAT('Upgrade Data'!I12,Automation!F38)</f>
        <v>0.sydney.planviewcloud.net</v>
      </c>
    </row>
    <row r="49" spans="3:6">
      <c r="C49" s="3" t="s">
        <v>365</v>
      </c>
      <c r="D49" s="3" t="s">
        <v>366</v>
      </c>
      <c r="F49" t="str">
        <f>IF('Upgrade Data'!J3="","",_xlfn.CONCAT('Upgrade Data'!J3,Automation!F38))</f>
        <v/>
      </c>
    </row>
    <row r="50" spans="3:6">
      <c r="C50" s="3" t="s">
        <v>367</v>
      </c>
      <c r="D50" s="3" t="s">
        <v>368</v>
      </c>
      <c r="F50" t="str">
        <f>IF('Upgrade Data'!J9="","",_xlfn.CONCAT('Upgrade Data'!J9,Automation!F38))</f>
        <v/>
      </c>
    </row>
    <row r="51" spans="3:6">
      <c r="C51" s="3" t="s">
        <v>369</v>
      </c>
      <c r="D51" s="3" t="s">
        <v>370</v>
      </c>
      <c r="F51" t="str">
        <f>IF('Upgrade Data'!J4="","",_xlfn.CONCAT('Upgrade Data'!J4,Automation!F38))</f>
        <v/>
      </c>
    </row>
    <row r="52" spans="3:6">
      <c r="C52" s="3" t="s">
        <v>371</v>
      </c>
      <c r="D52" s="3" t="s">
        <v>372</v>
      </c>
      <c r="F52" t="str">
        <f>IF('Upgrade Data'!J10="","",_xlfn.CONCAT('Upgrade Data'!J10,Automation!F38))</f>
        <v/>
      </c>
    </row>
    <row r="53" spans="3:6">
      <c r="C53" s="3" t="s">
        <v>373</v>
      </c>
      <c r="D53" s="3" t="s">
        <v>374</v>
      </c>
      <c r="F53" t="str">
        <f>IF('Upgrade Data'!J5="","",_xlfn.CONCAT('Upgrade Data'!J5,Automation!F38))</f>
        <v/>
      </c>
    </row>
    <row r="54" spans="3:6">
      <c r="C54" s="3" t="s">
        <v>375</v>
      </c>
      <c r="D54" s="3" t="s">
        <v>376</v>
      </c>
      <c r="F54" t="str">
        <f>IF('Upgrade Data'!J11="","",_xlfn.CONCAT('Upgrade Data'!J11,Automation!F38))</f>
        <v/>
      </c>
    </row>
    <row r="55" spans="3:6">
      <c r="C55" s="3" t="s">
        <v>377</v>
      </c>
      <c r="D55" s="3" t="s">
        <v>378</v>
      </c>
    </row>
    <row r="56" spans="3:6">
      <c r="C56" s="3" t="s">
        <v>379</v>
      </c>
      <c r="D56" s="3" t="s">
        <v>380</v>
      </c>
    </row>
    <row r="57" spans="3:6">
      <c r="C57" s="34" t="s">
        <v>381</v>
      </c>
      <c r="D57" s="3" t="s">
        <v>382</v>
      </c>
    </row>
    <row r="58" spans="3:6">
      <c r="C58" s="3"/>
      <c r="D58" s="3" t="s">
        <v>383</v>
      </c>
    </row>
    <row r="59" spans="3:6">
      <c r="C59" s="3"/>
      <c r="D59" s="3" t="s">
        <v>384</v>
      </c>
    </row>
    <row r="60" spans="3:6">
      <c r="C60" s="3"/>
      <c r="D60" s="3" t="s">
        <v>385</v>
      </c>
    </row>
    <row r="61" spans="3:6">
      <c r="C61" s="3"/>
      <c r="D61" s="3" t="s">
        <v>386</v>
      </c>
    </row>
    <row r="62" spans="3:6">
      <c r="C62" s="3"/>
      <c r="D62" s="3" t="s">
        <v>387</v>
      </c>
    </row>
    <row r="63" spans="3:6">
      <c r="C63" s="3"/>
      <c r="D63" s="3" t="s">
        <v>388</v>
      </c>
    </row>
    <row r="64" spans="3:6">
      <c r="C64" s="3"/>
      <c r="D64" s="3" t="s">
        <v>389</v>
      </c>
    </row>
    <row r="65" spans="3:6">
      <c r="C65" s="3"/>
      <c r="D65" s="3" t="s">
        <v>390</v>
      </c>
    </row>
    <row r="66" spans="3:6">
      <c r="C66" s="3"/>
      <c r="D66" s="530" t="s">
        <v>391</v>
      </c>
    </row>
    <row r="67" spans="3:6">
      <c r="C67" s="3"/>
      <c r="D67" s="531" t="s">
        <v>392</v>
      </c>
    </row>
    <row r="68" spans="3:6">
      <c r="C68" s="3"/>
      <c r="D68" s="3" t="s">
        <v>393</v>
      </c>
    </row>
    <row r="69" spans="3:6">
      <c r="D69" s="3" t="s">
        <v>22</v>
      </c>
    </row>
    <row r="70" spans="3:6">
      <c r="D70" s="9" t="str">
        <f>(";")</f>
        <v>;</v>
      </c>
    </row>
    <row r="71" spans="3:6">
      <c r="D71" t="s">
        <v>394</v>
      </c>
    </row>
    <row r="72" spans="3:6">
      <c r="D72" t="str">
        <f>("'")</f>
        <v>'</v>
      </c>
    </row>
    <row r="73" spans="3:6">
      <c r="D73" t="s">
        <v>395</v>
      </c>
    </row>
    <row r="74" spans="3:6">
      <c r="D74" t="s">
        <v>396</v>
      </c>
    </row>
    <row r="75" spans="3:6">
      <c r="D75" t="s">
        <v>397</v>
      </c>
    </row>
    <row r="76" spans="3:6">
      <c r="D76" t="s">
        <v>398</v>
      </c>
      <c r="F76" t="s">
        <v>399</v>
      </c>
    </row>
    <row r="77" spans="3:6">
      <c r="D77" t="s">
        <v>400</v>
      </c>
      <c r="F77" t="s">
        <v>401</v>
      </c>
    </row>
    <row r="78" spans="3:6">
      <c r="D78" t="s">
        <v>402</v>
      </c>
    </row>
    <row r="79" spans="3:6">
      <c r="D79" t="s">
        <v>403</v>
      </c>
    </row>
    <row r="80" spans="3:6">
      <c r="D80" t="s">
        <v>404</v>
      </c>
    </row>
    <row r="81" spans="4:6">
      <c r="D81" t="s">
        <v>405</v>
      </c>
    </row>
    <row r="82" spans="4:6">
      <c r="D82" t="s">
        <v>406</v>
      </c>
    </row>
    <row r="83" spans="4:6">
      <c r="D83" t="s">
        <v>407</v>
      </c>
    </row>
    <row r="84" spans="4:6">
      <c r="D84" t="s">
        <v>408</v>
      </c>
    </row>
    <row r="85" spans="4:6">
      <c r="D85" t="s">
        <v>409</v>
      </c>
    </row>
    <row r="86" spans="4:6">
      <c r="D86" t="s">
        <v>410</v>
      </c>
    </row>
    <row r="87" spans="4:6">
      <c r="D87" t="s">
        <v>411</v>
      </c>
    </row>
    <row r="88" spans="4:6">
      <c r="D88" t="s">
        <v>412</v>
      </c>
      <c r="F88" s="47" t="b">
        <f>'Upgrade Data'!I18</f>
        <v>0</v>
      </c>
    </row>
    <row r="89" spans="4:6">
      <c r="D89" t="s">
        <v>413</v>
      </c>
    </row>
    <row r="90" spans="4:6">
      <c r="D90" t="s">
        <v>414</v>
      </c>
    </row>
    <row r="91" spans="4:6">
      <c r="D91" t="s">
        <v>415</v>
      </c>
    </row>
    <row r="92" spans="4:6">
      <c r="D92" t="s">
        <v>416</v>
      </c>
    </row>
    <row r="93" spans="4:6">
      <c r="D93" t="s">
        <v>417</v>
      </c>
    </row>
    <row r="94" spans="4:6">
      <c r="D94" s="6">
        <v>1</v>
      </c>
    </row>
    <row r="95" spans="4:6">
      <c r="D95" s="3" t="s">
        <v>418</v>
      </c>
    </row>
    <row r="96" spans="4:6">
      <c r="D96" t="s">
        <v>419</v>
      </c>
    </row>
    <row r="97" spans="4:4">
      <c r="D97" t="s">
        <v>420</v>
      </c>
    </row>
    <row r="98" spans="4:4">
      <c r="D98" s="3" t="s">
        <v>421</v>
      </c>
    </row>
    <row r="99" spans="4:4">
      <c r="D99" s="3" t="s">
        <v>422</v>
      </c>
    </row>
    <row r="100" spans="4:4">
      <c r="D100" s="3" t="s">
        <v>423</v>
      </c>
    </row>
    <row r="101" spans="4:4">
      <c r="D101" s="3" t="s">
        <v>424</v>
      </c>
    </row>
    <row r="102" spans="4:4">
      <c r="D102" s="3" t="s">
        <v>91</v>
      </c>
    </row>
    <row r="103" spans="4:4">
      <c r="D103" s="3" t="s">
        <v>21</v>
      </c>
    </row>
    <row r="104" spans="4:4">
      <c r="D104" s="3" t="s">
        <v>425</v>
      </c>
    </row>
    <row r="105" spans="4:4">
      <c r="D105" s="3"/>
    </row>
    <row r="106" spans="4:4">
      <c r="D106" s="3"/>
    </row>
    <row r="107" spans="4:4">
      <c r="D107" s="3"/>
    </row>
    <row r="108" spans="4:4">
      <c r="D108" s="3"/>
    </row>
    <row r="109" spans="4:4">
      <c r="D109" s="3"/>
    </row>
    <row r="110" spans="4:4">
      <c r="D110" s="3"/>
    </row>
    <row r="111" spans="4:4">
      <c r="D111" s="3"/>
    </row>
    <row r="112" spans="4:4">
      <c r="D112" s="3"/>
    </row>
    <row r="113" spans="4:4">
      <c r="D113" s="3"/>
    </row>
    <row r="114" spans="4:4">
      <c r="D114" s="3"/>
    </row>
    <row r="115" spans="4:4">
      <c r="D115" s="3"/>
    </row>
    <row r="116" spans="4:4">
      <c r="D116" s="3"/>
    </row>
    <row r="117" spans="4:4">
      <c r="D117" s="3"/>
    </row>
    <row r="118" spans="4:4">
      <c r="D118" s="3"/>
    </row>
    <row r="119" spans="4:4">
      <c r="D119" s="3"/>
    </row>
    <row r="120" spans="4:4">
      <c r="D120" s="3"/>
    </row>
    <row r="121" spans="4:4">
      <c r="D121" s="3"/>
    </row>
    <row r="122" spans="4:4">
      <c r="D122" s="3"/>
    </row>
    <row r="123" spans="4:4">
      <c r="D123" s="3"/>
    </row>
    <row r="124" spans="4:4">
      <c r="D124" s="3"/>
    </row>
    <row r="125" spans="4:4">
      <c r="D125" s="3"/>
    </row>
    <row r="126" spans="4:4">
      <c r="D126" s="3"/>
    </row>
    <row r="127" spans="4:4">
      <c r="D127" s="3"/>
    </row>
    <row r="128" spans="4:4">
      <c r="D128" s="3"/>
    </row>
    <row r="129" spans="4:4">
      <c r="D129" s="3"/>
    </row>
    <row r="130" spans="4:4">
      <c r="D130" s="3"/>
    </row>
    <row r="131" spans="4:4">
      <c r="D131" s="3"/>
    </row>
    <row r="132" spans="4:4">
      <c r="D132" s="3"/>
    </row>
    <row r="133" spans="4:4">
      <c r="D133" s="3"/>
    </row>
    <row r="134" spans="4:4">
      <c r="D134" s="3"/>
    </row>
    <row r="135" spans="4:4">
      <c r="D135" s="3"/>
    </row>
    <row r="136" spans="4:4">
      <c r="D136" s="3"/>
    </row>
    <row r="139" spans="4:4">
      <c r="D139" t="s">
        <v>426</v>
      </c>
    </row>
    <row r="140" spans="4:4">
      <c r="D140" t="s">
        <v>427</v>
      </c>
    </row>
    <row r="141" spans="4:4">
      <c r="D141" t="s">
        <v>428</v>
      </c>
    </row>
    <row r="142" spans="4:4">
      <c r="D142" t="s">
        <v>429</v>
      </c>
    </row>
    <row r="143" spans="4:4">
      <c r="D143" t="s">
        <v>430</v>
      </c>
    </row>
    <row r="144" spans="4:4">
      <c r="D144" t="s">
        <v>431</v>
      </c>
    </row>
    <row r="303" spans="2:4">
      <c r="B303" t="s">
        <v>432</v>
      </c>
      <c r="C303" t="s">
        <v>433</v>
      </c>
      <c r="D303" t="s">
        <v>434</v>
      </c>
    </row>
    <row r="304" spans="2:4">
      <c r="C304" t="s">
        <v>433</v>
      </c>
      <c r="D304" t="s">
        <v>435</v>
      </c>
    </row>
    <row r="305" spans="2:4">
      <c r="C305" t="s">
        <v>433</v>
      </c>
      <c r="D305" t="s">
        <v>436</v>
      </c>
    </row>
    <row r="306" spans="2:4">
      <c r="C306" t="s">
        <v>437</v>
      </c>
      <c r="D306" t="s">
        <v>438</v>
      </c>
    </row>
    <row r="307" spans="2:4">
      <c r="C307" t="s">
        <v>437</v>
      </c>
      <c r="D307" t="s">
        <v>439</v>
      </c>
    </row>
    <row r="308" spans="2:4">
      <c r="C308" t="s">
        <v>440</v>
      </c>
      <c r="D308" t="s">
        <v>441</v>
      </c>
    </row>
    <row r="309" spans="2:4">
      <c r="C309" t="s">
        <v>442</v>
      </c>
      <c r="D309" t="s">
        <v>443</v>
      </c>
    </row>
    <row r="310" spans="2:4">
      <c r="C310" t="s">
        <v>444</v>
      </c>
      <c r="D310" t="s">
        <v>445</v>
      </c>
    </row>
    <row r="311" spans="2:4">
      <c r="B311" t="s">
        <v>446</v>
      </c>
      <c r="C311" t="s">
        <v>447</v>
      </c>
      <c r="D311" t="s">
        <v>448</v>
      </c>
    </row>
    <row r="312" spans="2:4">
      <c r="C312" t="s">
        <v>447</v>
      </c>
      <c r="D312" t="s">
        <v>449</v>
      </c>
    </row>
    <row r="313" spans="2:4">
      <c r="C313" t="s">
        <v>447</v>
      </c>
      <c r="D313" t="s">
        <v>450</v>
      </c>
    </row>
    <row r="314" spans="2:4">
      <c r="C314" t="s">
        <v>447</v>
      </c>
      <c r="D314" t="s">
        <v>451</v>
      </c>
    </row>
    <row r="315" spans="2:4">
      <c r="C315" t="s">
        <v>447</v>
      </c>
      <c r="D315" t="s">
        <v>452</v>
      </c>
    </row>
    <row r="316" spans="2:4">
      <c r="C316" t="s">
        <v>447</v>
      </c>
      <c r="D316" t="s">
        <v>453</v>
      </c>
    </row>
    <row r="317" spans="2:4">
      <c r="C317" t="s">
        <v>447</v>
      </c>
      <c r="D317" t="s">
        <v>454</v>
      </c>
    </row>
    <row r="318" spans="2:4">
      <c r="C318" t="s">
        <v>447</v>
      </c>
      <c r="D318" t="s">
        <v>455</v>
      </c>
    </row>
    <row r="319" spans="2:4">
      <c r="C319" t="s">
        <v>447</v>
      </c>
      <c r="D319" t="s">
        <v>456</v>
      </c>
    </row>
    <row r="320" spans="2:4">
      <c r="C320" t="s">
        <v>447</v>
      </c>
      <c r="D320" t="s">
        <v>457</v>
      </c>
    </row>
    <row r="321" spans="3:4">
      <c r="C321" t="s">
        <v>447</v>
      </c>
      <c r="D321" t="s">
        <v>458</v>
      </c>
    </row>
    <row r="322" spans="3:4">
      <c r="C322" t="s">
        <v>447</v>
      </c>
      <c r="D322" t="s">
        <v>459</v>
      </c>
    </row>
    <row r="323" spans="3:4">
      <c r="C323" t="s">
        <v>447</v>
      </c>
      <c r="D323" t="s">
        <v>460</v>
      </c>
    </row>
    <row r="324" spans="3:4">
      <c r="C324" t="s">
        <v>461</v>
      </c>
      <c r="D324" t="s">
        <v>462</v>
      </c>
    </row>
    <row r="329" spans="3:4">
      <c r="C329" t="s">
        <v>463</v>
      </c>
    </row>
    <row r="330" spans="3:4">
      <c r="C330" t="s">
        <v>464</v>
      </c>
      <c r="D330" t="str">
        <f>_xlfn.CONCAT("UPDATE IP.DM_EXTRACT SET PDB_PATH = '",'Upgrade Data'!F13,".IP';")</f>
        <v>UPDATE IP.DM_EXTRACT SET PDB_PATH = '.IP';</v>
      </c>
    </row>
    <row r="331" spans="3:4">
      <c r="C331" t="s">
        <v>465</v>
      </c>
      <c r="D331" t="str">
        <f>_xlfn.CONCAT("UPDATE IP.DM_EXTRACT_HISTORY_INT SET PDB_PATH = '",'Upgrade Data'!F13,".IP';")</f>
        <v>UPDATE IP.DM_EXTRACT_HISTORY_INT SET PDB_PATH = '.IP';</v>
      </c>
    </row>
    <row r="332" spans="3:4">
      <c r="C332" t="s">
        <v>466</v>
      </c>
      <c r="D332" t="s">
        <v>467</v>
      </c>
    </row>
    <row r="333" spans="3:4">
      <c r="C333" t="s">
        <v>468</v>
      </c>
      <c r="D333" t="s">
        <v>469</v>
      </c>
    </row>
    <row r="334" spans="3:4">
      <c r="C334" t="s">
        <v>470</v>
      </c>
      <c r="D334" t="s">
        <v>471</v>
      </c>
    </row>
    <row r="335" spans="3:4">
      <c r="C335" t="s">
        <v>470</v>
      </c>
      <c r="D335" t="s">
        <v>472</v>
      </c>
    </row>
    <row r="336" spans="3:4">
      <c r="C336" t="s">
        <v>470</v>
      </c>
      <c r="D336" t="s">
        <v>473</v>
      </c>
    </row>
    <row r="342" spans="3:4">
      <c r="C342" t="s">
        <v>474</v>
      </c>
      <c r="D342" t="s">
        <v>475</v>
      </c>
    </row>
    <row r="343" spans="3:4">
      <c r="C343" t="s">
        <v>474</v>
      </c>
      <c r="D343" t="s">
        <v>476</v>
      </c>
    </row>
  </sheetData>
  <hyperlinks>
    <hyperlink ref="D66" r:id="rId1" display="\\techservices\Cutover\ImportConfig.bat "/>
    <hyperlink ref="F33" r:id="rId2" location="/ccu-main"/>
    <hyperlink ref="F34" r:id="rId3" location="/home/monitors"/>
    <hyperlink ref="F35" r:id="rId4"/>
  </hyperlinks>
  <pageMargins left="0.7" right="0.7" top="0.75" bottom="0.75" header="0.3" footer="0.3"/>
  <pageSetup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R146"/>
  <sheetViews>
    <sheetView topLeftCell="G85" workbookViewId="0">
      <selection activeCell="N116" sqref="N116"/>
    </sheetView>
  </sheetViews>
  <sheetFormatPr defaultRowHeight="15"/>
  <cols>
    <col min="1" max="1" width="23.42578125" bestFit="1" customWidth="1"/>
    <col min="2" max="2" width="53.5703125" bestFit="1" customWidth="1"/>
    <col min="3" max="3" width="31.5703125" bestFit="1" customWidth="1"/>
    <col min="4" max="4" width="45.5703125" bestFit="1" customWidth="1"/>
    <col min="5" max="5" width="61.7109375" bestFit="1" customWidth="1"/>
    <col min="6" max="6" width="22.28515625" bestFit="1" customWidth="1"/>
    <col min="7" max="7" width="67.5703125" bestFit="1" customWidth="1"/>
    <col min="8" max="8" width="9.28515625" bestFit="1" customWidth="1"/>
    <col min="9" max="9" width="10" bestFit="1" customWidth="1"/>
    <col min="12" max="12" width="24.140625" bestFit="1" customWidth="1"/>
    <col min="13" max="13" width="73.85546875" bestFit="1" customWidth="1"/>
    <col min="14" max="14" width="17.28515625" bestFit="1" customWidth="1"/>
    <col min="17" max="17" width="15.85546875" bestFit="1" customWidth="1"/>
    <col min="18" max="18" width="15.140625" bestFit="1" customWidth="1"/>
  </cols>
  <sheetData>
    <row r="1" spans="1:16">
      <c r="A1" s="40"/>
      <c r="B1" s="40"/>
      <c r="C1" s="40"/>
    </row>
    <row r="2" spans="1:16">
      <c r="A2" s="2" t="s">
        <v>75</v>
      </c>
    </row>
    <row r="3" spans="1:16">
      <c r="A3" s="5" t="str">
        <f>'Upgrade Data'!F6&amp;""&amp;B3</f>
        <v>0PROD</v>
      </c>
      <c r="B3" t="s">
        <v>477</v>
      </c>
      <c r="E3" t="s">
        <v>478</v>
      </c>
    </row>
    <row r="4" spans="1:16">
      <c r="A4" s="5" t="str">
        <f>'Upgrade Data'!F6&amp;""&amp;B4</f>
        <v>0CONFIG</v>
      </c>
      <c r="B4" t="s">
        <v>479</v>
      </c>
      <c r="E4" t="s">
        <v>480</v>
      </c>
      <c r="F4" t="s">
        <v>481</v>
      </c>
    </row>
    <row r="5" spans="1:16">
      <c r="A5" s="5" t="str">
        <f>'Upgrade Data'!F6&amp;""&amp;B5</f>
        <v>0SANDBOX1</v>
      </c>
      <c r="B5" t="s">
        <v>482</v>
      </c>
      <c r="E5" t="s">
        <v>483</v>
      </c>
      <c r="F5" t="s">
        <v>484</v>
      </c>
      <c r="L5" t="s">
        <v>485</v>
      </c>
      <c r="M5">
        <f>('Upgrade Data'!F5)</f>
        <v>0</v>
      </c>
      <c r="N5" s="3" t="s">
        <v>486</v>
      </c>
      <c r="O5">
        <f>('Upgrade Data'!F3)</f>
        <v>0</v>
      </c>
      <c r="P5" t="s">
        <v>487</v>
      </c>
    </row>
    <row r="6" spans="1:16">
      <c r="A6" s="5" t="str">
        <f>'Upgrade Data'!F6&amp;""&amp;B6</f>
        <v>0SANDBOX2</v>
      </c>
      <c r="B6" t="s">
        <v>488</v>
      </c>
      <c r="E6" t="s">
        <v>489</v>
      </c>
      <c r="F6" t="s">
        <v>490</v>
      </c>
    </row>
    <row r="7" spans="1:16">
      <c r="A7" s="5" t="str">
        <f>'Upgrade Data'!F6&amp;""&amp;B7</f>
        <v>0SANDBOX3</v>
      </c>
      <c r="B7" t="s">
        <v>491</v>
      </c>
    </row>
    <row r="8" spans="1:16">
      <c r="A8" s="5" t="str">
        <f>'Upgrade Data'!F6&amp;""&amp;B8</f>
        <v>0CTM</v>
      </c>
      <c r="B8" t="s">
        <v>492</v>
      </c>
      <c r="D8" t="s">
        <v>493</v>
      </c>
      <c r="E8" s="33" t="s">
        <v>494</v>
      </c>
    </row>
    <row r="9" spans="1:16">
      <c r="A9" t="str">
        <f>"DM"&amp;(A3)</f>
        <v>DM0PROD</v>
      </c>
      <c r="E9" s="47" t="s">
        <v>495</v>
      </c>
    </row>
    <row r="10" spans="1:16">
      <c r="A10" t="str">
        <f>"DM"&amp;(A5)</f>
        <v>DM0SANDBOX1</v>
      </c>
    </row>
    <row r="12" spans="1:16">
      <c r="B12" s="3"/>
      <c r="D12" s="2" t="s">
        <v>496</v>
      </c>
      <c r="F12" t="s">
        <v>497</v>
      </c>
    </row>
    <row r="13" spans="1:16">
      <c r="A13" s="20" t="e">
        <f>_xlfn.CONCAT(B13,A55)</f>
        <v>#REF!</v>
      </c>
      <c r="B13" s="21" t="e">
        <f>LEFT(C13,LEN(C13)-2)</f>
        <v>#REF!</v>
      </c>
      <c r="C13" s="9" t="e">
        <f>LOWER(_xlfn.CONCAT('Upgrade Data'!F5,E3,'Upgrade Data'!F6,E13,'Upgrade Data'!#REF!+1))</f>
        <v>#REF!</v>
      </c>
      <c r="D13" t="e">
        <f>LOWER(_xlfn.CONCAT('Upgrade Data'!F5,E3,'Upgrade Data'!F6,E13,'Upgrade Data'!#REF!))</f>
        <v>#REF!</v>
      </c>
      <c r="E13" t="s">
        <v>498</v>
      </c>
      <c r="F13" t="e">
        <f>IF(LEFT(A54,1)="b",A13,C13)</f>
        <v>#REF!</v>
      </c>
      <c r="G13" t="e">
        <f>IF('Upgrade Data'!#REF!=TRUE,D35,D28)</f>
        <v>#REF!</v>
      </c>
      <c r="H13" t="e">
        <f>IF('Upgrade Data'!#REF!=TRUE,D36,D29)</f>
        <v>#REF!</v>
      </c>
    </row>
    <row r="14" spans="1:16">
      <c r="A14" t="e">
        <f>_xlfn.CONCAT(B13,A57)</f>
        <v>#REF!</v>
      </c>
      <c r="B14" s="21"/>
      <c r="C14" s="9" t="e">
        <f>LOWER(_xlfn.CONCAT('Upgrade Data'!F5,E3,'Upgrade Data'!F6,E13,'Upgrade Data'!#REF!+2))</f>
        <v>#REF!</v>
      </c>
      <c r="D14" t="e">
        <f>LOWER(_xlfn.CONCAT('Upgrade Data'!F5,E3,'Upgrade Data'!F6,E14,'Upgrade Data'!#REF!))</f>
        <v>#REF!</v>
      </c>
      <c r="E14" t="s">
        <v>499</v>
      </c>
      <c r="F14" t="e">
        <f>IF(LEFT(A56,1)="b",A14,C14)</f>
        <v>#REF!</v>
      </c>
      <c r="G14" t="e">
        <f>IF('Upgrade Data'!#REF!=TRUE,D48,D41)</f>
        <v>#REF!</v>
      </c>
      <c r="H14" t="e">
        <f>IF('Upgrade Data'!#REF!=TRUE,D49,D42)</f>
        <v>#REF!</v>
      </c>
      <c r="I14" t="e">
        <f>LOWER(_xlfn.CONCAT('Upgrade Data'!F5,E3,'Upgrade Data'!F6,E6,'Upgrade Data'!#REF!))</f>
        <v>#REF!</v>
      </c>
    </row>
    <row r="15" spans="1:16">
      <c r="A15" t="e">
        <f>_xlfn.CONCAT(B13,A59)</f>
        <v>#REF!</v>
      </c>
      <c r="B15" s="21"/>
      <c r="C15" s="9" t="e">
        <f>LOWER(_xlfn.CONCAT('Upgrade Data'!F5,E3,'Upgrade Data'!F6,E13,'Upgrade Data'!#REF!+3))</f>
        <v>#REF!</v>
      </c>
      <c r="D15" t="e">
        <f>LOWER(_xlfn.CONCAT('Upgrade Data'!F5,E3,'Upgrade Data'!F6,E15,'Upgrade Data'!#REF!))</f>
        <v>#REF!</v>
      </c>
      <c r="E15" t="s">
        <v>500</v>
      </c>
      <c r="F15" t="e">
        <f>IF(LEFT(A58,1)="b",A15,C15)</f>
        <v>#REF!</v>
      </c>
    </row>
    <row r="16" spans="1:16">
      <c r="A16" t="e">
        <f>_xlfn.CONCAT(B13,A61)</f>
        <v>#REF!</v>
      </c>
      <c r="B16" s="21"/>
      <c r="C16" s="9" t="e">
        <f>LOWER(_xlfn.CONCAT('Upgrade Data'!F5,E3,'Upgrade Data'!F6,E13,'Upgrade Data'!#REF!+4))</f>
        <v>#REF!</v>
      </c>
      <c r="D16" t="e">
        <f>LOWER(_xlfn.CONCAT('Upgrade Data'!F5,E5,'Upgrade Data'!F6,E14,'Upgrade Data'!#REF!))</f>
        <v>#REF!</v>
      </c>
      <c r="E16" t="s">
        <v>501</v>
      </c>
      <c r="F16" t="e">
        <f>IF(LEFT(A60,1)="b",A16,C16)</f>
        <v>#REF!</v>
      </c>
    </row>
    <row r="17" spans="1:18">
      <c r="B17" s="3"/>
      <c r="C17" s="9"/>
      <c r="D17" t="e">
        <f>LOWER(_xlfn.CONCAT('Upgrade Data'!F5,E3,'Upgrade Data'!F6,E17,'Upgrade Data'!#REF!))</f>
        <v>#REF!</v>
      </c>
      <c r="E17" t="s">
        <v>502</v>
      </c>
    </row>
    <row r="19" spans="1:18">
      <c r="D19" s="2" t="s">
        <v>503</v>
      </c>
    </row>
    <row r="20" spans="1:18">
      <c r="A20" t="e">
        <f>_xlfn.CONCAT(B20,A55)</f>
        <v>#REF!</v>
      </c>
      <c r="B20" s="20" t="e">
        <f>LEFT(C20,LEN(C20)-2)</f>
        <v>#REF!</v>
      </c>
      <c r="C20" t="e">
        <f>LOWER(_xlfn.CONCAT('Upgrade Data'!F5,E4,'Upgrade Data'!F6,E13,'Upgrade Data'!#REF!+1))</f>
        <v>#REF!</v>
      </c>
      <c r="D20" t="e">
        <f>LOWER(_xlfn.CONCAT('Upgrade Data'!F5,E4,'Upgrade Data'!F6,E13,'Upgrade Data'!#REF!))</f>
        <v>#REF!</v>
      </c>
      <c r="E20" t="s">
        <v>480</v>
      </c>
      <c r="F20" t="e">
        <f>IF(LEFT(A54,1)="b",A20,C20)</f>
        <v>#REF!</v>
      </c>
      <c r="M20" s="18" t="s">
        <v>504</v>
      </c>
      <c r="N20" s="17"/>
      <c r="O20" s="17"/>
      <c r="P20" s="17"/>
      <c r="Q20" s="17"/>
      <c r="R20" s="19" t="s">
        <v>80</v>
      </c>
    </row>
    <row r="21" spans="1:18">
      <c r="A21" t="e">
        <f>_xlfn.CONCAT(B20,A57)</f>
        <v>#REF!</v>
      </c>
      <c r="B21" s="21"/>
      <c r="C21" t="e">
        <f>LOWER(_xlfn.CONCAT('Upgrade Data'!F5,E4,'Upgrade Data'!F6,E13,'Upgrade Data'!#REF!+2))</f>
        <v>#REF!</v>
      </c>
      <c r="D21" t="e">
        <f>LOWER(_xlfn.CONCAT('Upgrade Data'!F5,E4,'Upgrade Data'!F6,E14,'Upgrade Data'!#REF!))</f>
        <v>#REF!</v>
      </c>
      <c r="E21" t="s">
        <v>499</v>
      </c>
      <c r="F21" t="e">
        <f>IF(LEFT(A56,1)="b",A21,C21)</f>
        <v>#REF!</v>
      </c>
      <c r="I21" t="e">
        <f>LOWER(_xlfn.CONCAT('Upgrade Data'!F5,E4,'Upgrade Data'!F6,E6,'Upgrade Data'!#REF!))</f>
        <v>#REF!</v>
      </c>
    </row>
    <row r="22" spans="1:18">
      <c r="A22" t="e">
        <f>_xlfn.CONCAT(B20,A59)</f>
        <v>#REF!</v>
      </c>
      <c r="B22" s="21"/>
      <c r="C22" t="e">
        <f>LOWER(_xlfn.CONCAT('Upgrade Data'!F5,E4,'Upgrade Data'!F6,E13,'Upgrade Data'!#REF!+3))</f>
        <v>#REF!</v>
      </c>
      <c r="D22" t="e">
        <f>LOWER(_xlfn.CONCAT('Upgrade Data'!F5,E4,'Upgrade Data'!F6,E15,'Upgrade Data'!#REF!))</f>
        <v>#REF!</v>
      </c>
      <c r="E22" t="s">
        <v>500</v>
      </c>
      <c r="F22" t="e">
        <f>IF(LEFT(A58,1)="b",A22,C22)</f>
        <v>#REF!</v>
      </c>
      <c r="M22" s="6" t="b">
        <v>1</v>
      </c>
      <c r="R22" t="s">
        <v>505</v>
      </c>
    </row>
    <row r="23" spans="1:18">
      <c r="A23" t="e">
        <f>_xlfn.CONCAT(B20,A61)</f>
        <v>#REF!</v>
      </c>
      <c r="B23" s="21"/>
      <c r="C23" t="e">
        <f>LOWER(_xlfn.CONCAT('Upgrade Data'!F5,E4,'Upgrade Data'!F6,E13,'Upgrade Data'!#REF!+4))</f>
        <v>#REF!</v>
      </c>
      <c r="D23" t="e">
        <f>LOWER(_xlfn.CONCAT('Upgrade Data'!F5,E4,'Upgrade Data'!F6,E23,'Upgrade Data'!#REF!))</f>
        <v>#REF!</v>
      </c>
      <c r="E23" t="s">
        <v>506</v>
      </c>
      <c r="F23" t="e">
        <f>IF(LEFT(A60,1)="b",A23,C23)</f>
        <v>#REF!</v>
      </c>
      <c r="M23" s="6" t="b">
        <v>0</v>
      </c>
    </row>
    <row r="24" spans="1:18">
      <c r="D24" t="s">
        <v>94</v>
      </c>
    </row>
    <row r="25" spans="1:18">
      <c r="M25" t="s">
        <v>79</v>
      </c>
    </row>
    <row r="26" spans="1:18">
      <c r="D26" s="2" t="s">
        <v>507</v>
      </c>
      <c r="R26" t="s">
        <v>508</v>
      </c>
    </row>
    <row r="27" spans="1:18">
      <c r="A27" t="e">
        <f>_xlfn.CONCAT(B27,A65)</f>
        <v>#REF!</v>
      </c>
      <c r="B27" s="9" t="e">
        <f>LEFT(C27,LEN(C27)-2)</f>
        <v>#REF!</v>
      </c>
      <c r="C27" t="e">
        <f>LOWER(_xlfn.CONCAT('Upgrade Data'!F5,E3,'Upgrade Data'!F6,E13,'Upgrade Data'!#REF!+1))</f>
        <v>#REF!</v>
      </c>
      <c r="D27" t="e">
        <f>LOWER(_xlfn.CONCAT('Upgrade Data'!F5,E3,'Upgrade Data'!F6,E13,'Upgrade Data'!#REF!))</f>
        <v>#REF!</v>
      </c>
      <c r="F27" t="e">
        <f>IF(LEFT(A64,1)="b",A27,C27)</f>
        <v>#REF!</v>
      </c>
    </row>
    <row r="28" spans="1:18">
      <c r="A28" t="e">
        <f>_xlfn.CONCAT(B27,A67)</f>
        <v>#REF!</v>
      </c>
      <c r="B28" s="3"/>
      <c r="C28" t="e">
        <f>LOWER(_xlfn.CONCAT('Upgrade Data'!F5,E3,'Upgrade Data'!F6,E13,'Upgrade Data'!#REF!+2))</f>
        <v>#REF!</v>
      </c>
      <c r="D28" t="e">
        <f>LOWER(_xlfn.CONCAT('Upgrade Data'!F5,E3,'Upgrade Data'!F6,E14,'Upgrade Data'!#REF!))</f>
        <v>#REF!</v>
      </c>
      <c r="F28" t="e">
        <f>IF(LEFT(A66,1)="b",A28,C28)</f>
        <v>#REF!</v>
      </c>
      <c r="I28" t="e">
        <f>LOWER(_xlfn.CONCAT('Upgrade Data'!F5,E3,'Upgrade Data'!F6,E6,'Upgrade Data'!#REF!))</f>
        <v>#REF!</v>
      </c>
    </row>
    <row r="29" spans="1:18">
      <c r="A29" t="e">
        <f>_xlfn.CONCAT(B27,A69)</f>
        <v>#REF!</v>
      </c>
      <c r="B29" s="3"/>
      <c r="C29" t="e">
        <f>LOWER(_xlfn.CONCAT('Upgrade Data'!F5,E3,'Upgrade Data'!F6,E13,'Upgrade Data'!#REF!+3))</f>
        <v>#REF!</v>
      </c>
      <c r="D29" t="e">
        <f>LOWER(_xlfn.CONCAT('Upgrade Data'!F5,E3,'Upgrade Data'!F6,E15,'Upgrade Data'!#REF!))</f>
        <v>#REF!</v>
      </c>
      <c r="F29" t="e">
        <f>IF(LEFT(A68,1)="b",A29,C29)</f>
        <v>#REF!</v>
      </c>
      <c r="M29" t="s">
        <v>39</v>
      </c>
      <c r="R29" t="s">
        <v>509</v>
      </c>
    </row>
    <row r="30" spans="1:18">
      <c r="A30" t="e">
        <f>_xlfn.CONCAT(B27,A71)</f>
        <v>#REF!</v>
      </c>
      <c r="B30" s="3"/>
      <c r="C30" t="e">
        <f>LOWER(_xlfn.CONCAT('Upgrade Data'!F5,E3,'Upgrade Data'!F6,E13,'Upgrade Data'!#REF!+4))</f>
        <v>#REF!</v>
      </c>
      <c r="D30" t="e">
        <f>LOWER(_xlfn.CONCAT('Upgrade Data'!F5,E5,'Upgrade Data'!F6,E14,'Upgrade Data'!#REF!))</f>
        <v>#REF!</v>
      </c>
      <c r="F30" t="e">
        <f>IF(LEFT(A70,1)="b",A30,C30)</f>
        <v>#REF!</v>
      </c>
      <c r="M30" t="s">
        <v>40</v>
      </c>
    </row>
    <row r="31" spans="1:18">
      <c r="B31" s="3"/>
      <c r="D31" t="e">
        <f>LOWER(_xlfn.CONCAT('Upgrade Data'!F5,E3,'Upgrade Data'!F6,E17,'Upgrade Data'!#REF!))</f>
        <v>#REF!</v>
      </c>
    </row>
    <row r="32" spans="1:18">
      <c r="M32" t="s">
        <v>510</v>
      </c>
      <c r="R32" t="s">
        <v>511</v>
      </c>
    </row>
    <row r="33" spans="1:18">
      <c r="D33" s="2" t="s">
        <v>512</v>
      </c>
      <c r="M33" t="s">
        <v>513</v>
      </c>
    </row>
    <row r="34" spans="1:18">
      <c r="A34" t="e">
        <f>_xlfn.CONCAT(B34,A65)</f>
        <v>#REF!</v>
      </c>
      <c r="B34" s="9" t="e">
        <f>LEFT(C34,LEN(C34)-2)</f>
        <v>#REF!</v>
      </c>
      <c r="C34" t="e">
        <f>LOWER(_xlfn.CONCAT('Upgrade Data'!F5,E4,'Upgrade Data'!F6,E13,'Upgrade Data'!#REF!+1))</f>
        <v>#REF!</v>
      </c>
      <c r="D34" t="e">
        <f>LOWER(_xlfn.CONCAT('Upgrade Data'!F5,E4,'Upgrade Data'!F6,E13,'Upgrade Data'!#REF!))</f>
        <v>#REF!</v>
      </c>
      <c r="F34" t="e">
        <f>IF(LEFT(A64,1)="b",A34,C34)</f>
        <v>#REF!</v>
      </c>
      <c r="I34" t="e">
        <f>LOWER(_xlfn.CONCAT('Upgrade Data'!F5,E4,'Upgrade Data'!F6,E6,'Upgrade Data'!#REF!))</f>
        <v>#REF!</v>
      </c>
      <c r="M34" t="s">
        <v>9</v>
      </c>
    </row>
    <row r="35" spans="1:18">
      <c r="A35" t="e">
        <f>_xlfn.CONCAT(B34,A67)</f>
        <v>#REF!</v>
      </c>
      <c r="B35" s="3"/>
      <c r="C35" t="e">
        <f>LOWER(_xlfn.CONCAT('Upgrade Data'!F5,E4,'Upgrade Data'!F6,E13,'Upgrade Data'!#REF!+2))</f>
        <v>#REF!</v>
      </c>
      <c r="D35" t="e">
        <f>LOWER(_xlfn.CONCAT('Upgrade Data'!F5,E4,'Upgrade Data'!F6,E14,'Upgrade Data'!#REF!))</f>
        <v>#REF!</v>
      </c>
      <c r="F35" t="e">
        <f>IF(LEFT(A66,1)="b",A35,C35)</f>
        <v>#REF!</v>
      </c>
      <c r="M35" t="s">
        <v>514</v>
      </c>
    </row>
    <row r="36" spans="1:18">
      <c r="A36" t="e">
        <f>_xlfn.CONCAT(B34,A69)</f>
        <v>#REF!</v>
      </c>
      <c r="B36" s="3"/>
      <c r="C36" t="e">
        <f>LOWER(_xlfn.CONCAT('Upgrade Data'!F5,E4,'Upgrade Data'!F6,E13,'Upgrade Data'!#REF!+3))</f>
        <v>#REF!</v>
      </c>
      <c r="D36" t="e">
        <f>LOWER(_xlfn.CONCAT('Upgrade Data'!F5,E4,'Upgrade Data'!F6,E15,'Upgrade Data'!#REF!))</f>
        <v>#REF!</v>
      </c>
      <c r="F36" t="e">
        <f>IF(LEFT(A68,1)="b",A36,C36)</f>
        <v>#REF!</v>
      </c>
      <c r="M36" t="s">
        <v>515</v>
      </c>
    </row>
    <row r="37" spans="1:18">
      <c r="A37" t="e">
        <f>_xlfn.CONCAT(B34,A71)</f>
        <v>#REF!</v>
      </c>
      <c r="B37" s="3"/>
      <c r="C37" t="e">
        <f>LOWER(_xlfn.CONCAT('Upgrade Data'!F5,E4,'Upgrade Data'!F6,E13,'Upgrade Data'!#REF!+4))</f>
        <v>#REF!</v>
      </c>
      <c r="D37" t="e">
        <f>LOWER(_xlfn.CONCAT('Upgrade Data'!F5,E4,'Upgrade Data'!F6,E23,'Upgrade Data'!#REF!))</f>
        <v>#REF!</v>
      </c>
      <c r="F37" t="e">
        <f>IF(LEFT(A70,1)="b",A37,C37)</f>
        <v>#REF!</v>
      </c>
    </row>
    <row r="38" spans="1:18">
      <c r="A38" s="20"/>
      <c r="D38" t="s">
        <v>94</v>
      </c>
      <c r="M38" s="7">
        <v>1000</v>
      </c>
      <c r="R38" t="s">
        <v>15</v>
      </c>
    </row>
    <row r="39" spans="1:18">
      <c r="A39" s="20"/>
      <c r="D39" s="2"/>
      <c r="M39" t="s">
        <v>516</v>
      </c>
    </row>
    <row r="40" spans="1:18">
      <c r="A40" s="20"/>
      <c r="M40" t="s">
        <v>517</v>
      </c>
    </row>
    <row r="41" spans="1:18">
      <c r="A41" s="20"/>
      <c r="M41" t="s">
        <v>518</v>
      </c>
    </row>
    <row r="42" spans="1:18">
      <c r="A42" s="20"/>
      <c r="M42" t="s">
        <v>519</v>
      </c>
    </row>
    <row r="43" spans="1:18">
      <c r="A43" s="20"/>
      <c r="M43" t="s">
        <v>520</v>
      </c>
    </row>
    <row r="44" spans="1:18">
      <c r="A44" s="20"/>
      <c r="C44" s="16"/>
    </row>
    <row r="45" spans="1:18">
      <c r="A45" s="20"/>
      <c r="M45" t="s">
        <v>521</v>
      </c>
      <c r="R45" t="s">
        <v>522</v>
      </c>
    </row>
    <row r="46" spans="1:18">
      <c r="A46" s="20"/>
      <c r="D46" s="2"/>
      <c r="G46" t="s">
        <v>523</v>
      </c>
      <c r="M46" t="s">
        <v>524</v>
      </c>
    </row>
    <row r="47" spans="1:18">
      <c r="G47" t="s">
        <v>525</v>
      </c>
      <c r="M47" t="s">
        <v>526</v>
      </c>
    </row>
    <row r="48" spans="1:18">
      <c r="J48" s="47"/>
      <c r="M48" t="s">
        <v>527</v>
      </c>
    </row>
    <row r="49" spans="1:18">
      <c r="G49" s="4" t="s">
        <v>528</v>
      </c>
      <c r="M49" t="s">
        <v>529</v>
      </c>
    </row>
    <row r="50" spans="1:18">
      <c r="M50" t="s">
        <v>530</v>
      </c>
    </row>
    <row r="51" spans="1:18">
      <c r="M51" t="s">
        <v>531</v>
      </c>
    </row>
    <row r="52" spans="1:18">
      <c r="M52" t="s">
        <v>532</v>
      </c>
    </row>
    <row r="53" spans="1:18">
      <c r="A53" s="2" t="s">
        <v>533</v>
      </c>
    </row>
    <row r="54" spans="1:18">
      <c r="A54" t="e">
        <f>RIGHT(C13,2)</f>
        <v>#REF!</v>
      </c>
      <c r="M54" t="s">
        <v>534</v>
      </c>
      <c r="R54" t="s">
        <v>535</v>
      </c>
    </row>
    <row r="55" spans="1:18">
      <c r="A55" s="9" t="e">
        <f>IF(LEFT(A54,1)="b",REPLACE(A54,2,1,"0"&amp;RIGHT(C13,1)),A54)</f>
        <v>#REF!</v>
      </c>
      <c r="M55" s="7">
        <v>13</v>
      </c>
    </row>
    <row r="56" spans="1:18">
      <c r="A56" t="e">
        <f>RIGHT(C14,2)</f>
        <v>#REF!</v>
      </c>
      <c r="D56" s="4" t="s">
        <v>536</v>
      </c>
      <c r="E56">
        <f>('Upgrade Data'!F3)</f>
        <v>0</v>
      </c>
      <c r="F56" t="s">
        <v>487</v>
      </c>
      <c r="M56" s="7">
        <v>14</v>
      </c>
    </row>
    <row r="57" spans="1:18">
      <c r="A57" t="e">
        <f>IF(LEFT(A54,1)="b",REPLACE(A54,2,1,"0"&amp;RIGHT(C14,1)),A54)</f>
        <v>#REF!</v>
      </c>
      <c r="E57" t="str">
        <f>LEFT(E56, LEN(E56)-1)</f>
        <v/>
      </c>
      <c r="F57" s="3" t="s">
        <v>537</v>
      </c>
      <c r="M57" s="7">
        <v>15</v>
      </c>
    </row>
    <row r="58" spans="1:18">
      <c r="A58" t="e">
        <f>RIGHT(C15,2)</f>
        <v>#REF!</v>
      </c>
      <c r="M58" s="7">
        <v>16</v>
      </c>
    </row>
    <row r="59" spans="1:18">
      <c r="A59" t="e">
        <f>IF(LEFT(A54,1)="b",REPLACE(A54,2,1,"0"&amp;RIGHT(C15,1)),A54)</f>
        <v>#REF!</v>
      </c>
      <c r="M59" s="7">
        <v>17</v>
      </c>
    </row>
    <row r="60" spans="1:18">
      <c r="A60" t="e">
        <f>RIGHT(C16,2)</f>
        <v>#REF!</v>
      </c>
    </row>
    <row r="61" spans="1:18">
      <c r="A61" t="e">
        <f>IF(LEFT(A54,1)="b",REPLACE(A54,2,1,"0"&amp;RIGHT(C16,1)),A54)</f>
        <v>#REF!</v>
      </c>
      <c r="D61" s="38" t="s">
        <v>538</v>
      </c>
      <c r="M61" s="4" t="s">
        <v>539</v>
      </c>
      <c r="R61" t="s">
        <v>540</v>
      </c>
    </row>
    <row r="62" spans="1:18">
      <c r="D62" s="22" t="s">
        <v>115</v>
      </c>
      <c r="E62" s="15" t="e">
        <f>IF('Upgrade Data'!#REF!='Upgrade Data'!#REF!,"","Set SB " &amp; D62 &amp;" to " &amp; 'Upgrade Data'!#REF!)</f>
        <v>#REF!</v>
      </c>
      <c r="M62" s="4" t="s">
        <v>541</v>
      </c>
    </row>
    <row r="63" spans="1:18">
      <c r="A63" s="2" t="s">
        <v>477</v>
      </c>
      <c r="D63" s="22" t="s">
        <v>116</v>
      </c>
      <c r="E63" s="67" t="e">
        <f>IF('Upgrade Data'!#REF!='Upgrade Data'!#REF!,"","Set SB " &amp; D63 &amp;" to " &amp; 'Upgrade Data'!#REF! &amp; " GB")</f>
        <v>#REF!</v>
      </c>
      <c r="M63" s="4" t="s">
        <v>542</v>
      </c>
    </row>
    <row r="64" spans="1:18">
      <c r="A64" t="e">
        <f>RIGHT(C27,2)</f>
        <v>#REF!</v>
      </c>
      <c r="D64" s="22" t="s">
        <v>117</v>
      </c>
      <c r="E64" s="67" t="e">
        <f>IF('Upgrade Data'!#REF!='Upgrade Data'!#REF!,"","Set SB " &amp; D64 &amp;" to " &amp; 'Upgrade Data'!#REF!)</f>
        <v>#REF!</v>
      </c>
      <c r="M64" s="4" t="s">
        <v>51</v>
      </c>
    </row>
    <row r="65" spans="1:18">
      <c r="A65" t="e">
        <f>IF(LEFT(A54,1)="b",REPLACE(A54,2,1,"0"&amp;RIGHT(C27,1)),A54)</f>
        <v>#REF!</v>
      </c>
      <c r="D65" s="22" t="s">
        <v>118</v>
      </c>
      <c r="E65" s="67" t="str">
        <f>IF('Upgrade Data'!B36='Upgrade Data'!C36,"","Set SB " &amp; D65 &amp;" to " &amp; 'Upgrade Data'!B36)</f>
        <v/>
      </c>
    </row>
    <row r="66" spans="1:18">
      <c r="A66" t="e">
        <f>RIGHT(C28,2)</f>
        <v>#REF!</v>
      </c>
      <c r="D66" s="22" t="s">
        <v>119</v>
      </c>
      <c r="E66" s="67" t="str">
        <f>IF('Upgrade Data'!B37='Upgrade Data'!C37,"","Set SB " &amp; D66 &amp;" to " &amp; 'Upgrade Data'!B37 &amp; " GB")</f>
        <v/>
      </c>
      <c r="M66" t="s">
        <v>543</v>
      </c>
      <c r="R66" t="s">
        <v>152</v>
      </c>
    </row>
    <row r="67" spans="1:18">
      <c r="A67" t="e">
        <f>IF(LEFT(A54,1)="b",REPLACE(A54,2,1,"0"&amp;RIGHT(C28,1)),A54)</f>
        <v>#REF!</v>
      </c>
      <c r="D67" s="22" t="s">
        <v>120</v>
      </c>
      <c r="E67" s="67" t="str">
        <f>IF('Upgrade Data'!B38='Upgrade Data'!C38,"","Set SB " &amp; D67 &amp;" to " &amp; 'Upgrade Data'!B38)</f>
        <v/>
      </c>
      <c r="M67" t="s">
        <v>544</v>
      </c>
    </row>
    <row r="68" spans="1:18">
      <c r="A68" t="e">
        <f>RIGHT(C29,2)</f>
        <v>#REF!</v>
      </c>
      <c r="D68" s="22" t="s">
        <v>121</v>
      </c>
      <c r="E68" s="67" t="str">
        <f>IF('Upgrade Data'!B39='Upgrade Data'!C39,"","Set SB " &amp; D68 &amp;" to " &amp; 'Upgrade Data'!B39)</f>
        <v/>
      </c>
      <c r="M68" t="s">
        <v>545</v>
      </c>
    </row>
    <row r="69" spans="1:18">
      <c r="A69" t="e">
        <f>IF(LEFT(A54,1)="b",REPLACE(A54,2,1,"0"&amp;RIGHT(C29,1)),A54)</f>
        <v>#REF!</v>
      </c>
      <c r="D69" s="22" t="s">
        <v>122</v>
      </c>
      <c r="E69" s="67" t="str">
        <f>IF('Upgrade Data'!B40='Upgrade Data'!C40,"","Set SB " &amp; D69 &amp;" to " &amp; 'Upgrade Data'!B40 &amp; " GB")</f>
        <v/>
      </c>
      <c r="M69" t="s">
        <v>492</v>
      </c>
    </row>
    <row r="70" spans="1:18">
      <c r="A70" t="e">
        <f>RIGHT(C30,2)</f>
        <v>#REF!</v>
      </c>
      <c r="D70" s="22" t="s">
        <v>123</v>
      </c>
      <c r="E70" s="67" t="str">
        <f>IF('Upgrade Data'!B41='Upgrade Data'!C41,"","Set SB " &amp; D70 &amp;" to " &amp; 'Upgrade Data'!B41)</f>
        <v/>
      </c>
    </row>
    <row r="71" spans="1:18">
      <c r="A71" t="e">
        <f>IF(LEFT(A54,1)="b",REPLACE(A54,2,1,"0"&amp;RIGHT(C30,1)),A54)</f>
        <v>#REF!</v>
      </c>
      <c r="D71" s="22" t="s">
        <v>124</v>
      </c>
      <c r="E71" s="67" t="str">
        <f>IF('Upgrade Data'!B42='Upgrade Data'!C42,"","Set SB " &amp; D71 &amp;" to " &amp; 'Upgrade Data'!B42)</f>
        <v/>
      </c>
      <c r="M71" t="s">
        <v>543</v>
      </c>
      <c r="R71" t="s">
        <v>74</v>
      </c>
    </row>
    <row r="72" spans="1:18">
      <c r="D72" s="22" t="s">
        <v>125</v>
      </c>
      <c r="E72" s="67" t="str">
        <f>IF('Upgrade Data'!B43='Upgrade Data'!C43,"","Set SB " &amp; D72 &amp;" to " &amp; 'Upgrade Data'!B43 &amp; " GB")</f>
        <v/>
      </c>
      <c r="M72" s="16" t="s">
        <v>546</v>
      </c>
    </row>
    <row r="73" spans="1:18">
      <c r="D73" s="22" t="s">
        <v>547</v>
      </c>
      <c r="E73" s="67" t="str">
        <f>IF('Upgrade Data'!B44='Upgrade Data'!C44,"","Set SB " &amp; D73 &amp;" to " &amp; 'Upgrade Data'!B44)</f>
        <v/>
      </c>
      <c r="M73" s="16" t="s">
        <v>548</v>
      </c>
    </row>
    <row r="74" spans="1:18">
      <c r="A74" t="s">
        <v>549</v>
      </c>
      <c r="D74" s="22" t="s">
        <v>44</v>
      </c>
      <c r="E74" s="67" t="str">
        <f>IF('Upgrade Data'!B45='Upgrade Data'!C45,"","Set SB " &amp; D74 &amp;" to " &amp; 'Upgrade Data'!B45)</f>
        <v/>
      </c>
      <c r="M74" s="16"/>
    </row>
    <row r="75" spans="1:18">
      <c r="B75">
        <f>MasterConfig!B9</f>
        <v>0</v>
      </c>
      <c r="C75" t="str">
        <f>IF(B75="fr",".frankfurt.pvcloud.net",".sydney.planviewcloud.net")</f>
        <v>.sydney.planviewcloud.net</v>
      </c>
      <c r="D75" s="22" t="s">
        <v>45</v>
      </c>
      <c r="E75" s="67" t="str">
        <f>IF('Upgrade Data'!B46='Upgrade Data'!C46,"","Set SB " &amp; D75 &amp;" to " &amp; 'Upgrade Data'!B46)</f>
        <v/>
      </c>
      <c r="M75" s="16"/>
    </row>
    <row r="76" spans="1:18">
      <c r="D76" s="22" t="s">
        <v>129</v>
      </c>
      <c r="E76" s="67" t="str">
        <f>IF('Upgrade Data'!B49='Upgrade Data'!C49,"","Set SB " &amp; D76 &amp;" to " &amp; 'Upgrade Data'!B49)</f>
        <v/>
      </c>
      <c r="M76" t="s">
        <v>550</v>
      </c>
    </row>
    <row r="77" spans="1:18">
      <c r="D77" s="22" t="s">
        <v>130</v>
      </c>
      <c r="E77" s="67" t="str">
        <f>IF('Upgrade Data'!B50='Upgrade Data'!C50,"","Set SB " &amp; D77 &amp;" to " &amp; 'Upgrade Data'!B50 &amp; " GB")</f>
        <v/>
      </c>
    </row>
    <row r="78" spans="1:18">
      <c r="A78" t="s">
        <v>551</v>
      </c>
      <c r="B78" t="s">
        <v>552</v>
      </c>
      <c r="D78" s="22" t="s">
        <v>131</v>
      </c>
      <c r="E78" s="67" t="str">
        <f>IF('Upgrade Data'!B51='Upgrade Data'!C51,"","Set SB " &amp; D78 &amp;" to " &amp; 'Upgrade Data'!B51)</f>
        <v/>
      </c>
      <c r="M78" s="6">
        <v>0</v>
      </c>
      <c r="R78" t="s">
        <v>553</v>
      </c>
    </row>
    <row r="79" spans="1:18">
      <c r="A79" t="s">
        <v>477</v>
      </c>
      <c r="B79" t="str">
        <f>("Enter-PSSession -ComputerName " &amp;'Upgrade Data'!I3)</f>
        <v>Enter-PSSession -ComputerName 0</v>
      </c>
      <c r="D79" s="22" t="s">
        <v>132</v>
      </c>
      <c r="E79" s="67" t="str">
        <f>IF('Upgrade Data'!B52='Upgrade Data'!C52,"","Set SB " &amp; D79 &amp;" to " &amp; 'Upgrade Data'!B52)</f>
        <v/>
      </c>
      <c r="M79" s="6">
        <v>1</v>
      </c>
    </row>
    <row r="80" spans="1:18">
      <c r="B80" t="str">
        <f>("Enter-PSSession -ComputerName " &amp;'Upgrade Data'!I4)</f>
        <v>Enter-PSSession -ComputerName 0</v>
      </c>
      <c r="D80" s="22" t="s">
        <v>133</v>
      </c>
      <c r="E80" s="67" t="str">
        <f>IF('Upgrade Data'!B53='Upgrade Data'!C53,"","Set SB " &amp; D80 &amp;" to " &amp; 'Upgrade Data'!B53)</f>
        <v/>
      </c>
      <c r="M80" s="6">
        <v>2</v>
      </c>
    </row>
    <row r="81" spans="1:18">
      <c r="B81" t="str">
        <f>("Enter-PSSession -ComputerName " &amp;'Upgrade Data'!I5)</f>
        <v>Enter-PSSession -ComputerName 0</v>
      </c>
      <c r="D81" s="48" t="s">
        <v>134</v>
      </c>
      <c r="E81" s="68" t="str">
        <f>IF('Upgrade Data'!B54='Upgrade Data'!C54,"","Set SB " &amp; D81 &amp;" to " &amp; 'Upgrade Data'!B54)</f>
        <v/>
      </c>
    </row>
    <row r="82" spans="1:18">
      <c r="B82" t="str">
        <f>("Enter-PSSession -ComputerName " &amp;'Upgrade Data'!I6)</f>
        <v>Enter-PSSession -ComputerName 0</v>
      </c>
      <c r="M82" s="6"/>
      <c r="R82" t="s">
        <v>554</v>
      </c>
    </row>
    <row r="83" spans="1:18">
      <c r="A83" t="s">
        <v>111</v>
      </c>
      <c r="B83" t="str">
        <f>("Enter-PSSession -ComputerName " &amp;'Upgrade Data'!I9)</f>
        <v>Enter-PSSession -ComputerName 0</v>
      </c>
      <c r="D83" s="38" t="s">
        <v>555</v>
      </c>
      <c r="M83" s="6">
        <v>1</v>
      </c>
    </row>
    <row r="84" spans="1:18">
      <c r="B84" t="str">
        <f>("Enter-PSSession -ComputerName " &amp;'Upgrade Data'!I10)</f>
        <v>Enter-PSSession -ComputerName 0</v>
      </c>
      <c r="D84" s="65" t="s">
        <v>556</v>
      </c>
      <c r="E84" s="15" t="e">
        <f>IF('Upgrade Data'!#REF!='Upgrade Data'!#REF!,"","Set SB " &amp; D84 &amp;" to " &amp; 'Upgrade Data'!#REF!)</f>
        <v>#REF!</v>
      </c>
      <c r="M84" s="6">
        <v>2</v>
      </c>
    </row>
    <row r="85" spans="1:18">
      <c r="B85" t="str">
        <f>("Enter-PSSession -ComputerName " &amp;'Upgrade Data'!I11)</f>
        <v>Enter-PSSession -ComputerName 0</v>
      </c>
      <c r="D85" s="22" t="s">
        <v>557</v>
      </c>
      <c r="E85" s="15" t="e">
        <f>IF('Upgrade Data'!#REF!='Upgrade Data'!#REF!,"","Set SB " &amp; D85 &amp;" to " &amp; 'Upgrade Data'!#REF!)</f>
        <v>#REF!</v>
      </c>
      <c r="M85" s="6">
        <v>3</v>
      </c>
    </row>
    <row r="86" spans="1:18">
      <c r="B86" t="str">
        <f>("Enter-PSSession -ComputerName " &amp;'Upgrade Data'!I12)</f>
        <v>Enter-PSSession -ComputerName 0</v>
      </c>
      <c r="D86" s="22" t="s">
        <v>558</v>
      </c>
      <c r="E86" s="15" t="e">
        <f>IF('Upgrade Data'!#REF!='Upgrade Data'!#REF!,"","Set SB " &amp; D86 &amp;" to " &amp; 'Upgrade Data'!#REF!)</f>
        <v>#REF!</v>
      </c>
      <c r="M86" s="6">
        <v>4</v>
      </c>
    </row>
    <row r="87" spans="1:18">
      <c r="D87" s="48" t="s">
        <v>492</v>
      </c>
      <c r="E87" s="15" t="e">
        <f>IF('Upgrade Data'!#REF!='Upgrade Data'!#REF!,"","Set SB " &amp; D87 &amp;" to " &amp; 'Upgrade Data'!#REF!)</f>
        <v>#REF!</v>
      </c>
      <c r="M87" s="6">
        <v>5</v>
      </c>
    </row>
    <row r="88" spans="1:18">
      <c r="D88" s="66"/>
      <c r="M88" s="6"/>
    </row>
    <row r="89" spans="1:18">
      <c r="A89" t="s">
        <v>559</v>
      </c>
    </row>
    <row r="90" spans="1:18">
      <c r="B90" t="s">
        <v>560</v>
      </c>
      <c r="C90" t="s">
        <v>561</v>
      </c>
      <c r="D90" t="s">
        <v>562</v>
      </c>
      <c r="R90" t="s">
        <v>563</v>
      </c>
    </row>
    <row r="91" spans="1:18">
      <c r="C91" t="s">
        <v>564</v>
      </c>
      <c r="D91" t="s">
        <v>565</v>
      </c>
      <c r="M91" s="4" t="s">
        <v>566</v>
      </c>
    </row>
    <row r="92" spans="1:18">
      <c r="D92" t="s">
        <v>567</v>
      </c>
      <c r="M92" s="4" t="s">
        <v>568</v>
      </c>
    </row>
    <row r="93" spans="1:18">
      <c r="D93" s="3" t="s">
        <v>569</v>
      </c>
      <c r="M93" s="4" t="s">
        <v>570</v>
      </c>
    </row>
    <row r="94" spans="1:18">
      <c r="D94" t="s">
        <v>571</v>
      </c>
      <c r="M94" s="4" t="s">
        <v>572</v>
      </c>
    </row>
    <row r="95" spans="1:18">
      <c r="D95" t="s">
        <v>573</v>
      </c>
      <c r="M95" s="4" t="s">
        <v>574</v>
      </c>
    </row>
    <row r="96" spans="1:18">
      <c r="D96" t="s">
        <v>575</v>
      </c>
      <c r="M96" s="4" t="s">
        <v>576</v>
      </c>
      <c r="R96" t="s">
        <v>577</v>
      </c>
    </row>
    <row r="97" spans="1:18">
      <c r="D97" s="69" t="s">
        <v>578</v>
      </c>
      <c r="M97" s="4" t="s">
        <v>323</v>
      </c>
    </row>
    <row r="98" spans="1:18">
      <c r="D98" s="69" t="s">
        <v>579</v>
      </c>
    </row>
    <row r="99" spans="1:18">
      <c r="D99" s="69" t="s">
        <v>580</v>
      </c>
    </row>
    <row r="100" spans="1:18">
      <c r="D100" s="69" t="s">
        <v>581</v>
      </c>
    </row>
    <row r="101" spans="1:18">
      <c r="D101" t="s">
        <v>582</v>
      </c>
    </row>
    <row r="104" spans="1:18">
      <c r="A104" t="s">
        <v>583</v>
      </c>
    </row>
    <row r="105" spans="1:18">
      <c r="C105" t="s">
        <v>584</v>
      </c>
      <c r="D105" t="s">
        <v>585</v>
      </c>
    </row>
    <row r="106" spans="1:18">
      <c r="C106" t="s">
        <v>586</v>
      </c>
      <c r="D106" t="s">
        <v>587</v>
      </c>
    </row>
    <row r="107" spans="1:18">
      <c r="D107" t="s">
        <v>588</v>
      </c>
    </row>
    <row r="108" spans="1:18">
      <c r="R108" t="s">
        <v>589</v>
      </c>
    </row>
    <row r="109" spans="1:18">
      <c r="D109" t="s">
        <v>590</v>
      </c>
    </row>
    <row r="110" spans="1:18">
      <c r="A110" t="s">
        <v>591</v>
      </c>
      <c r="D110" s="69" t="s">
        <v>592</v>
      </c>
    </row>
    <row r="111" spans="1:18">
      <c r="B111" t="s">
        <v>593</v>
      </c>
      <c r="D111" s="69" t="s">
        <v>594</v>
      </c>
    </row>
    <row r="112" spans="1:18">
      <c r="D112" s="69" t="s">
        <v>595</v>
      </c>
      <c r="M112" t="s">
        <v>596</v>
      </c>
      <c r="N112" s="485" t="s">
        <v>597</v>
      </c>
    </row>
    <row r="113" spans="1:14">
      <c r="D113" s="69" t="s">
        <v>598</v>
      </c>
      <c r="M113" t="s">
        <v>599</v>
      </c>
      <c r="N113" s="484" t="s">
        <v>600</v>
      </c>
    </row>
    <row r="114" spans="1:14">
      <c r="D114" s="69" t="s">
        <v>601</v>
      </c>
      <c r="N114" t="s">
        <v>602</v>
      </c>
    </row>
    <row r="115" spans="1:14">
      <c r="N115" t="s">
        <v>603</v>
      </c>
    </row>
    <row r="116" spans="1:14">
      <c r="A116" t="s">
        <v>604</v>
      </c>
      <c r="N116" t="s">
        <v>605</v>
      </c>
    </row>
    <row r="117" spans="1:14">
      <c r="N117" t="s">
        <v>606</v>
      </c>
    </row>
    <row r="118" spans="1:14">
      <c r="D118" t="s">
        <v>607</v>
      </c>
      <c r="N118" t="s">
        <v>608</v>
      </c>
    </row>
    <row r="119" spans="1:14">
      <c r="E119" t="s">
        <v>609</v>
      </c>
      <c r="F119" t="s">
        <v>610</v>
      </c>
      <c r="N119" t="s">
        <v>611</v>
      </c>
    </row>
    <row r="120" spans="1:14">
      <c r="N120" t="s">
        <v>612</v>
      </c>
    </row>
    <row r="121" spans="1:14">
      <c r="N121" t="s">
        <v>613</v>
      </c>
    </row>
    <row r="122" spans="1:14">
      <c r="N122" t="s">
        <v>614</v>
      </c>
    </row>
    <row r="123" spans="1:14">
      <c r="N123" t="s">
        <v>615</v>
      </c>
    </row>
    <row r="124" spans="1:14">
      <c r="D124" t="s">
        <v>616</v>
      </c>
      <c r="N124" t="s">
        <v>617</v>
      </c>
    </row>
    <row r="125" spans="1:14">
      <c r="E125" t="s">
        <v>618</v>
      </c>
    </row>
    <row r="128" spans="1:14">
      <c r="D128" t="s">
        <v>619</v>
      </c>
    </row>
    <row r="129" spans="1:6">
      <c r="E129" s="34"/>
    </row>
    <row r="130" spans="1:6">
      <c r="E130" t="s">
        <v>620</v>
      </c>
      <c r="F130" t="s">
        <v>621</v>
      </c>
    </row>
    <row r="134" spans="1:6">
      <c r="A134" s="75"/>
      <c r="B134">
        <v>20.05</v>
      </c>
    </row>
    <row r="135" spans="1:6">
      <c r="A135" s="75" t="s">
        <v>622</v>
      </c>
      <c r="B135">
        <v>20.04</v>
      </c>
    </row>
    <row r="136" spans="1:6">
      <c r="A136" s="75"/>
      <c r="B136">
        <v>20.03</v>
      </c>
    </row>
    <row r="137" spans="1:6">
      <c r="A137" s="75"/>
      <c r="B137">
        <v>20.02</v>
      </c>
    </row>
    <row r="138" spans="1:6">
      <c r="B138">
        <v>20.010000000000002</v>
      </c>
    </row>
    <row r="139" spans="1:6">
      <c r="A139" s="75"/>
    </row>
    <row r="140" spans="1:6">
      <c r="A140" s="75"/>
    </row>
    <row r="141" spans="1:6">
      <c r="A141" s="75"/>
    </row>
    <row r="144" spans="1:6">
      <c r="A144" t="s">
        <v>623</v>
      </c>
      <c r="B144" t="s">
        <v>624</v>
      </c>
    </row>
    <row r="145" spans="1:2">
      <c r="A145" s="3" t="s">
        <v>293</v>
      </c>
      <c r="B145" t="s">
        <v>625</v>
      </c>
    </row>
    <row r="146" spans="1:2">
      <c r="A146" s="3" t="s">
        <v>626</v>
      </c>
    </row>
  </sheetData>
  <hyperlinks>
    <hyperlink ref="M61" r:id="rId1"/>
    <hyperlink ref="M62" r:id="rId2"/>
    <hyperlink ref="M63" r:id="rId3"/>
    <hyperlink ref="M64" r:id="rId4"/>
    <hyperlink ref="G49" r:id="rId5"/>
    <hyperlink ref="M91" r:id="rId6"/>
    <hyperlink ref="M92" r:id="rId7"/>
    <hyperlink ref="M93" r:id="rId8"/>
    <hyperlink ref="M94" r:id="rId9"/>
    <hyperlink ref="M95" r:id="rId10"/>
    <hyperlink ref="M96" r:id="rId11"/>
    <hyperlink ref="M97" r:id="rId12"/>
  </hyperlinks>
  <pageMargins left="0.7" right="0.7" top="0.75" bottom="0.75" header="0.3" footer="0.3"/>
  <pageSetup orientation="portrait" r:id="rId1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75"/>
  <sheetViews>
    <sheetView workbookViewId="0">
      <selection activeCell="D33" sqref="D33"/>
    </sheetView>
  </sheetViews>
  <sheetFormatPr defaultRowHeight="15"/>
  <cols>
    <col min="1" max="1" width="14" bestFit="1" customWidth="1"/>
    <col min="2" max="2" width="101.42578125" bestFit="1" customWidth="1"/>
    <col min="3" max="3" width="87.5703125" customWidth="1"/>
    <col min="4" max="4" width="89.140625" bestFit="1" customWidth="1"/>
    <col min="5" max="5" width="16" bestFit="1" customWidth="1"/>
    <col min="6" max="6" width="14.140625" bestFit="1" customWidth="1"/>
    <col min="7" max="8" width="15" bestFit="1" customWidth="1"/>
    <col min="9" max="9" width="14.85546875" bestFit="1" customWidth="1"/>
    <col min="10" max="10" width="14.140625" bestFit="1" customWidth="1"/>
    <col min="11" max="11" width="10.140625" bestFit="1" customWidth="1"/>
    <col min="12" max="12" width="9" bestFit="1" customWidth="1"/>
    <col min="13" max="13" width="8.140625" bestFit="1" customWidth="1"/>
    <col min="14" max="14" width="13.85546875" bestFit="1" customWidth="1"/>
    <col min="15" max="16" width="15.5703125" bestFit="1" customWidth="1"/>
  </cols>
  <sheetData>
    <row r="1" spans="1:15">
      <c r="A1" s="35" t="s">
        <v>627</v>
      </c>
      <c r="B1" s="35" t="s">
        <v>628</v>
      </c>
      <c r="C1" s="35" t="s">
        <v>629</v>
      </c>
    </row>
    <row r="2" spans="1:15">
      <c r="A2" t="s">
        <v>630</v>
      </c>
      <c r="B2" t="s">
        <v>631</v>
      </c>
      <c r="C2" s="3" t="s">
        <v>632</v>
      </c>
      <c r="D2" s="9">
        <f>('Upgrade Data'!I10)</f>
        <v>0</v>
      </c>
      <c r="E2" s="3"/>
      <c r="F2" s="3"/>
      <c r="G2" s="3"/>
      <c r="H2" s="3"/>
      <c r="I2" s="3"/>
      <c r="J2" s="3"/>
      <c r="K2" s="3"/>
    </row>
    <row r="3" spans="1:15">
      <c r="C3" s="3" t="s">
        <v>633</v>
      </c>
      <c r="D3">
        <f>('Upgrade Data'!I4)</f>
        <v>0</v>
      </c>
      <c r="E3" s="3" t="s">
        <v>634</v>
      </c>
      <c r="F3">
        <f>('Upgrade Data'!I5)</f>
        <v>0</v>
      </c>
      <c r="G3" s="3" t="s">
        <v>635</v>
      </c>
      <c r="H3">
        <f>D2</f>
        <v>0</v>
      </c>
      <c r="I3" s="3" t="s">
        <v>636</v>
      </c>
      <c r="J3">
        <f>('Upgrade Data'!I11)</f>
        <v>0</v>
      </c>
      <c r="K3" s="3" t="s">
        <v>637</v>
      </c>
      <c r="L3" t="str">
        <f>AutoPop!A3</f>
        <v>0PROD</v>
      </c>
      <c r="M3" s="3" t="s">
        <v>638</v>
      </c>
      <c r="N3" t="str">
        <f>AutoPop!A5</f>
        <v>0SANDBOX1</v>
      </c>
      <c r="O3" s="3" t="s">
        <v>639</v>
      </c>
    </row>
    <row r="5" spans="1:15" ht="15" customHeight="1">
      <c r="A5" t="s">
        <v>630</v>
      </c>
      <c r="B5" t="s">
        <v>640</v>
      </c>
      <c r="C5" s="23" t="s">
        <v>641</v>
      </c>
    </row>
    <row r="6" spans="1:15">
      <c r="C6" s="30" t="s">
        <v>439</v>
      </c>
    </row>
    <row r="9" spans="1:15">
      <c r="C9" s="24" t="s">
        <v>642</v>
      </c>
      <c r="D9" s="70" t="s">
        <v>643</v>
      </c>
    </row>
    <row r="10" spans="1:15">
      <c r="B10" s="23"/>
      <c r="C10" s="24"/>
      <c r="D10" s="70" t="s">
        <v>644</v>
      </c>
    </row>
    <row r="11" spans="1:15">
      <c r="B11" s="25"/>
      <c r="D11" s="70" t="s">
        <v>645</v>
      </c>
    </row>
    <row r="12" spans="1:15">
      <c r="D12" s="70" t="s">
        <v>646</v>
      </c>
    </row>
    <row r="13" spans="1:15">
      <c r="D13" s="72" t="s">
        <v>647</v>
      </c>
    </row>
    <row r="14" spans="1:15">
      <c r="D14" s="70" t="s">
        <v>648</v>
      </c>
    </row>
    <row r="15" spans="1:15">
      <c r="D15" s="72" t="s">
        <v>649</v>
      </c>
    </row>
    <row r="16" spans="1:15">
      <c r="D16" s="70" t="s">
        <v>650</v>
      </c>
    </row>
    <row r="17" spans="2:4">
      <c r="D17" s="70" t="s">
        <v>651</v>
      </c>
    </row>
    <row r="18" spans="2:4">
      <c r="D18" s="70" t="s">
        <v>652</v>
      </c>
    </row>
    <row r="19" spans="2:4">
      <c r="D19" s="70" t="s">
        <v>653</v>
      </c>
    </row>
    <row r="20" spans="2:4">
      <c r="B20" s="24"/>
      <c r="D20" s="71" t="s">
        <v>654</v>
      </c>
    </row>
    <row r="21" spans="2:4">
      <c r="B21" s="26"/>
      <c r="D21" s="70" t="s">
        <v>655</v>
      </c>
    </row>
    <row r="22" spans="2:4">
      <c r="B22" s="26"/>
      <c r="D22" s="70" t="s">
        <v>656</v>
      </c>
    </row>
    <row r="23" spans="2:4">
      <c r="B23" s="27"/>
      <c r="D23" s="70" t="s">
        <v>657</v>
      </c>
    </row>
    <row r="24" spans="2:4">
      <c r="B24" s="26"/>
      <c r="D24" s="70" t="s">
        <v>658</v>
      </c>
    </row>
    <row r="25" spans="2:4">
      <c r="B25" s="26"/>
      <c r="D25" s="71" t="s">
        <v>659</v>
      </c>
    </row>
    <row r="26" spans="2:4">
      <c r="B26" s="24"/>
      <c r="D26" s="71" t="s">
        <v>660</v>
      </c>
    </row>
    <row r="27" spans="2:4">
      <c r="D27" s="71" t="s">
        <v>661</v>
      </c>
    </row>
    <row r="28" spans="2:4">
      <c r="B28" s="28"/>
      <c r="D28" s="70" t="s">
        <v>662</v>
      </c>
    </row>
    <row r="29" spans="2:4">
      <c r="B29" s="28"/>
      <c r="D29" s="70" t="s">
        <v>663</v>
      </c>
    </row>
    <row r="30" spans="2:4">
      <c r="B30" s="28"/>
      <c r="D30" s="70" t="s">
        <v>664</v>
      </c>
    </row>
    <row r="31" spans="2:4">
      <c r="B31" s="28"/>
    </row>
    <row r="32" spans="2:4">
      <c r="B32" s="28"/>
      <c r="C32" t="s">
        <v>665</v>
      </c>
      <c r="D32" t="s">
        <v>666</v>
      </c>
    </row>
    <row r="33" spans="2:5">
      <c r="B33" s="28"/>
    </row>
    <row r="34" spans="2:5">
      <c r="B34" s="28"/>
    </row>
    <row r="35" spans="2:5">
      <c r="B35" s="28"/>
    </row>
    <row r="36" spans="2:5">
      <c r="B36" s="28"/>
      <c r="C36" t="s">
        <v>667</v>
      </c>
      <c r="D36" t="s">
        <v>668</v>
      </c>
      <c r="E36" t="s">
        <v>492</v>
      </c>
    </row>
    <row r="37" spans="2:5">
      <c r="B37" s="28"/>
      <c r="C37" s="77"/>
      <c r="D37" t="s">
        <v>669</v>
      </c>
      <c r="E37" t="s">
        <v>670</v>
      </c>
    </row>
    <row r="38" spans="2:5">
      <c r="B38" s="28"/>
      <c r="D38" t="s">
        <v>671</v>
      </c>
      <c r="E38" t="s">
        <v>672</v>
      </c>
    </row>
    <row r="39" spans="2:5">
      <c r="B39" s="28"/>
      <c r="D39" t="s">
        <v>673</v>
      </c>
      <c r="E39" t="s">
        <v>674</v>
      </c>
    </row>
    <row r="40" spans="2:5">
      <c r="B40" s="28"/>
      <c r="D40" t="s">
        <v>675</v>
      </c>
      <c r="E40" t="s">
        <v>676</v>
      </c>
    </row>
    <row r="41" spans="2:5">
      <c r="B41" s="28"/>
      <c r="D41" t="s">
        <v>677</v>
      </c>
      <c r="E41" t="s">
        <v>678</v>
      </c>
    </row>
    <row r="42" spans="2:5">
      <c r="B42" s="28"/>
      <c r="D42" t="s">
        <v>679</v>
      </c>
      <c r="E42" t="s">
        <v>680</v>
      </c>
    </row>
    <row r="43" spans="2:5">
      <c r="B43" s="28"/>
      <c r="D43" t="s">
        <v>681</v>
      </c>
    </row>
    <row r="44" spans="2:5">
      <c r="B44" s="28"/>
      <c r="D44" t="s">
        <v>682</v>
      </c>
    </row>
    <row r="45" spans="2:5">
      <c r="B45" s="28"/>
    </row>
    <row r="46" spans="2:5">
      <c r="B46" s="28"/>
      <c r="C46" t="s">
        <v>683</v>
      </c>
      <c r="D46" t="s">
        <v>684</v>
      </c>
    </row>
    <row r="47" spans="2:5">
      <c r="B47" s="28"/>
      <c r="D47" t="s">
        <v>685</v>
      </c>
    </row>
    <row r="48" spans="2:5">
      <c r="B48" s="28"/>
      <c r="D48" t="s">
        <v>686</v>
      </c>
    </row>
    <row r="49" spans="2:4">
      <c r="B49" s="28"/>
    </row>
    <row r="50" spans="2:4">
      <c r="B50" s="28"/>
    </row>
    <row r="51" spans="2:4" ht="16.5">
      <c r="B51" s="28"/>
      <c r="D51" s="76"/>
    </row>
    <row r="52" spans="2:4" ht="16.5">
      <c r="B52" s="29"/>
      <c r="D52" s="76"/>
    </row>
    <row r="53" spans="2:4" ht="16.5">
      <c r="D53" s="76"/>
    </row>
    <row r="54" spans="2:4" ht="16.5">
      <c r="B54" s="28"/>
      <c r="D54" s="76"/>
    </row>
    <row r="55" spans="2:4" ht="16.5">
      <c r="B55" s="28"/>
      <c r="D55" s="76"/>
    </row>
    <row r="56" spans="2:4" ht="16.5">
      <c r="B56" s="28"/>
      <c r="D56" s="76"/>
    </row>
    <row r="57" spans="2:4" ht="16.5">
      <c r="B57" s="30"/>
      <c r="D57" s="76"/>
    </row>
    <row r="58" spans="2:4" ht="16.5">
      <c r="D58" s="76"/>
    </row>
    <row r="59" spans="2:4" ht="16.5">
      <c r="D59" s="76"/>
    </row>
    <row r="60" spans="2:4" ht="16.5">
      <c r="B60" s="31"/>
      <c r="D60" s="76"/>
    </row>
    <row r="61" spans="2:4" ht="16.5">
      <c r="B61" s="32"/>
      <c r="D61" s="76"/>
    </row>
    <row r="62" spans="2:4" ht="16.5">
      <c r="B62" s="32"/>
      <c r="D62" s="76"/>
    </row>
    <row r="63" spans="2:4">
      <c r="B63" s="32"/>
    </row>
    <row r="64" spans="2:4">
      <c r="B64" s="32"/>
    </row>
    <row r="65" spans="1:4">
      <c r="B65" s="32" t="s">
        <v>687</v>
      </c>
      <c r="D65" s="33"/>
    </row>
    <row r="66" spans="1:4">
      <c r="B66" s="32"/>
    </row>
    <row r="67" spans="1:4">
      <c r="B67" s="32"/>
    </row>
    <row r="68" spans="1:4">
      <c r="B68" s="32"/>
    </row>
    <row r="69" spans="1:4">
      <c r="B69" s="32"/>
    </row>
    <row r="70" spans="1:4">
      <c r="B70" s="32" t="s">
        <v>688</v>
      </c>
    </row>
    <row r="74" spans="1:4">
      <c r="A74" t="s">
        <v>689</v>
      </c>
    </row>
    <row r="75" spans="1:4">
      <c r="B75" s="34" t="s">
        <v>690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J54"/>
  <sheetViews>
    <sheetView zoomScale="85" zoomScaleNormal="85" workbookViewId="0">
      <selection activeCell="M43" sqref="M43"/>
    </sheetView>
  </sheetViews>
  <sheetFormatPr defaultRowHeight="15"/>
  <cols>
    <col min="1" max="1" width="29.140625" customWidth="1"/>
    <col min="2" max="2" width="11.42578125" bestFit="1" customWidth="1"/>
    <col min="3" max="3" width="11.5703125" customWidth="1"/>
    <col min="4" max="4" width="4.28515625" customWidth="1"/>
    <col min="5" max="5" width="21.42578125" bestFit="1" customWidth="1"/>
    <col min="6" max="6" width="25.5703125" bestFit="1" customWidth="1"/>
    <col min="7" max="7" width="4.28515625" customWidth="1"/>
    <col min="8" max="8" width="17.5703125" bestFit="1" customWidth="1"/>
    <col min="9" max="9" width="43.140625" bestFit="1" customWidth="1"/>
    <col min="10" max="10" width="46.85546875" customWidth="1"/>
    <col min="11" max="11" width="15.85546875" bestFit="1" customWidth="1"/>
    <col min="12" max="12" width="15.140625" bestFit="1" customWidth="1"/>
  </cols>
  <sheetData>
    <row r="1" spans="1:10">
      <c r="A1" s="11"/>
      <c r="B1" s="12"/>
      <c r="C1" s="13" t="s">
        <v>77</v>
      </c>
    </row>
    <row r="2" spans="1:10">
      <c r="A2" s="543" t="s">
        <v>78</v>
      </c>
      <c r="B2" s="36"/>
      <c r="C2" s="177"/>
      <c r="E2" s="520" t="s">
        <v>80</v>
      </c>
      <c r="F2" s="519" t="s">
        <v>5</v>
      </c>
      <c r="H2" s="546" t="s">
        <v>81</v>
      </c>
      <c r="I2" s="164" t="str">
        <f>IF(MasterConfig!B1="",AutoPop!D56&amp;""&amp;AutoPop!E56&amp;""&amp;AutoPop!F56,MasterConfig!B1)</f>
        <v>https://0.pvcloud.com</v>
      </c>
      <c r="J2" t="s">
        <v>82</v>
      </c>
    </row>
    <row r="3" spans="1:10">
      <c r="A3" s="544" t="s">
        <v>23</v>
      </c>
      <c r="B3" s="36">
        <f>IF(MasterConfig!B22=399960,"Unlimited",MasterConfig!B22)</f>
        <v>0</v>
      </c>
      <c r="C3" s="177"/>
      <c r="E3" s="522" t="s">
        <v>6</v>
      </c>
      <c r="F3" s="516">
        <f>(MasterConfig!B7)</f>
        <v>0</v>
      </c>
      <c r="H3" s="547" t="s">
        <v>83</v>
      </c>
      <c r="I3" s="166">
        <f>IF(MasterConfig!B56="",MasterConfig!B51,MasterConfig!B56)</f>
        <v>0</v>
      </c>
    </row>
    <row r="4" spans="1:10">
      <c r="A4" s="543" t="s">
        <v>24</v>
      </c>
      <c r="B4" s="36">
        <f>(MasterConfig!B23*2)</f>
        <v>0</v>
      </c>
      <c r="C4" s="177"/>
      <c r="E4" s="523" t="s">
        <v>7</v>
      </c>
      <c r="F4" s="516">
        <f>(MasterConfig!B8)</f>
        <v>0</v>
      </c>
      <c r="H4" s="548"/>
      <c r="I4" s="170">
        <f>IF(MasterConfig!B56="",MasterConfig!B52,MasterConfig!B56)</f>
        <v>0</v>
      </c>
      <c r="J4" s="173" t="str">
        <f>IF(MasterConfig!B58="","",MasterConfig!B58)</f>
        <v/>
      </c>
    </row>
    <row r="5" spans="1:10">
      <c r="A5" s="543" t="s">
        <v>25</v>
      </c>
      <c r="B5" s="36">
        <f>(MasterConfig!B24)</f>
        <v>0</v>
      </c>
      <c r="C5" s="177">
        <f>IF(B5&lt;=1, 2.5, IF(B5&lt;=2, 3, IF(B5&lt;=3, 3.5, IF(B5&lt;=4, 3.5, IF(B5&lt;=5, 4, "")))))</f>
        <v>2.5</v>
      </c>
      <c r="E5" s="523" t="s">
        <v>8</v>
      </c>
      <c r="F5" s="516">
        <f>(MasterConfig!B9)</f>
        <v>0</v>
      </c>
      <c r="H5" s="548"/>
      <c r="I5" s="170">
        <f>(MasterConfig!B54)</f>
        <v>0</v>
      </c>
      <c r="J5" s="174" t="str">
        <f>IF(MasterConfig!B59="","",MasterConfig!B59)</f>
        <v/>
      </c>
    </row>
    <row r="6" spans="1:10">
      <c r="A6" s="543" t="s">
        <v>84</v>
      </c>
      <c r="B6" s="36">
        <f>(MasterConfig!B25)</f>
        <v>0</v>
      </c>
      <c r="C6" s="177"/>
      <c r="E6" s="523" t="s">
        <v>10</v>
      </c>
      <c r="F6" s="516">
        <f>(MasterConfig!B10)</f>
        <v>0</v>
      </c>
      <c r="H6" s="548"/>
      <c r="I6" s="171">
        <f>(MasterConfig!B53)</f>
        <v>0</v>
      </c>
      <c r="J6" s="174" t="str">
        <f>IF(MasterConfig!B60="","",MasterConfig!B60)</f>
        <v/>
      </c>
    </row>
    <row r="7" spans="1:10">
      <c r="A7" s="543" t="s">
        <v>85</v>
      </c>
      <c r="B7" s="36">
        <f>(MasterConfig!C25)</f>
        <v>0</v>
      </c>
      <c r="C7" s="177"/>
      <c r="E7" s="523" t="s">
        <v>86</v>
      </c>
      <c r="F7" s="516">
        <f>(MasterConfig!B13)</f>
        <v>0</v>
      </c>
      <c r="H7" s="549"/>
      <c r="I7" s="172">
        <f>IF(MasterConfig!B18=TRUE, "",MasterConfig!B55)</f>
        <v>0</v>
      </c>
      <c r="J7" s="175" t="str">
        <f>IF(MasterConfig!B61="","",MasterConfig!B61)</f>
        <v/>
      </c>
    </row>
    <row r="8" spans="1:10">
      <c r="A8" s="543" t="s">
        <v>28</v>
      </c>
      <c r="B8" s="693"/>
      <c r="C8" s="177"/>
      <c r="D8" s="1"/>
      <c r="E8" s="524" t="s">
        <v>14</v>
      </c>
      <c r="F8" s="516">
        <f>(MasterConfig!B14)</f>
        <v>0</v>
      </c>
      <c r="H8" s="550" t="s">
        <v>1</v>
      </c>
      <c r="I8" s="165" t="str">
        <f>IF(MasterConfig!B2="",AutoPop!D56&amp;""&amp;AutoPop!E56&amp;""&amp;AutoPop!F57,MasterConfig!B2)</f>
        <v>https://0-sb.pvcloud.com</v>
      </c>
    </row>
    <row r="9" spans="1:10">
      <c r="A9" s="543" t="s">
        <v>29</v>
      </c>
      <c r="B9" s="36">
        <f>(MasterConfig!B28)</f>
        <v>0</v>
      </c>
      <c r="C9" s="177">
        <f>B9*0.1</f>
        <v>0</v>
      </c>
      <c r="E9" s="523" t="s">
        <v>15</v>
      </c>
      <c r="F9" s="516" t="str">
        <f>IF(B3&lt;=1000,"No","Yes")</f>
        <v>No</v>
      </c>
      <c r="H9" s="547" t="s">
        <v>71</v>
      </c>
      <c r="I9" s="167">
        <f>IF(MasterConfig!B76="",MasterConfig!B71,MasterConfig!B76)</f>
        <v>0</v>
      </c>
    </row>
    <row r="10" spans="1:10">
      <c r="A10" s="543" t="s">
        <v>31</v>
      </c>
      <c r="B10" s="36" t="s">
        <v>40</v>
      </c>
      <c r="C10" s="177">
        <f>IF(B10="No",0,1)</f>
        <v>1</v>
      </c>
      <c r="E10" s="523" t="s">
        <v>16</v>
      </c>
      <c r="F10" s="521" t="str">
        <f>IF(MasterConfig!B16="","",MasterConfig!B16)</f>
        <v/>
      </c>
      <c r="H10" s="514"/>
      <c r="I10" s="167">
        <f>IF(MasterConfig!B76="",MasterConfig!B72,MasterConfig!B76)</f>
        <v>0</v>
      </c>
      <c r="J10" s="173" t="str">
        <f>IF(MasterConfig!B78="","",MasterConfig!B78)</f>
        <v/>
      </c>
    </row>
    <row r="11" spans="1:10">
      <c r="A11" s="543" t="s">
        <v>87</v>
      </c>
      <c r="B11" s="36">
        <f>(MasterConfig!B30)</f>
        <v>0</v>
      </c>
      <c r="C11" s="177">
        <f>B11*0.5</f>
        <v>0</v>
      </c>
      <c r="E11" s="523" t="s">
        <v>17</v>
      </c>
      <c r="F11" s="521">
        <f>(MasterConfig!B17)</f>
        <v>0</v>
      </c>
      <c r="H11" s="515"/>
      <c r="I11" s="167">
        <f>(MasterConfig!B74)</f>
        <v>0</v>
      </c>
      <c r="J11" s="174" t="str">
        <f>IF(MasterConfig!B79="","",MasterConfig!B79)</f>
        <v/>
      </c>
    </row>
    <row r="12" spans="1:10">
      <c r="A12" s="543" t="s">
        <v>88</v>
      </c>
      <c r="B12" s="163"/>
      <c r="C12" s="177"/>
      <c r="E12" s="540" t="s">
        <v>18</v>
      </c>
      <c r="F12" s="518" t="str">
        <f>IF(MasterConfig!B18="","",IF(MasterConfig!B18=TRUE,TRUE,FALSE))</f>
        <v/>
      </c>
      <c r="H12" s="515"/>
      <c r="I12" s="167">
        <f>(MasterConfig!B73)</f>
        <v>0</v>
      </c>
      <c r="J12" s="174" t="str">
        <f>IF(MasterConfig!B80="","",MasterConfig!B80)</f>
        <v/>
      </c>
    </row>
    <row r="13" spans="1:10">
      <c r="A13" s="543" t="s">
        <v>33</v>
      </c>
      <c r="B13" s="36">
        <f>(MasterConfig!B31)</f>
        <v>0</v>
      </c>
      <c r="C13" s="177">
        <f>IF(B13="Yes", 0.5,0)</f>
        <v>0</v>
      </c>
      <c r="E13" s="540" t="s">
        <v>89</v>
      </c>
      <c r="F13" s="542"/>
      <c r="H13" s="168"/>
      <c r="I13" s="169">
        <f>IF(MasterConfig!B18=TRUE, "",MasterConfig!B75)</f>
        <v>0</v>
      </c>
      <c r="J13" s="175" t="str">
        <f>IF(MasterConfig!B81="","",MasterConfig!B81)</f>
        <v/>
      </c>
    </row>
    <row r="14" spans="1:10">
      <c r="A14" s="543" t="s">
        <v>90</v>
      </c>
      <c r="B14" s="163"/>
      <c r="C14" s="177"/>
      <c r="D14" s="3"/>
      <c r="E14" s="540" t="s">
        <v>92</v>
      </c>
      <c r="F14" s="759"/>
    </row>
    <row r="15" spans="1:10">
      <c r="A15" s="543" t="s">
        <v>93</v>
      </c>
      <c r="B15" s="163"/>
      <c r="C15" s="177"/>
      <c r="D15" s="3"/>
      <c r="E15" s="523" t="s">
        <v>95</v>
      </c>
      <c r="F15" s="760"/>
      <c r="H15" s="551" t="s">
        <v>96</v>
      </c>
      <c r="I15" s="36" t="str">
        <f>_xlfn.CONCAT(F6,"PROD")</f>
        <v>0PROD</v>
      </c>
    </row>
    <row r="16" spans="1:10">
      <c r="A16" s="543" t="s">
        <v>34</v>
      </c>
      <c r="B16" s="36">
        <f>(MasterConfig!B32)</f>
        <v>0</v>
      </c>
      <c r="C16" s="177">
        <f t="shared" ref="C16:C17" si="0">IF(B16="Yes", 0.5,0)</f>
        <v>0</v>
      </c>
      <c r="E16" s="541" t="s">
        <v>3</v>
      </c>
      <c r="F16" s="542"/>
      <c r="H16" s="552" t="s">
        <v>97</v>
      </c>
      <c r="I16" s="36" t="str">
        <f>_xlfn.CONCAT(F6,"CTM")</f>
        <v>0CTM</v>
      </c>
    </row>
    <row r="17" spans="1:10">
      <c r="A17" s="543" t="s">
        <v>35</v>
      </c>
      <c r="B17" s="36">
        <f>(MasterConfig!B33)</f>
        <v>0</v>
      </c>
      <c r="C17" s="177">
        <f t="shared" si="0"/>
        <v>0</v>
      </c>
      <c r="H17" s="30"/>
    </row>
    <row r="18" spans="1:10" ht="15" customHeight="1">
      <c r="A18" s="545" t="s">
        <v>36</v>
      </c>
      <c r="B18" s="163"/>
      <c r="C18" s="178"/>
      <c r="E18" s="513" t="s">
        <v>98</v>
      </c>
      <c r="F18" s="39" t="s">
        <v>99</v>
      </c>
      <c r="H18" s="553" t="s">
        <v>50</v>
      </c>
      <c r="I18" s="176" t="b">
        <f>IF(MasterConfig!B46="https://pbirsfarm01fr.pvcloud.com/reportserver","https://pbirsfarm01fr.pvcloud.com/Reports",IF(MasterConfig!B46="https://eureportfarm03.pvcloud.com/Reports",IF(MasterConfig!B46="https://usreportfarm03.pvcloud.com/Reports",IF(MasterConfig!B46="https://pbirsfarm03au.pvcloud.com/Reports",""))))</f>
        <v>0</v>
      </c>
    </row>
    <row r="19" spans="1:10">
      <c r="A19" s="545" t="s">
        <v>100</v>
      </c>
      <c r="B19" s="163"/>
      <c r="C19" s="178">
        <f>IF(B19="Yes", 2, 0)</f>
        <v>0</v>
      </c>
      <c r="E19" s="512"/>
      <c r="F19" s="505" t="s">
        <v>101</v>
      </c>
      <c r="G19" s="79"/>
      <c r="I19" s="50"/>
      <c r="J19" s="49"/>
    </row>
    <row r="20" spans="1:10">
      <c r="A20" s="10"/>
      <c r="B20" s="14" t="s">
        <v>102</v>
      </c>
      <c r="C20" s="36">
        <f>SUM(C2:C18)</f>
        <v>3.5</v>
      </c>
      <c r="E20" s="512"/>
      <c r="F20" s="505"/>
      <c r="G20" s="79"/>
    </row>
    <row r="21" spans="1:10">
      <c r="E21" s="512"/>
      <c r="F21" s="505" t="s">
        <v>103</v>
      </c>
      <c r="G21" s="79"/>
    </row>
    <row r="22" spans="1:10" ht="15" customHeight="1">
      <c r="D22" s="79"/>
      <c r="E22" s="512"/>
      <c r="F22" s="505" t="s">
        <v>104</v>
      </c>
      <c r="G22" s="79"/>
    </row>
    <row r="23" spans="1:10">
      <c r="E23" s="512"/>
      <c r="F23" s="505" t="s">
        <v>105</v>
      </c>
      <c r="G23" s="79"/>
    </row>
    <row r="24" spans="1:10">
      <c r="A24" s="517" t="s">
        <v>106</v>
      </c>
      <c r="B24" s="39" t="str">
        <f>IF(B26&gt;=6, "Challenging", IF(B26&gt;=4, "Moderate", IF(B26&lt;=4, "Standard", "")))</f>
        <v>Standard</v>
      </c>
      <c r="E24" s="512"/>
      <c r="F24" s="505"/>
      <c r="G24" s="79"/>
    </row>
    <row r="25" spans="1:10">
      <c r="A25" s="512" t="s">
        <v>107</v>
      </c>
      <c r="B25" s="179">
        <f>SUM(C9,C10,C11,C13,C16,C17,C18)</f>
        <v>1</v>
      </c>
      <c r="E25" s="10"/>
      <c r="F25" s="506"/>
      <c r="G25" s="79"/>
    </row>
    <row r="26" spans="1:10">
      <c r="A26" s="10" t="s">
        <v>108</v>
      </c>
      <c r="B26" s="180">
        <f>SUM(C5)</f>
        <v>2.5</v>
      </c>
      <c r="F26" s="79"/>
      <c r="G26" s="79"/>
    </row>
    <row r="27" spans="1:10">
      <c r="E27" s="508" t="s">
        <v>73</v>
      </c>
      <c r="F27" s="509" t="s">
        <v>21</v>
      </c>
      <c r="G27" s="509"/>
      <c r="H27" s="510" t="s">
        <v>22</v>
      </c>
    </row>
    <row r="28" spans="1:10">
      <c r="E28" s="511"/>
      <c r="F28" s="518" t="str">
        <f>IF(MasterConfig!B91="","No Models",MasterConfig!B91)</f>
        <v>No Models</v>
      </c>
      <c r="G28" s="525"/>
      <c r="H28" s="518" t="str">
        <f>IF(MasterConfig!B92="","No Models",MasterConfig!B92)</f>
        <v>No Models</v>
      </c>
    </row>
    <row r="29" spans="1:10">
      <c r="A29" s="61" t="s">
        <v>109</v>
      </c>
      <c r="B29" s="63" t="s">
        <v>110</v>
      </c>
      <c r="C29" s="62" t="s">
        <v>111</v>
      </c>
      <c r="E29" s="512"/>
      <c r="F29" s="518" t="str">
        <f>IF(MasterConfig!C91="","",MasterConfig!C91)</f>
        <v/>
      </c>
      <c r="G29" s="526"/>
      <c r="H29" s="518" t="str">
        <f>IF(MasterConfig!C92="","",MasterConfig!C92)</f>
        <v/>
      </c>
    </row>
    <row r="30" spans="1:10">
      <c r="A30" s="554" t="s">
        <v>112</v>
      </c>
      <c r="B30" s="60" t="str">
        <f>IF(MasterConfig!B56="","N/A",MasterConfig!C56)</f>
        <v>N/A</v>
      </c>
      <c r="C30" s="60" t="str">
        <f>IF(MasterConfig!B76="","N/A",MasterConfig!C76)</f>
        <v>N/A</v>
      </c>
      <c r="E30" s="512"/>
      <c r="F30" s="518" t="str">
        <f>IF(MasterConfig!D91="","",MasterConfig!D91)</f>
        <v/>
      </c>
      <c r="G30" s="526"/>
      <c r="H30" s="518" t="str">
        <f>IF(MasterConfig!D92="","",MasterConfig!D92)</f>
        <v/>
      </c>
    </row>
    <row r="31" spans="1:10">
      <c r="A31" s="555" t="s">
        <v>113</v>
      </c>
      <c r="B31" s="60" t="str">
        <f>IF(MasterConfig!B56="","N/A",MasterConfig!D56)</f>
        <v>N/A</v>
      </c>
      <c r="C31" s="60" t="str">
        <f>IF(MasterConfig!B76="","N/A",MasterConfig!D76)</f>
        <v>N/A</v>
      </c>
      <c r="E31" s="512"/>
      <c r="F31" s="518" t="str">
        <f>IF(MasterConfig!E91="","",MasterConfig!E91)</f>
        <v/>
      </c>
      <c r="G31" s="526"/>
      <c r="H31" s="518" t="str">
        <f>IF(MasterConfig!E92="","",MasterConfig!E92)</f>
        <v/>
      </c>
    </row>
    <row r="32" spans="1:10">
      <c r="A32" s="555" t="s">
        <v>114</v>
      </c>
      <c r="B32" s="60" t="str">
        <f>IF(MasterConfig!B56="","N/A",MasterConfig!F56)</f>
        <v>N/A</v>
      </c>
      <c r="C32" s="60" t="str">
        <f>IF(MasterConfig!B76="","N/A",MasterConfig!F76)</f>
        <v>N/A</v>
      </c>
      <c r="E32" s="512"/>
      <c r="F32" s="518" t="str">
        <f>IF(MasterConfig!F91="","",MasterConfig!F91)</f>
        <v/>
      </c>
      <c r="G32" s="526"/>
      <c r="H32" s="518" t="str">
        <f>IF(MasterConfig!F92="","",MasterConfig!F92)</f>
        <v/>
      </c>
    </row>
    <row r="33" spans="1:8">
      <c r="A33" s="555" t="s">
        <v>115</v>
      </c>
      <c r="B33" s="60" t="str">
        <f>IF(MasterConfig!B51="","N/A",MasterConfig!C51)</f>
        <v>N/A</v>
      </c>
      <c r="C33" s="60" t="str">
        <f>IF(MasterConfig!B71="","N/A",MasterConfig!C71)</f>
        <v>N/A</v>
      </c>
      <c r="E33" s="512"/>
      <c r="F33" s="518" t="str">
        <f>IF(MasterConfig!G91="","",MasterConfig!G91)</f>
        <v/>
      </c>
      <c r="G33" s="526"/>
      <c r="H33" s="518" t="str">
        <f>IF(MasterConfig!G92="","",MasterConfig!G92)</f>
        <v/>
      </c>
    </row>
    <row r="34" spans="1:8">
      <c r="A34" s="555" t="s">
        <v>116</v>
      </c>
      <c r="B34" s="60" t="str">
        <f>IF(MasterConfig!B51="","N/A",MasterConfig!D51)</f>
        <v>N/A</v>
      </c>
      <c r="C34" s="60" t="str">
        <f>IF(MasterConfig!B71="","N/A",MasterConfig!D71)</f>
        <v>N/A</v>
      </c>
      <c r="E34" s="10"/>
      <c r="F34" s="518" t="str">
        <f>IF(MasterConfig!H91="","",MasterConfig!H91)</f>
        <v/>
      </c>
      <c r="G34" s="507"/>
      <c r="H34" s="518" t="str">
        <f>IF(MasterConfig!H92="","",MasterConfig!H92)</f>
        <v/>
      </c>
    </row>
    <row r="35" spans="1:8">
      <c r="A35" s="555" t="s">
        <v>117</v>
      </c>
      <c r="B35" s="60" t="str">
        <f>IF(MasterConfig!B51="","N/A",MasterConfig!F51)</f>
        <v>N/A</v>
      </c>
      <c r="C35" s="60" t="str">
        <f>IF(MasterConfig!B71="","N/A",MasterConfig!F71)</f>
        <v>N/A</v>
      </c>
    </row>
    <row r="36" spans="1:8">
      <c r="A36" s="555" t="s">
        <v>118</v>
      </c>
      <c r="B36" s="60" t="str">
        <f>IF(MasterConfig!B52="","N/A",MasterConfig!C52)</f>
        <v>N/A</v>
      </c>
      <c r="C36" s="60" t="str">
        <f>IF(MasterConfig!B72="","N/A",MasterConfig!C72)</f>
        <v>N/A</v>
      </c>
      <c r="E36" s="508" t="s">
        <v>74</v>
      </c>
      <c r="F36" s="509" t="s">
        <v>21</v>
      </c>
      <c r="G36" s="509"/>
      <c r="H36" s="510" t="s">
        <v>22</v>
      </c>
    </row>
    <row r="37" spans="1:8">
      <c r="A37" s="555" t="s">
        <v>119</v>
      </c>
      <c r="B37" s="60" t="str">
        <f>IF(MasterConfig!B52="","N/A",MasterConfig!D52)</f>
        <v>N/A</v>
      </c>
      <c r="C37" s="60" t="str">
        <f>IF(MasterConfig!B72="","N/A",MasterConfig!D72)</f>
        <v>N/A</v>
      </c>
      <c r="E37" s="511"/>
      <c r="F37" s="518" t="str">
        <f>IF(MasterConfig!B95="","No Interfaces",MasterConfig!B95)</f>
        <v>No Interfaces</v>
      </c>
      <c r="G37" s="525"/>
      <c r="H37" s="518" t="str">
        <f>IF(MasterConfig!B96="","No Interfaces",MasterConfig!B96)</f>
        <v>No Interfaces</v>
      </c>
    </row>
    <row r="38" spans="1:8">
      <c r="A38" s="555" t="s">
        <v>120</v>
      </c>
      <c r="B38" s="60" t="str">
        <f>IF(MasterConfig!B52="","N/A",MasterConfig!F52)</f>
        <v>N/A</v>
      </c>
      <c r="C38" s="60" t="str">
        <f>IF(MasterConfig!B72="","N/A",MasterConfig!F72)</f>
        <v>N/A</v>
      </c>
      <c r="E38" s="512"/>
      <c r="F38" s="518" t="str">
        <f>IF(MasterConfig!C95="","",MasterConfig!C95)</f>
        <v/>
      </c>
      <c r="G38" s="526"/>
      <c r="H38" s="518" t="str">
        <f>IF(MasterConfig!C96="","",MasterConfig!C96)</f>
        <v/>
      </c>
    </row>
    <row r="39" spans="1:8">
      <c r="A39" s="555" t="s">
        <v>121</v>
      </c>
      <c r="B39" s="60" t="str">
        <f>IF(MasterConfig!B55="","N/A",MasterConfig!C55)</f>
        <v>N/A</v>
      </c>
      <c r="C39" s="60" t="str">
        <f>IF(MasterConfig!B75="","N/A",MasterConfig!C75)</f>
        <v>N/A</v>
      </c>
      <c r="E39" s="512"/>
      <c r="F39" s="518" t="str">
        <f>IF(MasterConfig!D95="","",MasterConfig!D95)</f>
        <v/>
      </c>
      <c r="G39" s="526"/>
      <c r="H39" s="518" t="str">
        <f>IF(MasterConfig!D96="","",MasterConfig!D96)</f>
        <v/>
      </c>
    </row>
    <row r="40" spans="1:8">
      <c r="A40" s="555" t="s">
        <v>122</v>
      </c>
      <c r="B40" s="60" t="str">
        <f>IF(MasterConfig!B55="","N/A",MasterConfig!D55)</f>
        <v>N/A</v>
      </c>
      <c r="C40" s="60" t="str">
        <f>IF(MasterConfig!B75="","N/A",MasterConfig!D75)</f>
        <v>N/A</v>
      </c>
      <c r="E40" s="512"/>
      <c r="F40" s="518" t="str">
        <f>IF(MasterConfig!E95="","",MasterConfig!E95)</f>
        <v/>
      </c>
      <c r="G40" s="526"/>
      <c r="H40" s="518" t="str">
        <f>IF(MasterConfig!E96="","",MasterConfig!E96)</f>
        <v/>
      </c>
    </row>
    <row r="41" spans="1:8">
      <c r="A41" s="555" t="s">
        <v>123</v>
      </c>
      <c r="B41" s="60" t="str">
        <f>IF(MasterConfig!B55="","N/A",MasterConfig!F55)</f>
        <v>N/A</v>
      </c>
      <c r="C41" s="60" t="str">
        <f>IF(MasterConfig!B75="","N/A",MasterConfig!F75)</f>
        <v>N/A</v>
      </c>
      <c r="E41" s="512"/>
      <c r="F41" s="518" t="str">
        <f>IF(MasterConfig!F95="","",MasterConfig!F95)</f>
        <v/>
      </c>
      <c r="G41" s="526"/>
      <c r="H41" s="518" t="str">
        <f>IF(MasterConfig!F96="","",MasterConfig!F96)</f>
        <v/>
      </c>
    </row>
    <row r="42" spans="1:8">
      <c r="A42" s="555" t="s">
        <v>124</v>
      </c>
      <c r="B42" s="60">
        <f>(MasterConfig!C54)</f>
        <v>0</v>
      </c>
      <c r="C42" s="60">
        <f>(MasterConfig!C74)</f>
        <v>0</v>
      </c>
      <c r="E42" s="512"/>
      <c r="F42" s="518" t="str">
        <f>IF(MasterConfig!G95="","",MasterConfig!G95)</f>
        <v/>
      </c>
      <c r="G42" s="526"/>
      <c r="H42" s="518" t="str">
        <f>IF(MasterConfig!IG96="","",MasterConfig!G96)</f>
        <v/>
      </c>
    </row>
    <row r="43" spans="1:8">
      <c r="A43" s="555" t="s">
        <v>125</v>
      </c>
      <c r="B43" s="60">
        <f>(MasterConfig!D54)</f>
        <v>0</v>
      </c>
      <c r="C43" s="60">
        <f>(MasterConfig!D74)</f>
        <v>0</v>
      </c>
      <c r="E43" s="10"/>
      <c r="F43" s="518" t="str">
        <f>IF(MasterConfig!H95="","",MasterConfig!H95)</f>
        <v/>
      </c>
      <c r="G43" s="507"/>
      <c r="H43" s="518" t="str">
        <f>IF(MasterConfig!H96="","",MasterConfig!H96)</f>
        <v/>
      </c>
    </row>
    <row r="44" spans="1:8">
      <c r="A44" s="555" t="s">
        <v>126</v>
      </c>
      <c r="B44" s="60">
        <f>(MasterConfig!F54)</f>
        <v>0</v>
      </c>
      <c r="C44" s="60">
        <f>(MasterConfig!F74)</f>
        <v>0</v>
      </c>
    </row>
    <row r="45" spans="1:8">
      <c r="A45" s="555" t="s">
        <v>44</v>
      </c>
      <c r="B45" s="60">
        <f>(MasterConfig!B39)</f>
        <v>0</v>
      </c>
      <c r="C45" s="60">
        <f>(MasterConfig!C39)</f>
        <v>0</v>
      </c>
    </row>
    <row r="46" spans="1:8">
      <c r="A46" s="555" t="s">
        <v>45</v>
      </c>
      <c r="B46" s="60">
        <f>(MasterConfig!B40)</f>
        <v>0</v>
      </c>
      <c r="C46" s="60">
        <f>(MasterConfig!C40)</f>
        <v>0</v>
      </c>
    </row>
    <row r="47" spans="1:8">
      <c r="A47" s="555" t="s">
        <v>127</v>
      </c>
      <c r="B47" s="60">
        <f>(MasterConfig!B42)</f>
        <v>0</v>
      </c>
      <c r="C47" s="60">
        <f>(MasterConfig!C42)</f>
        <v>0</v>
      </c>
    </row>
    <row r="48" spans="1:8">
      <c r="A48" s="555" t="s">
        <v>128</v>
      </c>
      <c r="B48" s="60">
        <f>(MasterConfig!B43)</f>
        <v>0</v>
      </c>
      <c r="C48" s="60">
        <f>(MasterConfig!C43)</f>
        <v>0</v>
      </c>
    </row>
    <row r="49" spans="1:3">
      <c r="A49" s="555" t="s">
        <v>129</v>
      </c>
      <c r="B49" s="60">
        <f>(MasterConfig!C53)</f>
        <v>0</v>
      </c>
      <c r="C49" s="60">
        <f>(MasterConfig!C73)</f>
        <v>0</v>
      </c>
    </row>
    <row r="50" spans="1:3">
      <c r="A50" s="555" t="s">
        <v>130</v>
      </c>
      <c r="B50" s="60">
        <f>(MasterConfig!D53)</f>
        <v>0</v>
      </c>
      <c r="C50" s="60">
        <f>(MasterConfig!D73)</f>
        <v>0</v>
      </c>
    </row>
    <row r="51" spans="1:3">
      <c r="A51" s="555" t="s">
        <v>131</v>
      </c>
      <c r="B51" s="60">
        <f>(MasterConfig!F53)</f>
        <v>0</v>
      </c>
      <c r="C51" s="60">
        <f>(MasterConfig!F73)</f>
        <v>0</v>
      </c>
    </row>
    <row r="52" spans="1:3">
      <c r="A52" s="555" t="s">
        <v>132</v>
      </c>
      <c r="B52" s="60" t="str">
        <f>IF(MasterConfig!B35="","Check",MasterConfig!B35)</f>
        <v>Check</v>
      </c>
      <c r="C52" s="60" t="str">
        <f>IF(MasterConfig!C35="","Check",MasterConfig!C35)</f>
        <v>Check</v>
      </c>
    </row>
    <row r="53" spans="1:3">
      <c r="A53" s="555" t="s">
        <v>133</v>
      </c>
      <c r="B53" s="60">
        <f>(MasterConfig!B41)</f>
        <v>0</v>
      </c>
      <c r="C53" s="60">
        <f>(MasterConfig!C41)</f>
        <v>0</v>
      </c>
    </row>
    <row r="54" spans="1:3">
      <c r="A54" s="556" t="s">
        <v>134</v>
      </c>
      <c r="B54" s="60">
        <f>(MasterConfig!B36)</f>
        <v>0</v>
      </c>
      <c r="C54" s="60">
        <f>(MasterConfig!C36)</f>
        <v>0</v>
      </c>
    </row>
  </sheetData>
  <conditionalFormatting sqref="B7">
    <cfRule type="cellIs" dxfId="5" priority="5" operator="notEqual">
      <formula>$B$6</formula>
    </cfRule>
  </conditionalFormatting>
  <conditionalFormatting sqref="B6">
    <cfRule type="cellIs" dxfId="4" priority="4" operator="notEqual">
      <formula>$B$7</formula>
    </cfRule>
  </conditionalFormatting>
  <conditionalFormatting sqref="F13 F14 F16 B14 B18 B19 B15 B8 B12 B14 B15">
    <cfRule type="notContainsBlanks" dxfId="3" priority="1">
      <formula>LEN(TRIM(B8))&gt;0</formula>
    </cfRule>
  </conditionalFormatting>
  <dataValidations count="4">
    <dataValidation allowBlank="1" showInputMessage="1" showErrorMessage="1" promptTitle="Alias only" prompt="Netbios alias. No HTTPS or pvcloud.com." sqref="F3:F8"/>
    <dataValidation allowBlank="1" showInputMessage="1" showErrorMessage="1" promptTitle="PVE?" prompt="Replace this value with PVE server name" sqref="I3:I4"/>
    <dataValidation allowBlank="1" showInputMessage="1" showErrorMessage="1" promptTitle="PVE?" prompt="Replace PVE server name here." sqref="I9"/>
    <dataValidation allowBlank="1" showInputMessage="1" showErrorMessage="1" promptTitle="PVE?" prompt="Replace the PVE server name here." sqref="I10"/>
  </dataValidations>
  <hyperlinks>
    <hyperlink ref="A3" r:id="rId1"/>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AutoPop!$M$25:$M$25</xm:f>
          </x14:formula1>
          <xm:sqref>B2</xm:sqref>
        </x14:dataValidation>
        <x14:dataValidation type="list" allowBlank="1" showInputMessage="1" showErrorMessage="1">
          <x14:formula1>
            <xm:f>AutoPop!$M$29:$M$30</xm:f>
          </x14:formula1>
          <xm:sqref>B10 B51:C51 B38:C38 B44:C44 C41 B18:B19</xm:sqref>
        </x14:dataValidation>
        <x14:dataValidation type="list" allowBlank="1" showInputMessage="1" showErrorMessage="1">
          <x14:formula1>
            <xm:f>Automation!$D$101:$D$102</xm:f>
          </x14:formula1>
          <xm:sqref>B14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91"/>
  <sheetViews>
    <sheetView topLeftCell="A96" zoomScale="85" zoomScaleNormal="85" workbookViewId="0">
      <selection activeCell="D7" sqref="D7:D9"/>
    </sheetView>
  </sheetViews>
  <sheetFormatPr defaultRowHeight="15"/>
  <cols>
    <col min="1" max="1" width="4.140625" bestFit="1" customWidth="1"/>
    <col min="2" max="2" width="55.5703125" style="193" bestFit="1" customWidth="1"/>
    <col min="3" max="3" width="208.140625" style="191" bestFit="1" customWidth="1"/>
    <col min="4" max="4" width="26" bestFit="1" customWidth="1"/>
  </cols>
  <sheetData>
    <row r="1" spans="1:4" ht="18">
      <c r="A1" s="292"/>
      <c r="B1" s="271" t="s">
        <v>135</v>
      </c>
      <c r="C1" s="271" t="s">
        <v>136</v>
      </c>
      <c r="D1" s="272" t="s">
        <v>137</v>
      </c>
    </row>
    <row r="2" spans="1:4" ht="30">
      <c r="A2" s="589">
        <v>1</v>
      </c>
      <c r="B2" s="590" t="s">
        <v>138</v>
      </c>
      <c r="C2" s="591" t="s">
        <v>139</v>
      </c>
      <c r="D2" s="692">
        <v>1</v>
      </c>
    </row>
    <row r="3" spans="1:4" ht="15" customHeight="1">
      <c r="A3" s="815">
        <v>1</v>
      </c>
      <c r="B3" s="198" t="s">
        <v>140</v>
      </c>
      <c r="C3" s="186"/>
      <c r="D3" s="767"/>
    </row>
    <row r="4" spans="1:4" ht="15" customHeight="1">
      <c r="A4" s="816"/>
      <c r="B4" s="560" t="str">
        <f>IF(MasterConfig!B19=TRUE,IF('Upgrade Data'!B30&lt;&gt;'Upgrade Data'!C30,"Align PVE CPU's","No PVE CPU Alignment Required"),"Skip this step")</f>
        <v>Skip this step</v>
      </c>
      <c r="C4" s="486" t="str">
        <f>IF(MasterConfig!B19=TRUE,IF(B17="No SQL RAM Alignment Required","No Action Needed",'Upgrade Data'!B29&amp;" "&amp;'Upgrade Data'!B30&amp;" - "&amp;'Upgrade Data'!C29&amp;" "&amp;'Upgrade Data'!C30),"Skip this step - No PVE Server")</f>
        <v>Skip this step - No PVE Server</v>
      </c>
      <c r="D4" s="810"/>
    </row>
    <row r="5" spans="1:4" ht="15" customHeight="1">
      <c r="A5" s="816"/>
      <c r="B5" s="561" t="str">
        <f>IF(MasterConfig!B19=TRUE,IF('Upgrade Data'!B31&lt;&gt;'Upgrade Data'!C31,"Align PVE RAM","No PVE RAM Alignment Required"),"")</f>
        <v/>
      </c>
      <c r="C5" s="486" t="str">
        <f>IF(MasterConfig!B19=TRUE,IF(B17="No SQL RAM Alignment Required","No Action Needed",'Upgrade Data'!B29&amp;" "&amp;'Upgrade Data'!B31&amp;" - "&amp;'Upgrade Data'!C29&amp;" "&amp;'Upgrade Data'!C31),"")</f>
        <v/>
      </c>
      <c r="D5" s="810"/>
    </row>
    <row r="6" spans="1:4">
      <c r="A6" s="816"/>
      <c r="B6" s="562" t="str">
        <f>IF(MasterConfig!B19=TRUE,IF('Upgrade Data'!B32&lt;&gt;'Upgrade Data'!C32,"Align PVE Disk","No PVE Disk Alignment Required"),"")</f>
        <v/>
      </c>
      <c r="C6" s="486" t="str">
        <f>IF(MasterConfig!B19=TRUE,IF(B6="No PVE Disk Alignment Required","No Action Needed","Align Prod and SB PVE Disk"),"")</f>
        <v/>
      </c>
      <c r="D6" s="810"/>
    </row>
    <row r="7" spans="1:4">
      <c r="A7" s="816"/>
      <c r="B7" s="563" t="str">
        <f>IF(MasterConfig!B19=TRUE,"Skip this step",IF('Upgrade Data'!B33&lt;&gt;'Upgrade Data'!C33,"Align Web CPU's","No Web CPU Alignment Required"))</f>
        <v>No Web CPU Alignment Required</v>
      </c>
      <c r="C7" s="187" t="str">
        <f>IF(MasterConfig!B19=TRUE,"Skip this step - No Web Server",IF(B7="No Web CPU Alignment Required","No Action Needed",'Upgrade Data'!B29&amp;" "&amp;'Upgrade Data'!B33&amp;" - "&amp;'Upgrade Data'!C29&amp;" "&amp;'Upgrade Data'!C33))</f>
        <v>No Action Needed</v>
      </c>
      <c r="D7" s="818"/>
    </row>
    <row r="8" spans="1:4" ht="18" customHeight="1">
      <c r="A8" s="816"/>
      <c r="B8" s="563" t="str">
        <f>IF(MasterConfig!B19=TRUE,"",IF('Upgrade Data'!B34&lt;&gt;'Upgrade Data'!C34,"Align Web RAM","No Web RAM Alignment Required"))</f>
        <v>No Web RAM Alignment Required</v>
      </c>
      <c r="C8" s="187" t="str">
        <f>IF(MasterConfig!B19=TRUE,"",IF(B8="No Web RAM Alignment Required","No Action Needed",'Upgrade Data'!B29&amp;" "&amp;'Upgrade Data'!B34&amp;" - "&amp;'Upgrade Data'!C29&amp;" "&amp;'Upgrade Data'!C34))</f>
        <v>No Action Needed</v>
      </c>
      <c r="D8" s="818"/>
    </row>
    <row r="9" spans="1:4">
      <c r="A9" s="816"/>
      <c r="B9" s="563" t="str">
        <f>IF(MasterConfig!B19=TRUE,"",IF('Upgrade Data'!B35&lt;&gt;'Upgrade Data'!C35,"Align Web Disk","No Web Disk Alignment Required"))</f>
        <v>No Web Disk Alignment Required</v>
      </c>
      <c r="C9" s="187" t="str">
        <f>IF(MasterConfig!B19=TRUE,"",IF(B9="No Web Disk Alignment Required","No Action Needed","Align Prod and SB Web Disk"))</f>
        <v>No Action Needed</v>
      </c>
      <c r="D9" s="818"/>
    </row>
    <row r="10" spans="1:4">
      <c r="A10" s="816"/>
      <c r="B10" s="560" t="str">
        <f>IF(MasterConfig!B19=TRUE,"Skip this step",IF('Upgrade Data'!B36&lt;&gt;'Upgrade Data'!C36,"Align App CPU's","No App CPU Alignment Required"))</f>
        <v>No App CPU Alignment Required</v>
      </c>
      <c r="C10" s="486" t="str">
        <f>IF(MasterConfig!B19=TRUE,"Skip this step - No App Server",IF(B10="No App CPU Alignment Required","No Action Needed",'Upgrade Data'!B29&amp;" "&amp;'Upgrade Data'!B36&amp;" - "&amp;'Upgrade Data'!C29&amp;" "&amp;'Upgrade Data'!C36))</f>
        <v>No Action Needed</v>
      </c>
      <c r="D10" s="810"/>
    </row>
    <row r="11" spans="1:4">
      <c r="A11" s="816"/>
      <c r="B11" s="561" t="str">
        <f>IF(MasterConfig!B19=TRUE,"",IF('Upgrade Data'!B37&lt;&gt;'Upgrade Data'!C37,"Align App RAM","No App RAM Alignment Required"))</f>
        <v>No App RAM Alignment Required</v>
      </c>
      <c r="C11" s="486" t="str">
        <f>IF(MasterConfig!B19=TRUE,"",IF(B11="No App RAM Alignment Required","No Action Needed",'Upgrade Data'!B29&amp;" "&amp;'Upgrade Data'!B37&amp;" - "&amp;'Upgrade Data'!C29&amp;" "&amp;'Upgrade Data'!C37))</f>
        <v>No Action Needed</v>
      </c>
      <c r="D11" s="810"/>
    </row>
    <row r="12" spans="1:4">
      <c r="A12" s="816"/>
      <c r="B12" s="562" t="str">
        <f>IF(MasterConfig!B19=TRUE,"",IF('Upgrade Data'!B38&lt;&gt;'Upgrade Data'!C38,"Align App Disk","No App Disk Alignment Required"))</f>
        <v>No App Disk Alignment Required</v>
      </c>
      <c r="C12" s="486" t="str">
        <f>IF(MasterConfig!B19=TRUE,"",IF(B12="No App Disk Alignment Required","No Action Needed","Align Prod and SB App CPU's"))</f>
        <v>No Action Needed</v>
      </c>
      <c r="D12" s="810"/>
    </row>
    <row r="13" spans="1:4">
      <c r="A13" s="816"/>
      <c r="B13" s="563" t="str">
        <f>IF(MasterConfig!B18=TRUE,"Skip this step",IF('Upgrade Data'!B39&lt;&gt;'Upgrade Data'!C39,"Align SAS CPU's","No SAS CPU Alignment Required"))</f>
        <v>No SAS CPU Alignment Required</v>
      </c>
      <c r="C13" s="187" t="str">
        <f>IF(MasterConfig!B18=TRUE,"Skip this step - No SAS Server",IF(B13="No SAS CPU Alignment Required","No Action Needed",'Upgrade Data'!B29&amp;" "&amp;'Upgrade Data'!B39&amp;" - "&amp;'Upgrade Data'!C29&amp;" "&amp;'Upgrade Data'!C39))</f>
        <v>No Action Needed</v>
      </c>
      <c r="D13" s="818"/>
    </row>
    <row r="14" spans="1:4">
      <c r="A14" s="816"/>
      <c r="B14" s="563" t="str">
        <f>IF(MasterConfig!B18=TRUE,"",IF('Upgrade Data'!B40&lt;&gt;'Upgrade Data'!C40,"Align SAS RAM","No SAS RAM Alignment Required"))</f>
        <v>No SAS RAM Alignment Required</v>
      </c>
      <c r="C14" s="187" t="str">
        <f>IF(MasterConfig!B18=TRUE,"",IF(B14="No SAS RAM Alignment Required","No Action Needed",'Upgrade Data'!B29&amp;" "&amp;'Upgrade Data'!B40&amp;" - "&amp;'Upgrade Data'!C29&amp;" "&amp;'Upgrade Data'!C40))</f>
        <v>No Action Needed</v>
      </c>
      <c r="D14" s="818"/>
    </row>
    <row r="15" spans="1:4">
      <c r="A15" s="816"/>
      <c r="B15" s="563" t="str">
        <f>IF(MasterConfig!B18=TRUE,"",IF('Upgrade Data'!B41&lt;&gt;'Upgrade Data'!C41,"Align SAS Disk","No SAS Disk Alignment Required"))</f>
        <v>No SAS Disk Alignment Required</v>
      </c>
      <c r="C15" s="187" t="str">
        <f>IF(MasterConfig!B18=TRUE,"",IF(B15="No SAS Disk Alignment Required","No Action Needed","Align Prod and SB SAS CPU's"))</f>
        <v>No Action Needed</v>
      </c>
      <c r="D15" s="818"/>
    </row>
    <row r="16" spans="1:4">
      <c r="A16" s="816"/>
      <c r="B16" s="560" t="str">
        <f>IF('Upgrade Data'!B42&lt;&gt;'Upgrade Data'!C42,"Align SQL CPU's","No SQL CPU Alignment Required")</f>
        <v>No SQL CPU Alignment Required</v>
      </c>
      <c r="C16" s="486" t="str">
        <f>IF(B16="No SQL CPU Alignment Required","No Action Needed",'Upgrade Data'!B29&amp;" "&amp;'Upgrade Data'!B42&amp;" - "&amp;'Upgrade Data'!C29&amp;" "&amp;'Upgrade Data'!C42)</f>
        <v>No Action Needed</v>
      </c>
      <c r="D16" s="810"/>
    </row>
    <row r="17" spans="1:4">
      <c r="A17" s="816"/>
      <c r="B17" s="561" t="str">
        <f>IF('Upgrade Data'!B43&lt;&gt;'Upgrade Data'!C43,"Align SQL RAM","No SQL RAM Alignment Required")</f>
        <v>No SQL RAM Alignment Required</v>
      </c>
      <c r="C17" s="486" t="str">
        <f>IF(B17="No SQL RAM Alignment Required","No Action Needed",'Upgrade Data'!B29&amp;" "&amp;'Upgrade Data'!B43&amp;" - "&amp;'Upgrade Data'!C29&amp;" "&amp;'Upgrade Data'!C43)</f>
        <v>No Action Needed</v>
      </c>
      <c r="D17" s="810"/>
    </row>
    <row r="18" spans="1:4">
      <c r="A18" s="816"/>
      <c r="B18" s="564" t="str">
        <f>IF('Upgrade Data'!B44&lt;&gt;'Upgrade Data'!C44,"Align SQL Disks","No SQL Disk Alignment Required")</f>
        <v>No SQL Disk Alignment Required</v>
      </c>
      <c r="C18" s="486" t="str">
        <f>IF(B18="No SQL Disk Alignment Required","No Action Needed","Align Prod and SB SQL Disk")</f>
        <v>No Action Needed</v>
      </c>
      <c r="D18" s="810"/>
    </row>
    <row r="19" spans="1:4">
      <c r="A19" s="816"/>
      <c r="B19" s="351" t="str">
        <f>IF('Upgrade Data'!B45&lt;&gt;'Upgrade Data'!C45,"Align SQL MAX DOP","No SQL MAX DOP Alignment Required")</f>
        <v>No SQL MAX DOP Alignment Required</v>
      </c>
      <c r="C19" s="486" t="str">
        <f>IF(B19="No SQL MAX DOP Alignment Required","No Action Needed",'Upgrade Data'!B29&amp;" "&amp;'Upgrade Data'!B45&amp;" - "&amp;'Upgrade Data'!C29&amp;" "&amp;'Upgrade Data'!C45)</f>
        <v>No Action Needed</v>
      </c>
      <c r="D19" s="810"/>
    </row>
    <row r="20" spans="1:4">
      <c r="A20" s="816"/>
      <c r="B20" s="562" t="str">
        <f>IF('Upgrade Data'!B46&lt;&gt;'Upgrade Data'!C46,"Align SQL COST THRESHOLD","No SQL COST THRESHOLD Alignment Required")</f>
        <v>No SQL COST THRESHOLD Alignment Required</v>
      </c>
      <c r="C20" s="486" t="str">
        <f>IF(B20="No SQL COST THRESHOLD Alignment Required","No Action Needed",'Upgrade Data'!B29&amp;" "&amp;'Upgrade Data'!B46&amp;" - "&amp;'Upgrade Data'!C29&amp;" "&amp;'Upgrade Data'!C46)</f>
        <v>No Action Needed</v>
      </c>
      <c r="D20" s="810"/>
    </row>
    <row r="21" spans="1:4">
      <c r="A21" s="816"/>
      <c r="B21" s="563" t="str">
        <f>IF('Upgrade Data'!B49&lt;&gt;'Upgrade Data'!C49,"Align CTM CPU's","No CTM CPU Alignment Required")</f>
        <v>No CTM CPU Alignment Required</v>
      </c>
      <c r="C21" s="187" t="str">
        <f>IF(B21="No CTM CPU Alignment Required","No Action Needed",'Upgrade Data'!B29&amp;" "&amp;'Upgrade Data'!B49&amp;" - "&amp;'Upgrade Data'!C29&amp;" "&amp;'Upgrade Data'!C49)</f>
        <v>No Action Needed</v>
      </c>
      <c r="D21" s="818"/>
    </row>
    <row r="22" spans="1:4">
      <c r="A22" s="816"/>
      <c r="B22" s="563" t="str">
        <f>IF('Upgrade Data'!B50&lt;&gt;'Upgrade Data'!C50,"Align CTM RAM","No CTM RAM Alignment Required")</f>
        <v>No CTM RAM Alignment Required</v>
      </c>
      <c r="C22" s="187" t="str">
        <f>IF(B22="No CTM RAM Alignment Required","No Action Needed",'Upgrade Data'!B29&amp;" "&amp;'Upgrade Data'!B50&amp;" - "&amp;'Upgrade Data'!C29&amp;" "&amp;'Upgrade Data'!C50)</f>
        <v>No Action Needed</v>
      </c>
      <c r="D22" s="818"/>
    </row>
    <row r="23" spans="1:4">
      <c r="A23" s="817"/>
      <c r="B23" s="563" t="str">
        <f>IF('Upgrade Data'!B51&lt;&gt;'Upgrade Data'!C51,"Align CTM Disk","No CTM Disk Alignment Required")</f>
        <v>No CTM Disk Alignment Required</v>
      </c>
      <c r="C23" s="187" t="str">
        <f>IF(B23="No CTM Disk Alignment Required","No Action Needed","Align Prod and SB CTM Disk")</f>
        <v>No Action Needed</v>
      </c>
      <c r="D23" s="818"/>
    </row>
    <row r="24" spans="1:4">
      <c r="A24" s="811">
        <v>2</v>
      </c>
      <c r="B24" s="597" t="str">
        <f>IF(MasterConfig!B18=TRUE,"Take AMIs of the following server","Snapshots")</f>
        <v>Snapshots</v>
      </c>
      <c r="C24" s="603" t="str">
        <f>IF('Upgrade Data'!F12=TRUE,"https://jenkins.planviewcloud.net/job/create_ami_pipe/build?delay=0sec",IF('Upgrade Data'!F5="ln","https://jenkins.eu.planview.world/job/vmguest_create_snapshot/build?delay=0sec",IF('Upgrade Data'!F5="sg","https://jenkins.us.planview.world/job/vmguest_create_snapshot/build?delay=0sec","")))</f>
        <v/>
      </c>
      <c r="D24" s="809"/>
    </row>
    <row r="25" spans="1:4">
      <c r="A25" s="812"/>
      <c r="B25" s="595" t="str">
        <f>IF('Upgrade Data'!F12=TRUE,"TARGET_SERVER_NAME",IF('Upgrade Data'!F12=FALSE,"VM_GUEST_NAME",""))</f>
        <v/>
      </c>
      <c r="C25" s="600">
        <f>IF('Upgrade Data'!I11&lt;&gt;"",'Upgrade Data'!I11,"")</f>
        <v>0</v>
      </c>
      <c r="D25" s="810"/>
    </row>
    <row r="26" spans="1:4">
      <c r="A26" s="812"/>
      <c r="B26" s="565" t="str">
        <f>IF('Upgrade Data'!F12=TRUE,"AMI_TYPE",IF('Upgrade Data'!F12=FALSE,"SNAPSHOT_NAME",""))</f>
        <v/>
      </c>
      <c r="C26" s="600" t="str">
        <f>IF('Upgrade Data'!F12&lt;&gt;"","Pre_e1r17_SB_Alignment","")</f>
        <v/>
      </c>
      <c r="D26" s="810"/>
    </row>
    <row r="27" spans="1:4">
      <c r="A27" s="812"/>
      <c r="B27" s="565" t="str">
        <f>IF('Upgrade Data'!F12=TRUE,"NODE_LABEL",IF('Upgrade Data'!F12=FALSE,"",""))</f>
        <v/>
      </c>
      <c r="C27" s="596" t="str">
        <f>IF(AND('Upgrade Data'!F12=TRUE,'Upgrade Data'!F5="au"),Automation!F76,IF(AND('Upgrade Data'!F12=TRUE,'Upgrade Data'!F5="fr"),Automation!F77,""))</f>
        <v/>
      </c>
      <c r="D27" s="810"/>
    </row>
    <row r="28" spans="1:4">
      <c r="A28" s="812"/>
      <c r="B28" s="598"/>
      <c r="C28" s="602" t="str">
        <f>IF('Upgrade Data'!F12=TRUE,"",IF('Upgrade Data'!F5="ln","https://jenkins.eu.planview.world/job/vmguest_create_snapshot/build?delay=0sec",IF('Upgrade Data'!F5="sg","https://jenkins.us.planview.world/job/vmguest_create_snapshot/build?delay=0sec","")))</f>
        <v/>
      </c>
      <c r="D28" s="810"/>
    </row>
    <row r="29" spans="1:4">
      <c r="A29" s="812"/>
      <c r="B29" s="598" t="str">
        <f>IF('Upgrade Data'!F12=TRUE,"",IF('Upgrade Data'!F12=FALSE,"VM_GUEST_NAME",""))</f>
        <v/>
      </c>
      <c r="C29" s="601" t="str">
        <f>IF('Upgrade Data'!F12=TRUE,"",IF('Upgrade Data'!F12=FALSE,'Upgrade Data'!I13,""))</f>
        <v/>
      </c>
      <c r="D29" s="810"/>
    </row>
    <row r="30" spans="1:4">
      <c r="A30" s="812"/>
      <c r="B30" s="599" t="str">
        <f>IF('Upgrade Data'!F12=TRUE,"",IF('Upgrade Data'!F12=FALSE,"SNAPSHOT_NAME",""))</f>
        <v/>
      </c>
      <c r="C30" s="596" t="str">
        <f>IF('Upgrade Data'!F12=TRUE,"","Pre_e1r17_SB_Alignment")</f>
        <v>Pre_e1r17_SB_Alignment</v>
      </c>
      <c r="D30" s="810"/>
    </row>
    <row r="31" spans="1:4">
      <c r="A31" s="812"/>
      <c r="B31" s="595"/>
      <c r="C31" s="536"/>
      <c r="D31" s="810"/>
    </row>
    <row r="32" spans="1:4">
      <c r="A32" s="815">
        <v>3</v>
      </c>
      <c r="B32" s="578" t="s">
        <v>141</v>
      </c>
      <c r="C32" s="575" t="str">
        <f>IF('Upgrade Data'!F12=TRUE,"$Files = Get-ChildItem F:\Deploy\*.sql -rec","")</f>
        <v/>
      </c>
      <c r="D32" s="826"/>
    </row>
    <row r="33" spans="1:4">
      <c r="A33" s="816"/>
      <c r="B33" s="579" t="str">
        <f>IF(AND('Upgrade Data'!F12=TRUE,'Upgrade Data'!F5="fr"),"Run from Frankfurt Jumpbox, jumpbox01fr",IF(AND('Upgrade Data'!F12=TRUE,'Upgrade Data'!F5="au"),"Run from Sydney Jumpbox, jumpbox01",""))</f>
        <v/>
      </c>
      <c r="C33" s="73" t="str">
        <f>IF('Upgrade Data'!F12=TRUE,"foreach ($file in $Files)","")</f>
        <v/>
      </c>
      <c r="D33" s="818"/>
    </row>
    <row r="34" spans="1:4">
      <c r="A34" s="816"/>
      <c r="B34" s="797"/>
      <c r="C34" s="73" t="str">
        <f>IF('Upgrade Data'!F12=TRUE,"{","")</f>
        <v/>
      </c>
      <c r="D34" s="818"/>
    </row>
    <row r="35" spans="1:4">
      <c r="A35" s="816"/>
      <c r="B35" s="797"/>
      <c r="C35" s="73" t="str">
        <f>IF('Upgrade Data'!F12=TRUE,"(Get-Content $file.PSPath) |","")</f>
        <v/>
      </c>
      <c r="D35" s="818"/>
    </row>
    <row r="36" spans="1:4">
      <c r="A36" s="816"/>
      <c r="B36" s="797"/>
      <c r="C36" s="73" t="str">
        <f>IF('Upgrade Data'!F12=TRUE,_xlfn.CONCAT(Automation!D73,Automation!D14,'Upgrade Data'!F6,Automation!D14,Automation!D17,Automation!D34),"")</f>
        <v/>
      </c>
      <c r="D36" s="818"/>
    </row>
    <row r="37" spans="1:4">
      <c r="A37" s="816"/>
      <c r="B37" s="797"/>
      <c r="C37" s="73" t="str">
        <f>IF('Upgrade Data'!F12=TRUE,"Set-Content $file.PSPath","")</f>
        <v/>
      </c>
      <c r="D37" s="818"/>
    </row>
    <row r="38" spans="1:4">
      <c r="A38" s="816"/>
      <c r="B38" s="797"/>
      <c r="C38" s="73" t="str">
        <f>IF('Upgrade Data'!F12=TRUE,"}","")</f>
        <v/>
      </c>
      <c r="D38" s="818"/>
    </row>
    <row r="39" spans="1:4">
      <c r="A39" s="816"/>
      <c r="B39" s="797" t="str">
        <f>IF('Upgrade Data'!F12=TRUE,"","Run from US Jumpbox, sgcvmrdp02")</f>
        <v>Run from US Jumpbox, sgcvmrdp02</v>
      </c>
      <c r="C39" s="73" t="str">
        <f>IF('Upgrade Data'!F12=TRUE,_xlfn.CONCAT(Automation!B15,Automation!C9,Automation!D98,Automation!C10,Automation!D14,Automation!F42,Automation!D14,Automation!D15,Automation!C11,Automation!D6,Automation!C4),_xlfn.CONCAT(Automation!B15,Automation!C9,Automation!D2,Automation!C10,Automation!D14,'Upgrade Data'!I11,Automation!D14,Automation!D15,Automation!C11,Automation!D6,Automation!C4))</f>
        <v>Invoke-sqlcmd -QueryTimeout 0 -ServerInstance "0" -InputFile F:\Deploy\UpgradeDBBackup.sql  -Verbose</v>
      </c>
      <c r="D39" s="818"/>
    </row>
    <row r="40" spans="1:4">
      <c r="A40" s="816"/>
      <c r="B40" s="797"/>
      <c r="C40" s="73" t="str">
        <f>IF('Upgrade Data'!F12=TRUE,"foreach ($file in $Files)","")</f>
        <v/>
      </c>
      <c r="D40" s="818"/>
    </row>
    <row r="41" spans="1:4">
      <c r="A41" s="816"/>
      <c r="B41" s="797"/>
      <c r="C41" s="604" t="str">
        <f>IF('Upgrade Data'!F12=TRUE,"{","")</f>
        <v/>
      </c>
      <c r="D41" s="818"/>
    </row>
    <row r="42" spans="1:4">
      <c r="A42" s="816"/>
      <c r="B42" s="797"/>
      <c r="C42" s="73" t="str">
        <f>IF('Upgrade Data'!F12=TRUE,"(Get-Content $file.PSPath) |","")</f>
        <v/>
      </c>
      <c r="D42" s="818"/>
    </row>
    <row r="43" spans="1:4">
      <c r="A43" s="816"/>
      <c r="B43" s="797"/>
      <c r="C43" s="73" t="str">
        <f>IF('Upgrade Data'!F12=TRUE,_xlfn.CONCAT(Automation!D74,Automation!D14,'Upgrade Data'!F6,Automation!D14,Automation!D75,Automation!D17,Automation!D34),"")</f>
        <v/>
      </c>
      <c r="D43" s="818"/>
    </row>
    <row r="44" spans="1:4">
      <c r="A44" s="816"/>
      <c r="B44" s="797"/>
      <c r="C44" s="73" t="str">
        <f>IF('Upgrade Data'!F12=TRUE,"Set-Content $file.PSPath","")</f>
        <v/>
      </c>
      <c r="D44" s="818"/>
    </row>
    <row r="45" spans="1:4">
      <c r="A45" s="816"/>
      <c r="B45" s="797"/>
      <c r="C45" s="73" t="str">
        <f>IF('Upgrade Data'!F12=TRUE,"}","")</f>
        <v/>
      </c>
      <c r="D45" s="818"/>
    </row>
    <row r="46" spans="1:4">
      <c r="A46" s="816"/>
      <c r="B46" s="797"/>
      <c r="C46" s="73" t="str">
        <f>IF('Upgrade Data'!F12=TRUE,_xlfn.CONCAT(Automation!B3,Automation!C23,Automation!F42,Automation!D15,Automation!C24,Automation!C45),_xlfn.CONCAT(Automation!B3,Automation!C23,Automation!F21,Automation!D15,Automation!C24,Automation!C45))</f>
        <v>Invoke-Command -ComputerName 0  -Command {(GCI "F:\sqlbackup\" | Measure-Object)} | ft PSComputerName, Count</v>
      </c>
      <c r="D46" s="818"/>
    </row>
    <row r="47" spans="1:4">
      <c r="A47" s="816"/>
      <c r="B47" s="797"/>
      <c r="C47" s="73" t="str">
        <f>IF('Upgrade Data'!F12=TRUE,_xlfn.CONCAT(Automation!B5,Automation!C10,Automation!F42,Automation!C54,Automation!D82,Automation!D104),_xlfn.CONCAT(Automation!B5,Automation!C10,Automation!F21,Automation!C54,Automation!D82,Automation!D104))</f>
        <v>Invoke-sqlcmd -ServerInstance 0 -Database  Master -query "SELECT COUNT(*) FROM sys.databases where database_id not in ( 1,2,3,4 )"</v>
      </c>
      <c r="D47" s="818"/>
    </row>
    <row r="48" spans="1:4">
      <c r="A48" s="816"/>
      <c r="B48" s="797"/>
      <c r="C48" s="73" t="str">
        <f>_xlfn.CONCAT(Automation!D42,Automation!D43)</f>
        <v xml:space="preserve">cd SQLSERVER: </v>
      </c>
      <c r="D48" s="818"/>
    </row>
    <row r="49" spans="1:4">
      <c r="A49" s="816"/>
      <c r="B49" s="797"/>
      <c r="C49" s="73" t="s">
        <v>142</v>
      </c>
      <c r="D49" s="818"/>
    </row>
    <row r="50" spans="1:4">
      <c r="A50" s="816"/>
      <c r="B50" s="797"/>
      <c r="C50" s="74" t="str">
        <f>IF('Upgrade Data'!F12=TRUE,_xlfn.CONCAT(Automation!D42,Automation!D44,Automation!F42,Automation!D45),_xlfn.CONCAT(Automation!D42,Automation!D44,Automation!F13,Automation!D45))</f>
        <v xml:space="preserve">cd SQL\0\Default\JobServer\Jobs </v>
      </c>
      <c r="D50" s="818"/>
    </row>
    <row r="51" spans="1:4">
      <c r="A51" s="816"/>
      <c r="B51" s="797"/>
      <c r="C51" s="576" t="s">
        <v>143</v>
      </c>
      <c r="D51" s="818"/>
    </row>
    <row r="52" spans="1:4">
      <c r="A52" s="816"/>
      <c r="B52" s="797"/>
      <c r="C52" s="74" t="str">
        <f>_xlfn.CONCAT(Automation!C46,Automation!D47,Automation!D25)</f>
        <v>(get-item DBBackups.0 | FT CurrentRunStatus)</v>
      </c>
      <c r="D52" s="818"/>
    </row>
    <row r="53" spans="1:4">
      <c r="A53" s="816"/>
      <c r="B53" s="580"/>
      <c r="C53" s="577" t="str">
        <f>(Automation!B14) &amp; "300"</f>
        <v>start-sleep 300</v>
      </c>
      <c r="D53" s="818"/>
    </row>
    <row r="54" spans="1:4">
      <c r="A54" s="816"/>
      <c r="B54" s="797"/>
      <c r="C54" s="73" t="s">
        <v>144</v>
      </c>
      <c r="D54" s="818"/>
    </row>
    <row r="55" spans="1:4">
      <c r="A55" s="816"/>
      <c r="B55" s="797"/>
      <c r="C55" s="74" t="s">
        <v>145</v>
      </c>
      <c r="D55" s="818"/>
    </row>
    <row r="56" spans="1:4">
      <c r="A56" s="816"/>
      <c r="B56" s="798"/>
      <c r="C56" s="576" t="str">
        <f>IF('Upgrade Data'!F12=TRUE,_xlfn.CONCAT(Automation!B3,Automation!C23,Automation!F42,Automation!D15,Automation!C24,Automation!C45),_xlfn.CONCAT(Automation!B3,Automation!C23,Automation!F21,Automation!D15,Automation!C24,Automation!C45))</f>
        <v>Invoke-Command -ComputerName 0  -Command {(GCI "F:\sqlbackup\" | Measure-Object)} | ft PSComputerName, Count</v>
      </c>
      <c r="D56" s="818"/>
    </row>
    <row r="57" spans="1:4">
      <c r="A57" s="813">
        <v>4</v>
      </c>
      <c r="B57" s="200" t="str">
        <f>IF('Upgrade Data'!B9&gt;=1, "Model Alignment","Skip this step")</f>
        <v>Skip this step</v>
      </c>
      <c r="C57" s="188" t="str">
        <f>IF(B57="Skip this step", "Skip this step",'Upgrade Data'!B9&amp;" custom models identified")</f>
        <v>Skip this step</v>
      </c>
      <c r="D57" s="809"/>
    </row>
    <row r="58" spans="1:4">
      <c r="A58" s="814"/>
      <c r="B58" s="566"/>
      <c r="C58" s="276" t="str">
        <f>IF(B57="Skip this step", " ",'Upgrade Data'!I5)</f>
        <v xml:space="preserve"> </v>
      </c>
      <c r="D58" s="810"/>
    </row>
    <row r="59" spans="1:4">
      <c r="A59" s="814"/>
      <c r="B59" s="566"/>
      <c r="C59" s="276" t="str">
        <f>IF(B57="Skip this step", " ","USE " &amp;'Upgrade Data'!I15)</f>
        <v xml:space="preserve"> </v>
      </c>
      <c r="D59" s="810"/>
    </row>
    <row r="60" spans="1:4">
      <c r="A60" s="814"/>
      <c r="B60" s="566"/>
      <c r="C60" s="276" t="str">
        <f>IF(B57="Skip this step", " ",Other!D32)</f>
        <v xml:space="preserve"> </v>
      </c>
      <c r="D60" s="810"/>
    </row>
    <row r="61" spans="1:4">
      <c r="A61" s="814"/>
      <c r="B61" s="566" t="str">
        <f>IF(B57="Skip this step", " ","If custom models identiifed, copy to SB")</f>
        <v xml:space="preserve"> </v>
      </c>
      <c r="C61" s="276" t="str">
        <f>IF(B57="Skip this step", " ",'Upgrade Data'!I7 &amp; "\tabular")</f>
        <v xml:space="preserve"> </v>
      </c>
      <c r="D61" s="810"/>
    </row>
    <row r="62" spans="1:4">
      <c r="A62" s="814"/>
      <c r="B62" s="566"/>
      <c r="C62" s="276" t="str">
        <f>IF(B57="Skip this step", " ",'Upgrade Data'!I13 &amp; "\tabular")</f>
        <v xml:space="preserve"> </v>
      </c>
      <c r="D62" s="810"/>
    </row>
    <row r="63" spans="1:4">
      <c r="A63" s="815">
        <v>5</v>
      </c>
      <c r="B63" s="201" t="str">
        <f>_xlfn.CONCAT("Restore ",'Upgrade Data'!I15, " DB as ", 'Upgrade Data'!F13)</f>
        <v xml:space="preserve">Restore 0PROD DB as </v>
      </c>
      <c r="C63" s="279" t="str">
        <f>IF(OR('Upgrade Data'!B53="Yes",'Upgrade Data'!F12=TRUE),"",_xlfn.CONCAT(Automation!B16,Automation!F12))</f>
        <v>Enter-PVSession 0</v>
      </c>
      <c r="D63" s="826"/>
    </row>
    <row r="64" spans="1:4">
      <c r="A64" s="816"/>
      <c r="B64" s="538"/>
      <c r="C64" s="539" t="str">
        <f>IF(OR('Upgrade Data'!B53="Yes",'Upgrade Data'!F12=TRUE),"",_xlfn.CONCAT(Automation!B19,Automation!C38,Automation!F6,Automation!C37,Automation!F7,Automation!C39,Automation!F12,Automation!C40,Automation!F13,Automation!C41,'Upgrade Data'!I15,Automation!C42,'Upgrade Data'!F13,Automation!C57,Automation!C4))</f>
        <v>Copy-PVDatabase -SourcePVEServer 0 -SourceDBServer 0 -DestPVEServer 0 -DestDBServer 0 -SourceDB 0PROD -DestDB   -Silent -Verbose</v>
      </c>
      <c r="D64" s="818"/>
    </row>
    <row r="65" spans="1:4">
      <c r="A65" s="816"/>
      <c r="B65" s="538"/>
      <c r="C65" s="539" t="str">
        <f>IF(OR('Upgrade Data'!B53="Yes",'Upgrade Data'!F12=TRUE),"#AWS or Encryption Enabled","")</f>
        <v/>
      </c>
      <c r="D65" s="818"/>
    </row>
    <row r="66" spans="1:4">
      <c r="A66" s="816"/>
      <c r="B66" s="538"/>
      <c r="C66" s="539" t="str">
        <f>IF(OR('Upgrade Data'!B53="Yes",'Upgrade Data'!F12=TRUE),_xlfn.CONCAT(Automation!B3,Automation!C23,Automation!F42,Automation!D15,Automation!C24,Automation!D76),"")</f>
        <v/>
      </c>
      <c r="D66" s="818"/>
    </row>
    <row r="67" spans="1:4">
      <c r="A67" s="816"/>
      <c r="B67" s="538"/>
      <c r="C67" s="539" t="str">
        <f>IF(OR('Upgrade Data'!B53="Yes",'Upgrade Data'!F12=TRUE),_xlfn.CONCAT(Automation!C53,Automation!F42,Automation!C54,'Upgrade Data'!F13,Automation!C55,Automation!F42,Automation!D77,'Upgrade Data'!F13,Automation!D80,Automation!D81),"")</f>
        <v/>
      </c>
      <c r="D67" s="818"/>
    </row>
    <row r="68" spans="1:4">
      <c r="A68" s="816"/>
      <c r="B68" s="538"/>
      <c r="C68" s="539" t="str">
        <f>IF(OR('Upgrade Data'!B53="Yes",'Upgrade Data'!F12=TRUE),_xlfn.CONCAT(Automation!C53,Automation!F41,Automation!C54,'Upgrade Data'!I15,Automation!C55,Automation!F42,Automation!D77,'Upgrade Data'!I15,Automation!D80,Automation!D81),"")</f>
        <v/>
      </c>
      <c r="D68" s="818"/>
    </row>
    <row r="69" spans="1:4">
      <c r="A69" s="816"/>
      <c r="B69" s="538"/>
      <c r="C69" s="539"/>
      <c r="D69" s="818"/>
    </row>
    <row r="70" spans="1:4">
      <c r="A70" s="816"/>
      <c r="B70" s="538"/>
      <c r="C70" s="539" t="str">
        <f>IF(OR('Upgrade Data'!B53="Yes",'Upgrade Data'!F12=TRUE),_xlfn.CONCAT(Automation!B15,Automation!C9,Automation!D98,Automation!C10,Automation!F42,Automation!C54,Automation!D82,Automation!C56,Automation!D14,Automation!D83,'Upgrade Data'!F13),"")</f>
        <v/>
      </c>
      <c r="D70" s="818"/>
    </row>
    <row r="71" spans="1:4">
      <c r="A71" s="816"/>
      <c r="B71" s="538"/>
      <c r="C71" s="539" t="str">
        <f>IF(OR('Upgrade Data'!B53="Yes",'Upgrade Data'!F12=TRUE),_xlfn.CONCAT(Automation!D84),"")</f>
        <v/>
      </c>
      <c r="D71" s="818"/>
    </row>
    <row r="72" spans="1:4">
      <c r="A72" s="816"/>
      <c r="B72" s="538"/>
      <c r="C72" s="557" t="str">
        <f>IF(OR('Upgrade Data'!B53="Yes",'Upgrade Data'!F12=TRUE),_xlfn.CONCAT(Automation!D85,'Upgrade Data'!F13),"")</f>
        <v/>
      </c>
      <c r="D72" s="818"/>
    </row>
    <row r="73" spans="1:4">
      <c r="A73" s="816"/>
      <c r="B73" s="538"/>
      <c r="C73" s="539" t="str">
        <f>IF(OR('Upgrade Data'!B53="Yes",'Upgrade Data'!F12=TRUE),_xlfn.CONCAT(Automation!D86,'Upgrade Data'!F13),"")</f>
        <v/>
      </c>
      <c r="D73" s="818"/>
    </row>
    <row r="74" spans="1:4">
      <c r="A74" s="816"/>
      <c r="B74" s="538"/>
      <c r="C74" s="539" t="str">
        <f>IF(OR('Upgrade Data'!B53="Yes",'Upgrade Data'!F12=TRUE),_xlfn.CONCAT(Automation!D87,'Upgrade Data'!I15,Automation!D92),"")</f>
        <v/>
      </c>
      <c r="D74" s="818"/>
    </row>
    <row r="75" spans="1:4">
      <c r="A75" s="816"/>
      <c r="B75" s="538"/>
      <c r="C75" s="539" t="str">
        <f>IF(OR('Upgrade Data'!B53="Yes",'Upgrade Data'!F12=TRUE),_xlfn.CONCAT(Automation!D88,'Upgrade Data'!F13,Automation!D89),"")</f>
        <v/>
      </c>
      <c r="D75" s="818"/>
    </row>
    <row r="76" spans="1:4">
      <c r="A76" s="816"/>
      <c r="B76" s="538"/>
      <c r="C76" s="539" t="str">
        <f>IF(OR('Upgrade Data'!B53="Yes",'Upgrade Data'!F12=TRUE),_xlfn.CONCAT(Automation!D90,'Upgrade Data'!F13,Automation!D91),"")</f>
        <v/>
      </c>
      <c r="D76" s="818"/>
    </row>
    <row r="77" spans="1:4">
      <c r="A77" s="813">
        <v>6</v>
      </c>
      <c r="B77" s="200" t="str">
        <f>IF('Upgrade Data'!B9=0, "Refresh Olap Properties","Model Management Alignment")</f>
        <v>Refresh Olap Properties</v>
      </c>
      <c r="C77" s="278" t="str">
        <f>IF('Upgrade Data'!F12=TRUE,"https://jenkins.planviewcloud.net/job/refresh_olap_properties_table/build?delay=0sec",IF('Upgrade Data'!F5="sg","https://jenkins.us.planview.world/job/refresh_olap_properties_table/build?delay=0sec",IF('Upgrade Data'!F5="ln","https://jenkins.eu.planview.world/job/refresh_olap_properties_table/build?delay=0sec","Please check Upgrade Data to ensure correct input")))</f>
        <v>Please check Upgrade Data to ensure correct input</v>
      </c>
      <c r="D77" s="809"/>
    </row>
    <row r="78" spans="1:4">
      <c r="A78" s="814"/>
      <c r="B78" s="534" t="str">
        <f>"SAS_SERVER_NAME"</f>
        <v>SAS_SERVER_NAME</v>
      </c>
      <c r="C78" s="456">
        <f>IF('Upgrade Data'!F12=TRUE,Automation!F13,Automation!F15)</f>
        <v>0</v>
      </c>
      <c r="D78" s="810"/>
    </row>
    <row r="79" spans="1:4">
      <c r="A79" s="814"/>
      <c r="B79" s="535" t="str">
        <f>"PVE_VERSION"</f>
        <v>PVE_VERSION</v>
      </c>
      <c r="C79" s="532">
        <v>18</v>
      </c>
      <c r="D79" s="810"/>
    </row>
    <row r="80" spans="1:4">
      <c r="A80" s="814"/>
      <c r="B80" s="535" t="str">
        <f>"CUBE_DATABASE_NAME"</f>
        <v>CUBE_DATABASE_NAME</v>
      </c>
      <c r="C80" s="558">
        <f>'Upgrade Data'!F13</f>
        <v>0</v>
      </c>
      <c r="D80" s="810"/>
    </row>
    <row r="81" spans="1:4">
      <c r="A81" s="829"/>
      <c r="B81" s="533" t="str">
        <f>"NODE_NAME_ROPT"</f>
        <v>NODE_NAME_ROPT</v>
      </c>
      <c r="C81" s="457">
        <f>'Upgrade Data'!I9</f>
        <v>0</v>
      </c>
      <c r="D81" s="822"/>
    </row>
    <row r="82" spans="1:4">
      <c r="A82" s="815">
        <v>7</v>
      </c>
      <c r="B82" s="201" t="str">
        <f>IF('Upgrade Data'!B10="No", "No Custom Reports","Report Copy")</f>
        <v>Report Copy</v>
      </c>
      <c r="C82" s="280" t="str">
        <f>IF('Upgrade Data'!B10="No", "SKIP THIS STEP",IF('Upgrade Data'!F5="sg",AutoPop!M95,IF('Upgrade Data'!F5="ln",AutoPop!M96,AutoPop!M97)))</f>
        <v>https://jenkins.planviewcloud.net/job/manage_reports_pipe/build?delay=0sec</v>
      </c>
      <c r="D82" s="826"/>
    </row>
    <row r="83" spans="1:4">
      <c r="A83" s="816"/>
      <c r="B83" s="567" t="str">
        <f>IF('Upgrade Data'!B10="No", "","Jenkins Parameters")</f>
        <v>Jenkins Parameters</v>
      </c>
      <c r="C83" s="187">
        <f>IF('Upgrade Data'!B10="No", "",'Upgrade Data'!F6)</f>
        <v>0</v>
      </c>
      <c r="D83" s="818"/>
    </row>
    <row r="84" spans="1:4">
      <c r="A84" s="816"/>
      <c r="B84" s="192"/>
      <c r="C84" s="454" t="str">
        <f>IF(MasterConfig!B46="https://pbirsfarm01fr.pvcloud.com/reportserver","https://pbirsfarm01fr.pvcloud.com",IF(MasterConfig!B46="https://eureportfarm03.pvcloud.com/Reportserver","https://eureportfarm03.pvcloud.com",IF(MasterConfig!B46="https://usreportfarm03.pvcloud.com/Reportserver","https://usreportfarm03.pvcloud.com",IF(MasterConfig!B46="https://pbirsfarm03au.pvcloud.com/Reportserver","https://pbirsfarm03au.pvcloud.com",""))))</f>
        <v/>
      </c>
      <c r="D84" s="818"/>
    </row>
    <row r="85" spans="1:4">
      <c r="A85" s="816"/>
      <c r="B85" s="538"/>
      <c r="C85" s="454" t="str">
        <f>IF('Upgrade Data'!B10="No","",UPPER('Upgrade Data'!F3&amp;".PVCLOUD.COM"))</f>
        <v>0.PVCLOUD.COM</v>
      </c>
      <c r="D85" s="818"/>
    </row>
    <row r="86" spans="1:4" ht="18" customHeight="1">
      <c r="A86" s="817"/>
      <c r="B86" s="199"/>
      <c r="C86" s="455" t="str">
        <f>IF('Upgrade Data'!B10="No", "",UPPER('Upgrade Data'!F4 &amp; ".PVCLOUD.COM"))</f>
        <v>0.PVCLOUD.COM</v>
      </c>
      <c r="D86" s="830"/>
    </row>
    <row r="87" spans="1:4">
      <c r="A87" s="811">
        <v>8</v>
      </c>
      <c r="B87" s="281" t="s">
        <v>146</v>
      </c>
      <c r="C87" s="282" t="str">
        <f>_xlfn.CONCAT("Update all Prod datasources copied via report copy to point to ",'Upgrade Data'!F13)</f>
        <v xml:space="preserve">Update all Prod datasources copied via report copy to point to </v>
      </c>
      <c r="D87" s="809"/>
    </row>
    <row r="88" spans="1:4">
      <c r="A88" s="812"/>
      <c r="B88" s="568" t="s">
        <v>147</v>
      </c>
      <c r="C88" s="283" t="str">
        <f>_xlfn.CONCAT('Upgrade Data'!I18,Automation!D99,'Upgrade Data'!F4,".pvcloud.com",Automation!D100)</f>
        <v>FALSE/Reports/browse/0.pvcloud.com/Data%20Sources</v>
      </c>
      <c r="D88" s="810"/>
    </row>
    <row r="89" spans="1:4">
      <c r="A89" s="812"/>
      <c r="B89" s="534" t="s">
        <v>148</v>
      </c>
      <c r="C89" s="559" t="str">
        <f>_xlfn.CONCAT(Other!D46,'Upgrade Data'!I11,Other!D48,Other!D47,'Upgrade Data'!F13)</f>
        <v>Data Source=0;Initial Catalog=</v>
      </c>
      <c r="D89" s="810"/>
    </row>
    <row r="90" spans="1:4">
      <c r="A90" s="812"/>
      <c r="B90" s="569" t="s">
        <v>148</v>
      </c>
      <c r="C90" s="284" t="str">
        <f>_xlfn.CONCAT(Other!D46,'Upgrade Data'!I11,Other!D48,Other!D47,'Upgrade Data'!F13)</f>
        <v>Data Source=0;Initial Catalog=</v>
      </c>
      <c r="D90" s="810"/>
    </row>
    <row r="91" spans="1:4">
      <c r="A91" s="821"/>
      <c r="B91" s="570" t="s">
        <v>149</v>
      </c>
      <c r="C91" s="182" t="s">
        <v>150</v>
      </c>
      <c r="D91" s="822"/>
    </row>
    <row r="92" spans="1:4">
      <c r="A92" s="815">
        <v>9</v>
      </c>
      <c r="B92" s="827" t="s">
        <v>151</v>
      </c>
      <c r="C92" s="571" t="str">
        <f>IF('Upgrade Data'!F12=TRUE,_xlfn.CONCAT(Automation!B15,Automation!C9,Automation!D98,Automation!C10,Automation!F42,Automation!C54,'Upgrade Data'!F13,Automation!C56,Automation!D14),_xlfn.CONCAT(Automation!B15,Automation!C9,Automation!D98,Automation!C10,Automation!F13,Automation!C54,'Upgrade Data'!F13,Automation!C56,Automation!D14))</f>
        <v>Invoke-sqlcmd -QueryTimeout 1800 -ServerInstance 0 -Database  -query "</v>
      </c>
      <c r="D92" s="826"/>
    </row>
    <row r="93" spans="1:4">
      <c r="A93" s="816"/>
      <c r="B93" s="828"/>
      <c r="C93" s="572" t="str">
        <f>_xlfn.CONCAT(Automation!D303)</f>
        <v>exec sp_change_users_login 'Auto_fix', 'pv_report_user';</v>
      </c>
      <c r="D93" s="818"/>
    </row>
    <row r="94" spans="1:4">
      <c r="A94" s="816"/>
      <c r="B94" s="828"/>
      <c r="C94" s="572" t="str">
        <f>_xlfn.CONCAT(Automation!D304)</f>
        <v>exec sp_change_users_login 'Auto_fix', 'ip';</v>
      </c>
      <c r="D94" s="818"/>
    </row>
    <row r="95" spans="1:4">
      <c r="A95" s="816"/>
      <c r="B95" s="828"/>
      <c r="C95" s="572" t="str">
        <f>_xlfn.CONCAT(Automation!D305)</f>
        <v>exec sp_change_users_login 'Auto_fix', 'ro';</v>
      </c>
      <c r="D95" s="818"/>
    </row>
    <row r="96" spans="1:4">
      <c r="A96" s="816"/>
      <c r="B96" s="828"/>
      <c r="C96" s="572"/>
      <c r="D96" s="818"/>
    </row>
    <row r="97" spans="1:4">
      <c r="A97" s="816"/>
      <c r="B97" s="828"/>
      <c r="C97" s="572"/>
      <c r="D97" s="818"/>
    </row>
    <row r="98" spans="1:4">
      <c r="A98" s="816"/>
      <c r="B98" s="828"/>
      <c r="C98" s="572" t="str">
        <f>_xlfn.CONCAT(Automation!D306)</f>
        <v>UPDATE ip.tile SET URL = REPLACE(URL, Left(URL, CHARINDEX('/PowerBI', URL) - 1), '') WHERE tile_type = 'PBIX' AND URL NOT LIKE '/PowerBI%';</v>
      </c>
      <c r="D98" s="818"/>
    </row>
    <row r="99" spans="1:4">
      <c r="A99" s="816"/>
      <c r="B99" s="828"/>
      <c r="C99" s="572" t="str">
        <f>_xlfn.CONCAT(Automation!D307)</f>
        <v>UPDATE ip.tile SET URL = REPLACE(URL, Left(URL, CHARINDEX('/Reports', URL) - 1), '') WHERE tile_type = 'REPORT' AND URL NOT LIKE '/Reports%';</v>
      </c>
      <c r="D99" s="818"/>
    </row>
    <row r="100" spans="1:4">
      <c r="A100" s="816"/>
      <c r="B100" s="828"/>
      <c r="C100" s="572" t="str">
        <f>_xlfn.CONCAT(Automation!D308)</f>
        <v>Update ip.global_options set option_value = 'Y' where option_id = '2245';</v>
      </c>
      <c r="D100" s="818"/>
    </row>
    <row r="101" spans="1:4">
      <c r="A101" s="816"/>
      <c r="B101" s="828"/>
      <c r="C101" s="572" t="str">
        <f>_xlfn.CONCAT(Automation!D309)</f>
        <v>update ip.global_options set option_value = 'N' where option_id = '7700';</v>
      </c>
      <c r="D101" s="818"/>
    </row>
    <row r="102" spans="1:4">
      <c r="A102" s="816"/>
      <c r="B102" s="828"/>
      <c r="C102" s="572" t="str">
        <f>IF(OR('Upgrade Data'!B53="Yes",'Upgrade Data'!F12),_xlfn.CONCAT(Automation!D310),_xlfn.CONCAT(Automation!D310,Automation!D14))</f>
        <v>Update ip.global_options set option_value = '/ng/ctm' where option_id = '2242';"</v>
      </c>
      <c r="D102" s="818"/>
    </row>
    <row r="103" spans="1:4">
      <c r="A103" s="816"/>
      <c r="B103" s="828"/>
      <c r="C103" s="572" t="str">
        <f>IF(OR('Upgrade Data'!B53="Yes",'Upgrade Data'!F12=TRUE),_xlfn.CONCAT(Automation!D311),"")</f>
        <v/>
      </c>
      <c r="D103" s="818"/>
    </row>
    <row r="104" spans="1:4">
      <c r="A104" s="816"/>
      <c r="B104" s="828"/>
      <c r="C104" s="572" t="str">
        <f>IF(OR('Upgrade Data'!B53="Yes",'Upgrade Data'!F12=TRUE),_xlfn.CONCAT(Automation!D312),"")</f>
        <v/>
      </c>
      <c r="D104" s="818"/>
    </row>
    <row r="105" spans="1:4">
      <c r="A105" s="816"/>
      <c r="B105" s="828"/>
      <c r="C105" s="572" t="str">
        <f>IF(OR('Upgrade Data'!B53="Yes",'Upgrade Data'!F12=TRUE),_xlfn.CONCAT(Automation!D313),"")</f>
        <v/>
      </c>
      <c r="D105" s="818"/>
    </row>
    <row r="106" spans="1:4">
      <c r="A106" s="816"/>
      <c r="B106" s="828"/>
      <c r="C106" s="572" t="str">
        <f>IF(OR('Upgrade Data'!B53="Yes",'Upgrade Data'!F12=TRUE),_xlfn.CONCAT(Automation!D314),"")</f>
        <v/>
      </c>
      <c r="D106" s="818"/>
    </row>
    <row r="107" spans="1:4">
      <c r="A107" s="816"/>
      <c r="B107" s="828"/>
      <c r="C107" s="572" t="str">
        <f>IF(OR('Upgrade Data'!B53="Yes",'Upgrade Data'!F12=TRUE),_xlfn.CONCAT(Automation!D315),"")</f>
        <v/>
      </c>
      <c r="D107" s="818"/>
    </row>
    <row r="108" spans="1:4">
      <c r="A108" s="816"/>
      <c r="B108" s="828"/>
      <c r="C108" s="572" t="str">
        <f>IF(OR('Upgrade Data'!B53="Yes",'Upgrade Data'!F12=TRUE),_xlfn.CONCAT(Automation!D316),"")</f>
        <v/>
      </c>
      <c r="D108" s="818"/>
    </row>
    <row r="109" spans="1:4">
      <c r="A109" s="816"/>
      <c r="B109" s="828"/>
      <c r="C109" s="572" t="str">
        <f>IF(OR('Upgrade Data'!B53="Yes",'Upgrade Data'!F12=TRUE),_xlfn.CONCAT(Automation!D317),"")</f>
        <v/>
      </c>
      <c r="D109" s="818"/>
    </row>
    <row r="110" spans="1:4">
      <c r="A110" s="816"/>
      <c r="B110" s="828"/>
      <c r="C110" s="572" t="str">
        <f>IF(OR('Upgrade Data'!B53="Yes",'Upgrade Data'!F12=TRUE),_xlfn.CONCAT(Automation!D318),"")</f>
        <v/>
      </c>
      <c r="D110" s="818"/>
    </row>
    <row r="111" spans="1:4">
      <c r="A111" s="816"/>
      <c r="B111" s="828"/>
      <c r="C111" s="572" t="str">
        <f>IF(OR('Upgrade Data'!B53="Yes",'Upgrade Data'!F12=TRUE),_xlfn.CONCAT(Automation!D319),"")</f>
        <v/>
      </c>
      <c r="D111" s="818"/>
    </row>
    <row r="112" spans="1:4">
      <c r="A112" s="816"/>
      <c r="B112" s="828"/>
      <c r="C112" s="572" t="str">
        <f>IF(OR('Upgrade Data'!B53="Yes",'Upgrade Data'!F12=TRUE),_xlfn.CONCAT(Automation!D320),"")</f>
        <v/>
      </c>
      <c r="D112" s="818"/>
    </row>
    <row r="113" spans="1:4">
      <c r="A113" s="816"/>
      <c r="B113" s="828"/>
      <c r="C113" s="572" t="str">
        <f>IF(OR('Upgrade Data'!B53="Yes",'Upgrade Data'!F12=TRUE),_xlfn.CONCAT(Automation!D321),"")</f>
        <v/>
      </c>
      <c r="D113" s="818"/>
    </row>
    <row r="114" spans="1:4">
      <c r="A114" s="816"/>
      <c r="B114" s="828"/>
      <c r="C114" s="572" t="str">
        <f>IF(OR('Upgrade Data'!B53="Yes",'Upgrade Data'!F12=TRUE),_xlfn.CONCAT(Automation!D322),"")</f>
        <v/>
      </c>
      <c r="D114" s="818"/>
    </row>
    <row r="115" spans="1:4">
      <c r="A115" s="816"/>
      <c r="B115" s="828"/>
      <c r="C115" s="572" t="str">
        <f>IF(OR('Upgrade Data'!B53="Yes",'Upgrade Data'!F12=TRUE),_xlfn.CONCAT(Automation!D323),"")</f>
        <v/>
      </c>
      <c r="D115" s="818"/>
    </row>
    <row r="116" spans="1:4">
      <c r="A116" s="816"/>
      <c r="B116" s="828"/>
      <c r="C116" s="572" t="str">
        <f>IF(OR('Upgrade Data'!B53="Yes",'Upgrade Data'!F12=TRUE),_xlfn.CONCAT(Automation!D324),"")</f>
        <v/>
      </c>
      <c r="D116" s="818"/>
    </row>
    <row r="117" spans="1:4">
      <c r="A117" s="816"/>
      <c r="B117" s="828"/>
      <c r="C117" s="572" t="str">
        <f>IF(OR('Upgrade Data'!F12=FALSE,'Upgrade Data'!C53=FALSE),"","#DM Update")</f>
        <v>#DM Update</v>
      </c>
      <c r="D117" s="818"/>
    </row>
    <row r="118" spans="1:4">
      <c r="A118" s="816"/>
      <c r="B118" s="828"/>
      <c r="C118" s="572" t="str">
        <f>IF('Upgrade Data'!F12=TRUE,_xlfn.CONCAT(Automation!B15,Automation!C9,Automation!D98,Automation!C10,Automation!F42,Automation!C54,"DM",'Upgrade Data'!F13,Automation!C56,Automation!D14),"")</f>
        <v/>
      </c>
      <c r="D118" s="818"/>
    </row>
    <row r="119" spans="1:4">
      <c r="A119" s="816"/>
      <c r="B119" s="828"/>
      <c r="C119" s="572" t="str">
        <f>IF(OR('Upgrade Data'!F12=FALSE,'Upgrade Data'!C53=FALSE),"",_xlfn.CONCAT(Automation!D330))</f>
        <v>UPDATE IP.DM_EXTRACT SET PDB_PATH = '.IP';</v>
      </c>
      <c r="D119" s="818"/>
    </row>
    <row r="120" spans="1:4">
      <c r="A120" s="816"/>
      <c r="B120" s="828"/>
      <c r="C120" s="572" t="str">
        <f>IF(OR('Upgrade Data'!F12=FALSE,'Upgrade Data'!C53=FALSE),"",_xlfn.CONCAT(Automation!D331))</f>
        <v>UPDATE IP.DM_EXTRACT_HISTORY_INT SET PDB_PATH = '.IP';</v>
      </c>
      <c r="D120" s="818"/>
    </row>
    <row r="121" spans="1:4">
      <c r="A121" s="816"/>
      <c r="B121" s="828"/>
      <c r="C121" s="572" t="str">
        <f>IF(OR('Upgrade Data'!F12=FALSE,'Upgrade Data'!C53=FALSE),"",_xlfn.CONCAT(Automation!D332))</f>
        <v>exec ip.psp_dm_create_synonyms;</v>
      </c>
      <c r="D121" s="818"/>
    </row>
    <row r="122" spans="1:4">
      <c r="A122" s="816"/>
      <c r="B122" s="828"/>
      <c r="C122" s="572" t="str">
        <f>IF(OR('Upgrade Data'!F12=FALSE,'Upgrade Data'!C53=FALSE),"",_xlfn.CONCAT(Automation!D333))</f>
        <v>exec ip.psp_dm_create_function;</v>
      </c>
      <c r="D122" s="818"/>
    </row>
    <row r="123" spans="1:4">
      <c r="A123" s="816"/>
      <c r="B123" s="828"/>
      <c r="C123" s="572" t="str">
        <f>IF(OR('Upgrade Data'!F12=FALSE,'Upgrade Data'!C53=FALSE),"",_xlfn.CONCAT(Automation!D334))</f>
        <v>truncate table ip.dm_dimension_key;</v>
      </c>
      <c r="D123" s="818"/>
    </row>
    <row r="124" spans="1:4">
      <c r="A124" s="816"/>
      <c r="B124" s="828"/>
      <c r="C124" s="572" t="str">
        <f>IF(OR('Upgrade Data'!F12=FALSE,'Upgrade Data'!C53=FALSE),"",_xlfn.CONCAT(Automation!D335))</f>
        <v>truncate table ip.dm_all_structure_stg;</v>
      </c>
      <c r="D124" s="818"/>
    </row>
    <row r="125" spans="1:4">
      <c r="A125" s="816"/>
      <c r="B125" s="828"/>
      <c r="C125" s="572" t="str">
        <f>IF(OR('Upgrade Data'!F12=FALSE,'Upgrade Data'!C53=FALSE),"",_xlfn.CONCAT(Automation!D336))</f>
        <v>Truncate table ip.dm_structure_info_int;"</v>
      </c>
      <c r="D125" s="818"/>
    </row>
    <row r="126" spans="1:4">
      <c r="A126" s="816"/>
      <c r="B126" s="828"/>
      <c r="C126" s="572" t="str">
        <f>IF(OR('Upgrade Data'!F12=FALSE,'Upgrade Data'!C53=FALSE),"","# Running PSP's")</f>
        <v># Running PSP's</v>
      </c>
      <c r="D126" s="818"/>
    </row>
    <row r="127" spans="1:4">
      <c r="A127" s="816"/>
      <c r="B127" s="828"/>
      <c r="C127" s="572" t="str">
        <f>IF('Upgrade Data'!F12=TRUE,_xlfn.CONCAT(Automation!B15,Automation!C9,Automation!D98,Automation!C10,Automation!F42,Automation!C54,'Upgrade Data'!F13,Automation!C56,Automation!D14),"")</f>
        <v/>
      </c>
      <c r="D127" s="818"/>
    </row>
    <row r="128" spans="1:4">
      <c r="A128" s="816"/>
      <c r="B128" s="828"/>
      <c r="C128" s="572" t="str">
        <f>IF(OR('Upgrade Data'!F12=FALSE,'Upgrade Data'!C53=FALSE),"",_xlfn.CONCAT(Automation!D342))</f>
        <v>exec ip.psp_ppm_cube_pop;</v>
      </c>
      <c r="D128" s="818"/>
    </row>
    <row r="129" spans="1:4">
      <c r="A129" s="816"/>
      <c r="B129" s="828"/>
      <c r="C129" s="572" t="str">
        <f>IF(OR('Upgrade Data'!F12=FALSE,'Upgrade Data'!C53=FALSE),"",_xlfn.CONCAT(Automation!D343))</f>
        <v>exec ip.psp_ifm_cube;"</v>
      </c>
      <c r="D129" s="818"/>
    </row>
    <row r="130" spans="1:4">
      <c r="A130" s="813">
        <v>11</v>
      </c>
      <c r="B130" s="834" t="str">
        <f>IF('Upgrade Data'!B18="Yes","Mute Host, Stop CTM Services","Skip this step")</f>
        <v>Skip this step</v>
      </c>
      <c r="C130" s="127" t="str">
        <f>IF(B130="Skip this step","Skip this step - No CTM",IF('Upgrade Data'!B19="Yes",_xlfn.CONCAT(Automation!B12,Automation!C13,'Upgrade Data'!F6,Automation!C51,Automation!D69,Automation!C21,Automation!D94,Automation!C22,Automation!D95,Automation!C28),IF('Upgrade Data'!B19="Yes",_xlfn.CONCAT(Automation!B12,Automation!C13,'Upgrade Data'!F6,Automation!C51,Automation!D69,Automation!C21,Automation!D3,Automation!C22,Automation!D95),"")))</f>
        <v>Skip this step - No CTM</v>
      </c>
      <c r="D130" s="809"/>
    </row>
    <row r="131" spans="1:4">
      <c r="A131" s="814"/>
      <c r="B131" s="835"/>
      <c r="C131" s="181" t="str">
        <f>IF(B130="Skip this step","",IF('Upgrade Data'!B19="Yes",_xlfn.CONCAT(Automation!B3,Automation!C23,Automation!F48,Automation!C12,Automation!D16,Automation!C18,Automation!C26,Automation!D93,Automation!C4,Automation!D70,Automation!C27,Automation!C26,Automation!D93,Automation!C4,Automation!D17),_xlfn.CONCAT(Automation!B3,Automation!C23,Automation!F14,Automation!C12,Automation!D16,Automation!C18,Automation!C26,Automation!D93,Automation!C4,Automation!D70,Automation!C27,Automation!C26,Automation!D93,Automation!C4,Automation!D17)))</f>
        <v/>
      </c>
      <c r="D131" s="810"/>
    </row>
    <row r="132" spans="1:4">
      <c r="A132" s="814"/>
      <c r="B132" s="835"/>
      <c r="C132" s="181" t="str">
        <f>IF(B130="Skip this step","",IF('Upgrade Data'!B19="Yes",_xlfn.CONCAT(Automation!B3,Automation!C23,Automation!F42,Automation!C12,Automation!D76),""))</f>
        <v/>
      </c>
      <c r="D132" s="810"/>
    </row>
    <row r="133" spans="1:4">
      <c r="A133" s="814"/>
      <c r="B133" s="835"/>
      <c r="C133" s="417" t="str">
        <f>IF(B130="Skip this step","",IF('Upgrade Data'!B19="Yes",_xlfn.CONCAT(Automation!C53,Automation!F42,Automation!C54,'Upgrade Data'!I16,Automation!C55,Automation!F42,Automation!D77,'Upgrade Data'!I16,Automation!D78,Automation!D81),""))</f>
        <v/>
      </c>
      <c r="D133" s="810"/>
    </row>
    <row r="134" spans="1:4">
      <c r="A134" s="814"/>
      <c r="B134" s="835"/>
      <c r="C134" s="417" t="str">
        <f>IF(B130="Skip this step","",IF('Upgrade Data'!B19="Yes",_xlfn.CONCAT(Automation!C53,Automation!F41,Automation!C54,'Upgrade Data'!I16,Automation!C55,Automation!F42,Automation!D77,'Upgrade Data'!I16,Automation!D79,Automation!D81),""))</f>
        <v/>
      </c>
      <c r="D134" s="810"/>
    </row>
    <row r="135" spans="1:4">
      <c r="A135" s="814"/>
      <c r="B135" s="835"/>
      <c r="C135" s="417"/>
      <c r="D135" s="810"/>
    </row>
    <row r="136" spans="1:4">
      <c r="A136" s="814"/>
      <c r="B136" s="835"/>
      <c r="C136" s="417" t="str">
        <f>IF(B130="Skip this step","",IF('Upgrade Data'!B19="Yes",_xlfn.CONCAT(Automation!B15,Automation!C9,Automation!D98,Automation!C10,Automation!F42,Automation!C54,Automation!D82,Automation!C56,Automation!D14,Automation!D83,'Upgrade Data'!I16),""))</f>
        <v/>
      </c>
      <c r="D136" s="810"/>
    </row>
    <row r="137" spans="1:4">
      <c r="A137" s="814"/>
      <c r="B137" s="835"/>
      <c r="C137" s="417" t="str">
        <f>IF(B130="Skip this step","",IF('Upgrade Data'!B19="Yes",_xlfn.CONCAT(Automation!D84),""))</f>
        <v/>
      </c>
      <c r="D137" s="810"/>
    </row>
    <row r="138" spans="1:4">
      <c r="A138" s="814"/>
      <c r="B138" s="835"/>
      <c r="C138" s="574" t="str">
        <f>IF(B130="Skip this step","",IF('Upgrade Data'!B19="Yes",_xlfn.CONCAT(Automation!D85,'Upgrade Data'!I16),""))</f>
        <v/>
      </c>
      <c r="D138" s="810"/>
    </row>
    <row r="139" spans="1:4">
      <c r="A139" s="814"/>
      <c r="B139" s="835"/>
      <c r="C139" s="417" t="str">
        <f>IF(B130="Skip this step","",IF('Upgrade Data'!B19="Yes",_xlfn.CONCAT(Automation!D86,'Upgrade Data'!I16),""))</f>
        <v/>
      </c>
      <c r="D139" s="810"/>
    </row>
    <row r="140" spans="1:4">
      <c r="A140" s="814"/>
      <c r="B140" s="835"/>
      <c r="C140" s="181" t="str">
        <f>IF(B130="Skip this step","",IF('Upgrade Data'!B19="Yes",_xlfn.CONCAT(Automation!D87,'Upgrade Data'!I16,Automation!D92),""))</f>
        <v/>
      </c>
      <c r="D140" s="810"/>
    </row>
    <row r="141" spans="1:4">
      <c r="A141" s="814"/>
      <c r="B141" s="835"/>
      <c r="C141" s="638" t="str">
        <f>IF(B130="Skip this step","",IF('Upgrade Data'!B19="Yes",_xlfn.CONCAT(Automation!D97,'Upgrade Data'!I16,Automation!D89),""))</f>
        <v/>
      </c>
      <c r="D141" s="810"/>
    </row>
    <row r="142" spans="1:4">
      <c r="A142" s="829"/>
      <c r="B142" s="836"/>
      <c r="C142" s="182" t="str">
        <f>IF(B130="Skip this step","",IF('Upgrade Data'!B19="Yes",_xlfn.CONCAT(Automation!D96,'Upgrade Data'!I16,Automation!D91),""))</f>
        <v/>
      </c>
      <c r="D142" s="822"/>
    </row>
    <row r="143" spans="1:4">
      <c r="A143" s="815">
        <v>12</v>
      </c>
      <c r="B143" s="831" t="str">
        <f>IF('Upgrade Data'!B18="Yes","Fix CTM SQL User Accounts","Skip this step")</f>
        <v>Skip this step</v>
      </c>
      <c r="C143" s="581" t="str">
        <f>IF('Upgrade Data'!B18="Yes",(Other!D41&amp;Other!E39&amp;'Upgrade Data'!F6&amp;Other!E36&amp;Other!E40),"Skip this step - No CTM")</f>
        <v>Skip this step - No CTM</v>
      </c>
      <c r="D143" s="826"/>
    </row>
    <row r="144" spans="1:4">
      <c r="A144" s="816"/>
      <c r="B144" s="832"/>
      <c r="C144" s="582" t="str">
        <f>IF('Upgrade Data'!B18="Yes",(Other!D42),"")</f>
        <v/>
      </c>
      <c r="D144" s="818"/>
    </row>
    <row r="145" spans="1:4">
      <c r="A145" s="816"/>
      <c r="B145" s="832"/>
      <c r="C145" s="583" t="str">
        <f>IF('Upgrade Data'!B18="Yes",(Other!D36&amp;Other!E39&amp;'Upgrade Data'!F6&amp;Other!E36&amp;Other!E40),"")</f>
        <v/>
      </c>
      <c r="D145" s="818"/>
    </row>
    <row r="146" spans="1:4">
      <c r="A146" s="816"/>
      <c r="B146" s="832"/>
      <c r="C146" s="184" t="str">
        <f>IF('Upgrade Data'!B18="Yes",(Other!D42),"")</f>
        <v/>
      </c>
      <c r="D146" s="818"/>
    </row>
    <row r="147" spans="1:4">
      <c r="A147" s="816"/>
      <c r="B147" s="832"/>
      <c r="C147" s="583" t="str">
        <f>IF('Upgrade Data'!B18="Yes",(Other!D36&amp;Other!E39&amp;'Upgrade Data'!F6&amp;Other!E37&amp;Other!E40),"")</f>
        <v/>
      </c>
      <c r="D147" s="818"/>
    </row>
    <row r="148" spans="1:4">
      <c r="A148" s="816"/>
      <c r="B148" s="832"/>
      <c r="C148" s="184" t="str">
        <f>IF('Upgrade Data'!B18="Yes",(Other!D42),"")</f>
        <v/>
      </c>
      <c r="D148" s="818"/>
    </row>
    <row r="149" spans="1:4">
      <c r="A149" s="816"/>
      <c r="B149" s="832"/>
      <c r="C149" s="584" t="str">
        <f>IF('Upgrade Data'!B18="Yes",(Other!D37&amp;Other!E39&amp;'Upgrade Data'!F6&amp;Other!E36&amp;Other!E40&amp;Other!D43&amp;Other!E39&amp;'Upgrade Data'!F6&amp;Other!E36&amp;Other!E40),"")</f>
        <v/>
      </c>
      <c r="D149" s="818"/>
    </row>
    <row r="150" spans="1:4">
      <c r="A150" s="816"/>
      <c r="B150" s="832"/>
      <c r="C150" s="583" t="str">
        <f>IF('Upgrade Data'!B18="Yes",(Other!D42),"")</f>
        <v/>
      </c>
      <c r="D150" s="818"/>
    </row>
    <row r="151" spans="1:4">
      <c r="A151" s="816"/>
      <c r="B151" s="832"/>
      <c r="C151" s="583" t="str">
        <f>IF('Upgrade Data'!B18="Yes",(Other!D37&amp;Other!E39&amp;'Upgrade Data'!F6&amp;Other!E37&amp;Other!E40&amp;Other!D43&amp;Other!E39&amp;'Upgrade Data'!F6&amp;Other!E37&amp;Other!E40),"")</f>
        <v/>
      </c>
      <c r="D151" s="818"/>
    </row>
    <row r="152" spans="1:4">
      <c r="A152" s="816"/>
      <c r="B152" s="832"/>
      <c r="C152" s="583" t="str">
        <f>IF('Upgrade Data'!B18="Yes",(Other!D42),"")</f>
        <v/>
      </c>
      <c r="D152" s="818"/>
    </row>
    <row r="153" spans="1:4">
      <c r="A153" s="816"/>
      <c r="B153" s="832"/>
      <c r="C153" s="184" t="str">
        <f>IF('Upgrade Data'!B18="Yes",(Other!D38&amp;Other!E39&amp;'Upgrade Data'!F6&amp;Other!E36&amp;Other!E40&amp;Other!D44&amp;Other!E39&amp;Other!E38&amp;Other!E40),"")</f>
        <v/>
      </c>
      <c r="D153" s="818"/>
    </row>
    <row r="154" spans="1:4">
      <c r="A154" s="816"/>
      <c r="B154" s="832"/>
      <c r="C154" s="583" t="str">
        <f>IF('Upgrade Data'!B18="Yes",(Other!D42),"")</f>
        <v/>
      </c>
      <c r="D154" s="818"/>
    </row>
    <row r="155" spans="1:4">
      <c r="A155" s="816"/>
      <c r="B155" s="832"/>
      <c r="C155" s="583" t="str">
        <f>IF('Upgrade Data'!B18="Yes",(Other!D38&amp;Other!E39&amp;'Upgrade Data'!F6&amp;Other!E37&amp;Other!E40&amp;Other!D44&amp;Other!E39&amp;Other!E38&amp;Other!E40),"")</f>
        <v/>
      </c>
      <c r="D155" s="818"/>
    </row>
    <row r="156" spans="1:4">
      <c r="A156" s="816"/>
      <c r="B156" s="832"/>
      <c r="C156" s="583" t="str">
        <f>IF('Upgrade Data'!B18="Yes",(Other!D42),"")</f>
        <v/>
      </c>
      <c r="D156" s="818"/>
    </row>
    <row r="157" spans="1:4">
      <c r="A157" s="816"/>
      <c r="B157" s="832"/>
      <c r="C157" s="583" t="str">
        <f>IF('Upgrade Data'!B18="Yes",(Other!D39&amp;Other!E39&amp;Other!E42&amp;Other!E40&amp;Other!D40&amp;Other!E39&amp;'Upgrade Data'!F6&amp;Other!E36&amp;Other!E40),"")</f>
        <v/>
      </c>
      <c r="D157" s="818"/>
    </row>
    <row r="158" spans="1:4">
      <c r="A158" s="816"/>
      <c r="B158" s="832"/>
      <c r="C158" s="583" t="str">
        <f>IF('Upgrade Data'!B18="Yes",(Other!D42),"")</f>
        <v/>
      </c>
      <c r="D158" s="818"/>
    </row>
    <row r="159" spans="1:4">
      <c r="A159" s="816"/>
      <c r="B159" s="832"/>
      <c r="C159" s="583" t="str">
        <f>IF('Upgrade Data'!B18="Yes",(Other!D39&amp;Other!E39&amp;Other!E41&amp;Other!E40&amp;Other!D40&amp;Other!E39&amp;'Upgrade Data'!F6&amp;Other!E37&amp;Other!E40),"")</f>
        <v/>
      </c>
      <c r="D159" s="818"/>
    </row>
    <row r="160" spans="1:4">
      <c r="A160" s="817"/>
      <c r="B160" s="833"/>
      <c r="C160" s="185" t="str">
        <f>IF('Upgrade Data'!B18="Yes",(Other!D42),"")</f>
        <v/>
      </c>
      <c r="D160" s="830"/>
    </row>
    <row r="161" spans="1:4">
      <c r="A161" s="768">
        <v>13</v>
      </c>
      <c r="B161" s="573" t="str">
        <f>IF('Upgrade Data'!B18="Yes","Start CTM Services","Skip this step")</f>
        <v>Skip this step</v>
      </c>
      <c r="C161" s="127" t="str">
        <f>IF(B161="Skip this step","Skip this step - No CTM",IF('Upgrade Data'!B19="Yes",_xlfn.CONCAT(Automation!B3,Automation!C23,Automation!F48,Automation!C12,Automation!D16,Automation!C19,Automation!C26,Automation!D94,Automation!C4,Automation!D70,Automation!C27,Automation!C26,Automation!D94,Automation!C4,Automation!D17),_xlfn.CONCAT(Automation!B3,Automation!C23,Automation!F14,Automation!C12,Automation!D16,Automation!C19,Automation!C26,Automation!D94,Automation!C4,Automation!D70,Automation!C27,Automation!C26,Automation!D94,Automation!C4,Automation!D17)))</f>
        <v>Skip this step - No CTM</v>
      </c>
      <c r="D161" s="771"/>
    </row>
    <row r="162" spans="1:4">
      <c r="A162" s="815">
        <v>14</v>
      </c>
      <c r="B162" s="796" t="s">
        <v>152</v>
      </c>
      <c r="C162" s="183"/>
      <c r="D162" s="826"/>
    </row>
    <row r="163" spans="1:4">
      <c r="A163" s="816"/>
      <c r="B163" s="442" t="str">
        <f>IF('Upgrade Data'!B12="Yes","PRM Adapter Installed","No PRM Adapater")</f>
        <v>No PRM Adapater</v>
      </c>
      <c r="C163" s="583" t="str">
        <f>IF('Upgrade Data'!B12="Yes","No action required","Skip this step")</f>
        <v>Skip this step</v>
      </c>
      <c r="D163" s="818"/>
    </row>
    <row r="164" spans="1:4">
      <c r="A164" s="816"/>
      <c r="B164" s="442" t="str">
        <f>IF('Upgrade Data'!B13="Yes","Align PP Connector","No PP Connector")</f>
        <v>No PP Connector</v>
      </c>
      <c r="C164" s="184" t="str">
        <f>IF(AND('Upgrade Data'!B13="Yes",'Upgrade Data'!B14="EU"),"https://ppsa-sandbox-se.projectplace.com/ppadmin/admin.cgi/0/1",IF(AND('Upgrade Data'!B13,'Upgrade Data'!B14="US"),"https://ppsa-sandbox-us.projectplace.com/ppadmin/admin.cgi/0/1","Skip this step"))</f>
        <v>Skip this step</v>
      </c>
      <c r="D164" s="818"/>
    </row>
    <row r="165" spans="1:4">
      <c r="A165" s="816"/>
      <c r="B165" s="428" t="str">
        <f>IF('Upgrade Data'!B13="Yes","PP SB Account Number","")</f>
        <v/>
      </c>
      <c r="C165" s="584" t="str">
        <f>IF('Upgrade Data'!B13="Yes",'Upgrade Data'!B15,"")</f>
        <v/>
      </c>
      <c r="D165" s="818"/>
    </row>
    <row r="166" spans="1:4">
      <c r="A166" s="816"/>
      <c r="B166" s="439" t="str">
        <f>IF('Upgrade Data'!B16="Yes","LK Connector in use","No LK Connector")</f>
        <v>No LK Connector</v>
      </c>
      <c r="C166" s="583" t="str">
        <f>IF('Upgrade Data'!B16="Yes","No Action Required","Skip this step")</f>
        <v>Skip this step</v>
      </c>
      <c r="D166" s="818"/>
    </row>
    <row r="167" spans="1:4">
      <c r="A167" s="817"/>
      <c r="B167" s="440" t="str">
        <f>IF(AND('Upgrade Data'!B17="Yes",'Upgrade Data'!B18="Yes"),"CTM Connector in use","No CTM Connector")</f>
        <v>No CTM Connector</v>
      </c>
      <c r="C167" s="185" t="str">
        <f>IF('Upgrade Data'!B17="Yes","https://innotas.atlassian.net/wiki/spaces/E1CO/pages/843186182/PRM-CTM+Connector","Skip this step")</f>
        <v>Skip this step</v>
      </c>
      <c r="D167" s="830"/>
    </row>
    <row r="168" spans="1:4">
      <c r="A168" s="811">
        <v>16</v>
      </c>
      <c r="B168" s="585" t="s">
        <v>153</v>
      </c>
      <c r="C168" s="586"/>
      <c r="D168" s="823"/>
    </row>
    <row r="169" spans="1:4">
      <c r="A169" s="812"/>
      <c r="B169" s="598" t="s">
        <v>154</v>
      </c>
      <c r="C169" s="559" t="str">
        <f>_xlfn.CONCAT(AutoPop!A144,AutoPop!A145,AutoPop!A3,AutoPop!A145,AutoPop!A146,AutoPop!B144)</f>
        <v>&lt;add key="0PROD" value="$&amp;quot;/7CbH&amp;amp;,[8" /&gt;</v>
      </c>
      <c r="D169" s="824"/>
    </row>
    <row r="170" spans="1:4">
      <c r="A170" s="812"/>
      <c r="B170" s="678"/>
      <c r="C170" s="559" t="str">
        <f>_xlfn.CONCAT(AutoPop!A144,AutoPop!A145,AutoPop!A4,AutoPop!A145,AutoPop!A146,AutoPop!B144)</f>
        <v>&lt;add key="0CONFIG" value="$&amp;quot;/7CbH&amp;amp;,[8" /&gt;</v>
      </c>
      <c r="D170" s="824"/>
    </row>
    <row r="171" spans="1:4">
      <c r="A171" s="812"/>
      <c r="B171" s="679"/>
      <c r="C171" s="283" t="str">
        <f>_xlfn.CONCAT(AutoPop!A144,AutoPop!A145,AutoPop!A9,AutoPop!A145,AutoPop!A146,AutoPop!B144)</f>
        <v>&lt;add key="DM0PROD" value="$&amp;quot;/7CbH&amp;amp;,[8" /&gt;</v>
      </c>
      <c r="D171" s="824"/>
    </row>
    <row r="172" spans="1:4">
      <c r="A172" s="812"/>
      <c r="B172" s="678"/>
      <c r="C172" s="284"/>
      <c r="D172" s="824"/>
    </row>
    <row r="173" spans="1:4">
      <c r="A173" s="812"/>
      <c r="B173" s="598" t="s">
        <v>155</v>
      </c>
      <c r="C173" s="284" t="str">
        <f>_xlfn.CONCAT(AutoPop!A144,AutoPop!A145,AutoPop!A3,AutoPop!A145,AutoPop!A146,AutoPop!B145)</f>
        <v>&lt;add key="0PROD" value="User ID=/:(@8HLT[Kfi`r;password=$&amp;quot;/7CbH&amp;amp;,[8" /&gt;</v>
      </c>
      <c r="D173" s="824"/>
    </row>
    <row r="174" spans="1:4">
      <c r="A174" s="812"/>
      <c r="B174" s="679"/>
      <c r="C174" s="284" t="str">
        <f>_xlfn.CONCAT(AutoPop!A144,AutoPop!A145,AutoPop!A4,AutoPop!A145,AutoPop!A146,AutoPop!B145)</f>
        <v>&lt;add key="0CONFIG" value="User ID=/:(@8HLT[Kfi`r;password=$&amp;quot;/7CbH&amp;amp;,[8" /&gt;</v>
      </c>
      <c r="D174" s="824"/>
    </row>
    <row r="175" spans="1:4">
      <c r="A175" s="821"/>
      <c r="B175" s="587"/>
      <c r="C175" s="680" t="str">
        <f>_xlfn.CONCAT(AutoPop!A144,AutoPop!A145,AutoPop!A9,AutoPop!A145,AutoPop!A146,AutoPop!B145)</f>
        <v>&lt;add key="DM0PROD" value="User ID=/:(@8HLT[Kfi`r;password=$&amp;quot;/7CbH&amp;amp;,[8" /&gt;</v>
      </c>
      <c r="D175" s="825"/>
    </row>
    <row r="176" spans="1:4">
      <c r="A176" s="815">
        <v>17</v>
      </c>
      <c r="B176" s="796" t="s">
        <v>156</v>
      </c>
      <c r="C176" s="581"/>
      <c r="D176" s="819"/>
    </row>
    <row r="177" spans="1:5">
      <c r="A177" s="816"/>
      <c r="B177" s="676" t="s">
        <v>157</v>
      </c>
      <c r="C177" s="687" t="str">
        <f>(MasterConfig!B2)&amp;"/login/body.asp?manual=Y"</f>
        <v>/login/body.asp?manual=Y</v>
      </c>
      <c r="D177" s="820"/>
      <c r="E177" t="str">
        <f>('Upgrade Data'!F10)</f>
        <v/>
      </c>
    </row>
    <row r="178" spans="1:5">
      <c r="A178" s="816"/>
      <c r="B178" s="675" t="s">
        <v>158</v>
      </c>
      <c r="C178" s="688" t="str">
        <f>_xlfn.CONCAT(AutoPop!M112,'Upgrade Data'!F4,AutoPop!N112)</f>
        <v>Start-Process "chrome.exe" "https://0.pvcloud.com/planview/diag/version.aspx"</v>
      </c>
      <c r="D178" s="637"/>
    </row>
    <row r="179" spans="1:5">
      <c r="A179" s="816"/>
      <c r="B179" s="677" t="s">
        <v>159</v>
      </c>
      <c r="C179" s="689" t="str">
        <f>_xlfn.CONCAT(AutoPop!M112,'Upgrade Data'!F4,AutoPop!N113)</f>
        <v>Start-Process "chrome.exe" "https://0.pvcloud.com/odataservice/OdataService.svc"</v>
      </c>
      <c r="D179" s="636"/>
    </row>
    <row r="180" spans="1:5">
      <c r="A180" s="816"/>
      <c r="B180" s="675" t="s">
        <v>160</v>
      </c>
      <c r="C180" s="689" t="str">
        <f>_xlfn.CONCAT(AutoPop!M112,'Upgrade Data'!F4,AutoPop!N114)</f>
        <v>Start-Process "chrome.exe" "https://0.pvcloud.com/planview/Progressing/ProgressInteractively.aspx"</v>
      </c>
      <c r="D180" s="637"/>
    </row>
    <row r="181" spans="1:5">
      <c r="A181" s="816"/>
      <c r="B181" s="675" t="s">
        <v>161</v>
      </c>
      <c r="C181" s="689" t="str">
        <f>_xlfn.CONCAT(AutoPop!M112,'Upgrade Data'!F4,AutoPop!N115)</f>
        <v>Start-Process "chrome.exe" "https://0.pvcloud.com/planview/AdminApplication/AdministerOLAPConnStrings.aspx"</v>
      </c>
      <c r="D181" s="636"/>
    </row>
    <row r="182" spans="1:5">
      <c r="A182" s="816"/>
      <c r="B182" s="674" t="s">
        <v>162</v>
      </c>
      <c r="C182" s="689" t="str">
        <f>_xlfn.CONCAT(AutoPop!M112,'Upgrade Data'!F4,AutoPop!N116)</f>
        <v>Start-Process "chrome.exe" "https://0.pvcloud.com/planview/AdminDatabase/Databases.aspx"</v>
      </c>
      <c r="D182" s="637"/>
    </row>
    <row r="183" spans="1:5">
      <c r="A183" s="816"/>
      <c r="B183" s="677" t="s">
        <v>163</v>
      </c>
      <c r="C183" s="687" t="str">
        <f>_xlfn.CONCAT(AutoPop!M113,'Upgrade Data'!F4,AutoPop!N117)</f>
        <v>Start-Process "chrome.exe" "http://0.pvcloud.com/planview/AdminApplication/AdministerDataset.aspx"</v>
      </c>
      <c r="D183" s="637"/>
    </row>
    <row r="184" spans="1:5">
      <c r="A184" s="816"/>
      <c r="B184" s="675" t="s">
        <v>164</v>
      </c>
      <c r="C184" s="688" t="str">
        <f>_xlfn.CONCAT(AutoPop!M112,'Upgrade Data'!F4,AutoPop!N118)</f>
        <v>Start-Process "chrome.exe" "https://0.pvcloud.com/planview/AdminApplication/AdminServices.aspx"</v>
      </c>
      <c r="D184" s="636"/>
    </row>
    <row r="185" spans="1:5">
      <c r="A185" s="816"/>
      <c r="B185" s="675" t="s">
        <v>165</v>
      </c>
      <c r="C185" s="687" t="str">
        <f>_xlfn.CONCAT(AutoPop!M112,'Upgrade Data'!F4,AutoPop!N119)</f>
        <v>Start-Process "chrome.exe" "https://0.pvcloud.com/planview/AdminApplication/createcontentsearchindex.asp?step=1"</v>
      </c>
      <c r="D185" s="637"/>
    </row>
    <row r="186" spans="1:5">
      <c r="A186" s="816"/>
      <c r="B186" s="674" t="s">
        <v>166</v>
      </c>
      <c r="C186" s="688" t="str">
        <f>_xlfn.CONCAT(AutoPop!M112,'Upgrade Data'!F4,AutoPop!N120)</f>
        <v>Start-Process "chrome.exe" "https://0.pvcloud.com/ng/ctm/"</v>
      </c>
      <c r="D186" s="636"/>
    </row>
    <row r="187" spans="1:5">
      <c r="A187" s="816"/>
      <c r="B187" s="442" t="s">
        <v>167</v>
      </c>
      <c r="C187" s="689"/>
      <c r="D187" s="637"/>
    </row>
    <row r="188" spans="1:5">
      <c r="A188" s="816"/>
      <c r="B188" s="442" t="s">
        <v>168</v>
      </c>
      <c r="C188" s="689" t="str">
        <f>IF('Upgrade Data'!F12=TRUE,_xlfn.CONCAT(AutoPop!M113,Automation!F48,AutoPop!N122),_xlfn.CONCAT(AutoPop!M113,'Upgrade Data'!I12,AutoPop!N122))</f>
        <v>Start-Process "chrome.exe" "http://0/health"</v>
      </c>
      <c r="D188" s="636"/>
    </row>
    <row r="189" spans="1:5">
      <c r="A189" s="816"/>
      <c r="B189" s="442" t="s">
        <v>168</v>
      </c>
      <c r="C189" s="689" t="str">
        <f>IF('Upgrade Data'!F12=TRUE,_xlfn.CONCAT(AutoPop!M113,Automation!F48,AutoPop!N123),_xlfn.CONCAT(AutoPop!M113,'Upgrade Data'!I12,AutoPop!N123))</f>
        <v>Start-Process "chrome.exe" "http://0/uaa/health"</v>
      </c>
      <c r="D189" s="637"/>
    </row>
    <row r="190" spans="1:5">
      <c r="A190" s="816"/>
      <c r="B190" s="440" t="s">
        <v>168</v>
      </c>
      <c r="C190" s="690" t="str">
        <f>IF('Upgrade Data'!F12=TRUE,_xlfn.CONCAT(AutoPop!M113,Automation!F48,AutoPop!N124),_xlfn.CONCAT(AutoPop!M113,'Upgrade Data'!I12,AutoPop!N124))</f>
        <v>Start-Process "chrome.exe" "http://0/tip/do/health"</v>
      </c>
      <c r="D190" s="636"/>
    </row>
    <row r="191" spans="1:5" ht="30">
      <c r="A191" s="80">
        <v>18</v>
      </c>
      <c r="B191" s="357" t="s">
        <v>138</v>
      </c>
      <c r="C191" s="588" t="s">
        <v>169</v>
      </c>
      <c r="D191" s="37"/>
    </row>
  </sheetData>
  <mergeCells count="36">
    <mergeCell ref="A162:A167"/>
    <mergeCell ref="D32:D56"/>
    <mergeCell ref="A77:A81"/>
    <mergeCell ref="D77:D81"/>
    <mergeCell ref="D63:D76"/>
    <mergeCell ref="D82:D86"/>
    <mergeCell ref="A63:A76"/>
    <mergeCell ref="D176:D177"/>
    <mergeCell ref="A176:A190"/>
    <mergeCell ref="A87:A91"/>
    <mergeCell ref="A92:A129"/>
    <mergeCell ref="D87:D91"/>
    <mergeCell ref="A168:A175"/>
    <mergeCell ref="D168:D175"/>
    <mergeCell ref="D92:D129"/>
    <mergeCell ref="B92:B129"/>
    <mergeCell ref="A130:A142"/>
    <mergeCell ref="D130:D142"/>
    <mergeCell ref="A143:A160"/>
    <mergeCell ref="D162:D167"/>
    <mergeCell ref="B143:B160"/>
    <mergeCell ref="D143:D160"/>
    <mergeCell ref="B130:B142"/>
    <mergeCell ref="A3:A23"/>
    <mergeCell ref="D21:D23"/>
    <mergeCell ref="D4:D6"/>
    <mergeCell ref="D7:D9"/>
    <mergeCell ref="D10:D12"/>
    <mergeCell ref="D13:D15"/>
    <mergeCell ref="D16:D20"/>
    <mergeCell ref="D24:D31"/>
    <mergeCell ref="A24:A31"/>
    <mergeCell ref="D57:D62"/>
    <mergeCell ref="A57:A62"/>
    <mergeCell ref="A82:A86"/>
    <mergeCell ref="A32:A56"/>
  </mergeCells>
  <conditionalFormatting sqref="D87:D88">
    <cfRule type="iconSet" priority="276">
      <iconSet iconSet="3Symbols2" showValue="0">
        <cfvo type="percent" val="0"/>
        <cfvo type="num" val="0"/>
        <cfvo type="num" val="1"/>
      </iconSet>
    </cfRule>
  </conditionalFormatting>
  <conditionalFormatting sqref="D3">
    <cfRule type="iconSet" priority="269">
      <iconSet iconSet="3Symbols2" showValue="0">
        <cfvo type="percent" val="0"/>
        <cfvo type="num" val="0"/>
        <cfvo type="num" val="1"/>
      </iconSet>
    </cfRule>
  </conditionalFormatting>
  <conditionalFormatting sqref="D130:D133">
    <cfRule type="iconSet" priority="234">
      <iconSet iconSet="3Symbols2" showValue="0">
        <cfvo type="percent" val="0"/>
        <cfvo type="num" val="0"/>
        <cfvo type="num" val="1"/>
      </iconSet>
    </cfRule>
  </conditionalFormatting>
  <conditionalFormatting sqref="D130:D133">
    <cfRule type="iconSet" priority="235">
      <iconSet iconSet="3Symbols2" showValue="0">
        <cfvo type="percent" val="0"/>
        <cfvo type="num" val="0"/>
        <cfvo type="num" val="1"/>
      </iconSet>
    </cfRule>
    <cfRule type="iconSet" priority="236">
      <iconSet iconSet="3Symbols2">
        <cfvo type="percent" val="0"/>
        <cfvo type="num" val="0"/>
        <cfvo type="num" val="1"/>
      </iconSet>
    </cfRule>
    <cfRule type="iconSet" priority="237">
      <iconSet showValue="0">
        <cfvo type="percent" val="0"/>
        <cfvo type="percent" val="33"/>
        <cfvo type="percent" val="67"/>
      </iconSet>
    </cfRule>
    <cfRule type="iconSet" priority="238">
      <iconSet iconSet="3Symbols2">
        <cfvo type="percent" val="0"/>
        <cfvo type="num" val="0"/>
        <cfvo type="num" val="1"/>
      </iconSet>
    </cfRule>
  </conditionalFormatting>
  <conditionalFormatting sqref="D130:D133">
    <cfRule type="iconSet" priority="239">
      <iconSet iconSet="3Symbols2" showValue="0">
        <cfvo type="percent" val="0"/>
        <cfvo type="num" val="1"/>
        <cfvo type="num" val="2"/>
      </iconSet>
    </cfRule>
    <cfRule type="iconSet" priority="240">
      <iconSet iconSet="3Symbols2" showValue="0">
        <cfvo type="percent" val="0"/>
        <cfvo type="num" val="1"/>
        <cfvo type="num" val="2"/>
      </iconSet>
    </cfRule>
    <cfRule type="iconSet" priority="241">
      <iconSet iconSet="3Symbols2">
        <cfvo type="percent" val="0"/>
        <cfvo type="num" val="1"/>
        <cfvo type="num" val="2"/>
      </iconSet>
    </cfRule>
  </conditionalFormatting>
  <conditionalFormatting sqref="D143">
    <cfRule type="iconSet" priority="186">
      <iconSet iconSet="3Symbols2" showValue="0">
        <cfvo type="percent" val="0"/>
        <cfvo type="num" val="0"/>
        <cfvo type="num" val="1"/>
      </iconSet>
    </cfRule>
  </conditionalFormatting>
  <conditionalFormatting sqref="D143">
    <cfRule type="iconSet" priority="187">
      <iconSet iconSet="3Symbols2" showValue="0">
        <cfvo type="percent" val="0"/>
        <cfvo type="num" val="0"/>
        <cfvo type="num" val="1"/>
      </iconSet>
    </cfRule>
    <cfRule type="iconSet" priority="188">
      <iconSet iconSet="3Symbols2">
        <cfvo type="percent" val="0"/>
        <cfvo type="num" val="0"/>
        <cfvo type="num" val="1"/>
      </iconSet>
    </cfRule>
    <cfRule type="iconSet" priority="189">
      <iconSet showValue="0">
        <cfvo type="percent" val="0"/>
        <cfvo type="percent" val="33"/>
        <cfvo type="percent" val="67"/>
      </iconSet>
    </cfRule>
    <cfRule type="iconSet" priority="190">
      <iconSet iconSet="3Symbols2">
        <cfvo type="percent" val="0"/>
        <cfvo type="num" val="0"/>
        <cfvo type="num" val="1"/>
      </iconSet>
    </cfRule>
  </conditionalFormatting>
  <conditionalFormatting sqref="D143">
    <cfRule type="iconSet" priority="191">
      <iconSet iconSet="3Symbols2" showValue="0">
        <cfvo type="percent" val="0"/>
        <cfvo type="num" val="1"/>
        <cfvo type="num" val="2"/>
      </iconSet>
    </cfRule>
    <cfRule type="iconSet" priority="192">
      <iconSet iconSet="3Symbols2" showValue="0">
        <cfvo type="percent" val="0"/>
        <cfvo type="num" val="1"/>
        <cfvo type="num" val="2"/>
      </iconSet>
    </cfRule>
    <cfRule type="iconSet" priority="193">
      <iconSet iconSet="3Symbols2">
        <cfvo type="percent" val="0"/>
        <cfvo type="num" val="1"/>
        <cfvo type="num" val="2"/>
      </iconSet>
    </cfRule>
  </conditionalFormatting>
  <conditionalFormatting sqref="D161">
    <cfRule type="iconSet" priority="50">
      <iconSet iconSet="3Symbols2" showValue="0">
        <cfvo type="percent" val="0"/>
        <cfvo type="num" val="0"/>
        <cfvo type="num" val="1"/>
      </iconSet>
    </cfRule>
  </conditionalFormatting>
  <conditionalFormatting sqref="D161">
    <cfRule type="iconSet" priority="51">
      <iconSet iconSet="3Symbols2" showValue="0">
        <cfvo type="percent" val="0"/>
        <cfvo type="num" val="0"/>
        <cfvo type="num" val="1"/>
      </iconSet>
    </cfRule>
    <cfRule type="iconSet" priority="52">
      <iconSet iconSet="3Symbols2">
        <cfvo type="percent" val="0"/>
        <cfvo type="num" val="0"/>
        <cfvo type="num" val="1"/>
      </iconSet>
    </cfRule>
    <cfRule type="iconSet" priority="53">
      <iconSet showValue="0">
        <cfvo type="percent" val="0"/>
        <cfvo type="percent" val="33"/>
        <cfvo type="percent" val="67"/>
      </iconSet>
    </cfRule>
    <cfRule type="iconSet" priority="54">
      <iconSet iconSet="3Symbols2">
        <cfvo type="percent" val="0"/>
        <cfvo type="num" val="0"/>
        <cfvo type="num" val="1"/>
      </iconSet>
    </cfRule>
  </conditionalFormatting>
  <conditionalFormatting sqref="D161">
    <cfRule type="iconSet" priority="55">
      <iconSet iconSet="3Symbols2" showValue="0">
        <cfvo type="percent" val="0"/>
        <cfvo type="num" val="1"/>
        <cfvo type="num" val="2"/>
      </iconSet>
    </cfRule>
    <cfRule type="iconSet" priority="56">
      <iconSet iconSet="3Symbols2" showValue="0">
        <cfvo type="percent" val="0"/>
        <cfvo type="num" val="1"/>
        <cfvo type="num" val="2"/>
      </iconSet>
    </cfRule>
    <cfRule type="iconSet" priority="57">
      <iconSet iconSet="3Symbols2">
        <cfvo type="percent" val="0"/>
        <cfvo type="num" val="1"/>
        <cfvo type="num" val="2"/>
      </iconSet>
    </cfRule>
  </conditionalFormatting>
  <conditionalFormatting sqref="D191">
    <cfRule type="iconSet" priority="17">
      <iconSet iconSet="3Symbols2" showValue="0">
        <cfvo type="percent" val="0"/>
        <cfvo type="num" val="0"/>
        <cfvo type="num" val="1"/>
      </iconSet>
    </cfRule>
  </conditionalFormatting>
  <conditionalFormatting sqref="D191">
    <cfRule type="iconSet" priority="18">
      <iconSet iconSet="3Symbols2" showValue="0">
        <cfvo type="percent" val="0"/>
        <cfvo type="num" val="0"/>
        <cfvo type="num" val="1"/>
      </iconSet>
    </cfRule>
    <cfRule type="iconSet" priority="19">
      <iconSet iconSet="3Symbols2">
        <cfvo type="percent" val="0"/>
        <cfvo type="num" val="0"/>
        <cfvo type="num" val="1"/>
      </iconSet>
    </cfRule>
    <cfRule type="iconSet" priority="20">
      <iconSet showValue="0">
        <cfvo type="percent" val="0"/>
        <cfvo type="percent" val="33"/>
        <cfvo type="percent" val="67"/>
      </iconSet>
    </cfRule>
    <cfRule type="iconSet" priority="21">
      <iconSet iconSet="3Symbols2">
        <cfvo type="percent" val="0"/>
        <cfvo type="num" val="0"/>
        <cfvo type="num" val="1"/>
      </iconSet>
    </cfRule>
  </conditionalFormatting>
  <conditionalFormatting sqref="D191">
    <cfRule type="iconSet" priority="22">
      <iconSet iconSet="3Symbols2" showValue="0">
        <cfvo type="percent" val="0"/>
        <cfvo type="num" val="1"/>
        <cfvo type="num" val="2"/>
      </iconSet>
    </cfRule>
    <cfRule type="iconSet" priority="23">
      <iconSet iconSet="3Symbols2" showValue="0">
        <cfvo type="percent" val="0"/>
        <cfvo type="num" val="1"/>
        <cfvo type="num" val="2"/>
      </iconSet>
    </cfRule>
    <cfRule type="iconSet" priority="24">
      <iconSet iconSet="3Symbols2">
        <cfvo type="percent" val="0"/>
        <cfvo type="num" val="1"/>
        <cfvo type="num" val="2"/>
      </iconSet>
    </cfRule>
  </conditionalFormatting>
  <conditionalFormatting sqref="D168">
    <cfRule type="iconSet" priority="1195">
      <iconSet iconSet="3Symbols2" showValue="0">
        <cfvo type="percent" val="0"/>
        <cfvo type="num" val="0"/>
        <cfvo type="num" val="1"/>
      </iconSet>
    </cfRule>
  </conditionalFormatting>
  <conditionalFormatting sqref="D4:D6">
    <cfRule type="iconSet" priority="15">
      <iconSet iconSet="3Symbols2" showValue="0">
        <cfvo type="percent" val="0"/>
        <cfvo type="num" val="0"/>
        <cfvo type="num" val="1"/>
      </iconSet>
    </cfRule>
  </conditionalFormatting>
  <conditionalFormatting sqref="D7:D9">
    <cfRule type="iconSet" priority="13">
      <iconSet iconSet="3Symbols2" showValue="0">
        <cfvo type="percent" val="0"/>
        <cfvo type="num" val="0"/>
        <cfvo type="num" val="1"/>
      </iconSet>
    </cfRule>
  </conditionalFormatting>
  <conditionalFormatting sqref="D13:D15">
    <cfRule type="iconSet" priority="12">
      <iconSet iconSet="3Symbols2" showValue="0">
        <cfvo type="percent" val="0"/>
        <cfvo type="num" val="0"/>
        <cfvo type="num" val="1"/>
      </iconSet>
    </cfRule>
  </conditionalFormatting>
  <conditionalFormatting sqref="D10:D12">
    <cfRule type="iconSet" priority="11">
      <iconSet iconSet="3Symbols2" showValue="0">
        <cfvo type="percent" val="0"/>
        <cfvo type="num" val="0"/>
        <cfvo type="num" val="1"/>
      </iconSet>
    </cfRule>
  </conditionalFormatting>
  <conditionalFormatting sqref="D21:D23">
    <cfRule type="iconSet" priority="10">
      <iconSet iconSet="3Symbols2" showValue="0">
        <cfvo type="percent" val="0"/>
        <cfvo type="num" val="0"/>
        <cfvo type="num" val="1"/>
      </iconSet>
    </cfRule>
  </conditionalFormatting>
  <conditionalFormatting sqref="D16:D20">
    <cfRule type="iconSet" priority="9">
      <iconSet iconSet="3Symbols2" showValue="0">
        <cfvo type="percent" val="0"/>
        <cfvo type="num" val="0"/>
        <cfvo type="num" val="1"/>
      </iconSet>
    </cfRule>
  </conditionalFormatting>
  <conditionalFormatting sqref="D24:D32">
    <cfRule type="iconSet" priority="1387">
      <iconSet iconSet="3Symbols2" showValue="0">
        <cfvo type="percent" val="0"/>
        <cfvo type="num" val="0"/>
        <cfvo type="num" val="1"/>
      </iconSet>
    </cfRule>
  </conditionalFormatting>
  <conditionalFormatting sqref="D63:D76">
    <cfRule type="iconSet" priority="1388">
      <iconSet iconSet="3Symbols2" showValue="0">
        <cfvo type="percent" val="0"/>
        <cfvo type="num" val="0"/>
        <cfvo type="num" val="1"/>
      </iconSet>
    </cfRule>
  </conditionalFormatting>
  <conditionalFormatting sqref="D162:D163">
    <cfRule type="iconSet" priority="1389">
      <iconSet iconSet="3Symbols2" showValue="0">
        <cfvo type="percent" val="0"/>
        <cfvo type="num" val="0"/>
        <cfvo type="num" val="1"/>
      </iconSet>
    </cfRule>
  </conditionalFormatting>
  <conditionalFormatting sqref="D162:D163">
    <cfRule type="iconSet" priority="1390">
      <iconSet iconSet="3Symbols2" showValue="0">
        <cfvo type="percent" val="0"/>
        <cfvo type="num" val="0"/>
        <cfvo type="num" val="1"/>
      </iconSet>
    </cfRule>
    <cfRule type="iconSet" priority="1391">
      <iconSet iconSet="3Symbols2">
        <cfvo type="percent" val="0"/>
        <cfvo type="num" val="0"/>
        <cfvo type="num" val="1"/>
      </iconSet>
    </cfRule>
    <cfRule type="iconSet" priority="1392">
      <iconSet showValue="0">
        <cfvo type="percent" val="0"/>
        <cfvo type="percent" val="33"/>
        <cfvo type="percent" val="67"/>
      </iconSet>
    </cfRule>
    <cfRule type="iconSet" priority="1393">
      <iconSet iconSet="3Symbols2">
        <cfvo type="percent" val="0"/>
        <cfvo type="num" val="0"/>
        <cfvo type="num" val="1"/>
      </iconSet>
    </cfRule>
  </conditionalFormatting>
  <conditionalFormatting sqref="D162:D163">
    <cfRule type="iconSet" priority="1394">
      <iconSet iconSet="3Symbols2" showValue="0">
        <cfvo type="percent" val="0"/>
        <cfvo type="num" val="1"/>
        <cfvo type="num" val="2"/>
      </iconSet>
    </cfRule>
    <cfRule type="iconSet" priority="1395">
      <iconSet iconSet="3Symbols2" showValue="0">
        <cfvo type="percent" val="0"/>
        <cfvo type="num" val="1"/>
        <cfvo type="num" val="2"/>
      </iconSet>
    </cfRule>
    <cfRule type="iconSet" priority="1396">
      <iconSet iconSet="3Symbols2">
        <cfvo type="percent" val="0"/>
        <cfvo type="num" val="1"/>
        <cfvo type="num" val="2"/>
      </iconSet>
    </cfRule>
  </conditionalFormatting>
  <conditionalFormatting sqref="C7:C23">
    <cfRule type="notContainsText" dxfId="2" priority="4" operator="notContains" text="No Action Needed">
      <formula>ISERROR(SEARCH("No Action Needed",C7))</formula>
    </cfRule>
  </conditionalFormatting>
  <conditionalFormatting sqref="D57:D62">
    <cfRule type="iconSet" priority="1418">
      <iconSet iconSet="3Symbols2" showValue="0">
        <cfvo type="percent" val="0"/>
        <cfvo type="num" val="0"/>
        <cfvo type="num" val="1"/>
      </iconSet>
    </cfRule>
  </conditionalFormatting>
  <conditionalFormatting sqref="D92:D123">
    <cfRule type="iconSet" priority="1419">
      <iconSet iconSet="3Symbols2" showValue="0">
        <cfvo type="percent" val="0"/>
        <cfvo type="num" val="0"/>
        <cfvo type="num" val="1"/>
      </iconSet>
    </cfRule>
  </conditionalFormatting>
  <conditionalFormatting sqref="D63:D77 D82 D87:D88">
    <cfRule type="iconSet" priority="1420">
      <iconSet iconSet="3Symbols2" showValue="0">
        <cfvo type="percent" val="0"/>
        <cfvo type="num" val="0"/>
        <cfvo type="num" val="1"/>
      </iconSet>
    </cfRule>
    <cfRule type="iconSet" priority="1421">
      <iconSet iconSet="3Symbols2">
        <cfvo type="percent" val="0"/>
        <cfvo type="num" val="0"/>
        <cfvo type="num" val="1"/>
      </iconSet>
    </cfRule>
    <cfRule type="iconSet" priority="1422">
      <iconSet showValue="0">
        <cfvo type="percent" val="0"/>
        <cfvo type="percent" val="33"/>
        <cfvo type="percent" val="67"/>
      </iconSet>
    </cfRule>
    <cfRule type="iconSet" priority="1423">
      <iconSet iconSet="3Symbols2">
        <cfvo type="percent" val="0"/>
        <cfvo type="num" val="0"/>
        <cfvo type="num" val="1"/>
      </iconSet>
    </cfRule>
  </conditionalFormatting>
  <conditionalFormatting sqref="D63:D77 D82 D87:D88">
    <cfRule type="iconSet" priority="1432">
      <iconSet iconSet="3Symbols2" showValue="0">
        <cfvo type="percent" val="0"/>
        <cfvo type="num" val="1"/>
        <cfvo type="num" val="2"/>
      </iconSet>
    </cfRule>
    <cfRule type="iconSet" priority="1433">
      <iconSet iconSet="3Symbols2" showValue="0">
        <cfvo type="percent" val="0"/>
        <cfvo type="num" val="1"/>
        <cfvo type="num" val="2"/>
      </iconSet>
    </cfRule>
    <cfRule type="iconSet" priority="1434">
      <iconSet iconSet="3Symbols2">
        <cfvo type="percent" val="0"/>
        <cfvo type="num" val="1"/>
        <cfvo type="num" val="2"/>
      </iconSet>
    </cfRule>
  </conditionalFormatting>
  <conditionalFormatting sqref="C57">
    <cfRule type="cellIs" dxfId="1" priority="3" operator="notEqual">
      <formula>"Skip this step"</formula>
    </cfRule>
  </conditionalFormatting>
  <conditionalFormatting sqref="C77">
    <cfRule type="beginsWith" dxfId="0" priority="2" operator="beginsWith" text="Please">
      <formula>LEFT(C77,LEN("Please"))="Please"</formula>
    </cfRule>
  </conditionalFormatting>
  <conditionalFormatting sqref="D2">
    <cfRule type="iconSet" priority="1">
      <iconSet iconSet="3Symbols2" showValue="0">
        <cfvo type="percent" val="0"/>
        <cfvo type="num" val="0"/>
        <cfvo type="num" val="1"/>
      </iconSet>
    </cfRule>
  </conditionalFormatting>
  <hyperlinks>
    <hyperlink ref="C191" r:id="rId1"/>
    <hyperlink ref="C2" r:id="rId2"/>
  </hyperlinks>
  <pageMargins left="0.7" right="0.7" top="0.75" bottom="0.75" header="0.3" footer="0.3"/>
  <pageSetup orientation="portrait" r:id="rId3"/>
  <ignoredErrors>
    <ignoredError sqref="C145 C147 C149 C151 C153 C155 C157 C159"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94"/>
  <sheetViews>
    <sheetView topLeftCell="A46" zoomScale="85" zoomScaleNormal="85" workbookViewId="0">
      <selection activeCell="A2" sqref="A2"/>
    </sheetView>
  </sheetViews>
  <sheetFormatPr defaultRowHeight="15"/>
  <cols>
    <col min="1" max="1" width="9.140625" style="8"/>
    <col min="2" max="2" width="81.7109375" style="2" bestFit="1" customWidth="1"/>
    <col min="3" max="3" width="237.140625" customWidth="1"/>
    <col min="4" max="4" width="26" bestFit="1" customWidth="1"/>
    <col min="5" max="5" width="28.7109375" style="267" bestFit="1" customWidth="1"/>
  </cols>
  <sheetData>
    <row r="1" spans="1:5" ht="18">
      <c r="A1" s="273"/>
      <c r="B1" s="274" t="s">
        <v>135</v>
      </c>
      <c r="C1" s="274" t="s">
        <v>136</v>
      </c>
      <c r="D1" s="274" t="s">
        <v>137</v>
      </c>
      <c r="E1" s="275" t="s">
        <v>170</v>
      </c>
    </row>
    <row r="2" spans="1:5">
      <c r="A2" s="763">
        <v>1</v>
      </c>
      <c r="B2" s="293">
        <f>('Upgrade Data'!F14)</f>
        <v>0</v>
      </c>
      <c r="C2" s="68" t="s">
        <v>171</v>
      </c>
      <c r="D2" s="776"/>
      <c r="E2" s="286"/>
    </row>
    <row r="3" spans="1:5">
      <c r="A3" s="862">
        <v>2</v>
      </c>
      <c r="B3" s="593" t="s">
        <v>172</v>
      </c>
      <c r="C3" s="594" t="str">
        <f>_xlfn.CONCAT("https://planview.lightning.force.com/lightning ")</f>
        <v xml:space="preserve">https://planview.lightning.force.com/lightning </v>
      </c>
      <c r="D3" s="819"/>
      <c r="E3" s="865"/>
    </row>
    <row r="4" spans="1:5">
      <c r="A4" s="863"/>
      <c r="B4" s="593"/>
      <c r="C4" s="594">
        <f>('Upgrade Data'!F16)</f>
        <v>0</v>
      </c>
      <c r="D4" s="837"/>
      <c r="E4" s="866"/>
    </row>
    <row r="5" spans="1:5" ht="75">
      <c r="A5" s="864"/>
      <c r="B5" s="593"/>
      <c r="C5" s="78" t="s">
        <v>173</v>
      </c>
      <c r="D5" s="820"/>
      <c r="E5" s="867"/>
    </row>
    <row r="6" spans="1:5">
      <c r="A6" s="851">
        <v>3</v>
      </c>
      <c r="B6" s="294" t="s">
        <v>174</v>
      </c>
      <c r="C6" s="204" t="s">
        <v>175</v>
      </c>
      <c r="D6" s="823"/>
      <c r="E6" s="846" t="str">
        <f>IF(MasterConfig!B19=TRUE,"PVE Server listed 2 times is planned","")</f>
        <v/>
      </c>
    </row>
    <row r="7" spans="1:5">
      <c r="A7" s="852"/>
      <c r="B7" s="382"/>
      <c r="C7" s="205" t="str">
        <f>IF('Upgrade Data'!F12=TRUE,_xlfn.CONCAT(Automation!B12,Automation!C13,'Upgrade Data'!F6,Automation!C51,Automation!D69,Automation!C21,Automation!D3,Automation!C22,Automation!D13,Automation!C28),_xlfn.CONCAT(Automation!B12,Automation!C13,'Upgrade Data'!F6,Automation!C51,Automation!D69,Automation!C21,Automation!D3,Automation!C22,Automation!D13))</f>
        <v xml:space="preserve">New-DDDowntime -CustID 0 -Environment Sandbox -Mutelength 5 -Message "Muting environment for In Place Upgrade" </v>
      </c>
      <c r="D7" s="825"/>
      <c r="E7" s="847"/>
    </row>
    <row r="8" spans="1:5">
      <c r="A8" s="815">
        <v>4</v>
      </c>
      <c r="B8" s="194" t="s">
        <v>176</v>
      </c>
      <c r="C8" s="206"/>
      <c r="D8" s="819"/>
      <c r="E8" s="475"/>
    </row>
    <row r="9" spans="1:5">
      <c r="A9" s="816"/>
      <c r="B9" s="592" t="s">
        <v>177</v>
      </c>
      <c r="C9" s="55" t="e">
        <f ca="1">IF('Upgrade Data'!F12=TRUE,_xlfn.CONCAT(Automation!D142,Automation!D71,Automation!H8),_xlfn.CONCAT(Automation!D142,Automation!D71,Automation!H9))</f>
        <v>#NAME?</v>
      </c>
      <c r="D9" s="837"/>
      <c r="E9" s="537"/>
    </row>
    <row r="10" spans="1:5">
      <c r="A10" s="816"/>
      <c r="B10" s="592"/>
      <c r="C10" s="55" t="str">
        <f>_xlfn.CONCAT(Automation!B3,Automation!C23,Automation!D142,Automation!C12,Automation!D16,Automation!C52,Automation!C36,Automation!D17)</f>
        <v>Invoke-Command -ComputerName $SbAll -ScriptBlock {Restart-Computer -Force}</v>
      </c>
      <c r="D10" s="837"/>
      <c r="E10" s="537"/>
    </row>
    <row r="11" spans="1:5">
      <c r="A11" s="816"/>
      <c r="B11" s="592" t="s">
        <v>178</v>
      </c>
      <c r="C11" s="55" t="str">
        <f>(Automation!B14) &amp; "45"</f>
        <v>start-sleep 45</v>
      </c>
      <c r="D11" s="837"/>
      <c r="E11" s="537"/>
    </row>
    <row r="12" spans="1:5">
      <c r="A12" s="816"/>
      <c r="B12" s="592" t="s">
        <v>179</v>
      </c>
      <c r="C12" s="55" t="e">
        <f ca="1">IF('Upgrade Data'!F12=TRUE,_xlfn.CONCAT(Automation!D144,Automation!D71,Automation!H3),_xlfn.CONCAT(Automation!D144,Automation!D71,Automation!G3))</f>
        <v>#NAME?</v>
      </c>
      <c r="D12" s="837"/>
      <c r="E12" s="537"/>
    </row>
    <row r="13" spans="1:5">
      <c r="A13" s="817"/>
      <c r="B13" s="592"/>
      <c r="C13" s="55" t="str">
        <f>_xlfn.CONCAT(Automation!B3,Automation!C23,Automation!D144,Automation!C24,Automation!D16,Automation!C20,Automation!D27,Automation!C4,Automation!D17)</f>
        <v>Invoke-Command -ComputerName $SBWebs -Command  {stop-WebAppPool planview  -Verbose}</v>
      </c>
      <c r="D13" s="820"/>
      <c r="E13" s="537"/>
    </row>
    <row r="14" spans="1:5">
      <c r="A14" s="813">
        <v>5</v>
      </c>
      <c r="B14" s="296" t="s">
        <v>180</v>
      </c>
      <c r="C14" s="108" t="e">
        <f ca="1">IF(AND(MasterConfig!B19=TRUE,'Upgrade Data'!F12=TRUE),_xlfn.CONCAT(Automation!D140,Automation!D71,Automation!H3),IF(AND(MasterConfig!B19=FALSE,'Upgrade Data'!F12=TRUE),_xlfn.CONCAT(Automation!D140,Automation!D71,Automation!H3,Automation!D26,Automation!D72,Automation!F46,Automation!D72),IF(AND(MasterConfig!B19=TRUE,'Upgrade Data'!F12=FALSE),_xlfn.CONCAT(Automation!D140,Automation!D71,Automation!G3),_xlfn.CONCAT(Automation!D140,Automation!D71,Automation!G3,Automation!D26,Automation!D72,Automation!F12,Automation!D72))))</f>
        <v>#NAME?</v>
      </c>
      <c r="D14" s="823"/>
      <c r="E14" s="855" t="str">
        <f>IF(MasterConfig!B19=TRUE,"PVE Server listed 2 times is planned","")</f>
        <v/>
      </c>
    </row>
    <row r="15" spans="1:5">
      <c r="A15" s="829"/>
      <c r="B15" s="277"/>
      <c r="C15" s="203" t="str">
        <f>_xlfn.CONCAT(Automation!B3,Automation!C23,Automation!D140,Automation!C12,Automation!D16,Automation!C18,Automation!C26,Automation!D29,Automation!C4,Automation!D70,Automation!C27,Automation!C26,Automation!D29,Automation!C4,Automation!D17)</f>
        <v>Invoke-Command -ComputerName $SbPrm -ScriptBlock {Stop-Service  -DisplayName  Plan*  -Verbose; Get-Service  -DisplayName  Plan*  -Verbose}</v>
      </c>
      <c r="D15" s="824"/>
      <c r="E15" s="857"/>
    </row>
    <row r="16" spans="1:5">
      <c r="A16" s="815">
        <v>6</v>
      </c>
      <c r="B16" s="796" t="s">
        <v>181</v>
      </c>
      <c r="C16" s="646"/>
      <c r="D16" s="819"/>
      <c r="E16" s="853"/>
    </row>
    <row r="17" spans="1:5">
      <c r="A17" s="816"/>
      <c r="B17" s="797"/>
      <c r="C17" s="647" t="str">
        <f>IF('Upgrade Data'!F12=TRUE,_xlfn.CONCAT(Automation!B3,Automation!C23,Automation!F42,Automation!D15,Automation!C24,Automation!C45),_xlfn.CONCAT(Automation!B3,Automation!C23,Automation!F21,Automation!D15,Automation!C24,Automation!C45))</f>
        <v>Invoke-Command -ComputerName 0  -Command {(GCI "F:\sqlbackup\" | Measure-Object)} | ft PSComputerName, Count</v>
      </c>
      <c r="D17" s="837"/>
      <c r="E17" s="854"/>
    </row>
    <row r="18" spans="1:5">
      <c r="A18" s="816"/>
      <c r="B18" s="797"/>
      <c r="C18" s="647" t="str">
        <f>IF('Upgrade Data'!F12=TRUE,_xlfn.CONCAT(Automation!B5,Automation!C10,Automation!F42,Automation!C54,Automation!D82,Automation!D104),_xlfn.CONCAT(Automation!B5,Automation!C10,Automation!F21,Automation!C54,Automation!D82,Automation!D104))</f>
        <v>Invoke-sqlcmd -ServerInstance 0 -Database  Master -query "SELECT COUNT(*) FROM sys.databases where database_id not in ( 1,2,3,4 )"</v>
      </c>
      <c r="D18" s="837"/>
      <c r="E18" s="854"/>
    </row>
    <row r="19" spans="1:5">
      <c r="A19" s="816"/>
      <c r="B19" s="797"/>
      <c r="C19" s="647" t="str">
        <f>_xlfn.CONCAT(Automation!D42,Automation!D43)</f>
        <v xml:space="preserve">cd SQLSERVER: </v>
      </c>
      <c r="D19" s="837"/>
      <c r="E19" s="854"/>
    </row>
    <row r="20" spans="1:5">
      <c r="A20" s="816"/>
      <c r="B20" s="797"/>
      <c r="C20" s="647" t="s">
        <v>142</v>
      </c>
      <c r="D20" s="837"/>
      <c r="E20" s="854"/>
    </row>
    <row r="21" spans="1:5">
      <c r="A21" s="816"/>
      <c r="B21" s="797"/>
      <c r="C21" s="647" t="str">
        <f>IF('Upgrade Data'!F12=TRUE,_xlfn.CONCAT(Automation!D42,Automation!D44,Automation!F42,Automation!D45),_xlfn.CONCAT(Automation!D42,Automation!D44,Automation!F13,Automation!D45))</f>
        <v xml:space="preserve">cd SQL\0\Default\JobServer\Jobs </v>
      </c>
      <c r="D21" s="837"/>
      <c r="E21" s="854"/>
    </row>
    <row r="22" spans="1:5">
      <c r="A22" s="816"/>
      <c r="B22" s="797"/>
      <c r="C22" s="648" t="str">
        <f>_xlfn.CONCAT(Automation!C44)</f>
        <v>(get-item DBBackups.0).start()</v>
      </c>
      <c r="D22" s="837"/>
      <c r="E22" s="854"/>
    </row>
    <row r="23" spans="1:5">
      <c r="A23" s="816"/>
      <c r="B23" s="797"/>
      <c r="C23" s="648" t="str">
        <f>_xlfn.CONCAT(Automation!C46,Automation!D47,Automation!D25)</f>
        <v>(get-item DBBackups.0 | FT CurrentRunStatus)</v>
      </c>
      <c r="D23" s="837"/>
      <c r="E23" s="854"/>
    </row>
    <row r="24" spans="1:5">
      <c r="A24" s="816"/>
      <c r="B24" s="797"/>
      <c r="C24" s="649" t="s">
        <v>145</v>
      </c>
      <c r="D24" s="837"/>
      <c r="E24" s="854"/>
    </row>
    <row r="25" spans="1:5">
      <c r="A25" s="816"/>
      <c r="B25" s="797"/>
      <c r="C25" s="648" t="str">
        <f>(Automation!B14) &amp; "300"</f>
        <v>start-sleep 300</v>
      </c>
      <c r="D25" s="837"/>
      <c r="E25" s="854"/>
    </row>
    <row r="26" spans="1:5">
      <c r="A26" s="816"/>
      <c r="B26" s="797"/>
      <c r="C26" s="649" t="str">
        <f>IF('Upgrade Data'!F12=TRUE,_xlfn.CONCAT(Automation!B3,Automation!C23,Automation!F42,Automation!D15,Automation!C24,Automation!C45),_xlfn.CONCAT(Automation!B3,Automation!C23,Automation!F21,Automation!D15,Automation!C24,Automation!C45))</f>
        <v>Invoke-Command -ComputerName 0  -Command {(GCI "F:\sqlbackup\" | Measure-Object)} | ft PSComputerName, Count</v>
      </c>
      <c r="D26" s="837"/>
      <c r="E26" s="854"/>
    </row>
    <row r="27" spans="1:5">
      <c r="A27" s="817"/>
      <c r="B27" s="798"/>
      <c r="C27" s="650"/>
      <c r="D27" s="820"/>
      <c r="E27" s="854"/>
    </row>
    <row r="28" spans="1:5">
      <c r="A28" s="814">
        <v>7</v>
      </c>
      <c r="B28" s="358" t="s">
        <v>182</v>
      </c>
      <c r="C28" s="652"/>
      <c r="D28" s="823"/>
      <c r="E28" s="855"/>
    </row>
    <row r="29" spans="1:5">
      <c r="A29" s="814"/>
      <c r="B29" s="328"/>
      <c r="C29" s="639" t="str">
        <f>IF('Upgrade Data'!F12=TRUE,"https://jenkins.planviewcloud.net/job/create_ami_pipe/build?delay=0sec",IF('Upgrade Data'!F5="ln","https://jenkins.eu.planview.world/job/vmguest_create_snapshot/build?delay=0sec",IF('Upgrade Data'!F5="sg","https://jenkins.us.planview.world/job/vmguest_create_snapshot/build?delay=0sec","")))</f>
        <v/>
      </c>
      <c r="D29" s="824"/>
      <c r="E29" s="856"/>
    </row>
    <row r="30" spans="1:5">
      <c r="A30" s="814"/>
      <c r="B30" s="328" t="str">
        <f>IF('Upgrade Data'!F12=TRUE,"TARGET_SERVER_NAME",IF('Upgrade Data'!F12=FALSE,"VM_GUEST_NAME",""))</f>
        <v/>
      </c>
      <c r="C30" s="653">
        <f>IF('Upgrade Data'!I11&lt;&gt;"",'Upgrade Data'!I11,"")</f>
        <v>0</v>
      </c>
      <c r="D30" s="824"/>
      <c r="E30" s="856"/>
    </row>
    <row r="31" spans="1:5">
      <c r="A31" s="814"/>
      <c r="B31" s="328" t="str">
        <f>IF('Upgrade Data'!F12=TRUE,"AMI_TYPE",IF('Upgrade Data'!F12=FALSE,"SNAPSHOT_NAME",""))</f>
        <v/>
      </c>
      <c r="C31" s="653" t="str">
        <f>IF('Upgrade Data'!F12&lt;&gt;"","Pre_e1r17_SB_Upgrade","")</f>
        <v/>
      </c>
      <c r="D31" s="824"/>
      <c r="E31" s="856"/>
    </row>
    <row r="32" spans="1:5">
      <c r="A32" s="814"/>
      <c r="B32" s="651" t="str">
        <f>IF('Upgrade Data'!F12=TRUE,"NODE_LABEL",IF('Upgrade Data'!F12=FALSE,"",""))</f>
        <v/>
      </c>
      <c r="C32" s="654" t="str">
        <f>IF(AND('Upgrade Data'!F12=TRUE,'Upgrade Data'!F5="au"),Automation!F76,IF(AND('Upgrade Data'!F12=TRUE,'Upgrade Data'!F5="fr"),Automation!F77,""))</f>
        <v/>
      </c>
      <c r="D32" s="825"/>
      <c r="E32" s="856"/>
    </row>
    <row r="33" spans="1:5">
      <c r="A33" s="814"/>
      <c r="B33" s="329"/>
      <c r="C33" s="641" t="str">
        <f>IF('Upgrade Data'!F12=TRUE,"https://jenkins.planviewcloud.net/job/create_ami_pipe/build?delay=0sec",IF('Upgrade Data'!F5="ln","https://jenkins.eu.planview.world/job/vmguest_create_snapshot/build?delay=0sec",IF('Upgrade Data'!F5="sg","https://jenkins.us.planview.world/job/vmguest_create_snapshot/build?delay=0sec","")))</f>
        <v/>
      </c>
      <c r="D33" s="819"/>
      <c r="E33" s="856"/>
    </row>
    <row r="34" spans="1:5">
      <c r="A34" s="814"/>
      <c r="B34" s="352" t="str">
        <f>IF('Upgrade Data'!F12=TRUE,"TARGET_SERVER_NAME",IF('Upgrade Data'!F12=FALSE,"VM_GUEST_NAME",""))</f>
        <v/>
      </c>
      <c r="C34" s="655">
        <f>IF('Upgrade Data'!I12&lt;&gt;"",'Upgrade Data'!I12,"")</f>
        <v>0</v>
      </c>
      <c r="D34" s="837"/>
      <c r="E34" s="856"/>
    </row>
    <row r="35" spans="1:5">
      <c r="A35" s="814"/>
      <c r="B35" s="352" t="str">
        <f>IF('Upgrade Data'!F12=TRUE,"AMI_TYPE",IF('Upgrade Data'!F12=FALSE,"SNAPSHOT_NAME",""))</f>
        <v/>
      </c>
      <c r="C35" s="655" t="str">
        <f>IF('Upgrade Data'!F12&lt;&gt;"","Pre_e1r17_SB_Upgrade","")</f>
        <v/>
      </c>
      <c r="D35" s="837"/>
      <c r="E35" s="856"/>
    </row>
    <row r="36" spans="1:5">
      <c r="A36" s="814"/>
      <c r="B36" s="330" t="str">
        <f>IF('Upgrade Data'!F12=TRUE,"NODE_LABEL",IF('Upgrade Data'!F12=FALSE,"",""))</f>
        <v/>
      </c>
      <c r="C36" s="656" t="str">
        <f>IF(AND('Upgrade Data'!F12=TRUE,'Upgrade Data'!F5="au"),Automation!F76,IF(AND('Upgrade Data'!F12=TRUE,'Upgrade Data'!F5="fr"),Automation!F77,""))</f>
        <v/>
      </c>
      <c r="D36" s="820"/>
      <c r="E36" s="856"/>
    </row>
    <row r="37" spans="1:5">
      <c r="A37" s="814"/>
      <c r="B37" s="354"/>
      <c r="C37" s="202" t="str">
        <f>IF('Upgrade Data'!F12=TRUE,"https://jenkins.planviewcloud.net/job/create_ami_pipe/build?delay=0sec",IF('Upgrade Data'!F5="ln","https://jenkins.eu.planview.world/job/vmguest_create_snapshot/build?delay=0sec",IF('Upgrade Data'!F5="sg","https://jenkins.us.planview.world/job/vmguest_create_snapshot/build?delay=0sec","")))</f>
        <v/>
      </c>
      <c r="D37" s="823"/>
      <c r="E37" s="856"/>
    </row>
    <row r="38" spans="1:5">
      <c r="A38" s="814"/>
      <c r="B38" s="328" t="str">
        <f>IF('Upgrade Data'!F12=TRUE,"TARGET_SERVER_NAME",IF('Upgrade Data'!F12=FALSE,"VM_GUEST_NAME",""))</f>
        <v/>
      </c>
      <c r="C38" s="653">
        <f>IF('Upgrade Data'!I9&lt;&gt;"",'Upgrade Data'!I9,"")</f>
        <v>0</v>
      </c>
      <c r="D38" s="824"/>
      <c r="E38" s="856"/>
    </row>
    <row r="39" spans="1:5">
      <c r="A39" s="814"/>
      <c r="B39" s="328" t="str">
        <f>IF('Upgrade Data'!F12=TRUE,"AMI_TYPE",IF('Upgrade Data'!F12=FALSE,"SNAPSHOT_NAME",""))</f>
        <v/>
      </c>
      <c r="C39" s="653" t="str">
        <f>IF('Upgrade Data'!F12&lt;&gt;"","Pre_e1r17_SB_Upgrade","")</f>
        <v/>
      </c>
      <c r="D39" s="824"/>
      <c r="E39" s="856"/>
    </row>
    <row r="40" spans="1:5">
      <c r="A40" s="814"/>
      <c r="B40" s="651" t="str">
        <f>IF('Upgrade Data'!F12=TRUE,"NODE_LABEL",IF('Upgrade Data'!F12=FALSE,"",""))</f>
        <v/>
      </c>
      <c r="C40" s="654" t="str">
        <f>IF(AND('Upgrade Data'!F12=TRUE,'Upgrade Data'!F5="au"),Automation!F76,IF(AND('Upgrade Data'!F12=TRUE,'Upgrade Data'!F5="fr"),Automation!F77,""))</f>
        <v/>
      </c>
      <c r="D40" s="825"/>
      <c r="E40" s="856"/>
    </row>
    <row r="41" spans="1:5">
      <c r="A41" s="814"/>
      <c r="B41" s="329"/>
      <c r="C41" s="641" t="str">
        <f>IF(B82="Server is PVE","",IF('Upgrade Data'!F12=TRUE,"https://jenkins.planviewcloud.net/job/create_ami_pipe/build?delay=0sec",IF('Upgrade Data'!F5="ln","https://jenkins.eu.planview.world/job/vmguest_create_snapshot/build?delay=0sec",IF('Upgrade Data'!F5="sg","https://jenkins.us.planview.world/job/vmguest_create_snapshot/build?delay=0sec",""))))</f>
        <v/>
      </c>
      <c r="D41" s="819"/>
      <c r="E41" s="856"/>
    </row>
    <row r="42" spans="1:5">
      <c r="A42" s="814"/>
      <c r="B42" s="352" t="str">
        <f>IF(B82="Server is PVE","",IF('Upgrade Data'!F12=TRUE,"TARGET_SERVER_NAME",IF('Upgrade Data'!F12=FALSE,"VM_GUEST_NAME","")))</f>
        <v/>
      </c>
      <c r="C42" s="655">
        <f>IF(B82="Server is PVE","",IF('Upgrade Data'!I10&lt;&gt;"",'Upgrade Data'!I10,""))</f>
        <v>0</v>
      </c>
      <c r="D42" s="837"/>
      <c r="E42" s="856"/>
    </row>
    <row r="43" spans="1:5">
      <c r="A43" s="814"/>
      <c r="B43" s="352" t="str">
        <f>IF(B82="Server is PVE","",IF('Upgrade Data'!F12=TRUE,"AMI_TYPE",IF('Upgrade Data'!F12=FALSE,"SNAPSHOT_NAME","")))</f>
        <v/>
      </c>
      <c r="C43" s="655" t="str">
        <f>IF(B82="Server is PVE","",IF('Upgrade Data'!F12&lt;&gt;"","Pre_e1r17_SB_Upgrade",""))</f>
        <v/>
      </c>
      <c r="D43" s="837"/>
      <c r="E43" s="856"/>
    </row>
    <row r="44" spans="1:5">
      <c r="A44" s="814"/>
      <c r="B44" s="330" t="str">
        <f>IF(B82="Server is PVE","",IF('Upgrade Data'!F12=TRUE,"NODE_LABEL",IF('Upgrade Data'!F12=FALSE,"","")))</f>
        <v/>
      </c>
      <c r="C44" s="656" t="str">
        <f>IF(B82="Server is PVE","",IF(AND('Upgrade Data'!F12=TRUE,'Upgrade Data'!F5="au"),Automation!F76,IF(AND('Upgrade Data'!F12=TRUE,'Upgrade Data'!F5="fr"),Automation!F77,"")))</f>
        <v/>
      </c>
      <c r="D44" s="820"/>
      <c r="E44" s="856"/>
    </row>
    <row r="45" spans="1:5">
      <c r="A45" s="814"/>
      <c r="B45" s="354"/>
      <c r="C45" s="202" t="str">
        <f>IF('Upgrade Data'!F12=TRUE,"",IF('Upgrade Data'!F5="ln","https://jenkins.eu.planview.world/job/vmguest_create_snapshot/build?delay=0sec",IF('Upgrade Data'!F5="sg","https://jenkins.us.planview.world/job/vmguest_create_snapshot/build?delay=0sec","")))</f>
        <v/>
      </c>
      <c r="D45" s="823"/>
      <c r="E45" s="856"/>
    </row>
    <row r="46" spans="1:5">
      <c r="A46" s="814"/>
      <c r="B46" s="328" t="str">
        <f>IF('Upgrade Data'!F12=TRUE,"No SAS Server",IF('Upgrade Data'!F12=FALSE,"VM_GUEST_NAME",""))</f>
        <v/>
      </c>
      <c r="C46" s="653">
        <f>IF('Upgrade Data'!F12=TRUE,"",IF('Upgrade Data'!I13&lt;&gt;"",'Upgrade Data'!I13,""))</f>
        <v>0</v>
      </c>
      <c r="D46" s="824"/>
      <c r="E46" s="856"/>
    </row>
    <row r="47" spans="1:5">
      <c r="A47" s="814"/>
      <c r="B47" s="328" t="str">
        <f>IF('Upgrade Data'!F12=TRUE,"",IF('Upgrade Data'!F12=FALSE,"SNAPSHOT_NAME",""))</f>
        <v/>
      </c>
      <c r="C47" s="653" t="str">
        <f>IF('Upgrade Data'!F12=TRUE,"",IF('Upgrade Data'!F12&lt;&gt;"","Pre_e1r17_SB_Alignment",""))</f>
        <v/>
      </c>
      <c r="D47" s="824"/>
      <c r="E47" s="856"/>
    </row>
    <row r="48" spans="1:5">
      <c r="A48" s="814"/>
      <c r="B48" s="651"/>
      <c r="C48" s="654"/>
      <c r="D48" s="825"/>
      <c r="E48" s="856"/>
    </row>
    <row r="49" spans="1:5">
      <c r="A49" s="814"/>
      <c r="B49" s="329"/>
      <c r="C49" s="641" t="str">
        <f>IF('Upgrade Data'!J10="","",IF('Upgrade Data'!F12=TRUE,"https://jenkins.planviewcloud.net/job/create_ami_pipe/build?delay=0sec",IF('Upgrade Data'!F5="ln","https://jenkins.eu.planview.world/job/vmguest_create_snapshot/build?delay=0sec",IF('Upgrade Data'!F5="sg","https://jenkins.us.planview.world/job/vmguest_create_snapshot/build?delay=0sec",""))))</f>
        <v/>
      </c>
      <c r="D49" s="819"/>
      <c r="E49" s="856"/>
    </row>
    <row r="50" spans="1:5">
      <c r="A50" s="814"/>
      <c r="B50" s="352" t="str">
        <f>IF('Upgrade Data'!J10="","No Additional Web Servers",IF('Upgrade Data'!F12=TRUE,"TARGET_SERVER_NAME",IF('Upgrade Data'!F12=FALSE,"VM_GUEST_NAME","")))</f>
        <v>No Additional Web Servers</v>
      </c>
      <c r="C50" s="655" t="str">
        <f>IF(C49&lt;&gt;"",'Upgrade Data'!J10,"")</f>
        <v/>
      </c>
      <c r="D50" s="837"/>
      <c r="E50" s="856"/>
    </row>
    <row r="51" spans="1:5">
      <c r="A51" s="814"/>
      <c r="B51" s="352" t="str">
        <f>IF('Upgrade Data'!J10="","",IF('Upgrade Data'!F12=TRUE,"AMI_TYPE",IF('Upgrade Data'!F12=FALSE,"SNAPSHOT_NAME","")))</f>
        <v/>
      </c>
      <c r="C51" s="655" t="str">
        <f>IF(C49&lt;&gt;"","Pre_e1r17_SB_Upgrade","")</f>
        <v/>
      </c>
      <c r="D51" s="837"/>
      <c r="E51" s="856"/>
    </row>
    <row r="52" spans="1:5">
      <c r="A52" s="814"/>
      <c r="B52" s="330" t="str">
        <f>IF('Upgrade Data'!J10="","",IF('Upgrade Data'!F12=TRUE,"NODE_LABEL",IF('Upgrade Data'!F12=FALSE,"","")))</f>
        <v/>
      </c>
      <c r="C52" s="656" t="str">
        <f>IF(AND('Upgrade Data'!F12=TRUE,'Upgrade Data'!F5="au",C49&lt;&gt;""),Automation!F76,IF(AND('Upgrade Data'!F12=TRUE,'Upgrade Data'!F5="fr",C49&lt;&gt;""),Automation!F77,""))</f>
        <v/>
      </c>
      <c r="D52" s="820"/>
      <c r="E52" s="856"/>
    </row>
    <row r="53" spans="1:5">
      <c r="A53" s="814"/>
      <c r="B53" s="354"/>
      <c r="C53" s="202" t="str">
        <f>IF('Upgrade Data'!J11="","",IF('Upgrade Data'!F12=TRUE,"https://jenkins.planviewcloud.net/job/create_ami_pipe/build?delay=0sec",IF('Upgrade Data'!F5="ln","https://jenkins.eu.planview.world/job/vmguest_create_snapshot/build?delay=0sec",IF('Upgrade Data'!F5="sg","https://jenkins.us.planview.world/job/vmguest_create_snapshot/build?delay=0sec",""))))</f>
        <v/>
      </c>
      <c r="D53" s="823"/>
      <c r="E53" s="856"/>
    </row>
    <row r="54" spans="1:5">
      <c r="A54" s="814"/>
      <c r="B54" s="328" t="str">
        <f>IF('Upgrade Data'!J11="","No Additional Web Servers",IF('Upgrade Data'!F12=TRUE,"TARGET_SERVER_NAME",IF('Upgrade Data'!F12=FALSE,"VM_GUEST_NAME","")))</f>
        <v>No Additional Web Servers</v>
      </c>
      <c r="C54" s="653" t="str">
        <f>IF(C53&lt;&gt;"",'Upgrade Data'!J11,"")</f>
        <v/>
      </c>
      <c r="D54" s="824"/>
      <c r="E54" s="856"/>
    </row>
    <row r="55" spans="1:5">
      <c r="A55" s="814"/>
      <c r="B55" s="328" t="str">
        <f>IF('Upgrade Data'!J11="","",IF('Upgrade Data'!F12=TRUE,"AMI_TYPE",IF('Upgrade Data'!F12=FALSE,"SNAPSHOT_NAME","")))</f>
        <v/>
      </c>
      <c r="C55" s="653" t="str">
        <f>IF(C53&lt;&gt;"","Pre_e1r17_SB_Alignment","")</f>
        <v/>
      </c>
      <c r="D55" s="824"/>
      <c r="E55" s="856"/>
    </row>
    <row r="56" spans="1:5">
      <c r="A56" s="814"/>
      <c r="B56" s="651" t="str">
        <f>IF('Upgrade Data'!J11="","",IF('Upgrade Data'!F12=TRUE,"NODE_LABEL",IF('Upgrade Data'!F12=FALSE,"","")))</f>
        <v/>
      </c>
      <c r="C56" s="654" t="str">
        <f>IF(AND('Upgrade Data'!F12=TRUE,'Upgrade Data'!F5="au",C53&lt;&gt;""),Automation!F76,IF(AND('Upgrade Data'!F12=TRUE,'Upgrade Data'!F5="fr",C53&lt;&gt;""),Automation!F77,""))</f>
        <v/>
      </c>
      <c r="D56" s="825"/>
      <c r="E56" s="856"/>
    </row>
    <row r="57" spans="1:5">
      <c r="A57" s="814"/>
      <c r="B57" s="329"/>
      <c r="C57" s="641" t="str">
        <f>IF('Upgrade Data'!J12="","",IF('Upgrade Data'!F12=TRUE,"https://jenkins.planviewcloud.net/job/create_ami_pipe/build?delay=0sec",IF('Upgrade Data'!F5="ln","https://jenkins.eu.planview.world/job/vmguest_create_snapshot/build?delay=0sec",IF('Upgrade Data'!F5="sg","https://jenkins.us.planview.world/job/vmguest_create_snapshot/build?delay=0sec",""))))</f>
        <v/>
      </c>
      <c r="D57" s="819"/>
      <c r="E57" s="856"/>
    </row>
    <row r="58" spans="1:5">
      <c r="A58" s="814"/>
      <c r="B58" s="352" t="str">
        <f>IF('Upgrade Data'!J12="","No Additional Web Servers",IF('Upgrade Data'!F12=TRUE,"TARGET_SERVER_NAME",IF('Upgrade Data'!F12=FALSE,"VM_GUEST_NAME","")))</f>
        <v>No Additional Web Servers</v>
      </c>
      <c r="C58" s="655" t="str">
        <f>IF(C57&lt;&gt;"",'Upgrade Data'!J12,"")</f>
        <v/>
      </c>
      <c r="D58" s="837"/>
      <c r="E58" s="856"/>
    </row>
    <row r="59" spans="1:5">
      <c r="A59" s="814"/>
      <c r="B59" s="352" t="str">
        <f>IF('Upgrade Data'!J12="","",IF('Upgrade Data'!F12=TRUE,"AMI_TYPE",IF('Upgrade Data'!F12=FALSE,"SNAPSHOT_NAME","")))</f>
        <v/>
      </c>
      <c r="C59" s="655" t="str">
        <f>IF(C57&lt;&gt;"","Pre_e1r17_SB_Alignment","")</f>
        <v/>
      </c>
      <c r="D59" s="837"/>
      <c r="E59" s="856"/>
    </row>
    <row r="60" spans="1:5">
      <c r="A60" s="814"/>
      <c r="B60" s="330" t="str">
        <f>IF('Upgrade Data'!J12="","",IF('Upgrade Data'!F12=TRUE,"NODE_LABEL",IF('Upgrade Data'!F12=FALSE,"","")))</f>
        <v/>
      </c>
      <c r="C60" s="656" t="str">
        <f>IF(AND('Upgrade Data'!F12=TRUE,'Upgrade Data'!F5="au",C57&lt;&gt;""),Automation!F76,IF(AND('Upgrade Data'!F12=TRUE,'Upgrade Data'!F5="fr",C57&lt;&gt;""),Automation!F77,""))</f>
        <v/>
      </c>
      <c r="D60" s="820"/>
      <c r="E60" s="856"/>
    </row>
    <row r="61" spans="1:5">
      <c r="A61" s="814"/>
      <c r="B61" s="328"/>
      <c r="C61" s="657" t="str">
        <f>IF('Upgrade Data'!J13="","",IF('Upgrade Data'!F12=TRUE,"https://jenkins.planviewcloud.net/job/create_ami_pipe/build?delay=0sec",IF('Upgrade Data'!F5="ln","https://jenkins.eu.planview.world/job/vmguest_create_snapshot/build?delay=0sec",IF('Upgrade Data'!F5="sg","https://jenkins.us.planview.world/job/vmguest_create_snapshot/build?delay=0sec",""))))</f>
        <v/>
      </c>
      <c r="D61" s="823"/>
      <c r="E61" s="856"/>
    </row>
    <row r="62" spans="1:5">
      <c r="A62" s="814"/>
      <c r="B62" s="328" t="str">
        <f>IF('Upgrade Data'!J13="","No Additional Web Servers",IF('Upgrade Data'!F12=TRUE,"TARGET_SERVER_NAME",IF('Upgrade Data'!F12=FALSE,"VM_GUEST_NAME","")))</f>
        <v>No Additional Web Servers</v>
      </c>
      <c r="C62" s="653" t="str">
        <f>IF(C61&lt;&gt;"",'Upgrade Data'!J13,"")</f>
        <v/>
      </c>
      <c r="D62" s="824"/>
      <c r="E62" s="856"/>
    </row>
    <row r="63" spans="1:5">
      <c r="A63" s="814"/>
      <c r="B63" s="606" t="str">
        <f>IF('Upgrade Data'!J13="","",IF('Upgrade Data'!F12=TRUE,"AMI_TYPE",IF('Upgrade Data'!F12=FALSE,"SNAPSHOT_NAME","")))</f>
        <v/>
      </c>
      <c r="C63" s="653" t="str">
        <f>IF(C61&lt;&gt;"","Pre_e1r17_SB_Alignment","")</f>
        <v/>
      </c>
      <c r="D63" s="824"/>
      <c r="E63" s="856"/>
    </row>
    <row r="64" spans="1:5">
      <c r="A64" s="829"/>
      <c r="B64" s="328" t="str">
        <f>IF('Upgrade Data'!J13="","",IF('Upgrade Data'!F12=TRUE,"NODE_LABEL",IF('Upgrade Data'!F12=FALSE,"","")))</f>
        <v/>
      </c>
      <c r="C64" s="654" t="str">
        <f>IF(AND('Upgrade Data'!F12=TRUE,'Upgrade Data'!F5="au",C61&lt;&gt;""),Automation!F76,IF(AND('Upgrade Data'!F12=TRUE,'Upgrade Data'!F5="fr",C61&lt;&gt;""),Automation!F77,""))</f>
        <v/>
      </c>
      <c r="D64" s="825"/>
      <c r="E64" s="857"/>
    </row>
    <row r="65" spans="1:5">
      <c r="A65" s="815">
        <v>8</v>
      </c>
      <c r="B65" s="605" t="s">
        <v>183</v>
      </c>
      <c r="C65" s="93" t="str">
        <f>IF('Upgrade Data'!I11="","",IF('Upgrade Data'!F12=TRUE,"https://jenkins.planviewcloud.net/job/deploy_sql_cu_pipe/build?delay=0sec",IF('Upgrade Data'!F5="ln","https://jenkins.eu.planview.world/job/deploy_sql_cu_pipe/build?delay=0sec",IF('Upgrade Data'!F5="sg","https://jenkins.us.planview.world/job/deploy_sql_cu_pipe/build?delay=0sec",""))))</f>
        <v/>
      </c>
      <c r="D65" s="819"/>
      <c r="E65" s="848"/>
    </row>
    <row r="66" spans="1:5">
      <c r="A66" s="816"/>
      <c r="B66" s="302" t="s">
        <v>184</v>
      </c>
      <c r="C66" s="207">
        <f>('Upgrade Data'!I11)</f>
        <v>0</v>
      </c>
      <c r="D66" s="837"/>
      <c r="E66" s="849"/>
    </row>
    <row r="67" spans="1:5">
      <c r="A67" s="816"/>
      <c r="B67" s="312" t="s">
        <v>185</v>
      </c>
      <c r="C67" s="478">
        <v>19</v>
      </c>
      <c r="D67" s="837"/>
      <c r="E67" s="849"/>
    </row>
    <row r="68" spans="1:5">
      <c r="A68" s="817"/>
      <c r="B68" s="431" t="s">
        <v>186</v>
      </c>
      <c r="C68" s="787" t="str">
        <f>_xlfn.CONCAT('Upgrade Data'!I11)</f>
        <v>0</v>
      </c>
      <c r="D68" s="820"/>
      <c r="E68" s="850"/>
    </row>
    <row r="69" spans="1:5" ht="30">
      <c r="A69" s="790">
        <v>9</v>
      </c>
      <c r="B69" s="607" t="str">
        <f>IF('Upgrade Data'!C54="Yes", "Uninstall Open Suite","Skip this step, no Open Suite")</f>
        <v>Skip this step, no Open Suite</v>
      </c>
      <c r="C69" s="660" t="str">
        <f>IF('Upgrade Data'!C54="Yes",'Upgrade Data'!I10,"")</f>
        <v/>
      </c>
      <c r="D69" s="618">
        <f>IF(B69="Skip this step, no Open Suite",1,"")</f>
        <v>1</v>
      </c>
      <c r="E69" s="785" t="str">
        <f>IF(B69="Skip this step, no Open Suite","Automated Complete 
no additional web servers","")</f>
        <v>Automated Complete 
no additional web servers</v>
      </c>
    </row>
    <row r="70" spans="1:5">
      <c r="A70" s="815">
        <v>10</v>
      </c>
      <c r="B70" s="477" t="s">
        <v>187</v>
      </c>
      <c r="C70" s="96" t="str">
        <f>IF('Upgrade Data'!I12="","",IF('Upgrade Data'!F12=TRUE,"https://jenkins.planviewcloud.net/job/ctm_upgrade_pipe/build?delay=0sec",IF('Upgrade Data'!F5="ln","https://jenkins.eu.planview.world/job/ctm_upgrade_pipe/build?delay=0sec",IF('Upgrade Data'!F5="sg","https://jenkins.us.planview.world/job/ctm_upgrade_pipe/build?delay=0sec",""))))</f>
        <v/>
      </c>
      <c r="D70" s="819"/>
      <c r="E70" s="849"/>
    </row>
    <row r="71" spans="1:5">
      <c r="A71" s="816"/>
      <c r="B71" s="312" t="s">
        <v>184</v>
      </c>
      <c r="C71" s="786">
        <f>('Upgrade Data'!I12)</f>
        <v>0</v>
      </c>
      <c r="D71" s="837"/>
      <c r="E71" s="849"/>
    </row>
    <row r="72" spans="1:5">
      <c r="A72" s="816"/>
      <c r="B72" s="302" t="s">
        <v>188</v>
      </c>
      <c r="C72" s="478">
        <f>('Upgrade Data'!F4)</f>
        <v>0</v>
      </c>
      <c r="D72" s="837"/>
      <c r="E72" s="849"/>
    </row>
    <row r="73" spans="1:5">
      <c r="A73" s="816"/>
      <c r="B73" s="302" t="s">
        <v>189</v>
      </c>
      <c r="C73" s="786">
        <f>('Upgrade Data'!F6)</f>
        <v>0</v>
      </c>
      <c r="D73" s="837"/>
      <c r="E73" s="849"/>
    </row>
    <row r="74" spans="1:5">
      <c r="A74" s="816"/>
      <c r="B74" s="302" t="s">
        <v>190</v>
      </c>
      <c r="C74" s="691" t="str">
        <f>LOWER("TRUE")</f>
        <v>true</v>
      </c>
      <c r="D74" s="837"/>
      <c r="E74" s="849"/>
    </row>
    <row r="75" spans="1:5">
      <c r="A75" s="817"/>
      <c r="B75" s="346" t="s">
        <v>191</v>
      </c>
      <c r="C75" s="658"/>
      <c r="D75" s="820"/>
      <c r="E75" s="850"/>
    </row>
    <row r="76" spans="1:5">
      <c r="A76" s="841">
        <v>11</v>
      </c>
      <c r="B76" s="465" t="s">
        <v>192</v>
      </c>
      <c r="C76" s="214" t="str">
        <f>IF('Upgrade Data'!I9="","",IF('Upgrade Data'!F12=TRUE,"https://jenkins.planviewcloud.net/job/e1_upgrade_pipe/build?delay=0sec",IF('Upgrade Data'!F5="ln","https://jenkins.eu.planview.world/job/e1_upgrade_pipe/build?delay=0sec",IF('Upgrade Data'!F5="sg","https://jenkins.us.planview.world/job/e1_upgrade_pipe/build?delay=0sec",""))))</f>
        <v/>
      </c>
      <c r="D76" s="823"/>
      <c r="E76" s="855"/>
    </row>
    <row r="77" spans="1:5">
      <c r="A77" s="842"/>
      <c r="B77" s="307" t="s">
        <v>184</v>
      </c>
      <c r="C77" s="469">
        <f>('Upgrade Data'!I10)</f>
        <v>0</v>
      </c>
      <c r="D77" s="824"/>
      <c r="E77" s="856"/>
    </row>
    <row r="78" spans="1:5">
      <c r="A78" s="842"/>
      <c r="B78" s="307" t="s">
        <v>189</v>
      </c>
      <c r="C78" s="469">
        <f>(C73)</f>
        <v>0</v>
      </c>
      <c r="D78" s="824"/>
      <c r="E78" s="856"/>
    </row>
    <row r="79" spans="1:5">
      <c r="A79" s="842"/>
      <c r="B79" s="307" t="s">
        <v>188</v>
      </c>
      <c r="C79" s="469">
        <f>(C72)</f>
        <v>0</v>
      </c>
      <c r="D79" s="824"/>
      <c r="E79" s="856"/>
    </row>
    <row r="80" spans="1:5">
      <c r="A80" s="842"/>
      <c r="B80" s="307" t="s">
        <v>190</v>
      </c>
      <c r="C80" s="661" t="str">
        <f>LOWER("TRUE")</f>
        <v>true</v>
      </c>
      <c r="D80" s="824"/>
      <c r="E80" s="856"/>
    </row>
    <row r="81" spans="1:5">
      <c r="A81" s="843"/>
      <c r="B81" s="640" t="str">
        <f>IF('Upgrade Data'!F13&lt;&gt;_xlfn.CONCAT('Upgrade Data'!F6,"SANDBOX1"),"CUBE_DATABASE_NAME","")</f>
        <v>CUBE_DATABASE_NAME</v>
      </c>
      <c r="C81" s="659">
        <f>IF('Upgrade Data'!F13&lt;&gt;_xlfn.CONCAT('Upgrade Data'!F6,"SANDBOX1"),'Upgrade Data'!F13,"")</f>
        <v>0</v>
      </c>
      <c r="D81" s="825"/>
      <c r="E81" s="857"/>
    </row>
    <row r="82" spans="1:5">
      <c r="A82" s="838">
        <v>12</v>
      </c>
      <c r="B82" s="466" t="str">
        <f>IF(MasterConfig!B19=TRUE,"Server is PVE","Run Jenkins job to upgrade the following additional servers; Web(s)")</f>
        <v>Run Jenkins job to upgrade the following additional servers; Web(s)</v>
      </c>
      <c r="C82" s="93" t="str">
        <f>IF(MasterConfig!B19=TRUE,"", C76)</f>
        <v/>
      </c>
      <c r="D82" s="819" t="str">
        <f>IF(B82="Server is PVE",1,"")</f>
        <v/>
      </c>
      <c r="E82" s="848" t="str">
        <f>IF(B82="Server is PVE","Automated Complete 
Server is PVE","")</f>
        <v/>
      </c>
    </row>
    <row r="83" spans="1:5">
      <c r="A83" s="839"/>
      <c r="B83" s="311" t="str">
        <f>IF(MasterConfig!B19=TRUE,"","TARGET_SERVER_NAME")</f>
        <v>TARGET_SERVER_NAME</v>
      </c>
      <c r="C83" s="471">
        <f>IF(MasterConfig!B19=TRUE,"",'Upgrade Data'!I9)</f>
        <v>0</v>
      </c>
      <c r="D83" s="837"/>
      <c r="E83" s="849"/>
    </row>
    <row r="84" spans="1:5">
      <c r="A84" s="839"/>
      <c r="B84" s="312" t="str">
        <f>IF(MasterConfig!B19=TRUE,"","CUSTOMER_CODE")</f>
        <v>CUSTOMER_CODE</v>
      </c>
      <c r="C84" s="471">
        <f>IF(MasterConfig!B19=TRUE,"",C73)</f>
        <v>0</v>
      </c>
      <c r="D84" s="837"/>
      <c r="E84" s="849"/>
    </row>
    <row r="85" spans="1:5">
      <c r="A85" s="839"/>
      <c r="B85" s="311" t="str">
        <f>IF(MasterConfig!B19=TRUE,"","DNS_HOST_NAME")</f>
        <v>DNS_HOST_NAME</v>
      </c>
      <c r="C85" s="471">
        <f>IF(MasterConfig!B19=TRUE,"",C72)</f>
        <v>0</v>
      </c>
      <c r="D85" s="837"/>
      <c r="E85" s="849"/>
    </row>
    <row r="86" spans="1:5">
      <c r="A86" s="839"/>
      <c r="B86" s="311" t="str">
        <f>IF(MasterConfig!B19=TRUE,"","SKIP_SNAPS")</f>
        <v>SKIP_SNAPS</v>
      </c>
      <c r="C86" s="645" t="str">
        <f>IF(MasterConfig!B19=TRUE,"",LOWER("TRUE"))</f>
        <v>true</v>
      </c>
      <c r="D86" s="837"/>
      <c r="E86" s="849"/>
    </row>
    <row r="87" spans="1:5">
      <c r="A87" s="839"/>
      <c r="B87" s="346" t="str">
        <f>IF(MasterConfig!B19=TRUE,"",IF('Upgrade Data'!F13&lt;&gt;_xlfn.CONCAT('Upgrade Data'!F6,"SANDBOX1"),"CUBE_DATABASE_NAME",""))</f>
        <v>CUBE_DATABASE_NAME</v>
      </c>
      <c r="C87" s="662">
        <f>IF(B87="Cube_Database_Name",'Upgrade Data'!F13,"")</f>
        <v>0</v>
      </c>
      <c r="D87" s="820"/>
      <c r="E87" s="849"/>
    </row>
    <row r="88" spans="1:5">
      <c r="A88" s="839"/>
      <c r="B88" s="623"/>
      <c r="C88" s="621" t="str">
        <f>IF(B89="Target_Server_Name",C82,"")</f>
        <v/>
      </c>
      <c r="D88" s="823">
        <f>IF(B89="No Additional Web Servers",1,"")</f>
        <v>1</v>
      </c>
      <c r="E88" s="861" t="str">
        <f>IF(B89="No Additional Web Servers","Automated Complete 
no additional web servers","")</f>
        <v>Automated Complete 
no additional web servers</v>
      </c>
    </row>
    <row r="89" spans="1:5">
      <c r="A89" s="839"/>
      <c r="B89" s="305" t="str">
        <f>IF('Upgrade Data'!J10="","No Additional Web Servers","TARGET_SERVER_NAME")</f>
        <v>No Additional Web Servers</v>
      </c>
      <c r="C89" s="624" t="str">
        <f>IF('Upgrade Data'!J10="","",'Upgrade Data'!J10)</f>
        <v/>
      </c>
      <c r="D89" s="824"/>
      <c r="E89" s="859"/>
    </row>
    <row r="90" spans="1:5">
      <c r="A90" s="839"/>
      <c r="B90" s="305" t="str">
        <f>IF('Upgrade Data'!J10="","","CUSTOMER_CODE")</f>
        <v/>
      </c>
      <c r="C90" s="209" t="str">
        <f>IF('Upgrade Data'!J10="","",C73)</f>
        <v/>
      </c>
      <c r="D90" s="824"/>
      <c r="E90" s="859"/>
    </row>
    <row r="91" spans="1:5">
      <c r="A91" s="839"/>
      <c r="B91" s="305" t="str">
        <f>IF('Upgrade Data'!J10="","","DNS_HOST_NAME")</f>
        <v/>
      </c>
      <c r="C91" s="209" t="str">
        <f>IF('Upgrade Data'!J10="","",C72)</f>
        <v/>
      </c>
      <c r="D91" s="824"/>
      <c r="E91" s="859"/>
    </row>
    <row r="92" spans="1:5">
      <c r="A92" s="839"/>
      <c r="B92" s="305" t="str">
        <f>IF('Upgrade Data'!J10="","","SQL_SERVER_NAME")</f>
        <v/>
      </c>
      <c r="C92" s="210" t="str">
        <f>IF('Upgrade Data'!J10="","",'Upgrade Data'!I11)</f>
        <v/>
      </c>
      <c r="D92" s="824"/>
      <c r="E92" s="859"/>
    </row>
    <row r="93" spans="1:5">
      <c r="A93" s="839"/>
      <c r="B93" s="305" t="str">
        <f>IF('Upgrade Data'!J10="","","SAS_SERVER_NAME")</f>
        <v/>
      </c>
      <c r="C93" s="210" t="str">
        <f>IF('Upgrade Data'!J10="","",IF('Upgrade Data'!F12=TRUE,'Upgrade Data'!I11,'Upgrade Data'!I11))</f>
        <v/>
      </c>
      <c r="D93" s="824"/>
      <c r="E93" s="859"/>
    </row>
    <row r="94" spans="1:5" ht="15.6" customHeight="1">
      <c r="A94" s="839"/>
      <c r="B94" s="305" t="str">
        <f>IF('Upgrade Data'!J10="","","SKIP_SNAPS")</f>
        <v/>
      </c>
      <c r="C94" s="210" t="str">
        <f>IF('Upgrade Data'!J10="","",C74)</f>
        <v/>
      </c>
      <c r="D94" s="824"/>
      <c r="E94" s="859"/>
    </row>
    <row r="95" spans="1:5">
      <c r="A95" s="839"/>
      <c r="B95" s="306" t="str">
        <f>IF('Upgrade Data'!J10="","",IF('Upgrade Data'!F13&lt;&gt;_xlfn.CONCAT('Upgrade Data'!F6,"SANDBOX1"),"CUBE_DATABASE_NAME",""))</f>
        <v/>
      </c>
      <c r="C95" s="464" t="str">
        <f>IF(B95="Cube_Database_Name",'Upgrade Data'!F13,"")</f>
        <v/>
      </c>
      <c r="D95" s="825"/>
      <c r="E95" s="860"/>
    </row>
    <row r="96" spans="1:5">
      <c r="A96" s="839"/>
      <c r="B96" s="302"/>
      <c r="C96" s="622" t="str">
        <f>IF(B97="Target_Server_Name",C82,"")</f>
        <v/>
      </c>
      <c r="D96" s="819">
        <f>IF(B97="No Additional Web Servers",1,"")</f>
        <v>1</v>
      </c>
      <c r="E96" s="848" t="str">
        <f>IF(B97="No Additional Web Servers","Automated Complete 
no additional web servers","")</f>
        <v>Automated Complete 
no additional web servers</v>
      </c>
    </row>
    <row r="97" spans="1:5">
      <c r="A97" s="839"/>
      <c r="B97" s="312" t="str">
        <f>IF('Upgrade Data'!J11="","No Additional Web Servers","TARGET_SERVER_NAME")</f>
        <v>No Additional Web Servers</v>
      </c>
      <c r="C97" s="479" t="str">
        <f>IF('Upgrade Data'!J11="","",'Upgrade Data'!J11)</f>
        <v/>
      </c>
      <c r="D97" s="837"/>
      <c r="E97" s="849"/>
    </row>
    <row r="98" spans="1:5">
      <c r="A98" s="839"/>
      <c r="B98" s="312" t="str">
        <f>IF('Upgrade Data'!J11="","","CUSTOMER_CODE")</f>
        <v/>
      </c>
      <c r="C98" s="616" t="str">
        <f>IF('Upgrade Data'!J11="","",C73)</f>
        <v/>
      </c>
      <c r="D98" s="837"/>
      <c r="E98" s="849"/>
    </row>
    <row r="99" spans="1:5">
      <c r="A99" s="839"/>
      <c r="B99" s="302" t="str">
        <f>IF('Upgrade Data'!J11="","","DNS_HOST_NAME")</f>
        <v/>
      </c>
      <c r="C99" s="616" t="str">
        <f>IF('Upgrade Data'!J11="","",C72)</f>
        <v/>
      </c>
      <c r="D99" s="837"/>
      <c r="E99" s="849"/>
    </row>
    <row r="100" spans="1:5">
      <c r="A100" s="839"/>
      <c r="B100" s="312" t="str">
        <f>IF('Upgrade Data'!J11="","","SQL_SERVER_NAME")</f>
        <v/>
      </c>
      <c r="C100" s="480" t="str">
        <f>IF('Upgrade Data'!J11="","",'Upgrade Data'!I11)</f>
        <v/>
      </c>
      <c r="D100" s="837"/>
      <c r="E100" s="849"/>
    </row>
    <row r="101" spans="1:5">
      <c r="A101" s="839"/>
      <c r="B101" s="302" t="str">
        <f>IF('Upgrade Data'!J11="","","SAS_SERVER_NAME")</f>
        <v/>
      </c>
      <c r="C101" s="472" t="str">
        <f>IF('Upgrade Data'!J11="","",IF('Upgrade Data'!F12=TRUE,'Upgrade Data'!I11,'Upgrade Data'!I11))</f>
        <v/>
      </c>
      <c r="D101" s="837"/>
      <c r="E101" s="849"/>
    </row>
    <row r="102" spans="1:5">
      <c r="A102" s="839"/>
      <c r="B102" s="302" t="str">
        <f>IF('Upgrade Data'!J11="","","SKIP_SNAPS")</f>
        <v/>
      </c>
      <c r="C102" s="472" t="str">
        <f>IF('Upgrade Data'!J11="","",C74)</f>
        <v/>
      </c>
      <c r="D102" s="837"/>
      <c r="E102" s="849"/>
    </row>
    <row r="103" spans="1:5">
      <c r="A103" s="839"/>
      <c r="B103" s="302" t="str">
        <f>IF('Upgrade Data'!J11="","",IF('Upgrade Data'!F13&lt;&gt;_xlfn.CONCAT('Upgrade Data'!F6,"SANDBOX1"),"CUBE_DATABASE_NAME",""))</f>
        <v/>
      </c>
      <c r="C103" s="662" t="str">
        <f>IF(B103="Cube_Database_Name",'Upgrade Data'!F13,"")</f>
        <v/>
      </c>
      <c r="D103" s="820"/>
      <c r="E103" s="850"/>
    </row>
    <row r="104" spans="1:5">
      <c r="A104" s="840"/>
      <c r="B104" s="623"/>
      <c r="C104" s="625" t="str">
        <f>IF(B105="Target_Server_Name",C82,"")</f>
        <v/>
      </c>
      <c r="D104" s="823">
        <f>IF(B105="No Additional Web Servers",1,"")</f>
        <v>1</v>
      </c>
      <c r="E104" s="861" t="str">
        <f>IF(B105="No Additional Web Servers","Automated Complete 
no additional web servers","")</f>
        <v>Automated Complete 
no additional web servers</v>
      </c>
    </row>
    <row r="105" spans="1:5">
      <c r="A105" s="840"/>
      <c r="B105" s="305" t="str">
        <f>IF('Upgrade Data'!J12="","No Additional Web Servers","TARGET_SERVER_NAME")</f>
        <v>No Additional Web Servers</v>
      </c>
      <c r="C105" s="626" t="str">
        <f>IF('Upgrade Data'!J12="","",'Upgrade Data'!J12)</f>
        <v/>
      </c>
      <c r="D105" s="824"/>
      <c r="E105" s="859"/>
    </row>
    <row r="106" spans="1:5">
      <c r="A106" s="840"/>
      <c r="B106" s="305" t="str">
        <f>IF('Upgrade Data'!J12="","","CUSTOMER_CODE")</f>
        <v/>
      </c>
      <c r="C106" s="627" t="str">
        <f>IF('Upgrade Data'!J12="","",C73)</f>
        <v/>
      </c>
      <c r="D106" s="824"/>
      <c r="E106" s="859"/>
    </row>
    <row r="107" spans="1:5">
      <c r="A107" s="840"/>
      <c r="B107" s="305" t="str">
        <f>IF('Upgrade Data'!J12="","","DNS_HOST_NAME")</f>
        <v/>
      </c>
      <c r="C107" s="627" t="str">
        <f>IF('Upgrade Data'!J12="","",C72)</f>
        <v/>
      </c>
      <c r="D107" s="824"/>
      <c r="E107" s="859"/>
    </row>
    <row r="108" spans="1:5">
      <c r="A108" s="840"/>
      <c r="B108" s="305" t="str">
        <f>IF('Upgrade Data'!J12="","","SQL_SERVER_NAME")</f>
        <v/>
      </c>
      <c r="C108" s="628" t="str">
        <f>IF('Upgrade Data'!J12="","",'Upgrade Data'!I11)</f>
        <v/>
      </c>
      <c r="D108" s="824"/>
      <c r="E108" s="859"/>
    </row>
    <row r="109" spans="1:5">
      <c r="A109" s="840"/>
      <c r="B109" s="305" t="str">
        <f>IF('Upgrade Data'!J12="","","SAS_SERVER_NAME")</f>
        <v/>
      </c>
      <c r="C109" s="628" t="str">
        <f>IF('Upgrade Data'!J12="","",IF('Upgrade Data'!F12=TRUE,'Upgrade Data'!I11,'Upgrade Data'!I11))</f>
        <v/>
      </c>
      <c r="D109" s="824"/>
      <c r="E109" s="859"/>
    </row>
    <row r="110" spans="1:5">
      <c r="A110" s="840"/>
      <c r="B110" s="305" t="str">
        <f>IF('Upgrade Data'!J12="","","SKIP_SNAPS")</f>
        <v/>
      </c>
      <c r="C110" s="663" t="str">
        <f>IF('Upgrade Data'!J12="","",C74)</f>
        <v/>
      </c>
      <c r="D110" s="824"/>
      <c r="E110" s="859"/>
    </row>
    <row r="111" spans="1:5">
      <c r="A111" s="840"/>
      <c r="B111" s="306" t="str">
        <f>IF('Upgrade Data'!J12="","",IF('Upgrade Data'!F13&lt;&gt;_xlfn.CONCAT('Upgrade Data'!F6,"SANDBOX1"),"CUBE_DATABASE_NAME",""))</f>
        <v/>
      </c>
      <c r="C111" s="664" t="str">
        <f>IF(B111="Cube_Database_Name",'Upgrade Data'!F13,"")</f>
        <v/>
      </c>
      <c r="D111" s="825"/>
      <c r="E111" s="860"/>
    </row>
    <row r="112" spans="1:5">
      <c r="A112" s="839"/>
      <c r="B112" s="620"/>
      <c r="C112" s="366" t="str">
        <f>IF(B113="Target_Server_Name",C82,"")</f>
        <v/>
      </c>
      <c r="D112" s="819">
        <f>IF(B113="No Additional Web Servers",1,"")</f>
        <v>1</v>
      </c>
      <c r="E112" s="782"/>
    </row>
    <row r="113" spans="1:5">
      <c r="A113" s="839"/>
      <c r="B113" s="312" t="str">
        <f>IF('Upgrade Data'!J13="","No Additional Web Servers","TARGET_SERVER_NAME")</f>
        <v>No Additional Web Servers</v>
      </c>
      <c r="C113" s="616" t="str">
        <f>IF('Upgrade Data'!J13="","",'Upgrade Data'!J13)</f>
        <v/>
      </c>
      <c r="D113" s="837"/>
      <c r="E113" s="849" t="str">
        <f>IF(B113="No Additional Web Servers","Automated Complete 
no additional web servers","")</f>
        <v>Automated Complete 
no additional web servers</v>
      </c>
    </row>
    <row r="114" spans="1:5">
      <c r="A114" s="839"/>
      <c r="B114" s="311" t="str">
        <f>IF('Upgrade Data'!J13="","","CUSTOMER_CODE")</f>
        <v/>
      </c>
      <c r="C114" s="471" t="str">
        <f>IF('Upgrade Data'!J13="","",C73)</f>
        <v/>
      </c>
      <c r="D114" s="837"/>
      <c r="E114" s="849"/>
    </row>
    <row r="115" spans="1:5">
      <c r="A115" s="839"/>
      <c r="B115" s="311" t="str">
        <f>IF('Upgrade Data'!J13="","","DNS_HOST_NAME")</f>
        <v/>
      </c>
      <c r="C115" s="471" t="str">
        <f>IF('Upgrade Data'!J13="","",C72)</f>
        <v/>
      </c>
      <c r="D115" s="837"/>
      <c r="E115" s="849"/>
    </row>
    <row r="116" spans="1:5">
      <c r="A116" s="839"/>
      <c r="B116" s="312" t="str">
        <f>IF('Upgrade Data'!J13="","","SQL_SERVER_NAME")</f>
        <v/>
      </c>
      <c r="C116" s="472" t="str">
        <f>IF('Upgrade Data'!J13="","",'Upgrade Data'!I11)</f>
        <v/>
      </c>
      <c r="D116" s="837"/>
      <c r="E116" s="849"/>
    </row>
    <row r="117" spans="1:5">
      <c r="A117" s="839"/>
      <c r="B117" s="311" t="str">
        <f>IF('Upgrade Data'!J13="","","SAS_SERVER_NAME")</f>
        <v/>
      </c>
      <c r="C117" s="472" t="str">
        <f>IF('Upgrade Data'!J13="","",IF('Upgrade Data'!F12=TRUE,'Upgrade Data'!I11,'Upgrade Data'!I11))</f>
        <v/>
      </c>
      <c r="D117" s="837"/>
      <c r="E117" s="849"/>
    </row>
    <row r="118" spans="1:5">
      <c r="A118" s="839"/>
      <c r="B118" s="311"/>
      <c r="C118" s="645" t="str">
        <f>IF('Upgrade Data'!J13="","",C74)</f>
        <v/>
      </c>
      <c r="D118" s="837"/>
      <c r="E118" s="849"/>
    </row>
    <row r="119" spans="1:5">
      <c r="A119" s="839"/>
      <c r="B119" s="346" t="str">
        <f>IF('Upgrade Data'!J13="","",IF('Upgrade Data'!F13&lt;&gt;_xlfn.CONCAT('Upgrade Data'!F6,"SANDBOX1"),"CUBE_DATABASE_NAME",""))</f>
        <v/>
      </c>
      <c r="C119" s="472" t="str">
        <f>IF(B119="Cube_Database_Name",'Upgrade Data'!F13,"")</f>
        <v/>
      </c>
      <c r="D119" s="820"/>
      <c r="E119" s="850"/>
    </row>
    <row r="120" spans="1:5">
      <c r="A120" s="813">
        <v>13</v>
      </c>
      <c r="B120" s="190" t="s">
        <v>193</v>
      </c>
      <c r="C120" s="202" t="str">
        <f>IF('Upgrade Data'!I12="","",IF('Upgrade Data'!F12=TRUE,"https://jenkins.planviewcloud.net/job/trx_update_pipe/build?delay=0sec",IF('Upgrade Data'!F5="ln","https://jenkins.eu.planview.world/job/trx_update_pipe/build?delay=0sec",IF('Upgrade Data'!F5="sg","https://jenkins.us.planview.world/job/trx_update_pipe/build?delay=0sec",""))))</f>
        <v/>
      </c>
      <c r="D120" s="823"/>
      <c r="E120" s="855"/>
    </row>
    <row r="121" spans="1:5">
      <c r="A121" s="814"/>
      <c r="B121" s="300" t="s">
        <v>194</v>
      </c>
      <c r="C121" s="615" t="str">
        <f>IF('Upgrade Data'!B8="","Upgrade Data Version is blank",'Upgrade Data'!B8)</f>
        <v>Upgrade Data Version is blank</v>
      </c>
      <c r="D121" s="824"/>
      <c r="E121" s="856"/>
    </row>
    <row r="122" spans="1:5">
      <c r="A122" s="814"/>
      <c r="B122" s="307" t="s">
        <v>184</v>
      </c>
      <c r="C122" s="476">
        <f>(C71)</f>
        <v>0</v>
      </c>
      <c r="D122" s="824"/>
      <c r="E122" s="856"/>
    </row>
    <row r="123" spans="1:5">
      <c r="A123" s="814"/>
      <c r="B123" s="309" t="s">
        <v>195</v>
      </c>
      <c r="C123" s="118">
        <f>('Upgrade Data'!F8)</f>
        <v>0</v>
      </c>
      <c r="D123" s="824"/>
      <c r="E123" s="856"/>
    </row>
    <row r="124" spans="1:5">
      <c r="A124" s="814"/>
      <c r="B124" s="309" t="s">
        <v>191</v>
      </c>
      <c r="C124" s="118">
        <f>(C122)</f>
        <v>0</v>
      </c>
      <c r="D124" s="824"/>
      <c r="E124" s="856"/>
    </row>
    <row r="125" spans="1:5">
      <c r="A125" s="845">
        <v>14</v>
      </c>
      <c r="B125" s="617" t="s">
        <v>196</v>
      </c>
      <c r="C125" s="93" t="str">
        <f>IF('Upgrade Data'!I9="","",IF('Upgrade Data'!F12=TRUE,"https://jenkins.planviewcloud.net/job/e1_update_pipe/build?delay=0sec",IF('Upgrade Data'!F5="ln","https://jenkins.eu.planview.world/job/e1_update_pipe/build?delay=0sec",IF('Upgrade Data'!F5="sg","https://jenkins.us.planview.world/job/e1_update_pipe/build?delay=0sec",""))))</f>
        <v/>
      </c>
      <c r="D125" s="819"/>
      <c r="E125" s="848"/>
    </row>
    <row r="126" spans="1:5">
      <c r="A126" s="840"/>
      <c r="B126" s="302" t="s">
        <v>194</v>
      </c>
      <c r="C126" s="97" t="str">
        <f>IF('Upgrade Data'!B8="","Upgrade Data Version is blank",'Upgrade Data'!B8)</f>
        <v>Upgrade Data Version is blank</v>
      </c>
      <c r="D126" s="837"/>
      <c r="E126" s="849"/>
    </row>
    <row r="127" spans="1:5">
      <c r="A127" s="840"/>
      <c r="B127" s="302" t="s">
        <v>184</v>
      </c>
      <c r="C127" s="97">
        <f>(C77)</f>
        <v>0</v>
      </c>
      <c r="D127" s="837"/>
      <c r="E127" s="849"/>
    </row>
    <row r="128" spans="1:5">
      <c r="A128" s="840"/>
      <c r="B128" s="302" t="s">
        <v>189</v>
      </c>
      <c r="C128" s="95">
        <f>(C78)</f>
        <v>0</v>
      </c>
      <c r="D128" s="837"/>
      <c r="E128" s="849"/>
    </row>
    <row r="129" spans="1:5">
      <c r="A129" s="840"/>
      <c r="B129" s="302" t="s">
        <v>188</v>
      </c>
      <c r="C129" s="95">
        <f>(C72)</f>
        <v>0</v>
      </c>
      <c r="D129" s="837"/>
      <c r="E129" s="849"/>
    </row>
    <row r="130" spans="1:5">
      <c r="A130" s="840"/>
      <c r="B130" s="302" t="s">
        <v>190</v>
      </c>
      <c r="C130" s="460" t="str">
        <f>LOWER("TRUE")</f>
        <v>true</v>
      </c>
      <c r="D130" s="837"/>
      <c r="E130" s="849"/>
    </row>
    <row r="131" spans="1:5">
      <c r="A131" s="840"/>
      <c r="B131" s="346" t="str">
        <f>IF('Upgrade Data'!F13&lt;&gt;_xlfn.CONCAT('Upgrade Data'!F6,"SANDBOX1"),"CUBE_DATABASE_NAME","")</f>
        <v>CUBE_DATABASE_NAME</v>
      </c>
      <c r="C131" s="665">
        <f>IF(B131="Cube_Database_Name",'Upgrade Data'!F13,"")</f>
        <v>0</v>
      </c>
      <c r="D131" s="820"/>
      <c r="E131" s="850"/>
    </row>
    <row r="132" spans="1:5">
      <c r="A132" s="813">
        <v>15</v>
      </c>
      <c r="B132" s="613" t="str">
        <f>IF(MasterConfig!B19=TRUE,"Server is PVE","Run Jenkins job to upgrade the following additional servers; Web(s)")</f>
        <v>Run Jenkins job to upgrade the following additional servers; Web(s)</v>
      </c>
      <c r="C132" s="608" t="str">
        <f>IF(MasterConfig!B19=TRUE,"", C125)</f>
        <v/>
      </c>
      <c r="D132" s="823" t="str">
        <f>IF(B125="Server is PVE",1,"")</f>
        <v/>
      </c>
      <c r="E132" s="855" t="str">
        <f>IF(B125="Server is PVE","Automated Complete 
Server is PVE","")</f>
        <v/>
      </c>
    </row>
    <row r="133" spans="1:5">
      <c r="A133" s="814"/>
      <c r="B133" s="300" t="str">
        <f>IF(MasterConfig!B19=TRUE,"","UPDATE_VERSION")</f>
        <v>UPDATE_VERSION</v>
      </c>
      <c r="C133" s="211" t="str">
        <f>IF(MasterConfig!B19=TRUE,"",C126)</f>
        <v>Upgrade Data Version is blank</v>
      </c>
      <c r="D133" s="824"/>
      <c r="E133" s="856"/>
    </row>
    <row r="134" spans="1:5">
      <c r="A134" s="814"/>
      <c r="B134" s="609" t="str">
        <f>IF(MasterConfig!B19=TRUE,"","TARGET_SERVER_NAME")</f>
        <v>TARGET_SERVER_NAME</v>
      </c>
      <c r="C134" s="118">
        <f>IF(MasterConfig!B19=TRUE,"",'Upgrade Data'!I9)</f>
        <v>0</v>
      </c>
      <c r="D134" s="824"/>
      <c r="E134" s="856"/>
    </row>
    <row r="135" spans="1:5">
      <c r="A135" s="814"/>
      <c r="B135" s="300" t="str">
        <f>IF(MasterConfig!B19=TRUE,"","CUSTOMER_CODE")</f>
        <v>CUSTOMER_CODE</v>
      </c>
      <c r="C135" s="211">
        <f>IF(MasterConfig!B19=TRUE,"",C73)</f>
        <v>0</v>
      </c>
      <c r="D135" s="824"/>
      <c r="E135" s="856"/>
    </row>
    <row r="136" spans="1:5">
      <c r="A136" s="814"/>
      <c r="B136" s="609" t="str">
        <f>IF(MasterConfig!B19=TRUE,"","DNS_HOST_NAME")</f>
        <v>DNS_HOST_NAME</v>
      </c>
      <c r="C136" s="119">
        <f>IF(MasterConfig!B19=TRUE,"",C72)</f>
        <v>0</v>
      </c>
      <c r="D136" s="824"/>
      <c r="E136" s="856"/>
    </row>
    <row r="137" spans="1:5">
      <c r="A137" s="814"/>
      <c r="B137" s="609" t="str">
        <f>IF(MasterConfig!B19=TRUE,"","SKIP_SNAPS")</f>
        <v>SKIP_SNAPS</v>
      </c>
      <c r="C137" s="666" t="str">
        <f>IF(MasterConfig!B19=TRUE,"",C74)</f>
        <v>true</v>
      </c>
      <c r="D137" s="824"/>
      <c r="E137" s="856"/>
    </row>
    <row r="138" spans="1:5">
      <c r="A138" s="814"/>
      <c r="B138" s="614" t="str">
        <f>IF(B132="Server is PVE","",IF('Upgrade Data'!F13&lt;&gt;_xlfn.CONCAT('Upgrade Data'!F6,"SANDBOX1"),"CUBE_DATABASE_NAME",""))</f>
        <v>CUBE_DATABASE_NAME</v>
      </c>
      <c r="C138" s="667">
        <f>IF(B138="Cube_Database_Name",'Upgrade Data'!F13,"")</f>
        <v>0</v>
      </c>
      <c r="D138" s="825"/>
      <c r="E138" s="857"/>
    </row>
    <row r="139" spans="1:5">
      <c r="A139" s="814"/>
      <c r="B139" s="304"/>
      <c r="C139" s="630" t="str">
        <f>IF(B140="Update_Version",C125,"")</f>
        <v/>
      </c>
      <c r="D139" s="783"/>
      <c r="E139" s="780"/>
    </row>
    <row r="140" spans="1:5">
      <c r="A140" s="814"/>
      <c r="B140" s="629" t="str">
        <f>IF('Upgrade Data'!J10="","No Additional Web Servers","UPDATE_VERSION")</f>
        <v>No Additional Web Servers</v>
      </c>
      <c r="C140" s="212" t="str">
        <f>IF('Upgrade Data'!J10="","",C126)</f>
        <v/>
      </c>
      <c r="D140" s="844">
        <f>IF(B140="No Additional Web Servers",1,"")</f>
        <v>1</v>
      </c>
      <c r="E140" s="858" t="str">
        <f>IF(B140="No Additional Web Servers","Automated Complete 
no additional web servers","")</f>
        <v>Automated Complete 
no additional web servers</v>
      </c>
    </row>
    <row r="141" spans="1:5">
      <c r="A141" s="814"/>
      <c r="B141" s="629" t="str">
        <f>IF('Upgrade Data'!J10="","","TARGET_SERVER_NAME")</f>
        <v/>
      </c>
      <c r="C141" s="101" t="str">
        <f>IF('Upgrade Data'!J10="","",'Upgrade Data'!J10)</f>
        <v/>
      </c>
      <c r="D141" s="837"/>
      <c r="E141" s="859"/>
    </row>
    <row r="142" spans="1:5">
      <c r="A142" s="814"/>
      <c r="B142" s="629" t="str">
        <f>IF('Upgrade Data'!J10="","","CUSTOMER_CODE")</f>
        <v/>
      </c>
      <c r="C142" s="101" t="str">
        <f>IF('Upgrade Data'!J10="","",C73)</f>
        <v/>
      </c>
      <c r="D142" s="837"/>
      <c r="E142" s="859"/>
    </row>
    <row r="143" spans="1:5">
      <c r="A143" s="814"/>
      <c r="B143" s="314" t="str">
        <f>IF('Upgrade Data'!J10="","","DNS_HOST_NAME")</f>
        <v/>
      </c>
      <c r="C143" s="101" t="str">
        <f>IF('Upgrade Data'!J10="","",C72)</f>
        <v/>
      </c>
      <c r="D143" s="837"/>
      <c r="E143" s="859"/>
    </row>
    <row r="144" spans="1:5">
      <c r="A144" s="814"/>
      <c r="B144" s="314" t="str">
        <f>IF('Upgrade Data'!J10="","","SQL_SERVER_NAME")</f>
        <v/>
      </c>
      <c r="C144" s="458" t="str">
        <f>IF('Upgrade Data'!J10="","",'Upgrade Data'!I11)</f>
        <v/>
      </c>
      <c r="D144" s="837"/>
      <c r="E144" s="859"/>
    </row>
    <row r="145" spans="1:5">
      <c r="A145" s="814"/>
      <c r="B145" s="305" t="str">
        <f>IF('Upgrade Data'!J10="","","SAS_SERVER_NAME")</f>
        <v/>
      </c>
      <c r="C145" s="459" t="str">
        <f>IF('Upgrade Data'!J10="","",'Upgrade Data'!I13)</f>
        <v/>
      </c>
      <c r="D145" s="837"/>
      <c r="E145" s="859"/>
    </row>
    <row r="146" spans="1:5">
      <c r="A146" s="814"/>
      <c r="B146" s="305" t="str">
        <f>IF('Upgrade Data'!J10="","","SKIP_SNAPS")</f>
        <v/>
      </c>
      <c r="C146" s="459" t="str">
        <f>IF('Upgrade Data'!J10="","",C74)</f>
        <v/>
      </c>
      <c r="D146" s="837"/>
      <c r="E146" s="859"/>
    </row>
    <row r="147" spans="1:5">
      <c r="A147" s="814"/>
      <c r="B147" s="306" t="str">
        <f>IF(B140="No Additional Web Servers","",IF('Upgrade Data'!F13&lt;&gt;_xlfn.CONCAT('Upgrade Data'!F6,"SANDBOX1"),"CUBE_DATABASE_NAME",""))</f>
        <v/>
      </c>
      <c r="C147" s="459" t="str">
        <f>IF(B147="Cube_Database_Name",'Upgrade Data'!F13,"")</f>
        <v/>
      </c>
      <c r="D147" s="820"/>
      <c r="E147" s="860"/>
    </row>
    <row r="148" spans="1:5">
      <c r="A148" s="814"/>
      <c r="B148" s="308"/>
      <c r="C148" s="633" t="str">
        <f>IF(B149="Update_Version",C125,"")</f>
        <v/>
      </c>
      <c r="D148" s="632"/>
      <c r="E148" s="631"/>
    </row>
    <row r="149" spans="1:5">
      <c r="A149" s="814"/>
      <c r="B149" s="300" t="str">
        <f>IF('Upgrade Data'!J11="","No Additional Web Servers","UPDATE_VERSION")</f>
        <v>No Additional Web Servers</v>
      </c>
      <c r="C149" s="211" t="str">
        <f>IF('Upgrade Data'!J11="","",C126)</f>
        <v/>
      </c>
      <c r="D149" s="824">
        <f>IF(B149="No Additional Web Servers",1,"")</f>
        <v>1</v>
      </c>
      <c r="E149" s="856" t="str">
        <f>IF(B149="No Additional Web Servers","Automated Complete 
no additional web servers","")</f>
        <v>Automated Complete 
no additional web servers</v>
      </c>
    </row>
    <row r="150" spans="1:5">
      <c r="A150" s="814"/>
      <c r="B150" s="307" t="str">
        <f>IF('Upgrade Data'!J11="","","TARGET_SERVER_NAME")</f>
        <v/>
      </c>
      <c r="C150" s="233" t="str">
        <f>IF('Upgrade Data'!J11="","",'Upgrade Data'!J11)</f>
        <v/>
      </c>
      <c r="D150" s="824"/>
      <c r="E150" s="856"/>
    </row>
    <row r="151" spans="1:5">
      <c r="A151" s="814"/>
      <c r="B151" s="309" t="str">
        <f>IF('Upgrade Data'!J11="","","CUSTOMER_CODE")</f>
        <v/>
      </c>
      <c r="C151" s="233" t="str">
        <f>IF('Upgrade Data'!J11="","",C73)</f>
        <v/>
      </c>
      <c r="D151" s="824"/>
      <c r="E151" s="856"/>
    </row>
    <row r="152" spans="1:5">
      <c r="A152" s="814"/>
      <c r="B152" s="300" t="str">
        <f>IF('Upgrade Data'!J11="","","DNS_HOST_NAME")</f>
        <v/>
      </c>
      <c r="C152" s="233" t="str">
        <f>IF('Upgrade Data'!J11="","",C72)</f>
        <v/>
      </c>
      <c r="D152" s="824"/>
      <c r="E152" s="856"/>
    </row>
    <row r="153" spans="1:5">
      <c r="A153" s="814"/>
      <c r="B153" s="309" t="str">
        <f>IF('Upgrade Data'!J11="","","SQL_SERVER_NAME")</f>
        <v/>
      </c>
      <c r="C153" s="610" t="str">
        <f>IF('Upgrade Data'!J11="","",'Upgrade Data'!I11)</f>
        <v/>
      </c>
      <c r="D153" s="824"/>
      <c r="E153" s="856"/>
    </row>
    <row r="154" spans="1:5">
      <c r="A154" s="814"/>
      <c r="B154" s="307" t="str">
        <f>IF('Upgrade Data'!J11="","","SAS_SERVER_NAME")</f>
        <v/>
      </c>
      <c r="C154" s="610" t="str">
        <f>IF('Upgrade Data'!J11="","",'Upgrade Data'!I13)</f>
        <v/>
      </c>
      <c r="D154" s="824"/>
      <c r="E154" s="856"/>
    </row>
    <row r="155" spans="1:5">
      <c r="A155" s="814"/>
      <c r="B155" s="307" t="str">
        <f>IF('Upgrade Data'!J11="","","SKIP_SNAPS")</f>
        <v/>
      </c>
      <c r="C155" s="610" t="str">
        <f>IF('Upgrade Data'!J11="","",C74)</f>
        <v/>
      </c>
      <c r="D155" s="824"/>
      <c r="E155" s="856"/>
    </row>
    <row r="156" spans="1:5">
      <c r="A156" s="814"/>
      <c r="B156" s="301" t="str">
        <f>IF(B149="No Additional Web Servers","",IF('Upgrade Data'!F13&lt;&gt;_xlfn.CONCAT('Upgrade Data'!F6,"SANDBOX1"),"CUBE_DATABASE_NAME",""))</f>
        <v/>
      </c>
      <c r="C156" s="611" t="str">
        <f>IF(B156="Cube_Database_Name",'Upgrade Data'!F13,"")</f>
        <v/>
      </c>
      <c r="D156" s="825"/>
      <c r="E156" s="857"/>
    </row>
    <row r="157" spans="1:5">
      <c r="A157" s="814"/>
      <c r="B157" s="304"/>
      <c r="C157" s="634" t="str">
        <f>IF(B158="Update_Version",C125,"")</f>
        <v/>
      </c>
      <c r="D157" s="819">
        <f>IF(B158="No Additional Web Servers",1,"")</f>
        <v>1</v>
      </c>
      <c r="E157" s="861" t="str">
        <f>IF(B158="No Additional Web Servers","Automated Complete 
no additional web servers","")</f>
        <v>Automated Complete 
no additional web servers</v>
      </c>
    </row>
    <row r="158" spans="1:5">
      <c r="A158" s="814"/>
      <c r="B158" s="629" t="str">
        <f>IF('Upgrade Data'!J12="","No Additional Web Servers","UPDATE_VERSION")</f>
        <v>No Additional Web Servers</v>
      </c>
      <c r="C158" s="101" t="str">
        <f>IF('Upgrade Data'!J12="","",C126)</f>
        <v/>
      </c>
      <c r="D158" s="837"/>
      <c r="E158" s="859"/>
    </row>
    <row r="159" spans="1:5">
      <c r="A159" s="814"/>
      <c r="B159" s="314" t="str">
        <f>IF('Upgrade Data'!J12="","","TARGET_SERVER_NAME")</f>
        <v/>
      </c>
      <c r="C159" s="101" t="str">
        <f>IF('Upgrade Data'!J12="","",'Upgrade Data'!J12)</f>
        <v/>
      </c>
      <c r="D159" s="837"/>
      <c r="E159" s="859"/>
    </row>
    <row r="160" spans="1:5">
      <c r="A160" s="814"/>
      <c r="B160" s="314" t="str">
        <f>IF('Upgrade Data'!J12="","","CUSTOMER_CODE")</f>
        <v/>
      </c>
      <c r="C160" s="101" t="str">
        <f>IF('Upgrade Data'!J12="","",C73)</f>
        <v/>
      </c>
      <c r="D160" s="837"/>
      <c r="E160" s="859"/>
    </row>
    <row r="161" spans="1:5">
      <c r="A161" s="814"/>
      <c r="B161" s="314" t="str">
        <f>IF('Upgrade Data'!J12="","","DNS_HOST_NAME")</f>
        <v/>
      </c>
      <c r="C161" s="99" t="str">
        <f>IF('Upgrade Data'!J12="","",C72)</f>
        <v/>
      </c>
      <c r="D161" s="837"/>
      <c r="E161" s="859"/>
    </row>
    <row r="162" spans="1:5">
      <c r="A162" s="814"/>
      <c r="B162" s="314" t="str">
        <f>IF('Upgrade Data'!J12="","","SQL_SERVER_NAME")</f>
        <v/>
      </c>
      <c r="C162" s="458" t="str">
        <f>IF('Upgrade Data'!J12="","",'Upgrade Data'!I11)</f>
        <v/>
      </c>
      <c r="D162" s="837"/>
      <c r="E162" s="859"/>
    </row>
    <row r="163" spans="1:5">
      <c r="A163" s="814"/>
      <c r="B163" s="305" t="str">
        <f>IF('Upgrade Data'!J12="","","SAS_SERVER_NAME")</f>
        <v/>
      </c>
      <c r="C163" s="461" t="str">
        <f>IF('Upgrade Data'!J12="","",'Upgrade Data'!I13)</f>
        <v/>
      </c>
      <c r="D163" s="837"/>
      <c r="E163" s="859"/>
    </row>
    <row r="164" spans="1:5">
      <c r="A164" s="814"/>
      <c r="B164" s="305" t="str">
        <f>IF('Upgrade Data'!J12="","","SKIP_SNAPS")</f>
        <v/>
      </c>
      <c r="C164" s="461" t="str">
        <f>IF('Upgrade Data'!J12="","",C74)</f>
        <v/>
      </c>
      <c r="D164" s="837"/>
      <c r="E164" s="859"/>
    </row>
    <row r="165" spans="1:5">
      <c r="A165" s="814"/>
      <c r="B165" s="306" t="str">
        <f>IF(B158="No Additional Web Servers","",IF('Upgrade Data'!F13&lt;&gt;_xlfn.CONCAT('Upgrade Data'!F6,"SANDBOX1"),"CUBE_DATABASE_NAME",""))</f>
        <v/>
      </c>
      <c r="C165" s="668" t="str">
        <f>IF(B165="Cube_Database_Name",'Upgrade Data'!F13,"")</f>
        <v/>
      </c>
      <c r="D165" s="820"/>
      <c r="E165" s="860"/>
    </row>
    <row r="166" spans="1:5">
      <c r="A166" s="814"/>
      <c r="B166" s="609"/>
      <c r="C166" s="635" t="str">
        <f>IF(B167="Update_Version",C132,"")</f>
        <v/>
      </c>
      <c r="D166" s="775"/>
      <c r="E166" s="784"/>
    </row>
    <row r="167" spans="1:5">
      <c r="A167" s="814"/>
      <c r="B167" s="609" t="str">
        <f>IF('Upgrade Data'!J13="","No Additional Web Servers","UPDATE_VERSION")</f>
        <v>No Additional Web Servers</v>
      </c>
      <c r="C167" s="211" t="str">
        <f>IF('Upgrade Data'!J13="","",C126)</f>
        <v/>
      </c>
      <c r="D167" s="869">
        <f>IF(B167="No Additional Web Servers",1,"")</f>
        <v>1</v>
      </c>
      <c r="E167" s="868" t="str">
        <f>IF(B167="No Additional Web Servers","Automated Complete 
no additional web servers","")</f>
        <v>Automated Complete 
no additional web servers</v>
      </c>
    </row>
    <row r="168" spans="1:5">
      <c r="A168" s="814"/>
      <c r="B168" s="309" t="str">
        <f>IF('Upgrade Data'!J13="","","TARGET_SERVER_NAME")</f>
        <v/>
      </c>
      <c r="C168" s="119" t="str">
        <f>IF('Upgrade Data'!J13="","",'Upgrade Data'!J13)</f>
        <v/>
      </c>
      <c r="D168" s="824"/>
      <c r="E168" s="856"/>
    </row>
    <row r="169" spans="1:5">
      <c r="A169" s="814"/>
      <c r="B169" s="309" t="str">
        <f>IF('Upgrade Data'!J13="","","CUSTOMER_CODE")</f>
        <v/>
      </c>
      <c r="C169" s="211" t="str">
        <f>IF('Upgrade Data'!J13="","",C73)</f>
        <v/>
      </c>
      <c r="D169" s="824"/>
      <c r="E169" s="856"/>
    </row>
    <row r="170" spans="1:5">
      <c r="A170" s="814"/>
      <c r="B170" s="309" t="str">
        <f>IF('Upgrade Data'!J13="","","DNS_HOST_NAME")</f>
        <v/>
      </c>
      <c r="C170" s="118" t="str">
        <f>IF('Upgrade Data'!J13="","",C72)</f>
        <v/>
      </c>
      <c r="D170" s="824"/>
      <c r="E170" s="856"/>
    </row>
    <row r="171" spans="1:5">
      <c r="A171" s="814"/>
      <c r="B171" s="309" t="str">
        <f>IF('Upgrade Data'!J13="","","SQL_SERVER_NAME")</f>
        <v/>
      </c>
      <c r="C171" s="612" t="str">
        <f>IF('Upgrade Data'!J13="","",'Upgrade Data'!I11)</f>
        <v/>
      </c>
      <c r="D171" s="824"/>
      <c r="E171" s="856"/>
    </row>
    <row r="172" spans="1:5">
      <c r="A172" s="814"/>
      <c r="B172" s="309" t="str">
        <f>IF('Upgrade Data'!J13="","","SAS_SERVER_NAME")</f>
        <v/>
      </c>
      <c r="C172" s="610" t="str">
        <f>IF('Upgrade Data'!J13="","",'Upgrade Data'!I13)</f>
        <v/>
      </c>
      <c r="D172" s="824"/>
      <c r="E172" s="856"/>
    </row>
    <row r="173" spans="1:5">
      <c r="A173" s="814"/>
      <c r="B173" s="309" t="str">
        <f>IF('Upgrade Data'!J13="","","SKIP_SNAPS")</f>
        <v/>
      </c>
      <c r="C173" s="610" t="str">
        <f>IF('Upgrade Data'!J13="","",C74)</f>
        <v/>
      </c>
      <c r="D173" s="824"/>
      <c r="E173" s="856"/>
    </row>
    <row r="174" spans="1:5">
      <c r="A174" s="829"/>
      <c r="B174" s="313" t="str">
        <f>IF(B167="No Additional Web Servers","",IF('Upgrade Data'!F13&lt;&gt;_xlfn.CONCAT('Upgrade Data'!F6,"SANDBOX1"),"CUBE_DATABASE_NAME",""))</f>
        <v/>
      </c>
      <c r="C174" s="611" t="str">
        <f>IF(B174="Cube_Database_Name",'Upgrade Data'!F13,"")</f>
        <v/>
      </c>
      <c r="D174" s="825"/>
      <c r="E174" s="857"/>
    </row>
    <row r="175" spans="1:5">
      <c r="A175" s="766">
        <v>16</v>
      </c>
      <c r="B175" s="315" t="s">
        <v>197</v>
      </c>
      <c r="C175" s="473" t="s">
        <v>198</v>
      </c>
      <c r="D175" s="248"/>
      <c r="E175" s="778"/>
    </row>
    <row r="176" spans="1:5">
      <c r="A176" s="770">
        <v>17</v>
      </c>
      <c r="B176" s="316" t="s">
        <v>199</v>
      </c>
      <c r="C176" s="82" t="s">
        <v>200</v>
      </c>
      <c r="D176" s="60"/>
      <c r="E176" s="266"/>
    </row>
    <row r="177" spans="1:5">
      <c r="A177" s="815">
        <v>18</v>
      </c>
      <c r="B177" s="421" t="s">
        <v>156</v>
      </c>
      <c r="C177" s="96"/>
      <c r="D177" s="819"/>
      <c r="E177" s="848" t="str">
        <f>IF('Upgrade Data'!F10="","",'Upgrade Data'!F10)</f>
        <v/>
      </c>
    </row>
    <row r="178" spans="1:5">
      <c r="A178" s="816"/>
      <c r="B178" s="442" t="str">
        <f>('SB Alignment'!B177)</f>
        <v>Validate ADM 01</v>
      </c>
      <c r="C178" s="474" t="str">
        <f>('SB Alignment'!C177)</f>
        <v>/login/body.asp?manual=Y</v>
      </c>
      <c r="D178" s="837"/>
      <c r="E178" s="849"/>
    </row>
    <row r="179" spans="1:5">
      <c r="A179" s="816"/>
      <c r="B179" s="428" t="str">
        <f>('SB Alignment'!B178)</f>
        <v>Validate Versions using following URLs</v>
      </c>
      <c r="C179" s="683" t="str">
        <f>('SB Alignment'!C178)</f>
        <v>Start-Process "chrome.exe" "https://0.pvcloud.com/planview/diag/version.aspx"</v>
      </c>
      <c r="D179" s="681"/>
      <c r="E179" s="849"/>
    </row>
    <row r="180" spans="1:5">
      <c r="A180" s="816"/>
      <c r="B180" s="439" t="str">
        <f>('SB Alignment'!B179)</f>
        <v>Test odata with following URLs</v>
      </c>
      <c r="C180" s="474" t="str">
        <f>('SB Alignment'!C179)</f>
        <v>Start-Process "chrome.exe" "https://0.pvcloud.com/odataservice/OdataService.svc"</v>
      </c>
      <c r="D180" s="681"/>
      <c r="E180" s="849"/>
    </row>
    <row r="181" spans="1:5">
      <c r="A181" s="816"/>
      <c r="B181" s="442" t="str">
        <f>('SB Alignment'!B180)</f>
        <v>Test Progression Engine</v>
      </c>
      <c r="C181" s="684" t="str">
        <f>('SB Alignment'!C180)</f>
        <v>Start-Process "chrome.exe" "https://0.pvcloud.com/planview/Progressing/ProgressInteractively.aspx"</v>
      </c>
      <c r="D181" s="681"/>
      <c r="E181" s="849"/>
    </row>
    <row r="182" spans="1:5">
      <c r="A182" s="816"/>
      <c r="B182" s="439" t="str">
        <f>('SB Alignment'!B181)</f>
        <v>Administration &gt; Reporting &gt; Model Management</v>
      </c>
      <c r="C182" s="683" t="str">
        <f>('SB Alignment'!C181)</f>
        <v>Start-Process "chrome.exe" "https://0.pvcloud.com/planview/AdminApplication/AdministerOLAPConnStrings.aspx"</v>
      </c>
      <c r="D182" s="682"/>
      <c r="E182" s="849"/>
    </row>
    <row r="183" spans="1:5">
      <c r="A183" s="816"/>
      <c r="B183" s="442" t="str">
        <f>('SB Alignment'!B182)</f>
        <v>Administration &gt; System Configuration &gt; Database Management</v>
      </c>
      <c r="C183" s="685" t="str">
        <f>('SB Alignment'!C182)</f>
        <v>Start-Process "chrome.exe" "https://0.pvcloud.com/planview/AdminDatabase/Databases.aspx"</v>
      </c>
      <c r="D183" s="681"/>
      <c r="E183" s="849"/>
    </row>
    <row r="184" spans="1:5">
      <c r="A184" s="816"/>
      <c r="B184" s="428" t="str">
        <f>('SB Alignment'!B183)</f>
        <v>Administration &gt; Reporting &gt; DataSet Management</v>
      </c>
      <c r="C184" s="474" t="str">
        <f>('SB Alignment'!C183)</f>
        <v>Start-Process "chrome.exe" "http://0.pvcloud.com/planview/AdminApplication/AdministerDataset.aspx"</v>
      </c>
      <c r="D184" s="783"/>
      <c r="E184" s="849"/>
    </row>
    <row r="185" spans="1:5">
      <c r="A185" s="816"/>
      <c r="B185" s="439" t="str">
        <f>('SB Alignment'!B184)</f>
        <v>Test Access Manager and Validate TESE is functioning properly</v>
      </c>
      <c r="C185" s="684" t="str">
        <f>('SB Alignment'!C184)</f>
        <v>Start-Process "chrome.exe" "https://0.pvcloud.com/planview/AdminApplication/AdminServices.aspx"</v>
      </c>
      <c r="D185" s="681"/>
      <c r="E185" s="849"/>
    </row>
    <row r="186" spans="1:5">
      <c r="A186" s="816"/>
      <c r="B186" s="442" t="str">
        <f>('SB Alignment'!B185)</f>
        <v>Content Search</v>
      </c>
      <c r="C186" s="684" t="str">
        <f>('SB Alignment'!C185)</f>
        <v>Start-Process "chrome.exe" "https://0.pvcloud.com/planview/AdminApplication/createcontentsearchindex.asp?step=1"</v>
      </c>
      <c r="D186" s="681"/>
      <c r="E186" s="849"/>
    </row>
    <row r="187" spans="1:5">
      <c r="A187" s="816"/>
      <c r="B187" s="428" t="str">
        <f>('SB Alignment'!B186)</f>
        <v>Validate CTM site launches successfully from PRM</v>
      </c>
      <c r="C187" s="684" t="str">
        <f>('SB Alignment'!C186)</f>
        <v>Start-Process "chrome.exe" "https://0.pvcloud.com/ng/ctm/"</v>
      </c>
      <c r="D187" s="783"/>
      <c r="E187" s="849"/>
    </row>
    <row r="188" spans="1:5">
      <c r="A188" s="816"/>
      <c r="B188" s="442" t="str">
        <f>('SB Alignment'!B187)</f>
        <v>PRM Health Check</v>
      </c>
      <c r="C188" s="683">
        <f>('SB Alignment'!C187)</f>
        <v>0</v>
      </c>
      <c r="D188" s="681"/>
      <c r="E188" s="849"/>
    </row>
    <row r="189" spans="1:5">
      <c r="A189" s="816"/>
      <c r="B189" s="579" t="str">
        <f>('SB Alignment'!B188)</f>
        <v>CTM Health Check</v>
      </c>
      <c r="C189" s="683" t="str">
        <f>('SB Alignment'!C188)</f>
        <v>Start-Process "chrome.exe" "http://0/health"</v>
      </c>
      <c r="D189" s="681"/>
      <c r="E189" s="849"/>
    </row>
    <row r="190" spans="1:5">
      <c r="A190" s="816"/>
      <c r="B190" s="442" t="str">
        <f>('SB Alignment'!B189)</f>
        <v>CTM Health Check</v>
      </c>
      <c r="C190" s="474" t="str">
        <f>('SB Alignment'!C189)</f>
        <v>Start-Process "chrome.exe" "http://0/uaa/health"</v>
      </c>
      <c r="D190" s="681"/>
      <c r="E190" s="849"/>
    </row>
    <row r="191" spans="1:5">
      <c r="A191" s="816"/>
      <c r="B191" s="448" t="str">
        <f>('SB Alignment'!B190)</f>
        <v>CTM Health Check</v>
      </c>
      <c r="C191" s="686" t="str">
        <f>('SB Alignment'!C190)</f>
        <v>Start-Process "chrome.exe" "http://0/tip/do/health"</v>
      </c>
      <c r="D191" s="772"/>
      <c r="E191" s="850"/>
    </row>
    <row r="192" spans="1:5">
      <c r="A192" s="80">
        <v>19</v>
      </c>
      <c r="B192" s="316" t="s">
        <v>138</v>
      </c>
      <c r="C192" s="81" t="s">
        <v>201</v>
      </c>
      <c r="D192" s="60"/>
      <c r="E192" s="266"/>
    </row>
    <row r="193" spans="1:5">
      <c r="A193" s="815">
        <v>20</v>
      </c>
      <c r="B193" s="310" t="s">
        <v>202</v>
      </c>
      <c r="C193" s="46" t="s">
        <v>203</v>
      </c>
      <c r="D193" s="819"/>
      <c r="E193" s="848"/>
    </row>
    <row r="194" spans="1:5">
      <c r="A194" s="817"/>
      <c r="B194" s="386"/>
      <c r="C194" s="669" t="str">
        <f>_xlfn.CONCAT("@here ",('Upgrade Data'!I8)&amp;"/login/body.asp?manual=Y is ready for smoke testing")</f>
        <v>@here https://0-sb.pvcloud.com/login/body.asp?manual=Y is ready for smoke testing</v>
      </c>
      <c r="D194" s="820"/>
      <c r="E194" s="850"/>
    </row>
  </sheetData>
  <mergeCells count="68">
    <mergeCell ref="A193:A194"/>
    <mergeCell ref="D193:D194"/>
    <mergeCell ref="E193:E194"/>
    <mergeCell ref="E88:E95"/>
    <mergeCell ref="E96:E103"/>
    <mergeCell ref="E157:E165"/>
    <mergeCell ref="D157:D165"/>
    <mergeCell ref="A177:A191"/>
    <mergeCell ref="E177:E191"/>
    <mergeCell ref="E149:E156"/>
    <mergeCell ref="E167:E174"/>
    <mergeCell ref="A120:A124"/>
    <mergeCell ref="D120:D124"/>
    <mergeCell ref="D167:D174"/>
    <mergeCell ref="D104:D111"/>
    <mergeCell ref="D96:D103"/>
    <mergeCell ref="A3:A5"/>
    <mergeCell ref="A8:A13"/>
    <mergeCell ref="A28:A64"/>
    <mergeCell ref="D3:D5"/>
    <mergeCell ref="E3:E5"/>
    <mergeCell ref="E28:E64"/>
    <mergeCell ref="D28:D32"/>
    <mergeCell ref="D33:D36"/>
    <mergeCell ref="D37:D40"/>
    <mergeCell ref="D41:D44"/>
    <mergeCell ref="D45:D48"/>
    <mergeCell ref="D49:D52"/>
    <mergeCell ref="D53:D56"/>
    <mergeCell ref="D57:D60"/>
    <mergeCell ref="D61:D64"/>
    <mergeCell ref="A14:A15"/>
    <mergeCell ref="E76:E81"/>
    <mergeCell ref="E14:E15"/>
    <mergeCell ref="E113:E119"/>
    <mergeCell ref="D112:D119"/>
    <mergeCell ref="E140:E147"/>
    <mergeCell ref="E132:E138"/>
    <mergeCell ref="E125:E131"/>
    <mergeCell ref="E70:E75"/>
    <mergeCell ref="E82:E87"/>
    <mergeCell ref="E120:E124"/>
    <mergeCell ref="E104:E111"/>
    <mergeCell ref="E6:E7"/>
    <mergeCell ref="A65:A68"/>
    <mergeCell ref="D65:D68"/>
    <mergeCell ref="E65:E68"/>
    <mergeCell ref="A6:A7"/>
    <mergeCell ref="D6:D7"/>
    <mergeCell ref="E16:E27"/>
    <mergeCell ref="A16:A27"/>
    <mergeCell ref="D16:D27"/>
    <mergeCell ref="D14:D15"/>
    <mergeCell ref="D8:D13"/>
    <mergeCell ref="D177:D178"/>
    <mergeCell ref="A70:A75"/>
    <mergeCell ref="A82:A119"/>
    <mergeCell ref="D70:D75"/>
    <mergeCell ref="A76:A81"/>
    <mergeCell ref="D76:D81"/>
    <mergeCell ref="A132:A174"/>
    <mergeCell ref="D132:D138"/>
    <mergeCell ref="D140:D147"/>
    <mergeCell ref="D149:D156"/>
    <mergeCell ref="A125:A131"/>
    <mergeCell ref="D125:D131"/>
    <mergeCell ref="D82:D87"/>
    <mergeCell ref="D88:D95"/>
  </mergeCells>
  <conditionalFormatting sqref="D104">
    <cfRule type="iconSet" priority="74">
      <iconSet iconSet="3Symbols2" showValue="0">
        <cfvo type="percent" val="0"/>
        <cfvo type="num" val="0"/>
        <cfvo type="num" val="1"/>
      </iconSet>
    </cfRule>
  </conditionalFormatting>
  <conditionalFormatting sqref="D96">
    <cfRule type="iconSet" priority="73">
      <iconSet iconSet="3Symbols2" showValue="0">
        <cfvo type="percent" val="0"/>
        <cfvo type="num" val="0"/>
        <cfvo type="num" val="1"/>
      </iconSet>
    </cfRule>
  </conditionalFormatting>
  <conditionalFormatting sqref="D88">
    <cfRule type="iconSet" priority="72">
      <iconSet iconSet="3Symbols2" showValue="0">
        <cfvo type="percent" val="0"/>
        <cfvo type="num" val="0"/>
        <cfvo type="num" val="1"/>
      </iconSet>
    </cfRule>
  </conditionalFormatting>
  <conditionalFormatting sqref="D112">
    <cfRule type="iconSet" priority="61">
      <iconSet iconSet="3Symbols2" showValue="0">
        <cfvo type="percent" val="0"/>
        <cfvo type="num" val="0"/>
        <cfvo type="num" val="1"/>
      </iconSet>
    </cfRule>
  </conditionalFormatting>
  <conditionalFormatting sqref="D70">
    <cfRule type="iconSet" priority="59">
      <iconSet iconSet="3Symbols2" showValue="0">
        <cfvo type="percent" val="0"/>
        <cfvo type="num" val="0"/>
        <cfvo type="num" val="1"/>
      </iconSet>
    </cfRule>
    <cfRule type="iconSet" priority="60">
      <iconSet iconSet="3Symbols2">
        <cfvo type="percent" val="0"/>
        <cfvo type="num" val="0"/>
        <cfvo type="num" val="1"/>
      </iconSet>
    </cfRule>
  </conditionalFormatting>
  <conditionalFormatting sqref="D65">
    <cfRule type="iconSet" priority="57">
      <iconSet iconSet="3Symbols2" showValue="0">
        <cfvo type="percent" val="0"/>
        <cfvo type="num" val="0"/>
        <cfvo type="num" val="1"/>
      </iconSet>
    </cfRule>
    <cfRule type="iconSet" priority="58">
      <iconSet iconSet="3Symbols2">
        <cfvo type="percent" val="0"/>
        <cfvo type="num" val="0"/>
        <cfvo type="num" val="1"/>
      </iconSet>
    </cfRule>
  </conditionalFormatting>
  <conditionalFormatting sqref="D125:D131">
    <cfRule type="iconSet" priority="55">
      <iconSet iconSet="3Symbols2" showValue="0">
        <cfvo type="percent" val="0"/>
        <cfvo type="num" val="0"/>
        <cfvo type="num" val="1"/>
      </iconSet>
    </cfRule>
  </conditionalFormatting>
  <conditionalFormatting sqref="D132">
    <cfRule type="iconSet" priority="54">
      <iconSet iconSet="3Symbols2" showValue="0">
        <cfvo type="percent" val="0"/>
        <cfvo type="num" val="0"/>
        <cfvo type="num" val="1"/>
      </iconSet>
    </cfRule>
  </conditionalFormatting>
  <conditionalFormatting sqref="D140">
    <cfRule type="iconSet" priority="1082">
      <iconSet iconSet="3Symbols2" showValue="0">
        <cfvo type="percent" val="0"/>
        <cfvo type="num" val="0"/>
        <cfvo type="num" val="1"/>
      </iconSet>
    </cfRule>
  </conditionalFormatting>
  <conditionalFormatting sqref="D149">
    <cfRule type="iconSet" priority="1083">
      <iconSet iconSet="3Symbols2" showValue="0">
        <cfvo type="percent" val="0"/>
        <cfvo type="num" val="0"/>
        <cfvo type="num" val="1"/>
      </iconSet>
    </cfRule>
  </conditionalFormatting>
  <conditionalFormatting sqref="D2">
    <cfRule type="iconSet" priority="47">
      <iconSet iconSet="3Symbols2" showValue="0">
        <cfvo type="percent" val="0"/>
        <cfvo type="num" val="0"/>
        <cfvo type="num" val="1"/>
      </iconSet>
    </cfRule>
  </conditionalFormatting>
  <conditionalFormatting sqref="D3">
    <cfRule type="iconSet" priority="12">
      <iconSet iconSet="3Symbols2" showValue="0">
        <cfvo type="percent" val="0"/>
        <cfvo type="num" val="0"/>
        <cfvo type="num" val="1"/>
      </iconSet>
    </cfRule>
    <cfRule type="iconSet" priority="46">
      <iconSet iconSet="3Symbols2" showValue="0">
        <cfvo type="percent" val="0"/>
        <cfvo type="num" val="0"/>
        <cfvo type="num" val="1"/>
      </iconSet>
    </cfRule>
  </conditionalFormatting>
  <conditionalFormatting sqref="D14">
    <cfRule type="iconSet" priority="43">
      <iconSet iconSet="3Symbols2" showValue="0">
        <cfvo type="percent" val="0"/>
        <cfvo type="num" val="0"/>
        <cfvo type="num" val="1"/>
      </iconSet>
    </cfRule>
  </conditionalFormatting>
  <conditionalFormatting sqref="D69">
    <cfRule type="iconSet" priority="26">
      <iconSet iconSet="3Symbols2" showValue="0">
        <cfvo type="percent" val="0"/>
        <cfvo type="num" val="0"/>
        <cfvo type="num" val="1"/>
      </iconSet>
    </cfRule>
  </conditionalFormatting>
  <conditionalFormatting sqref="D76">
    <cfRule type="iconSet" priority="24">
      <iconSet iconSet="3Symbols2" showValue="0">
        <cfvo type="percent" val="0"/>
        <cfvo type="num" val="0"/>
        <cfvo type="num" val="1"/>
      </iconSet>
    </cfRule>
    <cfRule type="iconSet" priority="25">
      <iconSet iconSet="3Symbols2">
        <cfvo type="percent" val="0"/>
        <cfvo type="num" val="0"/>
        <cfvo type="num" val="1"/>
      </iconSet>
    </cfRule>
  </conditionalFormatting>
  <conditionalFormatting sqref="D82">
    <cfRule type="iconSet" priority="22">
      <iconSet iconSet="3Symbols2" showValue="0">
        <cfvo type="percent" val="0"/>
        <cfvo type="num" val="0"/>
        <cfvo type="num" val="1"/>
      </iconSet>
    </cfRule>
    <cfRule type="iconSet" priority="23">
      <iconSet iconSet="3Symbols2">
        <cfvo type="percent" val="0"/>
        <cfvo type="num" val="0"/>
        <cfvo type="num" val="1"/>
      </iconSet>
    </cfRule>
  </conditionalFormatting>
  <conditionalFormatting sqref="D157">
    <cfRule type="iconSet" priority="21">
      <iconSet iconSet="3Symbols2" showValue="0">
        <cfvo type="percent" val="0"/>
        <cfvo type="num" val="0"/>
        <cfvo type="num" val="1"/>
      </iconSet>
    </cfRule>
  </conditionalFormatting>
  <conditionalFormatting sqref="D167">
    <cfRule type="iconSet" priority="20">
      <iconSet iconSet="3Symbols2" showValue="0">
        <cfvo type="percent" val="0"/>
        <cfvo type="num" val="0"/>
        <cfvo type="num" val="1"/>
      </iconSet>
    </cfRule>
  </conditionalFormatting>
  <conditionalFormatting sqref="D16">
    <cfRule type="iconSet" priority="19">
      <iconSet iconSet="3Symbols2" showValue="0">
        <cfvo type="percent" val="0"/>
        <cfvo type="num" val="0"/>
        <cfvo type="num" val="1"/>
      </iconSet>
    </cfRule>
  </conditionalFormatting>
  <conditionalFormatting sqref="D175">
    <cfRule type="iconSet" priority="18">
      <iconSet iconSet="3Symbols2" showValue="0">
        <cfvo type="percent" val="0"/>
        <cfvo type="num" val="0"/>
        <cfvo type="num" val="1"/>
      </iconSet>
    </cfRule>
  </conditionalFormatting>
  <conditionalFormatting sqref="D192:D193">
    <cfRule type="iconSet" priority="1084">
      <iconSet iconSet="3Symbols2" showValue="0">
        <cfvo type="percent" val="0"/>
        <cfvo type="num" val="0"/>
        <cfvo type="num" val="1"/>
      </iconSet>
    </cfRule>
  </conditionalFormatting>
  <conditionalFormatting sqref="D6">
    <cfRule type="iconSet" priority="1085">
      <iconSet iconSet="3Symbols2" showValue="0">
        <cfvo type="percent" val="0"/>
        <cfvo type="num" val="0"/>
        <cfvo type="num" val="1"/>
      </iconSet>
    </cfRule>
    <cfRule type="iconSet" priority="1085">
      <iconSet iconSet="3Symbols2">
        <cfvo type="percent" val="0"/>
        <cfvo type="num" val="0"/>
        <cfvo type="num" val="1"/>
      </iconSet>
    </cfRule>
    <cfRule type="iconSet" priority="1086">
      <iconSet showValue="0">
        <cfvo type="percent" val="0"/>
        <cfvo type="percent" val="33"/>
        <cfvo type="percent" val="67"/>
      </iconSet>
    </cfRule>
    <cfRule type="iconSet" priority="1087">
      <iconSet iconSet="3Symbols2">
        <cfvo type="percent" val="0"/>
        <cfvo type="num" val="0"/>
        <cfvo type="num" val="1"/>
      </iconSet>
    </cfRule>
  </conditionalFormatting>
  <conditionalFormatting sqref="D120">
    <cfRule type="iconSet" priority="1209">
      <iconSet iconSet="3Symbols2" showValue="0">
        <cfvo type="percent" val="0"/>
        <cfvo type="num" val="0"/>
        <cfvo type="num" val="1"/>
      </iconSet>
    </cfRule>
  </conditionalFormatting>
  <conditionalFormatting sqref="D8">
    <cfRule type="iconSet" priority="1390">
      <iconSet iconSet="3Symbols2" showValue="0">
        <cfvo type="percent" val="0"/>
        <cfvo type="num" val="0"/>
        <cfvo type="num" val="1"/>
      </iconSet>
    </cfRule>
  </conditionalFormatting>
  <conditionalFormatting sqref="D6:D7">
    <cfRule type="iconSet" priority="10">
      <iconSet iconSet="3Symbols2" showValue="0">
        <cfvo type="percent" val="0"/>
        <cfvo type="num" val="0"/>
        <cfvo type="num" val="1"/>
      </iconSet>
    </cfRule>
    <cfRule type="iconSet" priority="1444">
      <iconSet iconSet="3Symbols2" showValue="0">
        <cfvo type="percent" val="0"/>
        <cfvo type="num" val="0"/>
        <cfvo type="num" val="1"/>
      </iconSet>
    </cfRule>
  </conditionalFormatting>
  <conditionalFormatting sqref="D176:D177 D179:D191">
    <cfRule type="iconSet" priority="1445">
      <iconSet iconSet="3Symbols2" showValue="0">
        <cfvo type="percent" val="0"/>
        <cfvo type="num" val="0"/>
        <cfvo type="num" val="1"/>
      </iconSet>
    </cfRule>
  </conditionalFormatting>
  <conditionalFormatting sqref="D28:D32">
    <cfRule type="iconSet" priority="9">
      <iconSet iconSet="3Symbols2" showValue="0">
        <cfvo type="percent" val="0"/>
        <cfvo type="num" val="0"/>
        <cfvo type="num" val="1"/>
      </iconSet>
    </cfRule>
  </conditionalFormatting>
  <conditionalFormatting sqref="D33:D36">
    <cfRule type="iconSet" priority="8">
      <iconSet iconSet="3Symbols2" showValue="0">
        <cfvo type="percent" val="0"/>
        <cfvo type="num" val="0"/>
        <cfvo type="num" val="1"/>
      </iconSet>
    </cfRule>
  </conditionalFormatting>
  <conditionalFormatting sqref="D41:D44">
    <cfRule type="iconSet" priority="7">
      <iconSet iconSet="3Symbols2" showValue="0">
        <cfvo type="percent" val="0"/>
        <cfvo type="num" val="0"/>
        <cfvo type="num" val="1"/>
      </iconSet>
    </cfRule>
  </conditionalFormatting>
  <conditionalFormatting sqref="D49:D52">
    <cfRule type="iconSet" priority="6">
      <iconSet iconSet="3Symbols2" showValue="0">
        <cfvo type="percent" val="0"/>
        <cfvo type="num" val="0"/>
        <cfvo type="num" val="1"/>
      </iconSet>
    </cfRule>
  </conditionalFormatting>
  <conditionalFormatting sqref="D57:D60">
    <cfRule type="iconSet" priority="5">
      <iconSet iconSet="3Symbols2" showValue="0">
        <cfvo type="percent" val="0"/>
        <cfvo type="num" val="0"/>
        <cfvo type="num" val="1"/>
      </iconSet>
    </cfRule>
  </conditionalFormatting>
  <conditionalFormatting sqref="D37:D40">
    <cfRule type="iconSet" priority="4">
      <iconSet iconSet="3Symbols2" showValue="0">
        <cfvo type="percent" val="0"/>
        <cfvo type="num" val="0"/>
        <cfvo type="num" val="1"/>
      </iconSet>
    </cfRule>
  </conditionalFormatting>
  <conditionalFormatting sqref="D45:D48">
    <cfRule type="iconSet" priority="3">
      <iconSet iconSet="3Symbols2" showValue="0">
        <cfvo type="percent" val="0"/>
        <cfvo type="num" val="0"/>
        <cfvo type="num" val="1"/>
      </iconSet>
    </cfRule>
  </conditionalFormatting>
  <conditionalFormatting sqref="D53:D56">
    <cfRule type="iconSet" priority="2">
      <iconSet iconSet="3Symbols2" showValue="0">
        <cfvo type="percent" val="0"/>
        <cfvo type="num" val="0"/>
        <cfvo type="num" val="1"/>
      </iconSet>
    </cfRule>
  </conditionalFormatting>
  <conditionalFormatting sqref="D61:D64">
    <cfRule type="iconSet" priority="1">
      <iconSet iconSet="3Symbols2" showValue="0">
        <cfvo type="percent" val="0"/>
        <cfvo type="num" val="0"/>
        <cfvo type="num" val="1"/>
      </iconSet>
    </cfRule>
  </conditionalFormatting>
  <hyperlinks>
    <hyperlink ref="C65" r:id="rId1" display="https://jenkins.us.planview.world/job/deploy_sql_cu_pipe/"/>
    <hyperlink ref="C176" r:id="rId2" location="/ccu-main" display="https://control.akamai.com/apps/fast-purge/ - /ccu-main"/>
    <hyperlink ref="C175" r:id="rId3"/>
    <hyperlink ref="C3" r:id="rId4" display="https://planview.lightning.force.com/lightning"/>
  </hyperlinks>
  <pageMargins left="0.7" right="0.7" top="0.75" bottom="0.75" header="0.3" footer="0.3"/>
  <pageSetup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80"/>
  <sheetViews>
    <sheetView topLeftCell="A109" zoomScale="85" zoomScaleNormal="85" workbookViewId="0">
      <selection activeCell="C144" sqref="C144"/>
    </sheetView>
  </sheetViews>
  <sheetFormatPr defaultRowHeight="15"/>
  <cols>
    <col min="1" max="1" width="9.140625" style="8"/>
    <col min="2" max="2" width="81.7109375" style="2" bestFit="1" customWidth="1"/>
    <col min="3" max="3" width="113.85546875" bestFit="1" customWidth="1"/>
    <col min="4" max="4" width="26" bestFit="1" customWidth="1"/>
    <col min="5" max="5" width="28.7109375" style="267" bestFit="1" customWidth="1"/>
  </cols>
  <sheetData>
    <row r="1" spans="1:5" ht="18">
      <c r="A1" s="287"/>
      <c r="B1" s="274" t="s">
        <v>204</v>
      </c>
      <c r="C1" s="288" t="s">
        <v>136</v>
      </c>
      <c r="D1" s="274" t="s">
        <v>137</v>
      </c>
      <c r="E1" s="275" t="s">
        <v>98</v>
      </c>
    </row>
    <row r="2" spans="1:5">
      <c r="A2" s="791">
        <v>1</v>
      </c>
      <c r="B2" s="293">
        <f>('Upgrade Data'!F14)</f>
        <v>0</v>
      </c>
      <c r="C2" s="67" t="s">
        <v>171</v>
      </c>
      <c r="D2" s="285"/>
      <c r="E2" s="286"/>
    </row>
    <row r="3" spans="1:5" ht="90">
      <c r="A3" s="247">
        <v>2</v>
      </c>
      <c r="B3" s="318" t="s">
        <v>205</v>
      </c>
      <c r="C3" s="124" t="s">
        <v>206</v>
      </c>
      <c r="D3" s="268"/>
      <c r="E3" s="262"/>
    </row>
    <row r="4" spans="1:5">
      <c r="A4" s="813">
        <v>3</v>
      </c>
      <c r="B4" s="197"/>
      <c r="C4" s="215" t="s">
        <v>175</v>
      </c>
      <c r="D4" s="823"/>
      <c r="E4" s="263"/>
    </row>
    <row r="5" spans="1:5">
      <c r="A5" s="814"/>
      <c r="B5" s="319" t="s">
        <v>207</v>
      </c>
      <c r="C5" s="216" t="str">
        <f>_xlfn.CONCAT(AutoPop!E119 &amp;'Upgrade Data'!I9&amp; "'," &amp; "'"&amp;'Upgrade Data'!I10&amp; "'," &amp; "'"&amp;'Upgrade Data'!I11&amp; "'," &amp; "'"&amp;'Upgrade Data'!I12&amp; "'," &amp; "'"&amp;'Upgrade Data'!I13&amp; "'"&amp; AutoPop!F119)</f>
        <v>Set-DataDogMaintWin -hosts @('0','0','0','0','0') -End $(get-date).AddHours(4)</v>
      </c>
      <c r="D5" s="824"/>
      <c r="E5" s="264"/>
    </row>
    <row r="6" spans="1:5">
      <c r="A6" s="814"/>
      <c r="B6" s="197"/>
      <c r="C6" s="116" t="str">
        <f>IF('Upgrade Data'!B5=5,_xlfn.CONCAT(AutoPop!E119&amp;'Upgrade Data'!J10&amp;"',"&amp;"'"&amp;'Upgrade Data'!J11&amp;"',"&amp;"'"&amp;'Upgrade Data'!J11&amp;"',"&amp;"'"&amp;'Upgrade Data'!J13&amp;"'"&amp;AutoPop!F119),IF('Upgrade Data'!B5=4,_xlfn.CONCAT(AutoPop!E119&amp;'Upgrade Data'!J10&amp;"',"&amp;"'"&amp;'Upgrade Data'!J11&amp;"',"&amp;"'"&amp;'Upgrade Data'!J11&amp;"'"&amp;AutoPop!F119),IF('Upgrade Data'!B5=3,_xlfn.CONCAT(AutoPop!E119&amp;'Upgrade Data'!J10&amp;"',"&amp;"'"&amp;'Upgrade Data'!J11&amp;"'"&amp;AutoPop!F119),IF('Upgrade Data'!B5=2,_xlfn.CONCAT(AutoPop!E119&amp;'Upgrade Data'!J10&amp;"'"&amp;AutoPop!F119),""))))</f>
        <v/>
      </c>
      <c r="D6" s="824"/>
      <c r="E6" s="264"/>
    </row>
    <row r="7" spans="1:5">
      <c r="A7" s="815">
        <v>4</v>
      </c>
      <c r="B7" s="310" t="s">
        <v>177</v>
      </c>
      <c r="C7" s="206" t="str">
        <f>_xlfn.CONCAT("Restart-Computer -ComputerName ",'Upgrade Data'!I9 &amp; ", ",'Upgrade Data'!I10 &amp; ", ",'Upgrade Data'!I11 &amp; ", ",'Upgrade Data'!I12 &amp;" -force")</f>
        <v>Restart-Computer -ComputerName 0, 0, 0, 0 -force</v>
      </c>
      <c r="D7" s="819"/>
      <c r="E7" s="848"/>
    </row>
    <row r="8" spans="1:5">
      <c r="A8" s="817"/>
      <c r="B8" s="320" t="str">
        <f>IF('Upgrade Data'!J10="","","Reboot additional Web Servers")</f>
        <v/>
      </c>
      <c r="C8" s="56" t="str">
        <f>IF('Upgrade Data'!B5=5,_xlfn.CONCAT(AutoPop!E119&amp;'Upgrade Data'!J10&amp;"',"&amp;"'"&amp;'Upgrade Data'!J11&amp;"',"&amp;"'"&amp;'Upgrade Data'!J12&amp;"',"&amp;"'"&amp;'Upgrade Data'!J13&amp;"'"&amp;AutoPop!F119),IF('Upgrade Data'!B5=4,_xlfn.CONCAT(AutoPop!E119&amp;'Upgrade Data'!J10&amp;"',"&amp;"'"&amp;'Upgrade Data'!J11&amp;"',"&amp;"'"&amp;'Upgrade Data'!J12&amp;"'"&amp;AutoPop!F119),IF('Upgrade Data'!B5=3,_xlfn.CONCAT(AutoPop!E119&amp;'Upgrade Data'!J10&amp;"',"&amp;"'"&amp;'Upgrade Data'!J11&amp;"'"&amp;AutoPop!F119),IF('Upgrade Data'!B5=2,_xlfn.CONCAT(AutoPop!E119&amp;'Upgrade Data'!J10&amp;"'"&amp;AutoPop!F119),""))))</f>
        <v/>
      </c>
      <c r="D8" s="820"/>
      <c r="E8" s="850"/>
    </row>
    <row r="9" spans="1:5">
      <c r="A9" s="874">
        <v>5</v>
      </c>
      <c r="B9" s="381" t="s">
        <v>208</v>
      </c>
      <c r="C9" s="253" t="str">
        <f>_xlfn.CONCAT(AutoPop!B83,AutoPop!C75)</f>
        <v>Enter-PSSession -ComputerName 0.sydney.planviewcloud.net</v>
      </c>
      <c r="D9" s="823"/>
      <c r="E9" s="870"/>
    </row>
    <row r="10" spans="1:5">
      <c r="A10" s="874"/>
      <c r="B10" s="321"/>
      <c r="C10" s="219" t="str">
        <f>_xlfn.CONCAT(AutoPop!B90 &amp; " " &amp; AutoPop!C91 &amp; " " &amp; AutoPop!D90)</f>
        <v>NET Stop PVAccessManager</v>
      </c>
      <c r="D10" s="824"/>
      <c r="E10" s="871"/>
    </row>
    <row r="11" spans="1:5">
      <c r="A11" s="874"/>
      <c r="B11" s="321"/>
      <c r="C11" s="219" t="str">
        <f>_xlfn.CONCAT(AutoPop!B90 &amp; " " &amp; AutoPop!C91 &amp; " " &amp; AutoPop!D91)</f>
        <v>NET Stop PlanviewAdminService</v>
      </c>
      <c r="D11" s="824"/>
      <c r="E11" s="871"/>
    </row>
    <row r="12" spans="1:5">
      <c r="A12" s="874"/>
      <c r="B12" s="321"/>
      <c r="C12" s="189" t="str">
        <f>_xlfn.CONCAT(AutoPop!B90 &amp; " " &amp; AutoPop!C91 &amp; " " &amp; AutoPop!D92)</f>
        <v>NET Stop PVCalendarServer</v>
      </c>
      <c r="D12" s="824"/>
      <c r="E12" s="871"/>
    </row>
    <row r="13" spans="1:5">
      <c r="A13" s="874"/>
      <c r="B13" s="321"/>
      <c r="C13" s="219" t="str">
        <f>_xlfn.CONCAT(AutoPop!B90 &amp; " " &amp; AutoPop!C91 &amp; " " &amp; AutoPop!D93)</f>
        <v>NET Stop "PlanView Content Management Index Manager"</v>
      </c>
      <c r="D13" s="824"/>
      <c r="E13" s="871"/>
    </row>
    <row r="14" spans="1:5">
      <c r="A14" s="874"/>
      <c r="B14" s="321"/>
      <c r="C14" s="189" t="str">
        <f>_xlfn.CONCAT(AutoPop!B90 &amp; " " &amp; AutoPop!C91 &amp; " " &amp; AutoPop!D94)</f>
        <v>NET Stop PlanviewEnterpriseScheduler</v>
      </c>
      <c r="D14" s="824"/>
      <c r="E14" s="871"/>
    </row>
    <row r="15" spans="1:5">
      <c r="A15" s="874"/>
      <c r="B15" s="321"/>
      <c r="C15" s="219" t="str">
        <f>(AutoPop!D101)</f>
        <v>iisreset /stop</v>
      </c>
      <c r="D15" s="824"/>
      <c r="E15" s="871"/>
    </row>
    <row r="16" spans="1:5">
      <c r="A16" s="874"/>
      <c r="B16" s="382"/>
      <c r="C16" s="254" t="s">
        <v>209</v>
      </c>
      <c r="D16" s="825"/>
      <c r="E16" s="871"/>
    </row>
    <row r="17" spans="1:5">
      <c r="A17" s="874"/>
      <c r="B17" s="383"/>
      <c r="C17" s="255" t="str">
        <f>_xlfn.CONCAT(AutoPop!B84,AutoPop!C75)</f>
        <v>Enter-PSSession -ComputerName 0.sydney.planviewcloud.net</v>
      </c>
      <c r="D17" s="819"/>
      <c r="E17" s="859"/>
    </row>
    <row r="18" spans="1:5">
      <c r="A18" s="874"/>
      <c r="B18" s="378"/>
      <c r="C18" s="223" t="str">
        <f>_xlfn.CONCAT(AutoPop!B90 &amp; " " &amp; AutoPop!C91 &amp; " " &amp; AutoPop!D95)</f>
        <v>NET Stop PlanviewEnterpriseJobexecution</v>
      </c>
      <c r="D18" s="837"/>
      <c r="E18" s="859"/>
    </row>
    <row r="19" spans="1:5">
      <c r="A19" s="874"/>
      <c r="B19" s="379"/>
      <c r="C19" s="223" t="str">
        <f>_xlfn.CONCAT(AutoPop!B90 &amp; " " &amp; AutoPop!C91 &amp; " " &amp; AutoPop!D96)</f>
        <v>NET Stop tesegate</v>
      </c>
      <c r="D19" s="837"/>
      <c r="E19" s="859"/>
    </row>
    <row r="20" spans="1:5">
      <c r="A20" s="874"/>
      <c r="B20" s="380"/>
      <c r="C20" s="256" t="s">
        <v>209</v>
      </c>
      <c r="D20" s="820"/>
      <c r="E20" s="859"/>
    </row>
    <row r="21" spans="1:5">
      <c r="A21" s="874"/>
      <c r="B21" s="353" t="str">
        <f>IF('Upgrade Data'!J10="","No Additional Web Servers","")</f>
        <v>No Additional Web Servers</v>
      </c>
      <c r="C21" s="253" t="str">
        <f>IF('Upgrade Data'!B5&lt;=1,"",_xlfn.CONCAT(AutoPop!B78,'Upgrade Data'!J10,AutoPop!C75))</f>
        <v/>
      </c>
      <c r="D21" s="876">
        <f>IF(B21="No Additional Web Servers",1,"")</f>
        <v>1</v>
      </c>
      <c r="E21" s="871" t="str">
        <f>IF(B21="No Additional Web Servers","Automated Complete
no additional web servers","")</f>
        <v>Automated Complete
no additional web servers</v>
      </c>
    </row>
    <row r="22" spans="1:5">
      <c r="A22" s="874"/>
      <c r="B22" s="322"/>
      <c r="C22" s="219" t="str">
        <f>IF(C21="","",C10)</f>
        <v/>
      </c>
      <c r="D22" s="877"/>
      <c r="E22" s="871"/>
    </row>
    <row r="23" spans="1:5">
      <c r="A23" s="874"/>
      <c r="B23" s="321"/>
      <c r="C23" s="230" t="str">
        <f>IF(C21="","",C11)</f>
        <v/>
      </c>
      <c r="D23" s="877"/>
      <c r="E23" s="871"/>
    </row>
    <row r="24" spans="1:5">
      <c r="A24" s="874"/>
      <c r="B24" s="295"/>
      <c r="C24" s="219" t="str">
        <f>IF(C21="","",C12)</f>
        <v/>
      </c>
      <c r="D24" s="877"/>
      <c r="E24" s="871"/>
    </row>
    <row r="25" spans="1:5">
      <c r="A25" s="874"/>
      <c r="B25" s="322"/>
      <c r="C25" s="219" t="str">
        <f>IF(C21="","",C13)</f>
        <v/>
      </c>
      <c r="D25" s="877"/>
      <c r="E25" s="871"/>
    </row>
    <row r="26" spans="1:5" ht="14.25" customHeight="1">
      <c r="A26" s="874"/>
      <c r="B26" s="322"/>
      <c r="C26" s="219" t="str">
        <f>IF(C21="","",C14)</f>
        <v/>
      </c>
      <c r="D26" s="877"/>
      <c r="E26" s="871"/>
    </row>
    <row r="27" spans="1:5" ht="14.25" customHeight="1">
      <c r="A27" s="874"/>
      <c r="B27" s="321"/>
      <c r="C27" s="219" t="str">
        <f>IF(C21="","",C15)</f>
        <v/>
      </c>
      <c r="D27" s="877"/>
      <c r="E27" s="871"/>
    </row>
    <row r="28" spans="1:5" ht="14.25" customHeight="1">
      <c r="A28" s="874"/>
      <c r="B28" s="325"/>
      <c r="C28" s="254" t="str">
        <f>IF(C21="","",C16)</f>
        <v/>
      </c>
      <c r="D28" s="878"/>
      <c r="E28" s="871"/>
    </row>
    <row r="29" spans="1:5" ht="14.25" customHeight="1">
      <c r="A29" s="874"/>
      <c r="B29" s="350" t="str">
        <f>IF('Upgrade Data'!J11="","No Additional Web Servers","")</f>
        <v>No Additional Web Servers</v>
      </c>
      <c r="C29" s="257" t="str">
        <f>IF('Upgrade Data'!B5&lt;=2,"",_xlfn.CONCAT(AutoPop!B78,'Upgrade Data'!J11,AutoPop!C75))</f>
        <v/>
      </c>
      <c r="D29" s="819">
        <f>IF(B29="No Additional Web Servers",1,"")</f>
        <v>1</v>
      </c>
      <c r="E29" s="859" t="str">
        <f>IF(B29="No Additional Web Servers","Automated Complete
no additional web servers","")</f>
        <v>Automated Complete
no additional web servers</v>
      </c>
    </row>
    <row r="30" spans="1:5" ht="14.25" customHeight="1">
      <c r="A30" s="874"/>
      <c r="B30" s="377"/>
      <c r="C30" s="217" t="str">
        <f>IF(C29="","",C10)</f>
        <v/>
      </c>
      <c r="D30" s="837"/>
      <c r="E30" s="859"/>
    </row>
    <row r="31" spans="1:5" ht="14.25" customHeight="1">
      <c r="A31" s="874"/>
      <c r="B31" s="379"/>
      <c r="C31" s="223" t="str">
        <f>IF(C29="","",C11)</f>
        <v/>
      </c>
      <c r="D31" s="837"/>
      <c r="E31" s="859"/>
    </row>
    <row r="32" spans="1:5" ht="14.25" customHeight="1">
      <c r="A32" s="874"/>
      <c r="B32" s="379"/>
      <c r="C32" s="223" t="str">
        <f>IF(C29="","",C12)</f>
        <v/>
      </c>
      <c r="D32" s="837"/>
      <c r="E32" s="859"/>
    </row>
    <row r="33" spans="1:5" ht="14.25" customHeight="1">
      <c r="A33" s="874"/>
      <c r="B33" s="379"/>
      <c r="C33" s="223" t="str">
        <f>IF(C29="","",C13)</f>
        <v/>
      </c>
      <c r="D33" s="837"/>
      <c r="E33" s="859"/>
    </row>
    <row r="34" spans="1:5">
      <c r="A34" s="874"/>
      <c r="B34" s="379"/>
      <c r="C34" s="223" t="str">
        <f>IF(C29="","",C14)</f>
        <v/>
      </c>
      <c r="D34" s="837"/>
      <c r="E34" s="859"/>
    </row>
    <row r="35" spans="1:5">
      <c r="A35" s="874"/>
      <c r="B35" s="379"/>
      <c r="C35" s="217" t="str">
        <f>IF(C29="","",C15)</f>
        <v/>
      </c>
      <c r="D35" s="837"/>
      <c r="E35" s="859"/>
    </row>
    <row r="36" spans="1:5">
      <c r="A36" s="874"/>
      <c r="B36" s="380"/>
      <c r="C36" s="258" t="str">
        <f>IF(C29="","",C16)</f>
        <v/>
      </c>
      <c r="D36" s="820"/>
      <c r="E36" s="859"/>
    </row>
    <row r="37" spans="1:5">
      <c r="A37" s="874"/>
      <c r="B37" s="385" t="str">
        <f>IF('Upgrade Data'!J12="","No Additional Web Servers","")</f>
        <v>No Additional Web Servers</v>
      </c>
      <c r="C37" s="253" t="str">
        <f>IF('Upgrade Data'!B5&lt;=3,"",_xlfn.CONCAT(AutoPop!B78,'Upgrade Data'!J12,AutoPop!C75))</f>
        <v/>
      </c>
      <c r="D37" s="823">
        <f>IF(B37="No Additional Web Servers",1,"")</f>
        <v>1</v>
      </c>
      <c r="E37" s="871" t="str">
        <f>IF(B37="No Additional Web Servers","Automated Complete
no additional web servers","")</f>
        <v>Automated Complete
no additional web servers</v>
      </c>
    </row>
    <row r="38" spans="1:5">
      <c r="A38" s="874"/>
      <c r="B38" s="295"/>
      <c r="C38" s="219" t="str">
        <f>IF(C37="","",C10)</f>
        <v/>
      </c>
      <c r="D38" s="824"/>
      <c r="E38" s="871"/>
    </row>
    <row r="39" spans="1:5">
      <c r="A39" s="874"/>
      <c r="B39" s="322"/>
      <c r="C39" s="189" t="str">
        <f>IF(C37="","",C11)</f>
        <v/>
      </c>
      <c r="D39" s="824"/>
      <c r="E39" s="871"/>
    </row>
    <row r="40" spans="1:5">
      <c r="A40" s="874"/>
      <c r="B40" s="322"/>
      <c r="C40" s="219" t="str">
        <f>IF(C37="","",C12)</f>
        <v/>
      </c>
      <c r="D40" s="824"/>
      <c r="E40" s="871"/>
    </row>
    <row r="41" spans="1:5">
      <c r="A41" s="874"/>
      <c r="B41" s="321"/>
      <c r="C41" s="219" t="str">
        <f>IF(C37="","",C13)</f>
        <v/>
      </c>
      <c r="D41" s="824"/>
      <c r="E41" s="871"/>
    </row>
    <row r="42" spans="1:5">
      <c r="A42" s="874"/>
      <c r="B42" s="321"/>
      <c r="C42" s="231" t="str">
        <f>IF(C37="","",C14)</f>
        <v/>
      </c>
      <c r="D42" s="824"/>
      <c r="E42" s="871"/>
    </row>
    <row r="43" spans="1:5">
      <c r="A43" s="874"/>
      <c r="B43" s="321"/>
      <c r="C43" s="219" t="str">
        <f>IF(C37="","",C15)</f>
        <v/>
      </c>
      <c r="D43" s="824"/>
      <c r="E43" s="871"/>
    </row>
    <row r="44" spans="1:5">
      <c r="A44" s="874"/>
      <c r="B44" s="382"/>
      <c r="C44" s="254" t="str">
        <f>IF(C37="","",C16)</f>
        <v/>
      </c>
      <c r="D44" s="825"/>
      <c r="E44" s="871"/>
    </row>
    <row r="45" spans="1:5">
      <c r="A45" s="874"/>
      <c r="B45" s="384" t="str">
        <f>IF('Upgrade Data'!J13="","No Additional Web Servers","")</f>
        <v>No Additional Web Servers</v>
      </c>
      <c r="C45" s="257" t="str">
        <f>IF('Upgrade Data'!B5&lt;=4,"",_xlfn.CONCAT(AutoPop!B78,'Upgrade Data'!J13,AutoPop!C75))</f>
        <v/>
      </c>
      <c r="D45" s="819">
        <f>IF(B45="No Additional Web Servers",1,"")</f>
        <v>1</v>
      </c>
      <c r="E45" s="859" t="str">
        <f>IF(B45="No Additional Web Servers","Automated Complete
no additional web servers","")</f>
        <v>Automated Complete
no additional web servers</v>
      </c>
    </row>
    <row r="46" spans="1:5">
      <c r="A46" s="874"/>
      <c r="B46" s="379"/>
      <c r="C46" s="217" t="str">
        <f>IF(C45="","",C10)</f>
        <v/>
      </c>
      <c r="D46" s="837"/>
      <c r="E46" s="859"/>
    </row>
    <row r="47" spans="1:5">
      <c r="A47" s="874"/>
      <c r="B47" s="377"/>
      <c r="C47" s="223" t="str">
        <f>IF(C45="","",C11)</f>
        <v/>
      </c>
      <c r="D47" s="837"/>
      <c r="E47" s="859"/>
    </row>
    <row r="48" spans="1:5">
      <c r="A48" s="874"/>
      <c r="B48" s="379"/>
      <c r="C48" s="217" t="str">
        <f>IF(C45="","",C12)</f>
        <v/>
      </c>
      <c r="D48" s="837"/>
      <c r="E48" s="859"/>
    </row>
    <row r="49" spans="1:5">
      <c r="A49" s="874"/>
      <c r="B49" s="377"/>
      <c r="C49" s="259" t="str">
        <f>IF(C45="","",C13)</f>
        <v/>
      </c>
      <c r="D49" s="837"/>
      <c r="E49" s="859"/>
    </row>
    <row r="50" spans="1:5">
      <c r="A50" s="874"/>
      <c r="B50" s="378"/>
      <c r="C50" s="223" t="str">
        <f>IF(C45="","",C14)</f>
        <v/>
      </c>
      <c r="D50" s="837"/>
      <c r="E50" s="859"/>
    </row>
    <row r="51" spans="1:5">
      <c r="A51" s="874"/>
      <c r="B51" s="378"/>
      <c r="C51" s="217" t="str">
        <f>IF(C45="","",C15)</f>
        <v/>
      </c>
      <c r="D51" s="837"/>
      <c r="E51" s="859"/>
    </row>
    <row r="52" spans="1:5">
      <c r="A52" s="875"/>
      <c r="B52" s="380"/>
      <c r="C52" s="258" t="str">
        <f>IF(C45="","",C16)</f>
        <v/>
      </c>
      <c r="D52" s="820"/>
      <c r="E52" s="859"/>
    </row>
    <row r="53" spans="1:5">
      <c r="A53" s="815">
        <v>6</v>
      </c>
      <c r="B53" s="326" t="s">
        <v>210</v>
      </c>
      <c r="C53" s="236" t="str">
        <f>(Other!D9)</f>
        <v xml:space="preserve">DECLARE @name VARCHAR(50) -- database name  </v>
      </c>
      <c r="D53" s="819"/>
      <c r="E53" s="848"/>
    </row>
    <row r="54" spans="1:5">
      <c r="A54" s="816"/>
      <c r="B54" s="326"/>
      <c r="C54" s="237" t="str">
        <f>(Other!D10)</f>
        <v xml:space="preserve">DECLARE @path VARCHAR(256) -- path for backup files  </v>
      </c>
      <c r="D54" s="837"/>
      <c r="E54" s="849"/>
    </row>
    <row r="55" spans="1:5">
      <c r="A55" s="816"/>
      <c r="B55" s="326"/>
      <c r="C55" s="238" t="str">
        <f>(Other!D11)</f>
        <v xml:space="preserve">DECLARE @fileName VARCHAR(256) -- filename for backup  </v>
      </c>
      <c r="D55" s="837"/>
      <c r="E55" s="849"/>
    </row>
    <row r="56" spans="1:5">
      <c r="A56" s="816"/>
      <c r="B56" s="326"/>
      <c r="C56" s="238" t="str">
        <f>(Other!D12)</f>
        <v>DECLARE @fileDate VARCHAR(20) -- used for file name</v>
      </c>
      <c r="D56" s="837"/>
      <c r="E56" s="849"/>
    </row>
    <row r="57" spans="1:5">
      <c r="A57" s="816"/>
      <c r="B57" s="326"/>
      <c r="C57" s="236" t="str">
        <f>(Other!D13)</f>
        <v>-- specify database backup directory</v>
      </c>
      <c r="D57" s="837"/>
      <c r="E57" s="849"/>
    </row>
    <row r="58" spans="1:5">
      <c r="A58" s="816"/>
      <c r="B58" s="326"/>
      <c r="C58" s="238" t="str">
        <f>(Other!D14)</f>
        <v xml:space="preserve">SET @path = 'F:\SQLBackup\'  </v>
      </c>
      <c r="D58" s="837"/>
      <c r="E58" s="849"/>
    </row>
    <row r="59" spans="1:5">
      <c r="A59" s="816"/>
      <c r="B59" s="326"/>
      <c r="C59" s="239" t="str">
        <f>(Other!D15)</f>
        <v>-- specify filename format</v>
      </c>
      <c r="D59" s="837"/>
      <c r="E59" s="849"/>
    </row>
    <row r="60" spans="1:5">
      <c r="A60" s="816"/>
      <c r="B60" s="326"/>
      <c r="C60" s="236" t="str">
        <f>(Other!D16)</f>
        <v>SELECT @fileDate = CONVERT(VARCHAR(20),GETDATE(),112) + REPLACE(CONVERT(VARCHAR(20),GETDATE(),108),':','')</v>
      </c>
      <c r="D60" s="837"/>
      <c r="E60" s="849"/>
    </row>
    <row r="61" spans="1:5">
      <c r="A61" s="816"/>
      <c r="B61" s="326"/>
      <c r="C61" s="237" t="str">
        <f>(Other!D17)</f>
        <v xml:space="preserve">DECLARE db_cursor CURSOR READ_ONLY FOR  </v>
      </c>
      <c r="D61" s="837"/>
      <c r="E61" s="849"/>
    </row>
    <row r="62" spans="1:5">
      <c r="A62" s="816"/>
      <c r="B62" s="326"/>
      <c r="C62" s="237" t="str">
        <f>(Other!D18)</f>
        <v>SELECT name</v>
      </c>
      <c r="D62" s="837"/>
      <c r="E62" s="849"/>
    </row>
    <row r="63" spans="1:5">
      <c r="A63" s="816"/>
      <c r="B63" s="326"/>
      <c r="C63" s="237" t="str">
        <f>(Other!D19)</f>
        <v>FROM master.dbo.sysdatabases</v>
      </c>
      <c r="D63" s="837"/>
      <c r="E63" s="849"/>
    </row>
    <row r="64" spans="1:5">
      <c r="A64" s="816"/>
      <c r="B64" s="326"/>
      <c r="C64" s="237" t="str">
        <f>(Other!D20)</f>
        <v xml:space="preserve"> WHERE name NOT IN ('master','model','msdb','tempdb')  -- exclude these databases</v>
      </c>
      <c r="D64" s="837"/>
      <c r="E64" s="849"/>
    </row>
    <row r="65" spans="1:5">
      <c r="A65" s="816"/>
      <c r="B65" s="326"/>
      <c r="C65" s="238" t="str">
        <f>(Other!D21)</f>
        <v xml:space="preserve">OPEN db_cursor   </v>
      </c>
      <c r="D65" s="837"/>
      <c r="E65" s="849"/>
    </row>
    <row r="66" spans="1:5">
      <c r="A66" s="816"/>
      <c r="B66" s="326"/>
      <c r="C66" s="236" t="str">
        <f>(Other!D22)</f>
        <v xml:space="preserve">FETCH NEXT FROM db_cursor INTO @name   </v>
      </c>
      <c r="D66" s="837"/>
      <c r="E66" s="849"/>
    </row>
    <row r="67" spans="1:5">
      <c r="A67" s="816"/>
      <c r="B67" s="326"/>
      <c r="C67" s="237" t="str">
        <f>(Other!D23)</f>
        <v xml:space="preserve">WHILE @@FETCH_STATUS = 0   </v>
      </c>
      <c r="D67" s="837"/>
      <c r="E67" s="849"/>
    </row>
    <row r="68" spans="1:5">
      <c r="A68" s="816"/>
      <c r="B68" s="326"/>
      <c r="C68" s="237" t="str">
        <f>(Other!D24)</f>
        <v xml:space="preserve">BEGIN   </v>
      </c>
      <c r="D68" s="837"/>
      <c r="E68" s="849"/>
    </row>
    <row r="69" spans="1:5">
      <c r="A69" s="816"/>
      <c r="B69" s="326"/>
      <c r="C69" s="237" t="str">
        <f>(Other!D25)</f>
        <v xml:space="preserve">   SET @fileName = @path + @name + '_' + @fileDate + '.BAK'  </v>
      </c>
      <c r="D69" s="837"/>
      <c r="E69" s="849"/>
    </row>
    <row r="70" spans="1:5">
      <c r="A70" s="816"/>
      <c r="B70" s="326"/>
      <c r="C70" s="237" t="str">
        <f>(Other!D26)</f>
        <v xml:space="preserve">   BACKUP DATABASE @name TO DISK = @fileName with compression</v>
      </c>
      <c r="D70" s="837"/>
      <c r="E70" s="849"/>
    </row>
    <row r="71" spans="1:5">
      <c r="A71" s="816"/>
      <c r="B71" s="326"/>
      <c r="C71" s="237" t="str">
        <f>(Other!D27)</f>
        <v xml:space="preserve">   FETCH NEXT FROM db_cursor INTO @name   </v>
      </c>
      <c r="D71" s="837"/>
      <c r="E71" s="849"/>
    </row>
    <row r="72" spans="1:5">
      <c r="A72" s="816"/>
      <c r="B72" s="326"/>
      <c r="C72" s="237" t="str">
        <f>(Other!D28)</f>
        <v xml:space="preserve">END   </v>
      </c>
      <c r="D72" s="837"/>
      <c r="E72" s="849"/>
    </row>
    <row r="73" spans="1:5">
      <c r="A73" s="816"/>
      <c r="B73" s="326"/>
      <c r="C73" s="238" t="str">
        <f>(Other!D29)</f>
        <v xml:space="preserve">CLOSE db_cursor   </v>
      </c>
      <c r="D73" s="837"/>
      <c r="E73" s="849"/>
    </row>
    <row r="74" spans="1:5">
      <c r="A74" s="817"/>
      <c r="B74" s="326"/>
      <c r="C74" s="235" t="str">
        <f>(Other!D30)</f>
        <v>DEALLOCATE db_cursor</v>
      </c>
      <c r="D74" s="820"/>
      <c r="E74" s="850"/>
    </row>
    <row r="75" spans="1:5">
      <c r="A75" s="813">
        <v>7</v>
      </c>
      <c r="B75" s="327" t="s">
        <v>211</v>
      </c>
      <c r="C75" s="202" t="s">
        <v>212</v>
      </c>
      <c r="D75" s="823"/>
      <c r="E75" s="855"/>
    </row>
    <row r="76" spans="1:5">
      <c r="A76" s="814"/>
      <c r="B76" s="328" t="s">
        <v>184</v>
      </c>
      <c r="C76" s="119">
        <f>IF(MasterConfig!B19=TRUE,"",'Upgrade Data'!I9)</f>
        <v>0</v>
      </c>
      <c r="D76" s="824"/>
      <c r="E76" s="856"/>
    </row>
    <row r="77" spans="1:5">
      <c r="A77" s="814"/>
      <c r="B77" s="328" t="s">
        <v>191</v>
      </c>
      <c r="C77" s="83" t="str">
        <f>IF(MasterConfig!B19=TRUE,"",C98)</f>
        <v>0prodswarm</v>
      </c>
      <c r="D77" s="825"/>
      <c r="E77" s="857"/>
    </row>
    <row r="78" spans="1:5">
      <c r="A78" s="814"/>
      <c r="B78" s="329" t="s">
        <v>184</v>
      </c>
      <c r="C78" s="109">
        <f>('Upgrade Data'!I10)</f>
        <v>0</v>
      </c>
      <c r="D78" s="819"/>
      <c r="E78" s="861"/>
    </row>
    <row r="79" spans="1:5">
      <c r="A79" s="814"/>
      <c r="B79" s="330" t="s">
        <v>191</v>
      </c>
      <c r="C79" s="224" t="str">
        <f>IF(C9="","",C98)</f>
        <v>0prodswarm</v>
      </c>
      <c r="D79" s="820"/>
      <c r="E79" s="860"/>
    </row>
    <row r="80" spans="1:5">
      <c r="A80" s="814"/>
      <c r="B80" s="328" t="s">
        <v>184</v>
      </c>
      <c r="C80" s="241">
        <f>('Upgrade Data'!I11)</f>
        <v>0</v>
      </c>
      <c r="D80" s="823"/>
      <c r="E80" s="855"/>
    </row>
    <row r="81" spans="1:5">
      <c r="A81" s="814"/>
      <c r="B81" s="328" t="s">
        <v>191</v>
      </c>
      <c r="C81" s="83" t="str">
        <f>IF(C9="","",C98)</f>
        <v>0prodswarm</v>
      </c>
      <c r="D81" s="825"/>
      <c r="E81" s="857"/>
    </row>
    <row r="82" spans="1:5">
      <c r="A82" s="814"/>
      <c r="B82" s="329" t="s">
        <v>184</v>
      </c>
      <c r="C82" s="226">
        <f>('Upgrade Data'!I12)</f>
        <v>0</v>
      </c>
      <c r="D82" s="819"/>
      <c r="E82" s="861"/>
    </row>
    <row r="83" spans="1:5">
      <c r="A83" s="814"/>
      <c r="B83" s="330" t="s">
        <v>191</v>
      </c>
      <c r="C83" s="110" t="str">
        <f>IF(C9="","",C98)</f>
        <v>0prodswarm</v>
      </c>
      <c r="D83" s="820"/>
      <c r="E83" s="860"/>
    </row>
    <row r="84" spans="1:5">
      <c r="A84" s="814"/>
      <c r="B84" s="328" t="str">
        <f>IF('Upgrade Data'!J10="","No Additional Web Servers","TARGET_SERVER_NAME")</f>
        <v>No Additional Web Servers</v>
      </c>
      <c r="C84" s="232" t="str">
        <f>IF('Upgrade Data'!B5&lt;=1,"",'Upgrade Data'!J10)</f>
        <v/>
      </c>
      <c r="D84" s="823">
        <f>IF(B84="No Additional Web Servers",1,"")</f>
        <v>1</v>
      </c>
      <c r="E84" s="855" t="str">
        <f>IF(B84="No Additional Web Servers","Automated Complete
no additional web servers","")</f>
        <v>Automated Complete
no additional web servers</v>
      </c>
    </row>
    <row r="85" spans="1:5">
      <c r="A85" s="814"/>
      <c r="B85" s="328" t="str">
        <f>IF('Upgrade Data'!J10="","","NODE_LABEL")</f>
        <v/>
      </c>
      <c r="C85" s="83" t="str">
        <f>IF(C21="","",C98)</f>
        <v/>
      </c>
      <c r="D85" s="825"/>
      <c r="E85" s="857"/>
    </row>
    <row r="86" spans="1:5">
      <c r="A86" s="814"/>
      <c r="B86" s="329" t="str">
        <f>IF('Upgrade Data'!J11="","No Additional Web Servers","TARGET_SERVER_NAME")</f>
        <v>No Additional Web Servers</v>
      </c>
      <c r="C86" s="109" t="str">
        <f>IF('Upgrade Data'!B5&lt;=2,"",'Upgrade Data'!J11)</f>
        <v/>
      </c>
      <c r="D86" s="819">
        <f>IF(B86="No Additional Web Servers",1,"")</f>
        <v>1</v>
      </c>
      <c r="E86" s="861" t="str">
        <f>IF(B86="No Additional Web Servers","Automated Complete
no additional web servers","")</f>
        <v>Automated Complete
no additional web servers</v>
      </c>
    </row>
    <row r="87" spans="1:5">
      <c r="A87" s="814"/>
      <c r="B87" s="330" t="str">
        <f>IF('Upgrade Data'!J11="","","NODE_LABEL")</f>
        <v/>
      </c>
      <c r="C87" s="224" t="str">
        <f>IF(C21="","",C98)</f>
        <v/>
      </c>
      <c r="D87" s="820"/>
      <c r="E87" s="860"/>
    </row>
    <row r="88" spans="1:5">
      <c r="A88" s="814"/>
      <c r="B88" s="328" t="str">
        <f>IF('Upgrade Data'!J12="","No Additional Web Servers","TARGET_SERVER_NAME")</f>
        <v>No Additional Web Servers</v>
      </c>
      <c r="C88" s="232" t="str">
        <f>IF('Upgrade Data'!B5&lt;=3,"",'Upgrade Data'!J12)</f>
        <v/>
      </c>
      <c r="D88" s="823">
        <f>IF(B88="No Additional Web Servers",1,"")</f>
        <v>1</v>
      </c>
      <c r="E88" s="855" t="str">
        <f>IF(B88="No Additional Web Servers","Automated Complete
no additional web servers","")</f>
        <v>Automated Complete
no additional web servers</v>
      </c>
    </row>
    <row r="89" spans="1:5">
      <c r="A89" s="814"/>
      <c r="B89" s="328" t="str">
        <f>IF('Upgrade Data'!J12="","","NODE_LABEL")</f>
        <v/>
      </c>
      <c r="C89" s="83" t="str">
        <f>IF(C21="","",C98)</f>
        <v/>
      </c>
      <c r="D89" s="825"/>
      <c r="E89" s="857"/>
    </row>
    <row r="90" spans="1:5">
      <c r="A90" s="814"/>
      <c r="B90" s="329" t="str">
        <f>IF('Upgrade Data'!J13="","No Additional Web Servers","TARGET_SERVER_NAME")</f>
        <v>No Additional Web Servers</v>
      </c>
      <c r="C90" s="109" t="str">
        <f>IF('Upgrade Data'!B5&lt;=4,"",'Upgrade Data'!J13)</f>
        <v/>
      </c>
      <c r="D90" s="819">
        <f>IF(B90="No Additional Web Servers",1,"")</f>
        <v>1</v>
      </c>
      <c r="E90" s="859" t="str">
        <f>IF(B90="No Additional Web Servers","Automated Complete
no additional web servers","")</f>
        <v>Automated Complete
no additional web servers</v>
      </c>
    </row>
    <row r="91" spans="1:5">
      <c r="A91" s="829"/>
      <c r="B91" s="330" t="str">
        <f>IF('Upgrade Data'!J13="","","NODE_LABEL")</f>
        <v/>
      </c>
      <c r="C91" s="224" t="str">
        <f>IF(C21="","",C98)</f>
        <v/>
      </c>
      <c r="D91" s="820"/>
      <c r="E91" s="860"/>
    </row>
    <row r="92" spans="1:5" ht="30">
      <c r="A92" s="765">
        <v>8</v>
      </c>
      <c r="B92" s="260" t="str">
        <f>IF('Upgrade Data'!C54="Yes", "Uninstall Open Suite","Skip this step, no Open Suite")</f>
        <v>Skip this step, no Open Suite</v>
      </c>
      <c r="C92" s="234" t="str">
        <f>IF('Upgrade Data'!C54="Yes",'Upgrade Data'!I10,"")</f>
        <v/>
      </c>
      <c r="D92" s="783">
        <f>IF(B92="Skip this step, no Open Suite",1,"")</f>
        <v>1</v>
      </c>
      <c r="E92" s="782" t="str">
        <f>IF(B92="Skip this step, no Open Suite","Automated Check, 
no additional web servers","")</f>
        <v>Automated Check, 
no additional web servers</v>
      </c>
    </row>
    <row r="93" spans="1:5">
      <c r="A93" s="813">
        <v>9</v>
      </c>
      <c r="B93" s="190" t="s">
        <v>213</v>
      </c>
      <c r="C93" s="214" t="s">
        <v>214</v>
      </c>
      <c r="D93" s="823"/>
      <c r="E93" s="263"/>
    </row>
    <row r="94" spans="1:5">
      <c r="A94" s="814"/>
      <c r="B94" s="402" t="s">
        <v>184</v>
      </c>
      <c r="C94" s="404">
        <f>('Upgrade Data'!I10)</f>
        <v>0</v>
      </c>
      <c r="D94" s="824"/>
      <c r="E94" s="264"/>
    </row>
    <row r="95" spans="1:5">
      <c r="A95" s="814"/>
      <c r="B95" s="403" t="s">
        <v>189</v>
      </c>
      <c r="C95" s="119">
        <f>('Upgrade Data'!F6)</f>
        <v>0</v>
      </c>
      <c r="D95" s="824"/>
      <c r="E95" s="264"/>
    </row>
    <row r="96" spans="1:5">
      <c r="A96" s="814"/>
      <c r="B96" s="403" t="s">
        <v>188</v>
      </c>
      <c r="C96" s="119">
        <f>('Upgrade Data'!F4)</f>
        <v>0</v>
      </c>
      <c r="D96" s="824"/>
      <c r="E96" s="264"/>
    </row>
    <row r="97" spans="1:5">
      <c r="A97" s="814"/>
      <c r="B97" s="403" t="s">
        <v>190</v>
      </c>
      <c r="C97" s="405" t="b">
        <v>1</v>
      </c>
      <c r="D97" s="824"/>
      <c r="E97" s="264"/>
    </row>
    <row r="98" spans="1:5">
      <c r="A98" s="829"/>
      <c r="B98" s="390" t="s">
        <v>191</v>
      </c>
      <c r="C98" s="120" t="str">
        <f>_xlfn.CONCAT('Upgrade Data'!F5,AutoPop!B111)</f>
        <v>0prodswarm</v>
      </c>
      <c r="D98" s="825"/>
      <c r="E98" s="265"/>
    </row>
    <row r="99" spans="1:5">
      <c r="A99" s="815">
        <v>10</v>
      </c>
      <c r="B99" s="391" t="str">
        <f>IF(MasterConfig!B19=TRUE,"No Web Servers","Run Jenkins job to upgrade the following additional servers; Web(s)")</f>
        <v>Run Jenkins job to upgrade the following additional servers; Web(s)</v>
      </c>
      <c r="C99" s="399" t="str">
        <f>IF(MasterConfig!B19=TRUE,"","https://jenkins.planviewcloud.net/job/e1_upgrade_pipe/build?delay=0sec")</f>
        <v>https://jenkins.planviewcloud.net/job/e1_upgrade_pipe/build?delay=0sec</v>
      </c>
      <c r="D99" s="819" t="str">
        <f>IF(B99="No Additional Web Servers",1,"")</f>
        <v/>
      </c>
      <c r="E99" s="848" t="str">
        <f>IF(B99="No Web Servers","Automated Complete
no additional web servers","")</f>
        <v/>
      </c>
    </row>
    <row r="100" spans="1:5">
      <c r="A100" s="816"/>
      <c r="B100" s="311" t="str">
        <f>IF(MasterConfig!B19=TRUE,"","TARGET_SERVER_NAME")</f>
        <v>TARGET_SERVER_NAME</v>
      </c>
      <c r="C100" s="95">
        <f>IF(MasterConfig!B19=TRUE,"",'Upgrade Data'!I9)</f>
        <v>0</v>
      </c>
      <c r="D100" s="837"/>
      <c r="E100" s="849"/>
    </row>
    <row r="101" spans="1:5">
      <c r="A101" s="816"/>
      <c r="B101" s="392" t="str">
        <f>IF(MasterConfig!B19=TRUE,"","CUSTOMER_CODE")</f>
        <v>CUSTOMER_CODE</v>
      </c>
      <c r="C101" s="98">
        <f>IF(MasterConfig!B19=TRUE,"",C95)</f>
        <v>0</v>
      </c>
      <c r="D101" s="837"/>
      <c r="E101" s="849"/>
    </row>
    <row r="102" spans="1:5">
      <c r="A102" s="816"/>
      <c r="B102" s="392" t="str">
        <f>IF(MasterConfig!B19=TRUE,"","DNS_HOST_NAME")</f>
        <v>DNS_HOST_NAME</v>
      </c>
      <c r="C102" s="98">
        <f>IF(MasterConfig!B19=TRUE,"",C96)</f>
        <v>0</v>
      </c>
      <c r="D102" s="837"/>
      <c r="E102" s="849"/>
    </row>
    <row r="103" spans="1:5">
      <c r="A103" s="816"/>
      <c r="B103" s="392" t="str">
        <f>IF(MasterConfig!B19=TRUE,"","SKIP_SNAPS")</f>
        <v>SKIP_SNAPS</v>
      </c>
      <c r="C103" s="98" t="b">
        <f>IF(MasterConfig!B19=TRUE,"",C97)</f>
        <v>1</v>
      </c>
      <c r="D103" s="837"/>
      <c r="E103" s="849"/>
    </row>
    <row r="104" spans="1:5">
      <c r="A104" s="816"/>
      <c r="B104" s="392" t="str">
        <f>IF(MasterConfig!B19=TRUE,"","NODE_LABEL")</f>
        <v>NODE_LABEL</v>
      </c>
      <c r="C104" s="94" t="str">
        <f>IF(MasterConfig!B19=TRUE,"",C98)</f>
        <v>0prodswarm</v>
      </c>
      <c r="D104" s="820"/>
      <c r="E104" s="849"/>
    </row>
    <row r="105" spans="1:5">
      <c r="A105" s="816"/>
      <c r="B105" s="332" t="str">
        <f>IF(C21="","No Additional Web Servers","TARGET_SERVER_NAME")</f>
        <v>No Additional Web Servers</v>
      </c>
      <c r="C105" s="226" t="str">
        <f>IF(C21="","",'Upgrade Data'!J10)</f>
        <v/>
      </c>
      <c r="D105" s="823">
        <f>IF(B105="No Additional Web Servers",1,"")</f>
        <v>1</v>
      </c>
      <c r="E105" s="861" t="str">
        <f>IF(B105="No Additional Web Servers","Automated Complete
no additional web servers","")</f>
        <v>Automated Complete
no additional web servers</v>
      </c>
    </row>
    <row r="106" spans="1:5">
      <c r="A106" s="816"/>
      <c r="B106" s="333" t="str">
        <f>IF(C21="","","CUSTOMER_CODE")</f>
        <v/>
      </c>
      <c r="C106" s="101" t="str">
        <f>IF(C21="","",C95)</f>
        <v/>
      </c>
      <c r="D106" s="824"/>
      <c r="E106" s="859"/>
    </row>
    <row r="107" spans="1:5">
      <c r="A107" s="816"/>
      <c r="B107" s="334" t="str">
        <f>IF(C21="","","DNS_HOST_NAME")</f>
        <v/>
      </c>
      <c r="C107" s="101" t="str">
        <f>IF(C21="","",C96)</f>
        <v/>
      </c>
      <c r="D107" s="824"/>
      <c r="E107" s="859"/>
    </row>
    <row r="108" spans="1:5">
      <c r="A108" s="816"/>
      <c r="B108" s="333" t="str">
        <f>IF(C21="","","SQL_SERVER_NAME")</f>
        <v/>
      </c>
      <c r="C108" s="227" t="str">
        <f>IF(C21="","",'Upgrade Data'!I11)</f>
        <v/>
      </c>
      <c r="D108" s="824"/>
      <c r="E108" s="859"/>
    </row>
    <row r="109" spans="1:5">
      <c r="A109" s="816"/>
      <c r="B109" s="334" t="str">
        <f>IF(C21="","","SAS_SERVER_NAME")</f>
        <v/>
      </c>
      <c r="C109" s="225" t="str">
        <f>IF(C21="","",'Upgrade Data'!I11)</f>
        <v/>
      </c>
      <c r="D109" s="824"/>
      <c r="E109" s="859"/>
    </row>
    <row r="110" spans="1:5">
      <c r="A110" s="816"/>
      <c r="B110" s="335" t="str">
        <f>IF(C21="","","SKIP_SNAPS")</f>
        <v/>
      </c>
      <c r="C110" s="99" t="str">
        <f>IF(C21="","",C97)</f>
        <v/>
      </c>
      <c r="D110" s="824"/>
      <c r="E110" s="859"/>
    </row>
    <row r="111" spans="1:5">
      <c r="A111" s="816"/>
      <c r="B111" s="336" t="str">
        <f>IF(C21="","","NODE_LABEL")</f>
        <v/>
      </c>
      <c r="C111" s="99" t="str">
        <f>IF(C21="","",C98)</f>
        <v/>
      </c>
      <c r="D111" s="825"/>
      <c r="E111" s="860"/>
    </row>
    <row r="112" spans="1:5">
      <c r="A112" s="816"/>
      <c r="B112" s="393" t="str">
        <f>IF(C29="","No Additional Web Servers","TARGET_SERVER_NAME")</f>
        <v>No Additional Web Servers</v>
      </c>
      <c r="C112" s="92" t="str">
        <f>IF(C29="","",'Upgrade Data'!J11)</f>
        <v/>
      </c>
      <c r="D112" s="819">
        <f>IF(B112="No Additional Web Servers",1,"")</f>
        <v>1</v>
      </c>
      <c r="E112" s="848" t="str">
        <f>IF(B112="No Additional Web Servers","Automated Complete
no additional web servers","")</f>
        <v>Automated Complete
no additional web servers</v>
      </c>
    </row>
    <row r="113" spans="1:5">
      <c r="A113" s="816"/>
      <c r="B113" s="397" t="str">
        <f>IF(C29="","","CUSTOMER_CODE")</f>
        <v/>
      </c>
      <c r="C113" s="98" t="str">
        <f>IF(C29="","",C95)</f>
        <v/>
      </c>
      <c r="D113" s="837"/>
      <c r="E113" s="849"/>
    </row>
    <row r="114" spans="1:5">
      <c r="A114" s="816"/>
      <c r="B114" s="397" t="str">
        <f>IF(C29="","","DNS_HOST_NAME")</f>
        <v/>
      </c>
      <c r="C114" s="98" t="str">
        <f>IF(C29="","",C96)</f>
        <v/>
      </c>
      <c r="D114" s="837"/>
      <c r="E114" s="849"/>
    </row>
    <row r="115" spans="1:5">
      <c r="A115" s="816"/>
      <c r="B115" s="398" t="str">
        <f>IF(C29="","","SQL_SERVER_NAME")</f>
        <v/>
      </c>
      <c r="C115" s="400" t="str">
        <f>IF(C29="","",'Upgrade Data'!I11)</f>
        <v/>
      </c>
      <c r="D115" s="837"/>
      <c r="E115" s="849"/>
    </row>
    <row r="116" spans="1:5">
      <c r="A116" s="816"/>
      <c r="B116" s="398" t="str">
        <f>IF(C29="","","SAS_SERVER_NAME")</f>
        <v/>
      </c>
      <c r="C116" s="400" t="str">
        <f>IF(C29="","",'Upgrade Data'!I11)</f>
        <v/>
      </c>
      <c r="D116" s="837"/>
      <c r="E116" s="849"/>
    </row>
    <row r="117" spans="1:5">
      <c r="A117" s="816"/>
      <c r="B117" s="394" t="str">
        <f>IF(C29="","","SKIP_SNAPS")</f>
        <v/>
      </c>
      <c r="C117" s="98" t="str">
        <f>IF(C29="","",C97)</f>
        <v/>
      </c>
      <c r="D117" s="837"/>
      <c r="E117" s="849"/>
    </row>
    <row r="118" spans="1:5">
      <c r="A118" s="816"/>
      <c r="B118" s="395" t="str">
        <f>IF(C29="","","NODE_LABEL")</f>
        <v/>
      </c>
      <c r="C118" s="95" t="str">
        <f>IF(C29="","",C98)</f>
        <v/>
      </c>
      <c r="D118" s="820"/>
      <c r="E118" s="850"/>
    </row>
    <row r="119" spans="1:5">
      <c r="A119" s="816"/>
      <c r="B119" s="342" t="str">
        <f>IF(C37="","No Additional Web Servers","TARGET_SERVER_NAME")</f>
        <v>No Additional Web Servers</v>
      </c>
      <c r="C119" s="226" t="str">
        <f>IF(C37="","",'Upgrade Data'!J12)</f>
        <v/>
      </c>
      <c r="D119" s="823">
        <f>IF(B119="No Additional Web Servers",1,"")</f>
        <v>1</v>
      </c>
      <c r="E119" s="861" t="str">
        <f>IF(B119="No Additional Web Servers","Automated Complete
no additional web servers","")</f>
        <v>Automated Complete
no additional web servers</v>
      </c>
    </row>
    <row r="120" spans="1:5">
      <c r="A120" s="816"/>
      <c r="B120" s="334" t="str">
        <f>IF(C37="","","CUSTOMER_CODE")</f>
        <v/>
      </c>
      <c r="C120" s="99" t="str">
        <f>IF(C37="","",C95)</f>
        <v/>
      </c>
      <c r="D120" s="824"/>
      <c r="E120" s="859"/>
    </row>
    <row r="121" spans="1:5">
      <c r="A121" s="816"/>
      <c r="B121" s="335" t="str">
        <f>IF(C37="","","DNS_HOST_NAME")</f>
        <v/>
      </c>
      <c r="C121" s="101" t="str">
        <f>IF(C37="","",C96)</f>
        <v/>
      </c>
      <c r="D121" s="824"/>
      <c r="E121" s="859"/>
    </row>
    <row r="122" spans="1:5">
      <c r="A122" s="816"/>
      <c r="B122" s="333" t="str">
        <f>IF(C37="","","SQL_SERVER_NAME")</f>
        <v/>
      </c>
      <c r="C122" s="228" t="str">
        <f>IF(C37="","",'Upgrade Data'!I11)</f>
        <v/>
      </c>
      <c r="D122" s="824"/>
      <c r="E122" s="859"/>
    </row>
    <row r="123" spans="1:5">
      <c r="A123" s="816"/>
      <c r="B123" s="334" t="str">
        <f>IF(C37="","","SAS_SERVER_NAME")</f>
        <v/>
      </c>
      <c r="C123" s="227" t="str">
        <f>IF(C37="","",'Upgrade Data'!I11)</f>
        <v/>
      </c>
      <c r="D123" s="824"/>
      <c r="E123" s="859"/>
    </row>
    <row r="124" spans="1:5">
      <c r="A124" s="816"/>
      <c r="B124" s="335" t="str">
        <f>IF(C37="","","SKIP_SNAPS")</f>
        <v/>
      </c>
      <c r="C124" s="99" t="str">
        <f>IF(C37="","",C97)</f>
        <v/>
      </c>
      <c r="D124" s="824"/>
      <c r="E124" s="859"/>
    </row>
    <row r="125" spans="1:5">
      <c r="A125" s="816"/>
      <c r="B125" s="336" t="str">
        <f>IF(C37="","","NODE_LABEL")</f>
        <v/>
      </c>
      <c r="C125" s="99" t="str">
        <f>IF(C37="","",C98)</f>
        <v/>
      </c>
      <c r="D125" s="825"/>
      <c r="E125" s="860"/>
    </row>
    <row r="126" spans="1:5">
      <c r="A126" s="816"/>
      <c r="B126" s="394" t="str">
        <f>IF(C45="","No Additional Web Servers","TARGET_SERVER_NAME")</f>
        <v>No Additional Web Servers</v>
      </c>
      <c r="C126" s="92" t="str">
        <f>IF(C44="","",'Upgrade Data'!J13)</f>
        <v/>
      </c>
      <c r="D126" s="819">
        <f>IF(B126="No Additional Web Servers",1,"")</f>
        <v>1</v>
      </c>
      <c r="E126" s="848" t="str">
        <f>IF(B126="No Additional Web Servers","Automated Complete
no additional web servers","")</f>
        <v>Automated Complete
no additional web servers</v>
      </c>
    </row>
    <row r="127" spans="1:5">
      <c r="A127" s="816"/>
      <c r="B127" s="398" t="str">
        <f>IF(C45="","","CUSTOMER_CODE")</f>
        <v/>
      </c>
      <c r="C127" s="98" t="str">
        <f>IF(C45="","",C95)</f>
        <v/>
      </c>
      <c r="D127" s="837"/>
      <c r="E127" s="849"/>
    </row>
    <row r="128" spans="1:5">
      <c r="A128" s="816"/>
      <c r="B128" s="394" t="str">
        <f>IF(C45="","","DNS_HOST_NAME")</f>
        <v/>
      </c>
      <c r="C128" s="97" t="str">
        <f>IF(C45="","",C96)</f>
        <v/>
      </c>
      <c r="D128" s="837"/>
      <c r="E128" s="849"/>
    </row>
    <row r="129" spans="1:5">
      <c r="A129" s="816"/>
      <c r="B129" s="397" t="str">
        <f>IF(C45="","","SQL_SERVER_NAME")</f>
        <v/>
      </c>
      <c r="C129" s="400" t="str">
        <f>IF(C45="","",'Upgrade Data'!I11)</f>
        <v/>
      </c>
      <c r="D129" s="837"/>
      <c r="E129" s="849"/>
    </row>
    <row r="130" spans="1:5">
      <c r="A130" s="816"/>
      <c r="B130" s="398" t="str">
        <f>IF(C45="","","SAS_SERVER_NAME")</f>
        <v/>
      </c>
      <c r="C130" s="401" t="str">
        <f>IF(C45="","",'Upgrade Data'!I11)</f>
        <v/>
      </c>
      <c r="D130" s="837"/>
      <c r="E130" s="849"/>
    </row>
    <row r="131" spans="1:5">
      <c r="A131" s="816"/>
      <c r="B131" s="398" t="str">
        <f>IF(C45="","","SKIP_SNAPS")</f>
        <v/>
      </c>
      <c r="C131" s="97" t="str">
        <f>IF(C45="","",C97)</f>
        <v/>
      </c>
      <c r="D131" s="837"/>
      <c r="E131" s="849"/>
    </row>
    <row r="132" spans="1:5">
      <c r="A132" s="817"/>
      <c r="B132" s="396" t="str">
        <f>IF(C45="","","NODE_LABEL")</f>
        <v/>
      </c>
      <c r="C132" s="115" t="str">
        <f>IF(C45="","",C98)</f>
        <v/>
      </c>
      <c r="D132" s="820"/>
      <c r="E132" s="850"/>
    </row>
    <row r="133" spans="1:5">
      <c r="A133" s="873">
        <v>11</v>
      </c>
      <c r="B133" s="297" t="s">
        <v>215</v>
      </c>
      <c r="C133" s="202" t="s">
        <v>216</v>
      </c>
      <c r="D133" s="823"/>
      <c r="E133" s="855"/>
    </row>
    <row r="134" spans="1:5">
      <c r="A134" s="874"/>
      <c r="B134" s="299" t="s">
        <v>184</v>
      </c>
      <c r="C134" s="119">
        <f>('Upgrade Data'!I12)</f>
        <v>0</v>
      </c>
      <c r="D134" s="824"/>
      <c r="E134" s="856"/>
    </row>
    <row r="135" spans="1:5">
      <c r="A135" s="874"/>
      <c r="B135" s="343" t="s">
        <v>188</v>
      </c>
      <c r="C135" s="211">
        <f>('Upgrade Data'!F4)</f>
        <v>0</v>
      </c>
      <c r="D135" s="824"/>
      <c r="E135" s="856"/>
    </row>
    <row r="136" spans="1:5">
      <c r="A136" s="874"/>
      <c r="B136" s="344" t="s">
        <v>189</v>
      </c>
      <c r="C136" s="211">
        <f>('Upgrade Data'!F6)</f>
        <v>0</v>
      </c>
      <c r="D136" s="824"/>
      <c r="E136" s="856"/>
    </row>
    <row r="137" spans="1:5">
      <c r="A137" s="874"/>
      <c r="B137" s="299" t="s">
        <v>190</v>
      </c>
      <c r="C137" s="211" t="b">
        <v>1</v>
      </c>
      <c r="D137" s="824"/>
      <c r="E137" s="856"/>
    </row>
    <row r="138" spans="1:5">
      <c r="A138" s="875"/>
      <c r="B138" s="345" t="s">
        <v>191</v>
      </c>
      <c r="C138" s="83" t="str">
        <f>(C98)</f>
        <v>0prodswarm</v>
      </c>
      <c r="D138" s="825"/>
      <c r="E138" s="857"/>
    </row>
    <row r="139" spans="1:5">
      <c r="A139" s="815">
        <v>12</v>
      </c>
      <c r="B139" s="310" t="s">
        <v>217</v>
      </c>
      <c r="C139" s="85" t="s">
        <v>218</v>
      </c>
      <c r="D139" s="819"/>
      <c r="E139" s="848"/>
    </row>
    <row r="140" spans="1:5">
      <c r="A140" s="816"/>
      <c r="B140" s="311" t="s">
        <v>194</v>
      </c>
      <c r="C140" s="98">
        <f>('Upgrade Data'!B8)</f>
        <v>0</v>
      </c>
      <c r="D140" s="837"/>
      <c r="E140" s="849"/>
    </row>
    <row r="141" spans="1:5">
      <c r="A141" s="816"/>
      <c r="B141" s="302" t="s">
        <v>184</v>
      </c>
      <c r="C141" s="98">
        <f>IF('Upgrade Data'!I10="","",'Upgrade Data'!I10)</f>
        <v>0</v>
      </c>
      <c r="D141" s="837"/>
      <c r="E141" s="849"/>
    </row>
    <row r="142" spans="1:5">
      <c r="A142" s="816"/>
      <c r="B142" s="302" t="s">
        <v>189</v>
      </c>
      <c r="C142" s="97">
        <f>('Upgrade Data'!F6)</f>
        <v>0</v>
      </c>
      <c r="D142" s="837"/>
      <c r="E142" s="849"/>
    </row>
    <row r="143" spans="1:5">
      <c r="A143" s="817"/>
      <c r="B143" s="346" t="s">
        <v>188</v>
      </c>
      <c r="C143" s="115">
        <f>('Upgrade Data'!F4)</f>
        <v>0</v>
      </c>
      <c r="D143" s="820"/>
      <c r="E143" s="850"/>
    </row>
    <row r="144" spans="1:5">
      <c r="A144" s="873">
        <v>13</v>
      </c>
      <c r="B144" s="347" t="str">
        <f>IF(MasterConfig!B19=TRUE,"No Web Servers","Run Jenkins job to upgrade the following additional servers; Web(s)")</f>
        <v>Run Jenkins job to upgrade the following additional servers; Web(s)</v>
      </c>
      <c r="C144" s="84" t="str">
        <f>IF(MasterConfig!B19=TRUE,"", C139)</f>
        <v>https://jenkins.planviewcloud.net/job/e1_update_pipe/build?delay=0sec</v>
      </c>
      <c r="D144" s="823"/>
      <c r="E144" s="870"/>
    </row>
    <row r="145" spans="1:5">
      <c r="A145" s="874"/>
      <c r="B145" s="348" t="str">
        <f>IF(MasterConfig!B19=TRUE,"","UPDATE_VERSION")</f>
        <v>UPDATE_VERSION</v>
      </c>
      <c r="C145" s="211">
        <f>IF(MasterConfig!B19=TRUE,"",C140)</f>
        <v>0</v>
      </c>
      <c r="D145" s="824"/>
      <c r="E145" s="871"/>
    </row>
    <row r="146" spans="1:5">
      <c r="A146" s="874"/>
      <c r="B146" s="349" t="str">
        <f>IF(MasterConfig!B19=TRUE,"","TARGET_SERVER_NAME")</f>
        <v>TARGET_SERVER_NAME</v>
      </c>
      <c r="C146" s="211">
        <f>IF(MasterConfig!B19=TRUE,"",'Upgrade Data'!I9)</f>
        <v>0</v>
      </c>
      <c r="D146" s="824"/>
      <c r="E146" s="871"/>
    </row>
    <row r="147" spans="1:5">
      <c r="A147" s="874"/>
      <c r="B147" s="324" t="str">
        <f>IF(MasterConfig!B19=TRUE,"","CUSTOMER_CODE")</f>
        <v>CUSTOMER_CODE</v>
      </c>
      <c r="C147" s="118">
        <f>IF(MasterConfig!B19=TRUE,"",C95)</f>
        <v>0</v>
      </c>
      <c r="D147" s="824"/>
      <c r="E147" s="871"/>
    </row>
    <row r="148" spans="1:5">
      <c r="A148" s="874"/>
      <c r="B148" s="349" t="str">
        <f>IF(MasterConfig!B19=TRUE,"","DNS_HOST_NAME")</f>
        <v>DNS_HOST_NAME</v>
      </c>
      <c r="C148" s="120">
        <f>IF(MasterConfig!B19=TRUE,"",C96)</f>
        <v>0</v>
      </c>
      <c r="D148" s="825"/>
      <c r="E148" s="872"/>
    </row>
    <row r="149" spans="1:5" ht="15" customHeight="1">
      <c r="A149" s="874"/>
      <c r="B149" s="350" t="str">
        <f>IF('Upgrade Data'!J10="","No Additional Web Servers","UPDATE_VERSION")</f>
        <v>No Additional Web Servers</v>
      </c>
      <c r="C149" s="109" t="str">
        <f>IF('Upgrade Data'!J10="","",C140)</f>
        <v/>
      </c>
      <c r="D149" s="819">
        <f>IF(B149="No Additional Web Servers",1,"")</f>
        <v>1</v>
      </c>
      <c r="E149" s="861" t="str">
        <f>IF(B149="No Additional Web Servers","Automated Complete
no additional web servers","")</f>
        <v>Automated Complete
no additional web servers</v>
      </c>
    </row>
    <row r="150" spans="1:5">
      <c r="A150" s="874"/>
      <c r="B150" s="351" t="str">
        <f>IF('Upgrade Data'!J10="","","TARGET_SERVER_NAME")</f>
        <v/>
      </c>
      <c r="C150" s="100" t="str">
        <f>IF('Upgrade Data'!J10="","",'Upgrade Data'!J10)</f>
        <v/>
      </c>
      <c r="D150" s="837"/>
      <c r="E150" s="859"/>
    </row>
    <row r="151" spans="1:5">
      <c r="A151" s="874"/>
      <c r="B151" s="352" t="str">
        <f>IF('Upgrade Data'!J10="","","CUSTOMER_CODE")</f>
        <v/>
      </c>
      <c r="C151" s="101" t="str">
        <f>IF('Upgrade Data'!J10="","",C95)</f>
        <v/>
      </c>
      <c r="D151" s="837"/>
      <c r="E151" s="859"/>
    </row>
    <row r="152" spans="1:5">
      <c r="A152" s="874"/>
      <c r="B152" s="351" t="str">
        <f>IF('Upgrade Data'!J10="","","DNS_HOST_NAME")</f>
        <v/>
      </c>
      <c r="C152" s="212" t="str">
        <f>IF('Upgrade Data'!J10="","",C96)</f>
        <v/>
      </c>
      <c r="D152" s="837"/>
      <c r="E152" s="859"/>
    </row>
    <row r="153" spans="1:5">
      <c r="A153" s="874"/>
      <c r="B153" s="352" t="str">
        <f>IF('Upgrade Data'!J10="","","SQL_SERVER_NAME")</f>
        <v/>
      </c>
      <c r="C153" s="212" t="str">
        <f>IF('Upgrade Data'!J10="","",'Upgrade Data'!I11)</f>
        <v/>
      </c>
      <c r="D153" s="820"/>
      <c r="E153" s="860"/>
    </row>
    <row r="154" spans="1:5" ht="30" customHeight="1">
      <c r="A154" s="874"/>
      <c r="B154" s="353" t="str">
        <f>IF('Upgrade Data'!J11="","No Additional Web Servers","UPDATE_VERSION")</f>
        <v>No Additional Web Servers</v>
      </c>
      <c r="C154" s="232" t="str">
        <f>IF('Upgrade Data'!J11="","",C140)</f>
        <v/>
      </c>
      <c r="D154" s="823">
        <f>IF(B154="No Additional Web Servers",1,"")</f>
        <v>1</v>
      </c>
      <c r="E154" s="870" t="str">
        <f>IF(B154="No Additional Web Servers","Automated Complete
no additional web servers","")</f>
        <v>Automated Complete
no additional web servers</v>
      </c>
    </row>
    <row r="155" spans="1:5" ht="15" customHeight="1">
      <c r="A155" s="874"/>
      <c r="B155" s="323" t="str">
        <f>IF('Upgrade Data'!J11="","","TARGET_SERVER_NAME")</f>
        <v/>
      </c>
      <c r="C155" s="211" t="str">
        <f>IF('Upgrade Data'!J11="","",'Upgrade Data'!J11)</f>
        <v/>
      </c>
      <c r="D155" s="824"/>
      <c r="E155" s="871"/>
    </row>
    <row r="156" spans="1:5">
      <c r="A156" s="874"/>
      <c r="B156" s="324" t="str">
        <f>IF('Upgrade Data'!J11="","","CUSTOMER_CODE")</f>
        <v/>
      </c>
      <c r="C156" s="233" t="str">
        <f>IF('Upgrade Data'!J11="","",C95)</f>
        <v/>
      </c>
      <c r="D156" s="824"/>
      <c r="E156" s="871"/>
    </row>
    <row r="157" spans="1:5">
      <c r="A157" s="874"/>
      <c r="B157" s="324" t="str">
        <f>IF('Upgrade Data'!J11="","","DNS_HOST_NAME")</f>
        <v/>
      </c>
      <c r="C157" s="118" t="str">
        <f>IF('Upgrade Data'!J11="","",C96)</f>
        <v/>
      </c>
      <c r="D157" s="824"/>
      <c r="E157" s="871"/>
    </row>
    <row r="158" spans="1:5">
      <c r="A158" s="874"/>
      <c r="B158" s="349" t="str">
        <f>IF('Upgrade Data'!J11="","","SQL_SERVER_NAME")</f>
        <v/>
      </c>
      <c r="C158" s="118" t="str">
        <f>IF('Upgrade Data'!J11="","",'Upgrade Data'!I11)</f>
        <v/>
      </c>
      <c r="D158" s="825"/>
      <c r="E158" s="872"/>
    </row>
    <row r="159" spans="1:5" ht="30" customHeight="1">
      <c r="A159" s="874"/>
      <c r="B159" s="352" t="str">
        <f>IF('Upgrade Data'!J12="","No Additional Web Servers","UPDATE_VERSION")</f>
        <v>No Additional Web Servers</v>
      </c>
      <c r="C159" s="99" t="str">
        <f>IF('Upgrade Data'!J12="","",C140)</f>
        <v/>
      </c>
      <c r="D159" s="819">
        <f>IF(B159="No Additional Web Servers",1,"")</f>
        <v>1</v>
      </c>
      <c r="E159" s="861" t="str">
        <f>IF(B159="No Additional Web Servers","Automated Complete
no additional web servers","")</f>
        <v>Automated Complete
no additional web servers</v>
      </c>
    </row>
    <row r="160" spans="1:5">
      <c r="A160" s="874"/>
      <c r="B160" s="352" t="str">
        <f>IF('Upgrade Data'!J12="","","TARGET_SERVER_NAME")</f>
        <v/>
      </c>
      <c r="C160" s="99" t="str">
        <f>IF('Upgrade Data'!J12="","",'Upgrade Data'!J12)</f>
        <v/>
      </c>
      <c r="D160" s="837"/>
      <c r="E160" s="859"/>
    </row>
    <row r="161" spans="1:5" ht="15" customHeight="1">
      <c r="A161" s="874"/>
      <c r="B161" s="352" t="str">
        <f>IF('Upgrade Data'!J12="","","CUSTOMER_CODE")</f>
        <v/>
      </c>
      <c r="C161" s="99" t="str">
        <f>IF('Upgrade Data'!J12="","",C95)</f>
        <v/>
      </c>
      <c r="D161" s="837"/>
      <c r="E161" s="859"/>
    </row>
    <row r="162" spans="1:5">
      <c r="A162" s="874"/>
      <c r="B162" s="352" t="str">
        <f>IF('Upgrade Data'!J12="","","DNS_HOST_NAME")</f>
        <v/>
      </c>
      <c r="C162" s="99" t="str">
        <f>IF('Upgrade Data'!J12="","",C96)</f>
        <v/>
      </c>
      <c r="D162" s="837"/>
      <c r="E162" s="859"/>
    </row>
    <row r="163" spans="1:5" ht="14.45" hidden="1" customHeight="1">
      <c r="A163" s="874"/>
      <c r="B163" s="352" t="str">
        <f>IF('Upgrade Data'!J12="","","SQL_SERVER_NAME")</f>
        <v/>
      </c>
      <c r="C163" s="99" t="str">
        <f>IF('Upgrade Data'!J12="","",'Upgrade Data'!I11)</f>
        <v/>
      </c>
      <c r="D163" s="837"/>
      <c r="E163" s="859"/>
    </row>
    <row r="164" spans="1:5" ht="14.45" hidden="1" customHeight="1">
      <c r="A164" s="874"/>
      <c r="B164" s="352" t="str">
        <f>IF('Upgrade Data'!J12="","","CUSTOMER_CODE")</f>
        <v/>
      </c>
      <c r="C164" s="99" t="str">
        <f>IF('Upgrade Data'!J12="","",C95)</f>
        <v/>
      </c>
      <c r="D164" s="837"/>
      <c r="E164" s="859"/>
    </row>
    <row r="165" spans="1:5" ht="14.45" hidden="1" customHeight="1">
      <c r="A165" s="874"/>
      <c r="B165" s="352" t="str">
        <f>IF('Upgrade Data'!J12="","","DNS_HOST_NAME")</f>
        <v/>
      </c>
      <c r="C165" s="99" t="str">
        <f>IF('Upgrade Data'!J12="","",C96)</f>
        <v/>
      </c>
      <c r="D165" s="837"/>
      <c r="E165" s="859"/>
    </row>
    <row r="166" spans="1:5">
      <c r="A166" s="874"/>
      <c r="B166" s="352" t="str">
        <f>IF('Upgrade Data'!J12="","","SQL_SERVER_NAME")</f>
        <v/>
      </c>
      <c r="C166" s="99" t="str">
        <f>IF('Upgrade Data'!J12="","",'Upgrade Data'!I11)</f>
        <v/>
      </c>
      <c r="D166" s="820"/>
      <c r="E166" s="860"/>
    </row>
    <row r="167" spans="1:5" ht="30" customHeight="1">
      <c r="A167" s="874"/>
      <c r="B167" s="354" t="str">
        <f>IF('Upgrade Data'!J13="","No Additional Web Servers","UPDATE_VERSION")</f>
        <v>No Additional Web Servers</v>
      </c>
      <c r="C167" s="232" t="str">
        <f>IF('Upgrade Data'!J13="","",C140)</f>
        <v/>
      </c>
      <c r="D167" s="823">
        <f>IF(B167="No Additional Web Servers",1,"")</f>
        <v>1</v>
      </c>
      <c r="E167" s="855" t="str">
        <f>IF(B167="No Additional Web Servers","Automated Complete
no additional web servers","")</f>
        <v>Automated Complete
no additional web servers</v>
      </c>
    </row>
    <row r="168" spans="1:5">
      <c r="A168" s="874"/>
      <c r="B168" s="328" t="str">
        <f>IF('Upgrade Data'!J13="","","TARGET_SERVER_NAME")</f>
        <v/>
      </c>
      <c r="C168" s="119" t="str">
        <f>IF('Upgrade Data'!J13="","",'Upgrade Data'!J12)</f>
        <v/>
      </c>
      <c r="D168" s="824"/>
      <c r="E168" s="856"/>
    </row>
    <row r="169" spans="1:5">
      <c r="A169" s="874"/>
      <c r="B169" s="328" t="str">
        <f>IF('Upgrade Data'!J13="","","CUSTOMER_CODE")</f>
        <v/>
      </c>
      <c r="C169" s="119" t="str">
        <f>IF('Upgrade Data'!J13="","",C95)</f>
        <v/>
      </c>
      <c r="D169" s="824"/>
      <c r="E169" s="856"/>
    </row>
    <row r="170" spans="1:5" ht="15" customHeight="1">
      <c r="A170" s="874"/>
      <c r="B170" s="328" t="str">
        <f>IF('Upgrade Data'!J13="","","DNS_HOST_NAME")</f>
        <v/>
      </c>
      <c r="C170" s="211" t="str">
        <f>IF('Upgrade Data'!J13="","",C96)</f>
        <v/>
      </c>
      <c r="D170" s="824"/>
      <c r="E170" s="856"/>
    </row>
    <row r="171" spans="1:5">
      <c r="A171" s="875"/>
      <c r="B171" s="355" t="str">
        <f>IF('Upgrade Data'!J13="","","SQL_SERVER_NAME")</f>
        <v/>
      </c>
      <c r="C171" s="211" t="str">
        <f>IF('Upgrade Data'!J13="","",'Upgrade Data'!I11)</f>
        <v/>
      </c>
      <c r="D171" s="825"/>
      <c r="E171" s="857"/>
    </row>
    <row r="172" spans="1:5">
      <c r="A172" s="815">
        <v>14</v>
      </c>
      <c r="B172" s="796" t="s">
        <v>219</v>
      </c>
      <c r="C172" s="243" t="s">
        <v>220</v>
      </c>
      <c r="D172" s="819"/>
      <c r="E172" s="848"/>
    </row>
    <row r="173" spans="1:5">
      <c r="A173" s="816"/>
      <c r="B173" s="311" t="s">
        <v>184</v>
      </c>
      <c r="C173" s="244">
        <f>('Upgrade Data'!I12)</f>
        <v>0</v>
      </c>
      <c r="D173" s="837"/>
      <c r="E173" s="849"/>
    </row>
    <row r="174" spans="1:5">
      <c r="A174" s="816"/>
      <c r="B174" s="311" t="s">
        <v>195</v>
      </c>
      <c r="C174" s="245">
        <f>('Upgrade Data'!F8)</f>
        <v>0</v>
      </c>
      <c r="D174" s="837"/>
      <c r="E174" s="849"/>
    </row>
    <row r="175" spans="1:5">
      <c r="A175" s="816"/>
      <c r="B175" s="312" t="s">
        <v>194</v>
      </c>
      <c r="C175" s="246">
        <f>('Upgrade Data'!B8)</f>
        <v>0</v>
      </c>
      <c r="D175" s="837"/>
      <c r="E175" s="849"/>
    </row>
    <row r="176" spans="1:5">
      <c r="A176" s="817"/>
      <c r="B176" s="346" t="s">
        <v>191</v>
      </c>
      <c r="C176" s="244" t="str">
        <f>(C98)</f>
        <v>0prodswarm</v>
      </c>
      <c r="D176" s="820"/>
      <c r="E176" s="850"/>
    </row>
    <row r="177" spans="1:5">
      <c r="A177" s="80">
        <v>15</v>
      </c>
      <c r="B177" s="356" t="s">
        <v>197</v>
      </c>
      <c r="C177" s="81"/>
      <c r="D177" s="269"/>
      <c r="E177" s="266"/>
    </row>
    <row r="178" spans="1:5">
      <c r="A178" s="247">
        <v>16</v>
      </c>
      <c r="B178" s="196" t="s">
        <v>221</v>
      </c>
      <c r="C178" s="87"/>
      <c r="D178" s="270"/>
      <c r="E178" s="262"/>
    </row>
    <row r="179" spans="1:5">
      <c r="A179" s="768">
        <v>17</v>
      </c>
      <c r="B179" s="327" t="s">
        <v>199</v>
      </c>
      <c r="C179" s="122" t="s">
        <v>200</v>
      </c>
      <c r="D179" s="483"/>
      <c r="E179" s="263"/>
    </row>
    <row r="180" spans="1:5">
      <c r="A180" s="247">
        <v>18</v>
      </c>
      <c r="B180" s="317">
        <f>('Upgrade Data'!F14)</f>
        <v>0</v>
      </c>
      <c r="C180" s="42" t="s">
        <v>222</v>
      </c>
      <c r="D180" s="270"/>
      <c r="E180" s="262"/>
    </row>
  </sheetData>
  <mergeCells count="71">
    <mergeCell ref="E7:E8"/>
    <mergeCell ref="A9:A52"/>
    <mergeCell ref="D75:D77"/>
    <mergeCell ref="D78:D79"/>
    <mergeCell ref="D80:D81"/>
    <mergeCell ref="D17:D20"/>
    <mergeCell ref="D21:D28"/>
    <mergeCell ref="D29:D36"/>
    <mergeCell ref="D37:D44"/>
    <mergeCell ref="E9:E16"/>
    <mergeCell ref="E17:E20"/>
    <mergeCell ref="E21:E28"/>
    <mergeCell ref="E29:E36"/>
    <mergeCell ref="E37:E44"/>
    <mergeCell ref="A4:A6"/>
    <mergeCell ref="D4:D6"/>
    <mergeCell ref="A75:A91"/>
    <mergeCell ref="A7:A8"/>
    <mergeCell ref="D7:D8"/>
    <mergeCell ref="D82:D83"/>
    <mergeCell ref="D9:D16"/>
    <mergeCell ref="D45:D52"/>
    <mergeCell ref="A99:A132"/>
    <mergeCell ref="D99:D104"/>
    <mergeCell ref="D105:D111"/>
    <mergeCell ref="D112:D118"/>
    <mergeCell ref="E53:E74"/>
    <mergeCell ref="A93:A98"/>
    <mergeCell ref="D84:D85"/>
    <mergeCell ref="A53:A74"/>
    <mergeCell ref="D53:D74"/>
    <mergeCell ref="D86:D87"/>
    <mergeCell ref="A133:A138"/>
    <mergeCell ref="D133:D138"/>
    <mergeCell ref="D139:D143"/>
    <mergeCell ref="E139:E143"/>
    <mergeCell ref="A139:A143"/>
    <mergeCell ref="A144:A171"/>
    <mergeCell ref="D149:D153"/>
    <mergeCell ref="D154:D158"/>
    <mergeCell ref="D159:D166"/>
    <mergeCell ref="D167:D171"/>
    <mergeCell ref="E167:E171"/>
    <mergeCell ref="E159:E166"/>
    <mergeCell ref="E154:E158"/>
    <mergeCell ref="E149:E153"/>
    <mergeCell ref="D88:D89"/>
    <mergeCell ref="D144:D148"/>
    <mergeCell ref="E144:E148"/>
    <mergeCell ref="D93:D98"/>
    <mergeCell ref="D119:D125"/>
    <mergeCell ref="D126:D132"/>
    <mergeCell ref="D90:D91"/>
    <mergeCell ref="E88:E89"/>
    <mergeCell ref="E90:E91"/>
    <mergeCell ref="E172:E176"/>
    <mergeCell ref="D172:D176"/>
    <mergeCell ref="A172:A176"/>
    <mergeCell ref="E45:E52"/>
    <mergeCell ref="E133:E138"/>
    <mergeCell ref="E99:E104"/>
    <mergeCell ref="E105:E111"/>
    <mergeCell ref="E112:E118"/>
    <mergeCell ref="E119:E125"/>
    <mergeCell ref="E126:E132"/>
    <mergeCell ref="E75:E77"/>
    <mergeCell ref="E78:E79"/>
    <mergeCell ref="E80:E81"/>
    <mergeCell ref="E82:E83"/>
    <mergeCell ref="E84:E85"/>
    <mergeCell ref="E86:E87"/>
  </mergeCells>
  <conditionalFormatting sqref="D172 D167 D154 D133 D126 D119 D112 D3 D75 D9 D93 D99 D105 D144 D139 D149">
    <cfRule type="iconSet" priority="1172">
      <iconSet iconSet="3Symbols2" showValue="0">
        <cfvo type="percent" val="0"/>
        <cfvo type="num" val="0"/>
        <cfvo type="num" val="1"/>
      </iconSet>
    </cfRule>
    <cfRule type="iconSet" priority="1173">
      <iconSet iconSet="3Symbols2">
        <cfvo type="percent" val="0"/>
        <cfvo type="num" val="0"/>
        <cfvo type="num" val="1"/>
      </iconSet>
    </cfRule>
    <cfRule type="iconSet" priority="1174">
      <iconSet showValue="0">
        <cfvo type="percent" val="0"/>
        <cfvo type="percent" val="33"/>
        <cfvo type="percent" val="67"/>
      </iconSet>
    </cfRule>
    <cfRule type="iconSet" priority="1175">
      <iconSet iconSet="3Symbols2">
        <cfvo type="percent" val="0"/>
        <cfvo type="num" val="0"/>
        <cfvo type="num" val="1"/>
      </iconSet>
    </cfRule>
  </conditionalFormatting>
  <conditionalFormatting sqref="D92">
    <cfRule type="iconSet" priority="23">
      <iconSet iconSet="3Symbols2" showValue="0">
        <cfvo type="percent" val="0"/>
        <cfvo type="num" val="0"/>
        <cfvo type="num" val="1"/>
      </iconSet>
    </cfRule>
  </conditionalFormatting>
  <conditionalFormatting sqref="D84:D85">
    <cfRule type="iconSet" priority="22">
      <iconSet iconSet="3Symbols2" showValue="0">
        <cfvo type="percent" val="0"/>
        <cfvo type="num" val="0"/>
        <cfvo type="num" val="1"/>
      </iconSet>
    </cfRule>
  </conditionalFormatting>
  <conditionalFormatting sqref="D86:D87">
    <cfRule type="iconSet" priority="21">
      <iconSet iconSet="3Symbols2" showValue="0">
        <cfvo type="percent" val="0"/>
        <cfvo type="num" val="0"/>
        <cfvo type="num" val="1"/>
      </iconSet>
    </cfRule>
  </conditionalFormatting>
  <conditionalFormatting sqref="D88:D89">
    <cfRule type="iconSet" priority="20">
      <iconSet iconSet="3Symbols2" showValue="0">
        <cfvo type="percent" val="0"/>
        <cfvo type="num" val="0"/>
        <cfvo type="num" val="1"/>
      </iconSet>
    </cfRule>
  </conditionalFormatting>
  <conditionalFormatting sqref="D90:D91">
    <cfRule type="iconSet" priority="19">
      <iconSet iconSet="3Symbols2" showValue="0">
        <cfvo type="percent" val="0"/>
        <cfvo type="num" val="0"/>
        <cfvo type="num" val="1"/>
      </iconSet>
    </cfRule>
  </conditionalFormatting>
  <conditionalFormatting sqref="D21:D28">
    <cfRule type="iconSet" priority="18">
      <iconSet iconSet="3Symbols2" showValue="0">
        <cfvo type="percent" val="0"/>
        <cfvo type="num" val="0"/>
        <cfvo type="num" val="1"/>
      </iconSet>
    </cfRule>
  </conditionalFormatting>
  <conditionalFormatting sqref="D37:D44">
    <cfRule type="iconSet" priority="17">
      <iconSet iconSet="3Symbols2" showValue="0">
        <cfvo type="percent" val="0"/>
        <cfvo type="num" val="0"/>
        <cfvo type="num" val="1"/>
      </iconSet>
    </cfRule>
  </conditionalFormatting>
  <conditionalFormatting sqref="D29:D36">
    <cfRule type="iconSet" priority="16">
      <iconSet iconSet="3Symbols2" showValue="0">
        <cfvo type="percent" val="0"/>
        <cfvo type="num" val="0"/>
        <cfvo type="num" val="1"/>
      </iconSet>
    </cfRule>
  </conditionalFormatting>
  <conditionalFormatting sqref="D45:D52">
    <cfRule type="iconSet" priority="15">
      <iconSet iconSet="3Symbols2" showValue="0">
        <cfvo type="percent" val="0"/>
        <cfvo type="num" val="0"/>
        <cfvo type="num" val="1"/>
      </iconSet>
    </cfRule>
  </conditionalFormatting>
  <conditionalFormatting sqref="D4:D6">
    <cfRule type="iconSet" priority="14">
      <iconSet iconSet="3Symbols2" showValue="0">
        <cfvo type="percent" val="0"/>
        <cfvo type="num" val="0"/>
        <cfvo type="num" val="1"/>
      </iconSet>
    </cfRule>
  </conditionalFormatting>
  <conditionalFormatting sqref="D7:D8">
    <cfRule type="iconSet" priority="13">
      <iconSet iconSet="3Symbols2" showValue="0">
        <cfvo type="percent" val="0"/>
        <cfvo type="num" val="0"/>
        <cfvo type="num" val="1"/>
      </iconSet>
    </cfRule>
  </conditionalFormatting>
  <conditionalFormatting sqref="D17:D20">
    <cfRule type="iconSet" priority="12">
      <iconSet iconSet="3Symbols2" showValue="0">
        <cfvo type="percent" val="0"/>
        <cfvo type="num" val="0"/>
        <cfvo type="num" val="1"/>
      </iconSet>
    </cfRule>
  </conditionalFormatting>
  <conditionalFormatting sqref="D53:D74">
    <cfRule type="iconSet" priority="11">
      <iconSet iconSet="3Symbols2" showValue="0">
        <cfvo type="percent" val="0"/>
        <cfvo type="num" val="0"/>
        <cfvo type="num" val="1"/>
      </iconSet>
    </cfRule>
  </conditionalFormatting>
  <conditionalFormatting sqref="D78:D79">
    <cfRule type="iconSet" priority="10">
      <iconSet iconSet="3Symbols2" showValue="0">
        <cfvo type="percent" val="0"/>
        <cfvo type="num" val="0"/>
        <cfvo type="num" val="1"/>
      </iconSet>
    </cfRule>
  </conditionalFormatting>
  <conditionalFormatting sqref="D82:D83">
    <cfRule type="iconSet" priority="9">
      <iconSet iconSet="3Symbols2" showValue="0">
        <cfvo type="percent" val="0"/>
        <cfvo type="num" val="0"/>
        <cfvo type="num" val="1"/>
      </iconSet>
    </cfRule>
  </conditionalFormatting>
  <conditionalFormatting sqref="D80:D81">
    <cfRule type="iconSet" priority="8">
      <iconSet iconSet="3Symbols2" showValue="0">
        <cfvo type="percent" val="0"/>
        <cfvo type="num" val="0"/>
        <cfvo type="num" val="1"/>
      </iconSet>
    </cfRule>
  </conditionalFormatting>
  <conditionalFormatting sqref="D2">
    <cfRule type="iconSet" priority="7">
      <iconSet iconSet="3Symbols2" showValue="0">
        <cfvo type="percent" val="0"/>
        <cfvo type="num" val="0"/>
        <cfvo type="num" val="1"/>
      </iconSet>
    </cfRule>
  </conditionalFormatting>
  <conditionalFormatting sqref="D177">
    <cfRule type="iconSet" priority="6">
      <iconSet iconSet="3Symbols2" showValue="0">
        <cfvo type="percent" val="0"/>
        <cfvo type="num" val="0"/>
        <cfvo type="num" val="1"/>
      </iconSet>
    </cfRule>
  </conditionalFormatting>
  <conditionalFormatting sqref="D178">
    <cfRule type="iconSet" priority="5">
      <iconSet iconSet="3Symbols2" showValue="0">
        <cfvo type="percent" val="0"/>
        <cfvo type="num" val="0"/>
        <cfvo type="num" val="1"/>
      </iconSet>
    </cfRule>
  </conditionalFormatting>
  <conditionalFormatting sqref="D179">
    <cfRule type="iconSet" priority="2">
      <iconSet iconSet="3Symbols2" showValue="0">
        <cfvo type="percent" val="0"/>
        <cfvo type="num" val="0"/>
        <cfvo type="num" val="1"/>
      </iconSet>
    </cfRule>
  </conditionalFormatting>
  <conditionalFormatting sqref="D180">
    <cfRule type="iconSet" priority="1">
      <iconSet iconSet="3Symbols2" showValue="0">
        <cfvo type="percent" val="0"/>
        <cfvo type="num" val="0"/>
        <cfvo type="num" val="1"/>
      </iconSet>
    </cfRule>
  </conditionalFormatting>
  <conditionalFormatting sqref="D159">
    <cfRule type="iconSet" priority="1259">
      <iconSet iconSet="3Symbols2" showValue="0">
        <cfvo type="percent" val="0"/>
        <cfvo type="num" val="0"/>
        <cfvo type="num" val="1"/>
      </iconSet>
    </cfRule>
  </conditionalFormatting>
  <hyperlinks>
    <hyperlink ref="C75" r:id="rId1"/>
    <hyperlink ref="C93" r:id="rId2"/>
    <hyperlink ref="C99" r:id="rId3" display="https://jenkins.planviewcloud.net/job/e1_upgrade_pipe/"/>
    <hyperlink ref="C133" r:id="rId4"/>
    <hyperlink ref="C179" r:id="rId5" location="/ccu-main" display="https://control.akamai.com/apps/fast-purge/ - /ccu-main"/>
    <hyperlink ref="C139" r:id="rId6"/>
    <hyperlink ref="C172" r:id="rId7"/>
  </hyperlinks>
  <pageMargins left="0.7" right="0.7" top="0.75" bottom="0.75" header="0.3" footer="0.3"/>
  <pageSetup orientation="portrait" r:id="rId8"/>
  <extLst>
    <ext xmlns:x14="http://schemas.microsoft.com/office/spreadsheetml/2009/9/main" uri="{CCE6A557-97BC-4b89-ADB6-D9C93CAAB3DF}">
      <x14:dataValidations xmlns:xm="http://schemas.microsoft.com/office/excel/2006/main" count="1">
        <x14:dataValidation type="list" allowBlank="1" showInputMessage="1" showErrorMessage="1">
          <x14:formula1>
            <xm:f>AutoPop!$M$79</xm:f>
          </x14:formula1>
          <xm:sqref>D154 D167 D149 D105 D112 D119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11"/>
  <sheetViews>
    <sheetView workbookViewId="0">
      <selection activeCell="C10" sqref="C10"/>
    </sheetView>
  </sheetViews>
  <sheetFormatPr defaultRowHeight="15"/>
  <cols>
    <col min="2" max="2" width="59" style="2" bestFit="1" customWidth="1"/>
    <col min="3" max="3" width="129.140625" customWidth="1"/>
    <col min="4" max="4" width="13.85546875" bestFit="1" customWidth="1"/>
    <col min="5" max="5" width="45.42578125" bestFit="1" customWidth="1"/>
  </cols>
  <sheetData>
    <row r="1" spans="1:6" ht="38.25">
      <c r="A1" s="289"/>
      <c r="B1" s="274" t="s">
        <v>204</v>
      </c>
      <c r="C1" s="274" t="s">
        <v>136</v>
      </c>
      <c r="D1" s="291" t="s">
        <v>223</v>
      </c>
      <c r="E1" s="274" t="s">
        <v>224</v>
      </c>
    </row>
    <row r="2" spans="1:6">
      <c r="A2" s="773">
        <v>1</v>
      </c>
      <c r="B2" s="359" t="s">
        <v>157</v>
      </c>
      <c r="C2" s="54" t="str">
        <f>('Upgrade Data'!I8)&amp;"/login/body.asp?manual=Y"</f>
        <v>https://0-sb.pvcloud.com/login/body.asp?manual=Y</v>
      </c>
      <c r="D2" s="773"/>
      <c r="E2" s="290"/>
      <c r="F2" t="str">
        <f>('Upgrade Data'!F10)</f>
        <v/>
      </c>
    </row>
    <row r="3" spans="1:6">
      <c r="A3" s="765">
        <v>2</v>
      </c>
      <c r="B3" s="360" t="s">
        <v>225</v>
      </c>
      <c r="C3" s="53" t="str">
        <f>_xlfn.CONCAT(AutoPop!M112,'Upgrade Data'!F4,AutoPop!N112)</f>
        <v>Start-Process "chrome.exe" "https://0.pvcloud.com/planview/diag/version.aspx"</v>
      </c>
      <c r="D3" s="765"/>
      <c r="E3" s="117"/>
    </row>
    <row r="4" spans="1:6">
      <c r="A4" s="773">
        <v>3</v>
      </c>
      <c r="B4" s="361" t="s">
        <v>159</v>
      </c>
      <c r="C4" s="52" t="str">
        <f>_xlfn.CONCAT(AutoPop!M112,'Upgrade Data'!F4,AutoPop!N113)</f>
        <v>Start-Process "chrome.exe" "https://0.pvcloud.com/odataservice/OdataService.svc"</v>
      </c>
      <c r="D4" s="773"/>
      <c r="E4" s="51"/>
    </row>
    <row r="5" spans="1:6">
      <c r="A5" s="765">
        <v>4</v>
      </c>
      <c r="B5" s="362" t="s">
        <v>160</v>
      </c>
      <c r="C5" s="45" t="str">
        <f>_xlfn.CONCAT(AutoPop!M112,'Upgrade Data'!F4,AutoPop!N114)</f>
        <v>Start-Process "chrome.exe" "https://0.pvcloud.com/planview/Progressing/ProgressInteractively.aspx"</v>
      </c>
      <c r="D5" s="765"/>
      <c r="E5" s="44"/>
    </row>
    <row r="6" spans="1:6">
      <c r="A6" s="773">
        <v>5</v>
      </c>
      <c r="B6" s="363" t="s">
        <v>161</v>
      </c>
      <c r="C6" s="51" t="str">
        <f>_xlfn.CONCAT(AutoPop!M112,'Upgrade Data'!F4,AutoPop!N115)</f>
        <v>Start-Process "chrome.exe" "https://0.pvcloud.com/planview/AdminApplication/AdministerOLAPConnStrings.aspx"</v>
      </c>
      <c r="D6" s="773"/>
      <c r="E6" s="51"/>
    </row>
    <row r="7" spans="1:6">
      <c r="A7" s="765">
        <v>6</v>
      </c>
      <c r="B7" s="364" t="s">
        <v>162</v>
      </c>
      <c r="C7" s="44" t="e">
        <f>_xlfn.CONCAT(AutoPop!M112,'Upgrade Data'!F4,AutoPop!#REF!)</f>
        <v>#REF!</v>
      </c>
      <c r="D7" s="765"/>
      <c r="E7" s="44"/>
    </row>
    <row r="8" spans="1:6">
      <c r="A8" s="773">
        <v>7</v>
      </c>
      <c r="B8" s="363" t="s">
        <v>164</v>
      </c>
      <c r="C8" s="52" t="str">
        <f>_xlfn.CONCAT(AutoPop!M112,'Upgrade Data'!F4,AutoPop!N118)</f>
        <v>Start-Process "chrome.exe" "https://0.pvcloud.com/planview/AdminApplication/AdminServices.aspx"</v>
      </c>
      <c r="D8" s="773"/>
      <c r="E8" s="51"/>
    </row>
    <row r="9" spans="1:6">
      <c r="A9" s="765">
        <v>8</v>
      </c>
      <c r="B9" s="362" t="s">
        <v>226</v>
      </c>
      <c r="C9" s="45" t="s">
        <v>227</v>
      </c>
      <c r="D9" s="765"/>
      <c r="E9" s="44"/>
    </row>
    <row r="10" spans="1:6">
      <c r="A10" s="770">
        <v>9</v>
      </c>
      <c r="B10" s="365" t="s">
        <v>166</v>
      </c>
      <c r="C10" s="86" t="str">
        <f>_xlfn.CONCAT(AutoPop!M112,'Upgrade Data'!F4,AutoPop!N120)</f>
        <v>Start-Process "chrome.exe" "https://0.pvcloud.com/ng/ctm/"</v>
      </c>
      <c r="D10" s="770"/>
      <c r="E10" s="86"/>
    </row>
    <row r="11" spans="1:6">
      <c r="D11" s="8"/>
    </row>
  </sheetData>
  <conditionalFormatting sqref="D11">
    <cfRule type="iconSet" priority="177">
      <iconSet iconSet="3Symbols" showValue="0">
        <cfvo type="percent" val="0"/>
        <cfvo type="percent" val="33"/>
        <cfvo type="percent" val="67"/>
      </iconSet>
    </cfRule>
    <cfRule type="iconSet" priority="178">
      <iconSet iconSet="3Symbols">
        <cfvo type="percent" val="0"/>
        <cfvo type="percent" val="0"/>
        <cfvo type="percent" val="2"/>
      </iconSet>
    </cfRule>
    <cfRule type="iconSet" priority="179">
      <iconSet iconSet="3Symbols2">
        <cfvo type="percent" val="0"/>
        <cfvo type="percent" val="33"/>
        <cfvo type="percent" val="67"/>
      </iconSet>
    </cfRule>
  </conditionalFormatting>
  <conditionalFormatting sqref="D4">
    <cfRule type="iconSet" priority="48">
      <iconSet iconSet="3Symbols2" showValue="0">
        <cfvo type="percent" val="0"/>
        <cfvo type="num" val="1"/>
        <cfvo type="num" val="2"/>
      </iconSet>
    </cfRule>
    <cfRule type="iconSet" priority="66">
      <iconSet iconSet="3Symbols" showValue="0">
        <cfvo type="percent" val="0"/>
        <cfvo type="num" val="1"/>
        <cfvo type="num" val="2"/>
      </iconSet>
    </cfRule>
    <cfRule type="iconSet" priority="67">
      <iconSet iconSet="3Symbols">
        <cfvo type="percent" val="0"/>
        <cfvo type="num" val="1"/>
        <cfvo type="num" val="2"/>
      </iconSet>
    </cfRule>
  </conditionalFormatting>
  <conditionalFormatting sqref="D5:D6">
    <cfRule type="iconSet" priority="47">
      <iconSet iconSet="3Symbols2" showValue="0">
        <cfvo type="percent" val="0"/>
        <cfvo type="num" val="1"/>
        <cfvo type="num" val="2"/>
      </iconSet>
    </cfRule>
    <cfRule type="iconSet" priority="68">
      <iconSet iconSet="3Symbols" showValue="0">
        <cfvo type="percent" val="0"/>
        <cfvo type="num" val="1"/>
        <cfvo type="num" val="2"/>
      </iconSet>
    </cfRule>
  </conditionalFormatting>
  <conditionalFormatting sqref="D3">
    <cfRule type="iconSet" priority="51">
      <iconSet iconSet="3Symbols" showValue="0">
        <cfvo type="percent" val="0"/>
        <cfvo type="percent" val="33"/>
        <cfvo type="percent" val="67"/>
      </iconSet>
    </cfRule>
    <cfRule type="iconSet" priority="52">
      <iconSet iconSet="3Symbols">
        <cfvo type="percent" val="0"/>
        <cfvo type="percent" val="0"/>
        <cfvo type="percent" val="2"/>
      </iconSet>
    </cfRule>
    <cfRule type="iconSet" priority="53">
      <iconSet iconSet="3Symbols2">
        <cfvo type="percent" val="0"/>
        <cfvo type="percent" val="33"/>
        <cfvo type="percent" val="67"/>
      </iconSet>
    </cfRule>
  </conditionalFormatting>
  <conditionalFormatting sqref="D3">
    <cfRule type="iconSet" priority="1">
      <iconSet iconSet="3Symbols" showValue="0">
        <cfvo type="percent" val="0"/>
        <cfvo type="num" val="1"/>
        <cfvo type="num" val="2"/>
      </iconSet>
    </cfRule>
    <cfRule type="iconSet" priority="50">
      <iconSet iconSet="3Symbols2" showValue="0">
        <cfvo type="percent" val="0"/>
        <cfvo type="num" val="1"/>
        <cfvo type="num" val="2"/>
      </iconSet>
    </cfRule>
    <cfRule type="iconSet" priority="54">
      <iconSet iconSet="3Symbols" showValue="0">
        <cfvo type="percent" val="0"/>
        <cfvo type="num" val="1"/>
        <cfvo type="num" val="2"/>
      </iconSet>
    </cfRule>
    <cfRule type="iconSet" priority="55">
      <iconSet iconSet="3Symbols">
        <cfvo type="percent" val="0"/>
        <cfvo type="num" val="1"/>
        <cfvo type="num" val="2"/>
      </iconSet>
    </cfRule>
  </conditionalFormatting>
  <conditionalFormatting sqref="D7">
    <cfRule type="iconSet" priority="42">
      <iconSet iconSet="3Symbols2" showValue="0">
        <cfvo type="percent" val="0"/>
        <cfvo type="num" val="1"/>
        <cfvo type="num" val="2"/>
      </iconSet>
    </cfRule>
    <cfRule type="iconSet" priority="43">
      <iconSet iconSet="3Symbols" showValue="0">
        <cfvo type="percent" val="0"/>
        <cfvo type="num" val="1"/>
        <cfvo type="num" val="2"/>
      </iconSet>
    </cfRule>
    <cfRule type="iconSet" priority="44">
      <iconSet iconSet="3Symbols">
        <cfvo type="percent" val="0"/>
        <cfvo type="num" val="1"/>
        <cfvo type="num" val="2"/>
      </iconSet>
    </cfRule>
  </conditionalFormatting>
  <conditionalFormatting sqref="D8:D9">
    <cfRule type="iconSet" priority="40">
      <iconSet iconSet="3Symbols2" showValue="0">
        <cfvo type="percent" val="0"/>
        <cfvo type="num" val="1"/>
        <cfvo type="num" val="2"/>
      </iconSet>
    </cfRule>
    <cfRule type="iconSet" priority="41">
      <iconSet iconSet="3Symbols" showValue="0">
        <cfvo type="percent" val="0"/>
        <cfvo type="num" val="1"/>
        <cfvo type="num" val="2"/>
      </iconSet>
    </cfRule>
  </conditionalFormatting>
  <conditionalFormatting sqref="D10">
    <cfRule type="iconSet" priority="32">
      <iconSet iconSet="3Symbols" showValue="0">
        <cfvo type="percent" val="0"/>
        <cfvo type="num" val="1"/>
        <cfvo type="num" val="2"/>
      </iconSet>
    </cfRule>
    <cfRule type="iconSet" priority="36">
      <iconSet iconSet="3Symbols2" showValue="0">
        <cfvo type="percent" val="0"/>
        <cfvo type="num" val="1"/>
        <cfvo type="num" val="2"/>
      </iconSet>
    </cfRule>
    <cfRule type="iconSet" priority="37">
      <iconSet iconSet="3Symbols" showValue="0">
        <cfvo type="percent" val="0"/>
        <cfvo type="num" val="1"/>
        <cfvo type="num" val="2"/>
      </iconSet>
    </cfRule>
    <cfRule type="iconSet" priority="38">
      <iconSet iconSet="3Symbols">
        <cfvo type="percent" val="0"/>
        <cfvo type="num" val="1"/>
        <cfvo type="num" val="2"/>
      </iconSet>
    </cfRule>
  </conditionalFormatting>
  <conditionalFormatting sqref="D7">
    <cfRule type="iconSet" priority="20">
      <iconSet iconSet="3Symbols" showValue="0">
        <cfvo type="percent" val="0"/>
        <cfvo type="num" val="1"/>
        <cfvo type="num" val="2"/>
      </iconSet>
    </cfRule>
    <cfRule type="iconSet" priority="21">
      <iconSet iconSet="3Symbols2" showValue="0">
        <cfvo type="percent" val="0"/>
        <cfvo type="num" val="1"/>
        <cfvo type="num" val="2"/>
      </iconSet>
    </cfRule>
    <cfRule type="iconSet" priority="22">
      <iconSet iconSet="3Symbols" showValue="0">
        <cfvo type="percent" val="0"/>
        <cfvo type="num" val="1"/>
        <cfvo type="num" val="2"/>
      </iconSet>
    </cfRule>
    <cfRule type="iconSet" priority="23">
      <iconSet iconSet="3Symbols">
        <cfvo type="percent" val="0"/>
        <cfvo type="num" val="1"/>
        <cfvo type="num" val="2"/>
      </iconSet>
    </cfRule>
  </conditionalFormatting>
  <conditionalFormatting sqref="D4">
    <cfRule type="iconSet" priority="12">
      <iconSet iconSet="3Symbols" showValue="0">
        <cfvo type="percent" val="0"/>
        <cfvo type="num" val="1"/>
        <cfvo type="num" val="2"/>
      </iconSet>
    </cfRule>
    <cfRule type="iconSet" priority="13">
      <iconSet iconSet="3Symbols2" showValue="0">
        <cfvo type="percent" val="0"/>
        <cfvo type="num" val="1"/>
        <cfvo type="num" val="2"/>
      </iconSet>
    </cfRule>
    <cfRule type="iconSet" priority="14">
      <iconSet iconSet="3Symbols" showValue="0">
        <cfvo type="percent" val="0"/>
        <cfvo type="num" val="1"/>
        <cfvo type="num" val="2"/>
      </iconSet>
    </cfRule>
    <cfRule type="iconSet" priority="15">
      <iconSet iconSet="3Symbols">
        <cfvo type="percent" val="0"/>
        <cfvo type="num" val="1"/>
        <cfvo type="num" val="2"/>
      </iconSet>
    </cfRule>
  </conditionalFormatting>
  <conditionalFormatting sqref="D8:D9">
    <cfRule type="iconSet" priority="9">
      <iconSet iconSet="3Symbols" showValue="0">
        <cfvo type="percent" val="0"/>
        <cfvo type="num" val="1"/>
        <cfvo type="num" val="2"/>
      </iconSet>
    </cfRule>
    <cfRule type="iconSet" priority="10">
      <iconSet iconSet="3Symbols2" showValue="0">
        <cfvo type="percent" val="0"/>
        <cfvo type="num" val="1"/>
        <cfvo type="num" val="2"/>
      </iconSet>
    </cfRule>
  </conditionalFormatting>
  <conditionalFormatting sqref="D5:D6">
    <cfRule type="iconSet" priority="3">
      <iconSet iconSet="3Symbols" showValue="0">
        <cfvo type="percent" val="0"/>
        <cfvo type="num" val="1"/>
        <cfvo type="num" val="2"/>
      </iconSet>
    </cfRule>
    <cfRule type="iconSet" priority="4">
      <iconSet iconSet="3Symbols2" showValue="0">
        <cfvo type="percent" val="0"/>
        <cfvo type="num" val="1"/>
        <cfvo type="num" val="2"/>
      </iconSet>
    </cfRule>
  </conditionalFormatting>
  <conditionalFormatting sqref="D4:D10">
    <cfRule type="iconSet" priority="971">
      <iconSet iconSet="3Symbols" showValue="0">
        <cfvo type="percent" val="0"/>
        <cfvo type="percent" val="33"/>
        <cfvo type="percent" val="67"/>
      </iconSet>
    </cfRule>
    <cfRule type="iconSet" priority="972">
      <iconSet iconSet="3Symbols">
        <cfvo type="percent" val="0"/>
        <cfvo type="percent" val="0"/>
        <cfvo type="percent" val="2"/>
      </iconSet>
    </cfRule>
    <cfRule type="iconSet" priority="973">
      <iconSet iconSet="3Symbols2">
        <cfvo type="percent" val="0"/>
        <cfvo type="percent" val="33"/>
        <cfvo type="percent" val="67"/>
      </iconSet>
    </cfRule>
  </conditionalFormatting>
  <conditionalFormatting sqref="D2">
    <cfRule type="iconSet" priority="1176">
      <iconSet iconSet="3Symbols" showValue="0">
        <cfvo type="percent" val="0"/>
        <cfvo type="num" val="1"/>
        <cfvo type="num" val="2"/>
      </iconSet>
    </cfRule>
    <cfRule type="iconSet" priority="1177">
      <iconSet iconSet="3Symbols2" showValue="0">
        <cfvo type="percent" val="0"/>
        <cfvo type="num" val="1"/>
        <cfvo type="num" val="2"/>
      </iconSet>
    </cfRule>
    <cfRule type="iconSet" priority="1178">
      <iconSet iconSet="3Symbols" showValue="0">
        <cfvo type="percent" val="0"/>
        <cfvo type="num" val="1"/>
        <cfvo type="num" val="2"/>
      </iconSet>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81"/>
  <sheetViews>
    <sheetView zoomScale="85" zoomScaleNormal="85" workbookViewId="0">
      <selection activeCell="A2" sqref="A2"/>
    </sheetView>
  </sheetViews>
  <sheetFormatPr defaultRowHeight="15"/>
  <cols>
    <col min="1" max="1" width="9.140625" style="8"/>
    <col min="2" max="2" width="81.7109375" style="2" bestFit="1" customWidth="1"/>
    <col min="3" max="3" width="255.5703125" bestFit="1" customWidth="1"/>
    <col min="4" max="4" width="26" bestFit="1" customWidth="1"/>
    <col min="5" max="5" width="28.7109375" style="267" bestFit="1" customWidth="1"/>
  </cols>
  <sheetData>
    <row r="1" spans="1:5" ht="18">
      <c r="A1" s="292"/>
      <c r="B1" s="372" t="s">
        <v>135</v>
      </c>
      <c r="C1" s="373" t="s">
        <v>136</v>
      </c>
      <c r="D1" s="372" t="s">
        <v>137</v>
      </c>
      <c r="E1" s="374" t="s">
        <v>170</v>
      </c>
    </row>
    <row r="2" spans="1:5">
      <c r="A2" s="763">
        <v>1</v>
      </c>
      <c r="B2" s="64">
        <f>('Upgrade Data'!F14)</f>
        <v>0</v>
      </c>
      <c r="C2" s="41" t="s">
        <v>228</v>
      </c>
      <c r="D2" s="60"/>
      <c r="E2" s="261"/>
    </row>
    <row r="3" spans="1:5">
      <c r="A3" s="862">
        <v>2</v>
      </c>
      <c r="B3" s="797" t="s">
        <v>229</v>
      </c>
      <c r="C3" s="78" t="str">
        <f>('SB Checklist'!C3)</f>
        <v xml:space="preserve">https://planview.lightning.force.com/lightning </v>
      </c>
      <c r="D3" s="897"/>
      <c r="E3" s="370"/>
    </row>
    <row r="4" spans="1:5" ht="15.6" customHeight="1">
      <c r="A4" s="863"/>
      <c r="B4" s="797"/>
      <c r="C4" s="78">
        <f>('SB Checklist'!C4)</f>
        <v>0</v>
      </c>
      <c r="D4" s="898"/>
      <c r="E4" s="370"/>
    </row>
    <row r="5" spans="1:5" ht="75">
      <c r="A5" s="864"/>
      <c r="B5" s="797"/>
      <c r="C5" s="78" t="s">
        <v>230</v>
      </c>
      <c r="D5" s="899"/>
      <c r="E5" s="370"/>
    </row>
    <row r="6" spans="1:5">
      <c r="A6" s="873">
        <v>3</v>
      </c>
      <c r="B6" s="381" t="s">
        <v>231</v>
      </c>
      <c r="C6" s="214" t="s">
        <v>175</v>
      </c>
      <c r="D6" s="823"/>
      <c r="E6" s="870" t="str">
        <f>IF(MasterConfig!B19=TRUE,"PVE Server listed 2 times is planned","")</f>
        <v/>
      </c>
    </row>
    <row r="7" spans="1:5">
      <c r="A7" s="874"/>
      <c r="B7" s="321" t="s">
        <v>207</v>
      </c>
      <c r="C7" s="371" t="str">
        <f>IF('Upgrade Data'!F12=TRUE,_xlfn.CONCAT(Automation!B12,Automation!C13,'Upgrade Data'!F6,Automation!C51,Automation!D103,Automation!C21,Automation!D3,Automation!C22,Automation!D13,Automation!C28),_xlfn.CONCAT(Automation!B12,Automation!C13,'Upgrade Data'!F6,Automation!C51,Automation!D103,Automation!C21,Automation!D3,Automation!C22,Automation!D13))</f>
        <v xml:space="preserve">New-DDDowntime -CustID 0 -Environment Production -Mutelength 5 -Message "Muting environment for In Place Upgrade" </v>
      </c>
      <c r="D7" s="824"/>
      <c r="E7" s="871"/>
    </row>
    <row r="8" spans="1:5">
      <c r="A8" s="764">
        <v>4</v>
      </c>
      <c r="B8" s="196" t="s">
        <v>232</v>
      </c>
      <c r="C8" s="43" t="s">
        <v>233</v>
      </c>
      <c r="D8" s="248"/>
      <c r="E8" s="409"/>
    </row>
    <row r="9" spans="1:5">
      <c r="A9" s="813">
        <v>5</v>
      </c>
      <c r="B9" s="672" t="s">
        <v>234</v>
      </c>
      <c r="C9" s="482"/>
      <c r="D9" s="823"/>
      <c r="E9" s="855"/>
    </row>
    <row r="10" spans="1:5">
      <c r="A10" s="814"/>
      <c r="B10" s="670"/>
      <c r="C10" s="116" t="e">
        <f ca="1">IF('Upgrade Data'!F12=TRUE,_xlfn.CONCAT(Automation!D141,Automation!D71,Automation!H16),_xlfn.CONCAT(Automation!D141,Automation!D71,Automation!H17))</f>
        <v>#NAME?</v>
      </c>
      <c r="D10" s="824"/>
      <c r="E10" s="856"/>
    </row>
    <row r="11" spans="1:5">
      <c r="A11" s="814"/>
      <c r="B11" s="670"/>
      <c r="C11" s="116" t="str">
        <f>_xlfn.CONCAT(Automation!B3,Automation!C23,Automation!D141,Automation!C12,Automation!D16,Automation!C52,Automation!C36,Automation!D17)</f>
        <v>Invoke-Command -ComputerName $ProdAll -ScriptBlock {Restart-Computer -Force}</v>
      </c>
      <c r="D11" s="824"/>
      <c r="E11" s="856"/>
    </row>
    <row r="12" spans="1:5">
      <c r="A12" s="814"/>
      <c r="B12" s="670"/>
      <c r="C12" s="116" t="str">
        <f>(Automation!B14) &amp; "45"</f>
        <v>start-sleep 45</v>
      </c>
      <c r="D12" s="824"/>
      <c r="E12" s="856"/>
    </row>
    <row r="13" spans="1:5">
      <c r="A13" s="814"/>
      <c r="B13" s="670"/>
      <c r="C13" s="116" t="e">
        <f ca="1">IF('Upgrade Data'!F12=TRUE,_xlfn.CONCAT(Automation!D143,Automation!D71,Automation!H4),_xlfn.CONCAT(Automation!D143,Automation!D71,Automation!G2))</f>
        <v>#NAME?</v>
      </c>
      <c r="D13" s="824"/>
      <c r="E13" s="856"/>
    </row>
    <row r="14" spans="1:5" ht="15.6" customHeight="1">
      <c r="A14" s="829"/>
      <c r="B14" s="670"/>
      <c r="C14" s="116" t="str">
        <f>_xlfn.CONCAT(Automation!B3,Automation!C23,Automation!D143,Automation!C24,Automation!D16,Automation!C20,Automation!D27,Automation!C4,Automation!D17)</f>
        <v>Invoke-Command -ComputerName $ProdWebs -Command  {stop-WebAppPool planview  -Verbose}</v>
      </c>
      <c r="D14" s="824"/>
      <c r="E14" s="856"/>
    </row>
    <row r="15" spans="1:5" ht="15.6" customHeight="1">
      <c r="A15" s="815">
        <v>6</v>
      </c>
      <c r="B15" s="796" t="s">
        <v>180</v>
      </c>
      <c r="C15" s="88" t="e">
        <f ca="1">IF(AND(MasterConfig!B19=TRUE,'Upgrade Data'!F12=TRUE),_xlfn.CONCAT(Automation!D139,Automation!D71,Automation!H2),IF(AND(MasterConfig!B19=FALSE,'Upgrade Data'!F12=TRUE),_xlfn.CONCAT(Automation!D139,Automation!D71,Automation!H2,Automation!D26,Automation!D72,Automation!F45,Automation!D72),IF(AND(MasterConfig!B19=TRUE,'Upgrade Data'!F12=FALSE),_xlfn.CONCAT(Automation!D139,Automation!D71,Automation!G2),_xlfn.CONCAT(Automation!D139,Automation!D71,Automation!G2,Automation!D26,Automation!D72,Automation!F6,Automation!D72))))</f>
        <v>#NAME?</v>
      </c>
      <c r="D15" s="819"/>
      <c r="E15" s="848"/>
    </row>
    <row r="16" spans="1:5" ht="15.6" customHeight="1">
      <c r="A16" s="817"/>
      <c r="B16" s="798"/>
      <c r="C16" s="56" t="str">
        <f>_xlfn.CONCAT(Automation!B3,Automation!C23,Automation!D139,Automation!C12,Automation!D16,Automation!C18,Automation!C26,Automation!D29,Automation!C4,Automation!D70,Automation!C27,Automation!C26,Automation!D29,Automation!C4,Automation!D17)</f>
        <v>Invoke-Command -ComputerName $ProdPrm -ScriptBlock {Stop-Service  -DisplayName  Plan*  -Verbose; Get-Service  -DisplayName  Plan*  -Verbose}</v>
      </c>
      <c r="D16" s="820"/>
      <c r="E16" s="850"/>
    </row>
    <row r="17" spans="1:5">
      <c r="A17" s="883">
        <v>7</v>
      </c>
      <c r="B17" s="701" t="s">
        <v>235</v>
      </c>
      <c r="C17" s="728" t="str">
        <f>IF('Upgrade Data'!F12=TRUE,_xlfn.CONCAT(Automation!B3,Automation!C23,Automation!F41,Automation!D15,Automation!C24,Automation!C45),_xlfn.CONCAT(Automation!B3,Automation!C23,Automation!G21,Automation!D15,Automation!C24,Automation!C45))</f>
        <v>Invoke-Command -ComputerName 0  -Command {(GCI "F:\sqlbackup\" | Measure-Object)} | ft PSComputerName, Count</v>
      </c>
      <c r="D17" s="886"/>
      <c r="E17" s="793"/>
    </row>
    <row r="18" spans="1:5">
      <c r="A18" s="884"/>
      <c r="B18" s="756"/>
      <c r="C18" s="54" t="str">
        <f>IF('Upgrade Data'!F12=TRUE,_xlfn.CONCAT(Automation!B5,Automation!C10,Automation!F41,Automation!C54,Automation!D82,Automation!D104),_xlfn.CONCAT(Automation!B5,Automation!C10,Automation!G21,Automation!C54,Automation!D82,Automation!D104))</f>
        <v>Invoke-sqlcmd -ServerInstance 0 -Database  Master -query "SELECT COUNT(*) FROM sys.databases where database_id not in ( 1,2,3,4 )"</v>
      </c>
      <c r="D18" s="887"/>
      <c r="E18" s="757"/>
    </row>
    <row r="19" spans="1:5">
      <c r="A19" s="884"/>
      <c r="B19" s="717"/>
      <c r="C19" s="718" t="str">
        <f>('SB Checklist'!C19)</f>
        <v xml:space="preserve">cd SQLSERVER: </v>
      </c>
      <c r="D19" s="887"/>
      <c r="E19" s="784"/>
    </row>
    <row r="20" spans="1:5">
      <c r="A20" s="884"/>
      <c r="B20" s="717"/>
      <c r="C20" s="718" t="str">
        <f>('SB Checklist'!C20)</f>
        <v>CD\</v>
      </c>
      <c r="D20" s="887"/>
      <c r="E20" s="784"/>
    </row>
    <row r="21" spans="1:5">
      <c r="A21" s="884"/>
      <c r="B21" s="717"/>
      <c r="C21" s="718" t="str">
        <f>IF('Upgrade Data'!F12=TRUE,_xlfn.CONCAT(Automation!D42,Automation!D44,Automation!F41,Automation!D45),_xlfn.CONCAT(Automation!D42,Automation!D44,Automation!F7,Automation!D45))</f>
        <v xml:space="preserve">cd SQL\0\Default\JobServer\Jobs </v>
      </c>
      <c r="D21" s="887"/>
      <c r="E21" s="784"/>
    </row>
    <row r="22" spans="1:5">
      <c r="A22" s="884"/>
      <c r="B22" s="717"/>
      <c r="C22" s="718" t="str">
        <f>('SB Checklist'!C22)</f>
        <v>(get-item DBBackups.0).start()</v>
      </c>
      <c r="D22" s="887"/>
      <c r="E22" s="784"/>
    </row>
    <row r="23" spans="1:5">
      <c r="A23" s="884"/>
      <c r="B23" s="717"/>
      <c r="C23" s="718" t="str">
        <f>('SB Checklist'!C23)</f>
        <v>(get-item DBBackups.0 | FT CurrentRunStatus)</v>
      </c>
      <c r="D23" s="887"/>
      <c r="E23" s="784"/>
    </row>
    <row r="24" spans="1:5">
      <c r="A24" s="884"/>
      <c r="B24" s="717"/>
      <c r="C24" s="718" t="str">
        <f>('SB Checklist'!C24)</f>
        <v>F:</v>
      </c>
      <c r="D24" s="887"/>
      <c r="E24" s="784"/>
    </row>
    <row r="25" spans="1:5">
      <c r="A25" s="884"/>
      <c r="B25" s="717"/>
      <c r="C25" s="718" t="str">
        <f>('SB Checklist'!C25)</f>
        <v>start-sleep 300</v>
      </c>
      <c r="D25" s="887"/>
      <c r="E25" s="784"/>
    </row>
    <row r="26" spans="1:5">
      <c r="A26" s="885"/>
      <c r="B26" s="727"/>
      <c r="C26" s="729" t="str">
        <f>IF('Upgrade Data'!F12=TRUE,_xlfn.CONCAT(Automation!B3,Automation!C23,Automation!F41,Automation!D15,Automation!C24,Automation!C45),_xlfn.CONCAT(Automation!B3,Automation!C23,Automation!G21,Automation!D15,Automation!C24,Automation!C45))</f>
        <v>Invoke-Command -ComputerName 0  -Command {(GCI "F:\sqlbackup\" | Measure-Object)} | ft PSComputerName, Count</v>
      </c>
      <c r="D26" s="888"/>
      <c r="E26" s="794"/>
    </row>
    <row r="27" spans="1:5">
      <c r="A27" s="815">
        <v>8</v>
      </c>
      <c r="B27" s="310" t="s">
        <v>182</v>
      </c>
      <c r="C27" s="46"/>
      <c r="D27" s="819"/>
      <c r="E27" s="848"/>
    </row>
    <row r="28" spans="1:5">
      <c r="A28" s="816"/>
      <c r="B28" s="428"/>
      <c r="C28" s="474" t="str">
        <f>('SB Checklist'!C29)</f>
        <v/>
      </c>
      <c r="D28" s="837"/>
      <c r="E28" s="849"/>
    </row>
    <row r="29" spans="1:5">
      <c r="A29" s="816"/>
      <c r="B29" s="428" t="str">
        <f>IF('Upgrade Data'!F12=TRUE,"TARGET_SERVER_NAME",IF('Upgrade Data'!F12=FALSE,"VM_GUEST_NAME",""))</f>
        <v/>
      </c>
      <c r="C29" s="765">
        <f>IF('Upgrade Data'!I5&lt;&gt;"",'Upgrade Data'!I5,"")</f>
        <v>0</v>
      </c>
      <c r="D29" s="837"/>
      <c r="E29" s="849"/>
    </row>
    <row r="30" spans="1:5">
      <c r="A30" s="816"/>
      <c r="B30" s="428" t="str">
        <f>IF('Upgrade Data'!F12=TRUE,"AMI_TYPE",IF('Upgrade Data'!F12=FALSE,"SNAPSHOT_NAME",""))</f>
        <v/>
      </c>
      <c r="C30" s="765" t="str">
        <f>IF('Upgrade Data'!F12&lt;&gt;"","Pre_e1r17_PRD_Upgrade","")</f>
        <v/>
      </c>
      <c r="D30" s="837"/>
      <c r="E30" s="849"/>
    </row>
    <row r="31" spans="1:5">
      <c r="A31" s="816"/>
      <c r="B31" s="448" t="str">
        <f>IF('Upgrade Data'!F12=TRUE,"NODE_LABEL",IF('Upgrade Data'!F12=FALSE,"",""))</f>
        <v/>
      </c>
      <c r="C31" s="766" t="str">
        <f>IF(AND('Upgrade Data'!F12=TRUE,'Upgrade Data'!F5="au"),Automation!F76,IF(AND('Upgrade Data'!F12=TRUE,'Upgrade Data'!F5="fr"),Automation!F77,""))</f>
        <v/>
      </c>
      <c r="D31" s="820"/>
      <c r="E31" s="849"/>
    </row>
    <row r="32" spans="1:5">
      <c r="A32" s="816"/>
      <c r="B32" s="329"/>
      <c r="C32" s="329"/>
      <c r="D32" s="824"/>
      <c r="E32" s="849"/>
    </row>
    <row r="33" spans="1:5">
      <c r="A33" s="816"/>
      <c r="B33" s="352" t="str">
        <f>IF('Upgrade Data'!F12=TRUE,"TARGET_SERVER_NAME",IF('Upgrade Data'!F12=FALSE,"VM_GUEST_NAME",""))</f>
        <v/>
      </c>
      <c r="C33" s="697">
        <f>IF('Upgrade Data'!I6&lt;&gt;"",'Upgrade Data'!I6,"")</f>
        <v>0</v>
      </c>
      <c r="D33" s="824"/>
      <c r="E33" s="849"/>
    </row>
    <row r="34" spans="1:5">
      <c r="A34" s="816"/>
      <c r="B34" s="352" t="str">
        <f>IF('Upgrade Data'!F12=TRUE,"AMI_TYPE",IF('Upgrade Data'!F12=FALSE,"SNAPSHOT_NAME",""))</f>
        <v/>
      </c>
      <c r="C34" s="697" t="str">
        <f>IF('Upgrade Data'!F12&lt;&gt;"","Pre_e1r17_PRD_Upgrade","")</f>
        <v/>
      </c>
      <c r="D34" s="824"/>
      <c r="E34" s="849"/>
    </row>
    <row r="35" spans="1:5">
      <c r="A35" s="816"/>
      <c r="B35" s="330" t="str">
        <f>IF('Upgrade Data'!F12=TRUE,"NODE_LABEL",IF('Upgrade Data'!F12=FALSE,"",""))</f>
        <v/>
      </c>
      <c r="C35" s="696" t="str">
        <f>IF(AND('Upgrade Data'!F12=TRUE,'Upgrade Data'!F5="au"),Automation!F76,IF(AND('Upgrade Data'!F12=TRUE,'Upgrade Data'!F5="fr"),Automation!F77,""))</f>
        <v/>
      </c>
      <c r="D35" s="824"/>
      <c r="E35" s="849"/>
    </row>
    <row r="36" spans="1:5">
      <c r="A36" s="816"/>
      <c r="B36" s="424"/>
      <c r="C36" s="93" t="str">
        <f>('SB Checklist'!C37)</f>
        <v/>
      </c>
      <c r="D36" s="819"/>
      <c r="E36" s="849"/>
    </row>
    <row r="37" spans="1:5">
      <c r="A37" s="816"/>
      <c r="B37" s="428" t="str">
        <f>IF('Upgrade Data'!F12=TRUE,"TARGET_SERVER_NAME",IF('Upgrade Data'!F12=FALSE,"VM_GUEST_NAME",""))</f>
        <v/>
      </c>
      <c r="C37" s="765">
        <f>IF('Upgrade Data'!I3&lt;&gt;"",'Upgrade Data'!I3,"")</f>
        <v>0</v>
      </c>
      <c r="D37" s="837"/>
      <c r="E37" s="849"/>
    </row>
    <row r="38" spans="1:5">
      <c r="A38" s="816"/>
      <c r="B38" s="428" t="str">
        <f>IF('Upgrade Data'!F12=TRUE,"AMI_TYPE",IF('Upgrade Data'!F12=FALSE,"SNAPSHOT_NAME",""))</f>
        <v/>
      </c>
      <c r="C38" s="765" t="str">
        <f>IF('Upgrade Data'!F12&lt;&gt;"","Pre_e1r17_PRD_Upgrade","")</f>
        <v/>
      </c>
      <c r="D38" s="837"/>
      <c r="E38" s="849"/>
    </row>
    <row r="39" spans="1:5">
      <c r="A39" s="816"/>
      <c r="B39" s="448" t="str">
        <f>IF('Upgrade Data'!F12=TRUE,"NODE_LABEL",IF('Upgrade Data'!F12=FALSE,"",""))</f>
        <v/>
      </c>
      <c r="C39" s="766" t="str">
        <f>IF(AND('Upgrade Data'!F12=TRUE,'Upgrade Data'!F5="au"),Automation!F76,IF(AND('Upgrade Data'!F12=TRUE,'Upgrade Data'!F5="fr"),Automation!F77,""))</f>
        <v/>
      </c>
      <c r="D39" s="820"/>
      <c r="E39" s="849"/>
    </row>
    <row r="40" spans="1:5">
      <c r="A40" s="816"/>
      <c r="B40" s="329"/>
      <c r="C40" s="641" t="str">
        <f>('SB Checklist'!C41)</f>
        <v/>
      </c>
      <c r="D40" s="824"/>
      <c r="E40" s="849"/>
    </row>
    <row r="41" spans="1:5">
      <c r="A41" s="816"/>
      <c r="B41" s="352" t="str">
        <f>IF(B79="Server is PVE","",IF('Upgrade Data'!F12=TRUE,"TARGET_SERVER_NAME",IF('Upgrade Data'!F12=FALSE,"VM_GUEST_NAME","")))</f>
        <v/>
      </c>
      <c r="C41" s="694">
        <f>IF(B79="Server is PVE","",IF('Upgrade Data'!I4&lt;&gt;"",'Upgrade Data'!I4,""))</f>
        <v>0</v>
      </c>
      <c r="D41" s="824"/>
      <c r="E41" s="849"/>
    </row>
    <row r="42" spans="1:5">
      <c r="A42" s="816"/>
      <c r="B42" s="352" t="str">
        <f>IF(B79="Server is PVE","",IF('Upgrade Data'!F12=TRUE,"AMI_TYPE",IF('Upgrade Data'!F12=FALSE,"SNAPSHOT_NAME","")))</f>
        <v/>
      </c>
      <c r="C42" s="694" t="str">
        <f>IF(B79="Server is PVE","",IF('Upgrade Data'!F12&lt;&gt;"","Pre_e1r17_PRD_Upgrade",""))</f>
        <v/>
      </c>
      <c r="D42" s="824"/>
      <c r="E42" s="849"/>
    </row>
    <row r="43" spans="1:5">
      <c r="A43" s="816"/>
      <c r="B43" s="330" t="str">
        <f>IF(B79="Server is PVE","",IF('Upgrade Data'!F12=TRUE,"NODE_LABEL",IF('Upgrade Data'!F12=FALSE,"","")))</f>
        <v/>
      </c>
      <c r="C43" s="695" t="str">
        <f>IF(B79="Server is PVE","",IF(AND('Upgrade Data'!F12=TRUE,'Upgrade Data'!F5="au"),Automation!F76,IF(AND('Upgrade Data'!F12=TRUE,'Upgrade Data'!F5="fr"),Automation!F77,"")))</f>
        <v/>
      </c>
      <c r="D43" s="824"/>
      <c r="E43" s="849"/>
    </row>
    <row r="44" spans="1:5">
      <c r="A44" s="816"/>
      <c r="B44" s="424"/>
      <c r="C44" s="93" t="str">
        <f>('SB Checklist'!C45)</f>
        <v/>
      </c>
      <c r="D44" s="819"/>
      <c r="E44" s="849"/>
    </row>
    <row r="45" spans="1:5">
      <c r="A45" s="816"/>
      <c r="B45" s="428" t="str">
        <f>IF('Upgrade Data'!F12=TRUE,"No SAS Server",IF('Upgrade Data'!F12=FALSE,"VM_GUEST_NAME",""))</f>
        <v/>
      </c>
      <c r="C45" s="765">
        <f>IF('Upgrade Data'!F12=TRUE,"",IF('Upgrade Data'!I13&lt;&gt;"",'Upgrade Data'!I7,""))</f>
        <v>0</v>
      </c>
      <c r="D45" s="837"/>
      <c r="E45" s="849"/>
    </row>
    <row r="46" spans="1:5">
      <c r="A46" s="816"/>
      <c r="B46" s="428" t="str">
        <f>IF('Upgrade Data'!F12=TRUE,"",IF('Upgrade Data'!F12=FALSE,"SNAPSHOT_NAME",""))</f>
        <v/>
      </c>
      <c r="C46" s="765" t="str">
        <f>IF('Upgrade Data'!F12=TRUE,"",IF('Upgrade Data'!F12&lt;&gt;"","Pre_e1r17_PRD_Alignment",""))</f>
        <v/>
      </c>
      <c r="D46" s="837"/>
      <c r="E46" s="849"/>
    </row>
    <row r="47" spans="1:5">
      <c r="A47" s="816"/>
      <c r="B47" s="448"/>
      <c r="C47" s="669"/>
      <c r="D47" s="820"/>
      <c r="E47" s="849"/>
    </row>
    <row r="48" spans="1:5">
      <c r="A48" s="816"/>
      <c r="B48" s="329"/>
      <c r="C48" s="641" t="str">
        <f>IF('Upgrade Data'!J4="","",IF('Upgrade Data'!F12=TRUE,"https://jenkins.planviewcloud.net/job/create_ami_pipe/build?delay=0sec",IF('Upgrade Data'!F5="ln","https://jenkins.eu.planview.world/job/vmguest_create_snapshot/build?delay=0sec",IF('Upgrade Data'!F5="sg","https://jenkins.us.planview.world/job/vmguest_create_snapshot/build?delay=0sec",""))))</f>
        <v/>
      </c>
      <c r="D48" s="824"/>
      <c r="E48" s="849"/>
    </row>
    <row r="49" spans="1:5">
      <c r="A49" s="816"/>
      <c r="B49" s="352" t="str">
        <f>IF('Upgrade Data'!J4="","No Additional Web Servers",IF('Upgrade Data'!F12=TRUE,"TARGET_SERVER_NAME",IF('Upgrade Data'!F12=FALSE,"VM_GUEST_NAME","")))</f>
        <v>No Additional Web Servers</v>
      </c>
      <c r="C49" s="694" t="str">
        <f>IF(C48&lt;&gt;"",'Upgrade Data'!J4,"")</f>
        <v/>
      </c>
      <c r="D49" s="824"/>
      <c r="E49" s="849"/>
    </row>
    <row r="50" spans="1:5">
      <c r="A50" s="816"/>
      <c r="B50" s="352" t="str">
        <f>IF('Upgrade Data'!J4="","",IF('Upgrade Data'!F12=TRUE,"AMI_TYPE",IF('Upgrade Data'!F12=FALSE,"SNAPSHOT_NAME","")))</f>
        <v/>
      </c>
      <c r="C50" s="694" t="str">
        <f>IF(C48&lt;&gt;"","Pre_e1r17_PRD_Upgrade","")</f>
        <v/>
      </c>
      <c r="D50" s="824"/>
      <c r="E50" s="849"/>
    </row>
    <row r="51" spans="1:5">
      <c r="A51" s="816"/>
      <c r="B51" s="330" t="str">
        <f>IF('Upgrade Data'!J4="","",IF('Upgrade Data'!F12=TRUE,"NODE_LABEL",IF('Upgrade Data'!F12=FALSE,"","")))</f>
        <v/>
      </c>
      <c r="C51" s="695" t="str">
        <f>IF(AND('Upgrade Data'!F12=TRUE,'Upgrade Data'!F5="au",C48&lt;&gt;""),Automation!F76,IF(AND('Upgrade Data'!F12=TRUE,'Upgrade Data'!F5="fr",C48&lt;&gt;""),Automation!F77,""))</f>
        <v/>
      </c>
      <c r="D51" s="824"/>
      <c r="E51" s="849"/>
    </row>
    <row r="52" spans="1:5">
      <c r="A52" s="816"/>
      <c r="B52" s="424"/>
      <c r="C52" s="93" t="str">
        <f>IF('Upgrade Data'!J5="","",IF('Upgrade Data'!F12=TRUE,"https://jenkins.planviewcloud.net/job/create_ami_pipe/build?delay=0sec",IF('Upgrade Data'!F5="ln","https://jenkins.eu.planview.world/job/vmguest_create_snapshot/build?delay=0sec",IF('Upgrade Data'!F5="sg","https://jenkins.us.planview.world/job/vmguest_create_snapshot/build?delay=0sec",""))))</f>
        <v/>
      </c>
      <c r="D52" s="819"/>
      <c r="E52" s="849"/>
    </row>
    <row r="53" spans="1:5">
      <c r="A53" s="816"/>
      <c r="B53" s="428" t="str">
        <f>IF('Upgrade Data'!J5="","No Additional Web Servers",IF('Upgrade Data'!F12=TRUE,"TARGET_SERVER_NAME",IF('Upgrade Data'!F12=FALSE,"VM_GUEST_NAME","")))</f>
        <v>No Additional Web Servers</v>
      </c>
      <c r="C53" s="765" t="str">
        <f>IF(C52&lt;&gt;"",'Upgrade Data'!J5,"")</f>
        <v/>
      </c>
      <c r="D53" s="837"/>
      <c r="E53" s="849"/>
    </row>
    <row r="54" spans="1:5">
      <c r="A54" s="816"/>
      <c r="B54" s="428" t="str">
        <f>IF('Upgrade Data'!J5="","",IF('Upgrade Data'!F12=TRUE,"AMI_TYPE",IF('Upgrade Data'!F12=FALSE,"SNAPSHOT_NAME","")))</f>
        <v/>
      </c>
      <c r="C54" s="765" t="str">
        <f>IF(C52&lt;&gt;"","Pre_e1r17_PRD_Upgrade","")</f>
        <v/>
      </c>
      <c r="D54" s="837"/>
      <c r="E54" s="849"/>
    </row>
    <row r="55" spans="1:5">
      <c r="A55" s="816"/>
      <c r="B55" s="448" t="str">
        <f>IF('Upgrade Data'!J5="","",IF('Upgrade Data'!F12=TRUE,"NODE_LABEL",IF('Upgrade Data'!F12=FALSE,"","")))</f>
        <v/>
      </c>
      <c r="C55" s="766" t="str">
        <f>IF(AND('Upgrade Data'!F12=TRUE,'Upgrade Data'!F5="au",C52&lt;&gt;""),Automation!F76,IF(AND('Upgrade Data'!F12=TRUE,'Upgrade Data'!F5="fr",C52&lt;&gt;""),Automation!F77,""))</f>
        <v/>
      </c>
      <c r="D55" s="820"/>
      <c r="E55" s="849"/>
    </row>
    <row r="56" spans="1:5">
      <c r="A56" s="816"/>
      <c r="B56" s="329"/>
      <c r="C56" s="641" t="str">
        <f>IF('Upgrade Data'!J6="","",IF('Upgrade Data'!F12=TRUE,"https://jenkins.planviewcloud.net/job/create_ami_pipe/build?delay=0sec",IF('Upgrade Data'!F5="ln","https://jenkins.eu.planview.world/job/vmguest_create_snapshot/build?delay=0sec",IF('Upgrade Data'!F5="sg","https://jenkins.us.planview.world/job/vmguest_create_snapshot/build?delay=0sec",""))))</f>
        <v/>
      </c>
      <c r="D56" s="824"/>
      <c r="E56" s="849"/>
    </row>
    <row r="57" spans="1:5">
      <c r="A57" s="816"/>
      <c r="B57" s="352" t="str">
        <f>IF('Upgrade Data'!J6="","No Additional Web Servers",IF('Upgrade Data'!F12=TRUE,"TARGET_SERVER_NAME",IF('Upgrade Data'!F12=FALSE,"VM_GUEST_NAME","")))</f>
        <v>No Additional Web Servers</v>
      </c>
      <c r="C57" s="694" t="str">
        <f>IF(C56&lt;&gt;"",'Upgrade Data'!J6,"")</f>
        <v/>
      </c>
      <c r="D57" s="824"/>
      <c r="E57" s="849"/>
    </row>
    <row r="58" spans="1:5">
      <c r="A58" s="816"/>
      <c r="B58" s="352" t="str">
        <f>IF('Upgrade Data'!J6="","",IF('Upgrade Data'!F12=TRUE,"AMI_TYPE",IF('Upgrade Data'!F12=FALSE,"SNAPSHOT_NAME","")))</f>
        <v/>
      </c>
      <c r="C58" s="694" t="str">
        <f>IF(C56&lt;&gt;"","Pre_e1r17_PRD_Upgrade","")</f>
        <v/>
      </c>
      <c r="D58" s="824"/>
      <c r="E58" s="849"/>
    </row>
    <row r="59" spans="1:5">
      <c r="A59" s="816"/>
      <c r="B59" s="330" t="str">
        <f>IF('Upgrade Data'!J6="","",IF('Upgrade Data'!F12=TRUE,"NODE_LABEL",IF('Upgrade Data'!F12=FALSE,"","")))</f>
        <v/>
      </c>
      <c r="C59" s="695" t="str">
        <f>IF(AND('Upgrade Data'!F12=TRUE,'Upgrade Data'!F5="au",C56&lt;&gt;""),Automation!F76,IF(AND('Upgrade Data'!F12=TRUE,'Upgrade Data'!F5="fr",C56&lt;&gt;""),Automation!F77,""))</f>
        <v/>
      </c>
      <c r="D59" s="824"/>
      <c r="E59" s="849"/>
    </row>
    <row r="60" spans="1:5">
      <c r="A60" s="816"/>
      <c r="B60" s="424"/>
      <c r="C60" s="93" t="str">
        <f>IF('Upgrade Data'!J7="","",IF('Upgrade Data'!F12=TRUE,"https://jenkins.planviewcloud.net/job/create_ami_pipe/build?delay=0sec",IF('Upgrade Data'!F5="ln","https://jenkins.eu.planview.world/job/vmguest_create_snapshot/build?delay=0sec",IF('Upgrade Data'!F5="sg","https://jenkins.us.planview.world/job/vmguest_create_snapshot/build?delay=0sec",""))))</f>
        <v/>
      </c>
      <c r="D60" s="819"/>
      <c r="E60" s="849"/>
    </row>
    <row r="61" spans="1:5">
      <c r="A61" s="816"/>
      <c r="B61" s="428" t="str">
        <f>IF('Upgrade Data'!J7="","No Additional Web Servers",IF('Upgrade Data'!F12=TRUE,"TARGET_SERVER_NAME",IF('Upgrade Data'!F12=FALSE,"VM_GUEST_NAME","")))</f>
        <v>No Additional Web Servers</v>
      </c>
      <c r="C61" s="765" t="str">
        <f>IF(C60&lt;&gt;"",'Upgrade Data'!J7,"")</f>
        <v/>
      </c>
      <c r="D61" s="837"/>
      <c r="E61" s="849"/>
    </row>
    <row r="62" spans="1:5">
      <c r="A62" s="816"/>
      <c r="B62" s="428" t="str">
        <f>IF('Upgrade Data'!J7="","",IF('Upgrade Data'!F12=TRUE,"AMI_TYPE",IF('Upgrade Data'!F12=FALSE,"SNAPSHOT_NAME","")))</f>
        <v/>
      </c>
      <c r="C62" s="765" t="str">
        <f>IF(C60&lt;&gt;"","Pre_e1r17_PRD_Alignment","")</f>
        <v/>
      </c>
      <c r="D62" s="837"/>
      <c r="E62" s="849"/>
    </row>
    <row r="63" spans="1:5">
      <c r="A63" s="817"/>
      <c r="B63" s="428" t="str">
        <f>IF('Upgrade Data'!J7="","",IF('Upgrade Data'!F12=TRUE,"NODE_LABEL",IF('Upgrade Data'!F12=FALSE,"","")))</f>
        <v/>
      </c>
      <c r="C63" s="765" t="str">
        <f>IF(AND('Upgrade Data'!F12=TRUE,'Upgrade Data'!F5="au",C60&lt;&gt;""),Automation!F76,IF(AND('Upgrade Data'!F12=TRUE,'Upgrade Data'!F5="fr",C60&lt;&gt;""),Automation!F77,""))</f>
        <v/>
      </c>
      <c r="D63" s="820"/>
      <c r="E63" s="850"/>
    </row>
    <row r="64" spans="1:5">
      <c r="A64" s="883">
        <v>9</v>
      </c>
      <c r="B64" s="701" t="s">
        <v>183</v>
      </c>
      <c r="C64" s="703" t="str">
        <f>IF('Upgrade Data'!I5="","",IF('Upgrade Data'!F12=TRUE,"https://jenkins.planviewcloud.net/job/deploy_sql_cu_pipe/build?delay=0sec",IF('Upgrade Data'!F5="ln","https://jenkins.eu.planview.world/job/deploy_sql_cu_pipe/build?delay=0sec",IF('Upgrade Data'!F5="sg","https://jenkins.us.planview.world/job/deploy_sql_cu_pipe/build?delay=0sec",""))))</f>
        <v/>
      </c>
      <c r="D64" s="823"/>
      <c r="E64" s="879"/>
    </row>
    <row r="65" spans="1:5">
      <c r="A65" s="884"/>
      <c r="B65" s="307" t="s">
        <v>184</v>
      </c>
      <c r="C65" s="469">
        <f>('Upgrade Data'!I5)</f>
        <v>0</v>
      </c>
      <c r="D65" s="824"/>
      <c r="E65" s="880"/>
    </row>
    <row r="66" spans="1:5">
      <c r="A66" s="884"/>
      <c r="B66" s="307" t="s">
        <v>185</v>
      </c>
      <c r="C66" s="469">
        <v>19</v>
      </c>
      <c r="D66" s="824"/>
      <c r="E66" s="880"/>
    </row>
    <row r="67" spans="1:5">
      <c r="A67" s="885"/>
      <c r="B67" s="730" t="s">
        <v>186</v>
      </c>
      <c r="C67" s="702" t="str">
        <f>_xlfn.CONCAT('Upgrade Data'!I5)</f>
        <v>0</v>
      </c>
      <c r="D67" s="825"/>
      <c r="E67" s="881"/>
    </row>
    <row r="68" spans="1:5" ht="30">
      <c r="A68" s="789">
        <v>10</v>
      </c>
      <c r="B68" s="731" t="str">
        <f>IF('Upgrade Data'!B54="Yes", "Uninstall Open Suite","Skip this step, no Open Suite")</f>
        <v>Skip this step, no Open Suite</v>
      </c>
      <c r="C68" s="726" t="str">
        <f>IF('Upgrade Data'!B54="Yes",'Upgrade Data'!I4,"")</f>
        <v/>
      </c>
      <c r="D68" s="248">
        <f>IF(B68="Skip this step, no Open Suite",1,"")</f>
        <v>1</v>
      </c>
      <c r="E68" s="782" t="str">
        <f>IF(B68="Skip this step, no Open Suite","Automated Complete
No Open Suite","")</f>
        <v>Automated Complete
No Open Suite</v>
      </c>
    </row>
    <row r="69" spans="1:5">
      <c r="A69" s="889">
        <v>11</v>
      </c>
      <c r="B69" s="732" t="s">
        <v>187</v>
      </c>
      <c r="C69" s="703" t="str">
        <f>IF('Upgrade Data'!I6="","",IF('Upgrade Data'!F12=TRUE,"https://jenkins.planviewcloud.net/job/ctm_upgrade_pipe/build?delay=0sec",IF('Upgrade Data'!F5="ln","https://jenkins.eu.planview.world/job/ctm_upgrade_pipe/build?delay=0sec",IF('Upgrade Data'!F5="sg","https://jenkins.us.planview.world/job/ctm_upgrade_pipe/build?delay=0sec",""))))</f>
        <v/>
      </c>
      <c r="D69" s="823"/>
      <c r="E69" s="879"/>
    </row>
    <row r="70" spans="1:5">
      <c r="A70" s="890"/>
      <c r="B70" s="307" t="s">
        <v>184</v>
      </c>
      <c r="C70" s="469">
        <f>('Upgrade Data'!I6)</f>
        <v>0</v>
      </c>
      <c r="D70" s="824"/>
      <c r="E70" s="880"/>
    </row>
    <row r="71" spans="1:5">
      <c r="A71" s="890"/>
      <c r="B71" s="307" t="s">
        <v>188</v>
      </c>
      <c r="C71" s="469">
        <f>('Upgrade Data'!F3)</f>
        <v>0</v>
      </c>
      <c r="D71" s="824"/>
      <c r="E71" s="880"/>
    </row>
    <row r="72" spans="1:5">
      <c r="A72" s="890"/>
      <c r="B72" s="307" t="s">
        <v>189</v>
      </c>
      <c r="C72" s="469">
        <f>('Upgrade Data'!F6)</f>
        <v>0</v>
      </c>
      <c r="D72" s="824"/>
      <c r="E72" s="880"/>
    </row>
    <row r="73" spans="1:5">
      <c r="A73" s="890"/>
      <c r="B73" s="307" t="s">
        <v>190</v>
      </c>
      <c r="C73" s="469" t="str">
        <f>LOWER("TRUE")</f>
        <v>true</v>
      </c>
      <c r="D73" s="882"/>
      <c r="E73" s="880"/>
    </row>
    <row r="74" spans="1:5">
      <c r="A74" s="891"/>
      <c r="B74" s="705" t="s">
        <v>191</v>
      </c>
      <c r="C74" s="702" t="str">
        <f>C31</f>
        <v/>
      </c>
      <c r="D74" s="795"/>
      <c r="E74" s="881"/>
    </row>
    <row r="75" spans="1:5">
      <c r="A75" s="838">
        <v>12</v>
      </c>
      <c r="B75" s="673" t="s">
        <v>236</v>
      </c>
      <c r="C75" s="474" t="str">
        <f>IF('Upgrade Data'!I3="","",IF('Upgrade Data'!F12=TRUE,"https://jenkins.planviewcloud.net/job/e1_upgrade_pipe/build?delay=0sec",IF('Upgrade Data'!F5="ln","https://jenkins.eu.planview.world/job/e1_upgrade_pipe/build?delay=0sec",IF('Upgrade Data'!F5="sg","https://jenkins.us.planview.world/job/e1_upgrade_pipe/build?delay=0sec",""))))</f>
        <v/>
      </c>
      <c r="D75" s="819"/>
      <c r="E75" s="848"/>
    </row>
    <row r="76" spans="1:5">
      <c r="A76" s="839"/>
      <c r="B76" s="302" t="s">
        <v>184</v>
      </c>
      <c r="C76" s="207">
        <f>('Upgrade Data'!I4)</f>
        <v>0</v>
      </c>
      <c r="D76" s="837"/>
      <c r="E76" s="849"/>
    </row>
    <row r="77" spans="1:5">
      <c r="A77" s="839"/>
      <c r="B77" s="302" t="s">
        <v>189</v>
      </c>
      <c r="C77" s="786">
        <f>('Upgrade Data'!F6)</f>
        <v>0</v>
      </c>
      <c r="D77" s="837"/>
      <c r="E77" s="849"/>
    </row>
    <row r="78" spans="1:5">
      <c r="A78" s="839"/>
      <c r="B78" s="302" t="s">
        <v>188</v>
      </c>
      <c r="C78" s="786">
        <f>('Upgrade Data'!F3)</f>
        <v>0</v>
      </c>
      <c r="D78" s="837"/>
      <c r="E78" s="849"/>
    </row>
    <row r="79" spans="1:5">
      <c r="A79" s="892"/>
      <c r="B79" s="302" t="s">
        <v>190</v>
      </c>
      <c r="C79" s="208" t="str">
        <f>(C73)</f>
        <v>true</v>
      </c>
      <c r="D79" s="820"/>
      <c r="E79" s="850"/>
    </row>
    <row r="80" spans="1:5">
      <c r="A80" s="811">
        <v>13</v>
      </c>
      <c r="B80" s="734" t="str">
        <f>IF(MasterConfig!B19=TRUE,"Server is PVE","Run Jenkins job to upgrade the following additional servers; Web(s)")</f>
        <v>Run Jenkins job to upgrade the following additional servers; Web(s)</v>
      </c>
      <c r="C80" s="725" t="str">
        <f>IF(MasterConfig!B19=TRUE,"", C75)</f>
        <v/>
      </c>
      <c r="D80" s="823" t="str">
        <f>IF(B80="Server is PVE",1,"")</f>
        <v/>
      </c>
      <c r="E80" s="879" t="str">
        <f>IF(B80="Server is PVE","Automated Complete 
Server is PVE","")</f>
        <v/>
      </c>
    </row>
    <row r="81" spans="1:5">
      <c r="A81" s="812"/>
      <c r="B81" s="609" t="str">
        <f>IF(MasterConfig!B19=TRUE,"","TARGET_SERVER_NAME")</f>
        <v>TARGET_SERVER_NAME</v>
      </c>
      <c r="C81" s="724">
        <f>IF(MasterConfig!B19=TRUE,"",'Upgrade Data'!I3)</f>
        <v>0</v>
      </c>
      <c r="D81" s="824"/>
      <c r="E81" s="880"/>
    </row>
    <row r="82" spans="1:5">
      <c r="A82" s="812"/>
      <c r="B82" s="609" t="str">
        <f>IF(MasterConfig!B19=TRUE,"","CUSTOMER_CODE")</f>
        <v>CUSTOMER_CODE</v>
      </c>
      <c r="C82" s="724">
        <f>IF(MasterConfig!B19=TRUE,"",'Upgrade Data'!F6)</f>
        <v>0</v>
      </c>
      <c r="D82" s="824"/>
      <c r="E82" s="880"/>
    </row>
    <row r="83" spans="1:5">
      <c r="A83" s="812"/>
      <c r="B83" s="609" t="str">
        <f>IF(MasterConfig!B19=TRUE,"","DNS_HOST_NAME")</f>
        <v>DNS_HOST_NAME</v>
      </c>
      <c r="C83" s="724">
        <f>IF(MasterConfig!B19=TRUE,"",'Upgrade Data'!F3)</f>
        <v>0</v>
      </c>
      <c r="D83" s="824"/>
      <c r="E83" s="880"/>
    </row>
    <row r="84" spans="1:5">
      <c r="A84" s="812"/>
      <c r="B84" s="735" t="str">
        <f>IF(MasterConfig!B19=TRUE,"","SKIP_SNAPS")</f>
        <v>SKIP_SNAPS</v>
      </c>
      <c r="C84" s="733" t="str">
        <f>IF(MasterConfig!B19=TRUE,"",(C73))</f>
        <v>true</v>
      </c>
      <c r="D84" s="825"/>
      <c r="E84" s="881"/>
    </row>
    <row r="85" spans="1:5">
      <c r="A85" s="812"/>
      <c r="B85" s="736"/>
      <c r="C85" s="630" t="str">
        <f>IF(B86="Target_Server_Name",C80,"")</f>
        <v/>
      </c>
      <c r="D85" s="819">
        <f>IF(B86="No Additional Web Servers",1,"")</f>
        <v>1</v>
      </c>
      <c r="E85" s="861" t="str">
        <f>IF(B86="No Additional Web Servers","Automated Complete 
No additional web servers","")</f>
        <v>Automated Complete 
No additional web servers</v>
      </c>
    </row>
    <row r="86" spans="1:5">
      <c r="A86" s="812"/>
      <c r="B86" s="737" t="str">
        <f>IF('Upgrade Data'!J4="","No Additional Web Servers","TARGET_SERVER_NAME")</f>
        <v>No Additional Web Servers</v>
      </c>
      <c r="C86" s="209" t="str">
        <f>IF('Upgrade Data'!J4="","",'Upgrade Data'!J4)</f>
        <v/>
      </c>
      <c r="D86" s="837"/>
      <c r="E86" s="859"/>
    </row>
    <row r="87" spans="1:5">
      <c r="A87" s="812"/>
      <c r="B87" s="736" t="str">
        <f>IF('Upgrade Data'!J4="","","CUSTOMER_CODE")</f>
        <v/>
      </c>
      <c r="C87" s="209" t="str">
        <f>IF('Upgrade Data'!J4="","",'Upgrade Data'!F6)</f>
        <v/>
      </c>
      <c r="D87" s="837"/>
      <c r="E87" s="859"/>
    </row>
    <row r="88" spans="1:5">
      <c r="A88" s="812"/>
      <c r="B88" s="736" t="str">
        <f>IF('Upgrade Data'!J4="","","DNS_HOST_NAME")</f>
        <v/>
      </c>
      <c r="C88" s="209" t="str">
        <f>IF('Upgrade Data'!J4="","",'Upgrade Data'!F3)</f>
        <v/>
      </c>
      <c r="D88" s="837"/>
      <c r="E88" s="859"/>
    </row>
    <row r="89" spans="1:5">
      <c r="A89" s="812"/>
      <c r="B89" s="736" t="str">
        <f>IF('Upgrade Data'!J4="","","SQL_SERVER_NAME")</f>
        <v/>
      </c>
      <c r="C89" s="463" t="str">
        <f>IF('Upgrade Data'!J4="","",'Upgrade Data'!I5)</f>
        <v/>
      </c>
      <c r="D89" s="837"/>
      <c r="E89" s="859"/>
    </row>
    <row r="90" spans="1:5">
      <c r="A90" s="812"/>
      <c r="B90" s="736" t="str">
        <f>IF('Upgrade Data'!J4="","","SAS_SERVER_NAME")</f>
        <v/>
      </c>
      <c r="C90" s="463" t="str">
        <f>IF('Upgrade Data'!J4="","",IF('Upgrade Data'!F12=TRUE,'Upgrade Data'!I5,'Upgrade Data'!I7))</f>
        <v/>
      </c>
      <c r="D90" s="837"/>
      <c r="E90" s="859"/>
    </row>
    <row r="91" spans="1:5">
      <c r="A91" s="812"/>
      <c r="B91" s="738" t="str">
        <f>IF('Upgrade Data'!J4="","","SKIP_SNAPS")</f>
        <v/>
      </c>
      <c r="C91" s="619" t="str">
        <f>IF('Upgrade Data'!J4="","",C79)</f>
        <v/>
      </c>
      <c r="D91" s="820"/>
      <c r="E91" s="860"/>
    </row>
    <row r="92" spans="1:5">
      <c r="A92" s="812"/>
      <c r="B92" s="708"/>
      <c r="C92" s="741" t="str">
        <f>IF(B93="Target_Server_Name",C80,"")</f>
        <v/>
      </c>
      <c r="D92" s="823">
        <f>IF(B93="No Additional Web Servers",1,"")</f>
        <v>1</v>
      </c>
      <c r="E92" s="879" t="str">
        <f>IF(B93="No Additional Web Servers","Automated Complete 
No additional web servers","")</f>
        <v>Automated Complete 
No additional web servers</v>
      </c>
    </row>
    <row r="93" spans="1:5">
      <c r="A93" s="812"/>
      <c r="B93" s="307" t="str">
        <f>IF('Upgrade Data'!J5="","No Additional Web Servers","TARGET_SERVER_NAME")</f>
        <v>No Additional Web Servers</v>
      </c>
      <c r="C93" s="721" t="str">
        <f>IF('Upgrade Data'!J5="","",'Upgrade Data'!J5)</f>
        <v/>
      </c>
      <c r="D93" s="824"/>
      <c r="E93" s="880"/>
    </row>
    <row r="94" spans="1:5">
      <c r="A94" s="812"/>
      <c r="B94" s="307" t="str">
        <f>IF('Upgrade Data'!J5="","","CUSTOMER_CODE")</f>
        <v/>
      </c>
      <c r="C94" s="721" t="str">
        <f>IF('Upgrade Data'!J5="","",'Upgrade Data'!F6)</f>
        <v/>
      </c>
      <c r="D94" s="824"/>
      <c r="E94" s="880"/>
    </row>
    <row r="95" spans="1:5">
      <c r="A95" s="812"/>
      <c r="B95" s="307" t="str">
        <f>IF('Upgrade Data'!J5="","","DNS_HOST_NAME")</f>
        <v/>
      </c>
      <c r="C95" s="721" t="str">
        <f>IF('Upgrade Data'!J5="","",'Upgrade Data'!F3)</f>
        <v/>
      </c>
      <c r="D95" s="824"/>
      <c r="E95" s="880"/>
    </row>
    <row r="96" spans="1:5">
      <c r="A96" s="812"/>
      <c r="B96" s="307" t="str">
        <f>IF('Upgrade Data'!J5="","","SQL_SERVER_NAME")</f>
        <v/>
      </c>
      <c r="C96" s="722" t="str">
        <f>IF('Upgrade Data'!J5="","",'Upgrade Data'!I5)</f>
        <v/>
      </c>
      <c r="D96" s="824"/>
      <c r="E96" s="880"/>
    </row>
    <row r="97" spans="1:5">
      <c r="A97" s="812"/>
      <c r="B97" s="307" t="str">
        <f>IF('Upgrade Data'!J5="","","SQL_SERVER_NAME")</f>
        <v/>
      </c>
      <c r="C97" s="722" t="str">
        <f>IF('Upgrade Data'!J5="","",IF('Upgrade Data'!F12=TRUE,'Upgrade Data'!I5,'Upgrade Data'!I7))</f>
        <v/>
      </c>
      <c r="D97" s="824"/>
      <c r="E97" s="880"/>
    </row>
    <row r="98" spans="1:5">
      <c r="A98" s="812"/>
      <c r="B98" s="705" t="str">
        <f>IF('Upgrade Data'!J5="","","SKIP_SNAPS")</f>
        <v/>
      </c>
      <c r="C98" s="742" t="str">
        <f>IF('Upgrade Data'!J5="","",C79)</f>
        <v/>
      </c>
      <c r="D98" s="825"/>
      <c r="E98" s="881"/>
    </row>
    <row r="99" spans="1:5">
      <c r="A99" s="812"/>
      <c r="B99" s="739"/>
      <c r="C99" s="642" t="str">
        <f>IF(B100="Target_Server_Name",C80,"")</f>
        <v/>
      </c>
      <c r="D99" s="819">
        <f>IF(B100="No Additional Web Servers",1,"")</f>
        <v>1</v>
      </c>
      <c r="E99" s="861" t="str">
        <f>IF(B100="No Additional Web Servers","Automated Complete 
No additional web servers","")</f>
        <v>Automated Complete 
No additional web servers</v>
      </c>
    </row>
    <row r="100" spans="1:5">
      <c r="A100" s="812"/>
      <c r="B100" s="736" t="str">
        <f>IF('Upgrade Data'!J6="","No Additional Web Servers","TARGET_SERVER_NAME")</f>
        <v>No Additional Web Servers</v>
      </c>
      <c r="C100" s="209" t="str">
        <f>IF('Upgrade Data'!J6="","",'Upgrade Data'!J6)</f>
        <v/>
      </c>
      <c r="D100" s="837"/>
      <c r="E100" s="859"/>
    </row>
    <row r="101" spans="1:5">
      <c r="A101" s="812"/>
      <c r="B101" s="736" t="str">
        <f>IF('Upgrade Data'!J6="","","CUSTOMER_CODE")</f>
        <v/>
      </c>
      <c r="C101" s="209" t="str">
        <f>IF('Upgrade Data'!J6="","",'Upgrade Data'!F6)</f>
        <v/>
      </c>
      <c r="D101" s="837"/>
      <c r="E101" s="859"/>
    </row>
    <row r="102" spans="1:5">
      <c r="A102" s="812"/>
      <c r="B102" s="736" t="str">
        <f>IF('Upgrade Data'!J6="","","DNS_HOST_NAME")</f>
        <v/>
      </c>
      <c r="C102" s="209" t="str">
        <f>IF('Upgrade Data'!J6="","",'Upgrade Data'!F3)</f>
        <v/>
      </c>
      <c r="D102" s="837"/>
      <c r="E102" s="859"/>
    </row>
    <row r="103" spans="1:5">
      <c r="A103" s="812"/>
      <c r="B103" s="736" t="str">
        <f>IF('Upgrade Data'!J6="","","SQL_SERVER_NAME")</f>
        <v/>
      </c>
      <c r="C103" s="463" t="str">
        <f>IF('Upgrade Data'!J6="","",'Upgrade Data'!I5)</f>
        <v/>
      </c>
      <c r="D103" s="837"/>
      <c r="E103" s="859"/>
    </row>
    <row r="104" spans="1:5">
      <c r="A104" s="812"/>
      <c r="B104" s="736" t="str">
        <f>IF('Upgrade Data'!J6="","","SAS_SERVER_NAME")</f>
        <v/>
      </c>
      <c r="C104" s="463" t="str">
        <f>IF('Upgrade Data'!J6="","",IF('Upgrade Data'!F12=TRUE,'Upgrade Data'!I5,'Upgrade Data'!I7))</f>
        <v/>
      </c>
      <c r="D104" s="837"/>
      <c r="E104" s="859"/>
    </row>
    <row r="105" spans="1:5">
      <c r="A105" s="812"/>
      <c r="B105" s="740" t="str">
        <f>IF('Upgrade Data'!J6="","","SKIP_SNAPS")</f>
        <v/>
      </c>
      <c r="C105" s="745" t="str">
        <f>IF('Upgrade Data'!J6="","",C79)</f>
        <v/>
      </c>
      <c r="D105" s="820"/>
      <c r="E105" s="860"/>
    </row>
    <row r="106" spans="1:5">
      <c r="A106" s="812"/>
      <c r="B106" s="743"/>
      <c r="C106" s="703" t="str">
        <f>IF(B107="Target_Server_Name",C80,"")</f>
        <v/>
      </c>
      <c r="D106" s="886">
        <f>IF(B107="No Additional Web Servers",1,"")</f>
        <v>1</v>
      </c>
      <c r="E106" s="879" t="str">
        <f>IF(B107="No Additional Web Servers","Automated Complete 
No additional web servers","")</f>
        <v>Automated Complete 
No additional web servers</v>
      </c>
    </row>
    <row r="107" spans="1:5">
      <c r="A107" s="812"/>
      <c r="B107" s="723" t="str">
        <f>IF('Upgrade Data'!J7="","No Additional Web Servers","TARGET_SERVER_NAME")</f>
        <v>No Additional Web Servers</v>
      </c>
      <c r="C107" s="720" t="str">
        <f>IF('Upgrade Data'!J7="","",'Upgrade Data'!J7)</f>
        <v/>
      </c>
      <c r="D107" s="887"/>
      <c r="E107" s="880"/>
    </row>
    <row r="108" spans="1:5">
      <c r="A108" s="812"/>
      <c r="B108" s="723" t="str">
        <f>IF('Upgrade Data'!J7="","","CUSTOMER_CODE")</f>
        <v/>
      </c>
      <c r="C108" s="719" t="str">
        <f>IF('Upgrade Data'!J7="","",'Upgrade Data'!F6)</f>
        <v/>
      </c>
      <c r="D108" s="887"/>
      <c r="E108" s="880"/>
    </row>
    <row r="109" spans="1:5">
      <c r="A109" s="812"/>
      <c r="B109" s="723" t="str">
        <f>IF('Upgrade Data'!J7="","","DNS_HOST_NAME")</f>
        <v/>
      </c>
      <c r="C109" s="719" t="str">
        <f>IF('Upgrade Data'!J7="","",'Upgrade Data'!F3)</f>
        <v/>
      </c>
      <c r="D109" s="887"/>
      <c r="E109" s="880"/>
    </row>
    <row r="110" spans="1:5">
      <c r="A110" s="812"/>
      <c r="B110" s="723" t="str">
        <f>IF('Upgrade Data'!J7="","","SQL_SERVER_NAME")</f>
        <v/>
      </c>
      <c r="C110" s="470" t="str">
        <f>IF('Upgrade Data'!J7="","",'Upgrade Data'!I5)</f>
        <v/>
      </c>
      <c r="D110" s="887"/>
      <c r="E110" s="880"/>
    </row>
    <row r="111" spans="1:5">
      <c r="A111" s="812"/>
      <c r="B111" s="723" t="str">
        <f>IF('Upgrade Data'!J7="","","SAS_SERVER_NAME")</f>
        <v/>
      </c>
      <c r="C111" s="470" t="str">
        <f>IF('Upgrade Data'!J7="","",IF('Upgrade Data'!F12=TRUE,'Upgrade Data'!I5,'Upgrade Data'!I5))</f>
        <v/>
      </c>
      <c r="D111" s="887"/>
      <c r="E111" s="880"/>
    </row>
    <row r="112" spans="1:5">
      <c r="A112" s="821"/>
      <c r="B112" s="744" t="str">
        <f>IF('Upgrade Data'!J7="","","SKIP_SNAPS")</f>
        <v/>
      </c>
      <c r="C112" s="774" t="str">
        <f>IF('Upgrade Data'!J7="","",C79)</f>
        <v/>
      </c>
      <c r="D112" s="888"/>
      <c r="E112" s="881"/>
    </row>
    <row r="113" spans="1:5">
      <c r="A113" s="815">
        <v>14</v>
      </c>
      <c r="B113" s="466" t="s">
        <v>193</v>
      </c>
      <c r="C113" s="622" t="str">
        <f>IF('Upgrade Data'!F5="ln","https://jenkins.eu.planview.world/job/trx_update_pipe/build?delay=0sec", "https://jenkins.us.planview.world/job/trx_update_pipe/build?delay=0sec")</f>
        <v>https://jenkins.us.planview.world/job/trx_update_pipe/build?delay=0sec</v>
      </c>
      <c r="D113" s="819"/>
      <c r="E113" s="855"/>
    </row>
    <row r="114" spans="1:5">
      <c r="A114" s="816"/>
      <c r="B114" s="312" t="s">
        <v>194</v>
      </c>
      <c r="C114" s="366">
        <f>('Upgrade Data'!B8)</f>
        <v>0</v>
      </c>
      <c r="D114" s="837"/>
      <c r="E114" s="856"/>
    </row>
    <row r="115" spans="1:5">
      <c r="A115" s="816"/>
      <c r="B115" s="302" t="s">
        <v>184</v>
      </c>
      <c r="C115" s="366">
        <f>('Upgrade Data'!I6)</f>
        <v>0</v>
      </c>
      <c r="D115" s="837"/>
      <c r="E115" s="856"/>
    </row>
    <row r="116" spans="1:5">
      <c r="A116" s="816"/>
      <c r="B116" s="312" t="s">
        <v>195</v>
      </c>
      <c r="C116" s="366">
        <f>('Upgrade Data'!F8)</f>
        <v>0</v>
      </c>
      <c r="D116" s="837"/>
      <c r="E116" s="856"/>
    </row>
    <row r="117" spans="1:5">
      <c r="A117" s="817"/>
      <c r="B117" s="467" t="s">
        <v>237</v>
      </c>
      <c r="C117" s="367">
        <f>('Upgrade Data'!I6)</f>
        <v>0</v>
      </c>
      <c r="D117" s="820"/>
      <c r="E117" s="857"/>
    </row>
    <row r="118" spans="1:5">
      <c r="A118" s="893">
        <v>15</v>
      </c>
      <c r="B118" s="704" t="s">
        <v>196</v>
      </c>
      <c r="C118" s="706" t="str">
        <f>IF('Upgrade Data'!I3="","",IF('Upgrade Data'!F12=TRUE,"https://jenkins.planviewcloud.net/job/e1_update_pipe/build?delay=0sec",IF('Upgrade Data'!F5="ln","https://jenkins.eu.planview.world/job/e1_update_pipe/build?delay=0sec",IF('Upgrade Data'!F5="sg","https://jenkins.us.planview.world/job/e1_update_pipe/build?delay=0sec",""))))</f>
        <v/>
      </c>
      <c r="D118" s="823"/>
      <c r="E118" s="879"/>
    </row>
    <row r="119" spans="1:5">
      <c r="A119" s="893"/>
      <c r="B119" s="307" t="s">
        <v>194</v>
      </c>
      <c r="C119" s="368">
        <f>('Upgrade Data'!B8)</f>
        <v>0</v>
      </c>
      <c r="D119" s="824"/>
      <c r="E119" s="880"/>
    </row>
    <row r="120" spans="1:5">
      <c r="A120" s="893"/>
      <c r="B120" s="307" t="s">
        <v>184</v>
      </c>
      <c r="C120" s="368">
        <f>('Upgrade Data'!I4)</f>
        <v>0</v>
      </c>
      <c r="D120" s="824"/>
      <c r="E120" s="880"/>
    </row>
    <row r="121" spans="1:5">
      <c r="A121" s="893"/>
      <c r="B121" s="307" t="s">
        <v>189</v>
      </c>
      <c r="C121" s="368">
        <f>('Upgrade Data'!F6)</f>
        <v>0</v>
      </c>
      <c r="D121" s="824"/>
      <c r="E121" s="880"/>
    </row>
    <row r="122" spans="1:5">
      <c r="A122" s="893"/>
      <c r="B122" s="307" t="s">
        <v>188</v>
      </c>
      <c r="C122" s="368">
        <f>('Upgrade Data'!F3)</f>
        <v>0</v>
      </c>
      <c r="D122" s="824"/>
      <c r="E122" s="880"/>
    </row>
    <row r="123" spans="1:5">
      <c r="A123" s="893"/>
      <c r="B123" s="705" t="s">
        <v>190</v>
      </c>
      <c r="C123" s="707" t="str">
        <f>C79</f>
        <v>true</v>
      </c>
      <c r="D123" s="825"/>
      <c r="E123" s="881"/>
    </row>
    <row r="124" spans="1:5">
      <c r="A124" s="815">
        <v>16</v>
      </c>
      <c r="B124" s="466" t="str">
        <f>IF(MasterConfig!B19=TRUE,"Server is PVE","Run Jenkins job to upgrade the following additional servers; Web(s)")</f>
        <v>Run Jenkins job to upgrade the following additional servers; Web(s)</v>
      </c>
      <c r="C124" s="643" t="str">
        <f>IF(MasterConfig!B19=TRUE,"", C118)</f>
        <v/>
      </c>
      <c r="D124" s="819" t="str">
        <f>IF(B124="Server is PVE",1,"")</f>
        <v/>
      </c>
      <c r="E124" s="855" t="b">
        <f>IF(B124="Server is PVE","Automated Complete 
Server is PVE")</f>
        <v>0</v>
      </c>
    </row>
    <row r="125" spans="1:5">
      <c r="A125" s="816"/>
      <c r="B125" s="302" t="str">
        <f>IF(MasterConfig!B19=TRUE,"","UPDATE_VERSION")</f>
        <v>UPDATE_VERSION</v>
      </c>
      <c r="C125" s="366">
        <f>IF(MasterConfig!B19=TRUE,"",'Upgrade Data'!B8)</f>
        <v>0</v>
      </c>
      <c r="D125" s="837"/>
      <c r="E125" s="856"/>
    </row>
    <row r="126" spans="1:5">
      <c r="A126" s="816"/>
      <c r="B126" s="302" t="str">
        <f>IF(MasterConfig!B19=TRUE,"","TARGET_SERVER_NAME")</f>
        <v>TARGET_SERVER_NAME</v>
      </c>
      <c r="C126" s="366">
        <f>IF(MasterConfig!B19=TRUE,"",'Upgrade Data'!I3)</f>
        <v>0</v>
      </c>
      <c r="D126" s="837"/>
      <c r="E126" s="856"/>
    </row>
    <row r="127" spans="1:5">
      <c r="A127" s="816"/>
      <c r="B127" s="302" t="str">
        <f>IF(MasterConfig!B19=TRUE,"","CUSTOMER_CODE")</f>
        <v>CUSTOMER_CODE</v>
      </c>
      <c r="C127" s="366">
        <f>IF(MasterConfig!B19=TRUE,"",'Upgrade Data'!F6)</f>
        <v>0</v>
      </c>
      <c r="D127" s="837"/>
      <c r="E127" s="856"/>
    </row>
    <row r="128" spans="1:5">
      <c r="A128" s="816"/>
      <c r="B128" s="302" t="str">
        <f>IF(MasterConfig!B19=TRUE,"","DNS_HOST_NAME")</f>
        <v>DNS_HOST_NAME</v>
      </c>
      <c r="C128" s="366">
        <f>IF(MasterConfig!B19=TRUE,"",'Upgrade Data'!F3)</f>
        <v>0</v>
      </c>
      <c r="D128" s="837"/>
      <c r="E128" s="856"/>
    </row>
    <row r="129" spans="1:5">
      <c r="A129" s="816"/>
      <c r="B129" s="467" t="str">
        <f>IF(MasterConfig!B19=TRUE,"","SKIP_SNAPS")</f>
        <v>SKIP_SNAPS</v>
      </c>
      <c r="C129" s="367" t="str">
        <f>IF(MasterConfig!B19=TRUE,"",C79)</f>
        <v>true</v>
      </c>
      <c r="D129" s="820"/>
      <c r="E129" s="857"/>
    </row>
    <row r="130" spans="1:5">
      <c r="A130" s="816"/>
      <c r="B130" s="304"/>
      <c r="C130" s="644" t="str">
        <f>IF(B131="Update_Version",C118,"")</f>
        <v/>
      </c>
      <c r="D130" s="823">
        <f>IF(B131="No Additional Web Servers",1,"")</f>
        <v>1</v>
      </c>
      <c r="E130" s="879" t="str">
        <f>IF(B131="No Additional Web Servers","Automated Complete 
No additional web servers","")</f>
        <v>Automated Complete 
No additional web servers</v>
      </c>
    </row>
    <row r="131" spans="1:5">
      <c r="A131" s="816"/>
      <c r="B131" s="305" t="str">
        <f>IF('Upgrade Data'!J4="","No Additional Web Servers","UPDATE_VERSION")</f>
        <v>No Additional Web Servers</v>
      </c>
      <c r="C131" s="369" t="str">
        <f>IF('Upgrade Data'!J4="","",'Upgrade Data'!B8)</f>
        <v/>
      </c>
      <c r="D131" s="824"/>
      <c r="E131" s="880"/>
    </row>
    <row r="132" spans="1:5">
      <c r="A132" s="816"/>
      <c r="B132" s="305" t="str">
        <f>IF('Upgrade Data'!J4="","","TARGET_SERVER_NAME")</f>
        <v/>
      </c>
      <c r="C132" s="369" t="str">
        <f>IF('Upgrade Data'!J4="","",'Upgrade Data'!J4)</f>
        <v/>
      </c>
      <c r="D132" s="824"/>
      <c r="E132" s="880"/>
    </row>
    <row r="133" spans="1:5">
      <c r="A133" s="816"/>
      <c r="B133" s="305" t="str">
        <f>IF('Upgrade Data'!J4="","","CUSTOMER_CODE")</f>
        <v/>
      </c>
      <c r="C133" s="369" t="str">
        <f>IF('Upgrade Data'!J4="","",'Upgrade Data'!F6)</f>
        <v/>
      </c>
      <c r="D133" s="824"/>
      <c r="E133" s="880"/>
    </row>
    <row r="134" spans="1:5">
      <c r="A134" s="816"/>
      <c r="B134" s="305" t="str">
        <f>IF('Upgrade Data'!J4="","","DNS_HOST_NAME")</f>
        <v/>
      </c>
      <c r="C134" s="481" t="str">
        <f>IF('Upgrade Data'!J4="","",'Upgrade Data'!F3)</f>
        <v/>
      </c>
      <c r="D134" s="824"/>
      <c r="E134" s="880"/>
    </row>
    <row r="135" spans="1:5">
      <c r="A135" s="816"/>
      <c r="B135" s="314" t="str">
        <f>IF('Upgrade Data'!J4="","","SQL_SERVER_NAME")</f>
        <v/>
      </c>
      <c r="C135" s="463" t="str">
        <f>IF('Upgrade Data'!J4="","",'Upgrade Data'!I5)</f>
        <v/>
      </c>
      <c r="D135" s="824"/>
      <c r="E135" s="880"/>
    </row>
    <row r="136" spans="1:5">
      <c r="A136" s="816"/>
      <c r="B136" s="305" t="str">
        <f>IF('Upgrade Data'!J4="","","SAS_SERVER_NAME")</f>
        <v/>
      </c>
      <c r="C136" s="463" t="str">
        <f>IF('Upgrade Data'!J4="","",IF('Upgrade Data'!F12=TRUE,'Upgrade Data'!I5,'Upgrade Data'!I7))</f>
        <v/>
      </c>
      <c r="D136" s="824"/>
      <c r="E136" s="880"/>
    </row>
    <row r="137" spans="1:5">
      <c r="A137" s="816"/>
      <c r="B137" s="305" t="str">
        <f>IF('Upgrade Data'!J4="","","SKIP_SNAPS")</f>
        <v/>
      </c>
      <c r="C137" s="619" t="str">
        <f>IF('Upgrade Data'!J4="","",C79)</f>
        <v/>
      </c>
      <c r="D137" s="825"/>
      <c r="E137" s="881"/>
    </row>
    <row r="138" spans="1:5">
      <c r="A138" s="816"/>
      <c r="B138" s="698"/>
      <c r="C138" s="643" t="str">
        <f>IF(B139="Update_Version",C118,"")</f>
        <v/>
      </c>
      <c r="D138" s="819">
        <f>IF(B139="No Additional Web Servers",1,"")</f>
        <v>1</v>
      </c>
      <c r="E138" s="855" t="str">
        <f>IF(B139="No Additional Web Servers","Automated Complete 
No additional web servers","")</f>
        <v>Automated Complete 
No additional web servers</v>
      </c>
    </row>
    <row r="139" spans="1:5">
      <c r="A139" s="816"/>
      <c r="B139" s="302" t="str">
        <f>IF('Upgrade Data'!J5="","No Additional Web Servers","UPDATE_VERSION")</f>
        <v>No Additional Web Servers</v>
      </c>
      <c r="C139" s="746" t="str">
        <f>IF('Upgrade Data'!J5="","",'Upgrade Data'!B8)</f>
        <v/>
      </c>
      <c r="D139" s="837"/>
      <c r="E139" s="856"/>
    </row>
    <row r="140" spans="1:5">
      <c r="A140" s="816"/>
      <c r="B140" s="302" t="str">
        <f>IF('Upgrade Data'!J5="","","TARGET_SERVER_NAME")</f>
        <v/>
      </c>
      <c r="C140" s="366" t="str">
        <f>IF('Upgrade Data'!J5="","",'Upgrade Data'!J5)</f>
        <v/>
      </c>
      <c r="D140" s="837"/>
      <c r="E140" s="856"/>
    </row>
    <row r="141" spans="1:5">
      <c r="A141" s="816"/>
      <c r="B141" s="302" t="str">
        <f>IF('Upgrade Data'!J5="","","CUSTOMER_CODE")</f>
        <v/>
      </c>
      <c r="C141" s="366" t="str">
        <f>IF('Upgrade Data'!J5="","",'Upgrade Data'!F6)</f>
        <v/>
      </c>
      <c r="D141" s="837"/>
      <c r="E141" s="856"/>
    </row>
    <row r="142" spans="1:5">
      <c r="A142" s="816"/>
      <c r="B142" s="302" t="str">
        <f>IF('Upgrade Data'!J5="","","DNS_HOST_NAME")</f>
        <v/>
      </c>
      <c r="C142" s="366" t="str">
        <f>IF('Upgrade Data'!J5="","",'Upgrade Data'!F3)</f>
        <v/>
      </c>
      <c r="D142" s="837"/>
      <c r="E142" s="856"/>
    </row>
    <row r="143" spans="1:5">
      <c r="A143" s="816"/>
      <c r="B143" s="311" t="str">
        <f>IF('Upgrade Data'!J5="","","SQL_SERVER_NAME")</f>
        <v/>
      </c>
      <c r="C143" s="747" t="str">
        <f>IF('Upgrade Data'!J5="","",'Upgrade Data'!I5)</f>
        <v/>
      </c>
      <c r="D143" s="837"/>
      <c r="E143" s="856"/>
    </row>
    <row r="144" spans="1:5">
      <c r="A144" s="816"/>
      <c r="B144" s="302" t="str">
        <f>IF('Upgrade Data'!J5="","","SAS_SERVER_NAME")</f>
        <v/>
      </c>
      <c r="C144" s="645" t="str">
        <f>IF('Upgrade Data'!J5="","",IF('Upgrade Data'!F12=TRUE,'Upgrade Data'!I5,'Upgrade Data'!I7))</f>
        <v/>
      </c>
      <c r="D144" s="837"/>
      <c r="E144" s="856"/>
    </row>
    <row r="145" spans="1:5">
      <c r="A145" s="816"/>
      <c r="B145" s="302" t="str">
        <f>IF('Upgrade Data'!J5="","","SKIP_SNAPS")</f>
        <v/>
      </c>
      <c r="C145" s="366" t="str">
        <f>IF('Upgrade Data'!J5="","",C79)</f>
        <v/>
      </c>
      <c r="D145" s="820"/>
      <c r="E145" s="857"/>
    </row>
    <row r="146" spans="1:5">
      <c r="A146" s="816"/>
      <c r="B146" s="304"/>
      <c r="C146" s="644" t="str">
        <f>IF(B147="Update_Version",C118,"")</f>
        <v/>
      </c>
      <c r="D146" s="823">
        <f>IF(B147="No Additional Web Servers",1,"")</f>
        <v>1</v>
      </c>
      <c r="E146" s="879" t="str">
        <f>IF(B147="No Additional Web Servers","Automated Complete 
No additional web servers","")</f>
        <v>Automated Complete 
No additional web servers</v>
      </c>
    </row>
    <row r="147" spans="1:5">
      <c r="A147" s="816"/>
      <c r="B147" s="305" t="str">
        <f>IF('Upgrade Data'!J6="","No Additional Web Servers","UPDATE_VERSION")</f>
        <v>No Additional Web Servers</v>
      </c>
      <c r="C147" s="369" t="str">
        <f>IF('Upgrade Data'!J6="","",'Upgrade Data'!B8)</f>
        <v/>
      </c>
      <c r="D147" s="824"/>
      <c r="E147" s="880"/>
    </row>
    <row r="148" spans="1:5">
      <c r="A148" s="816"/>
      <c r="B148" s="305" t="str">
        <f>IF('Upgrade Data'!J6="","","TARGET_SERVER_NAME")</f>
        <v/>
      </c>
      <c r="C148" s="369" t="str">
        <f>IF('Upgrade Data'!J6="","",'Upgrade Data'!J6)</f>
        <v/>
      </c>
      <c r="D148" s="824"/>
      <c r="E148" s="880"/>
    </row>
    <row r="149" spans="1:5">
      <c r="A149" s="816"/>
      <c r="B149" s="305" t="str">
        <f>IF('Upgrade Data'!J6="","","CUSTOMER_CODE")</f>
        <v/>
      </c>
      <c r="C149" s="369" t="str">
        <f>IF('Upgrade Data'!J6="","",'Upgrade Data'!F6)</f>
        <v/>
      </c>
      <c r="D149" s="824"/>
      <c r="E149" s="880"/>
    </row>
    <row r="150" spans="1:5">
      <c r="A150" s="816"/>
      <c r="B150" s="468" t="str">
        <f>IF('Upgrade Data'!J6="","","DNS_HOST_NAME")</f>
        <v/>
      </c>
      <c r="C150" s="369" t="str">
        <f>IF('Upgrade Data'!J6="","",'Upgrade Data'!F3)</f>
        <v/>
      </c>
      <c r="D150" s="824"/>
      <c r="E150" s="880"/>
    </row>
    <row r="151" spans="1:5">
      <c r="A151" s="816"/>
      <c r="B151" s="305" t="str">
        <f>IF('Upgrade Data'!J6="","","SQL_SERVER_NAME")</f>
        <v/>
      </c>
      <c r="C151" s="462" t="str">
        <f>IF('Upgrade Data'!J6="","",'Upgrade Data'!I5)</f>
        <v/>
      </c>
      <c r="D151" s="824"/>
      <c r="E151" s="880"/>
    </row>
    <row r="152" spans="1:5">
      <c r="A152" s="816"/>
      <c r="B152" s="305" t="str">
        <f>IF('Upgrade Data'!J6="","","SAS_SERVER_NAME")</f>
        <v/>
      </c>
      <c r="C152" s="463" t="str">
        <f>IF('Upgrade Data'!J6="","",IF('Upgrade Data'!F12=TRUE,'Upgrade Data'!I5,'Upgrade Data'!I7))</f>
        <v/>
      </c>
      <c r="D152" s="824"/>
      <c r="E152" s="880"/>
    </row>
    <row r="153" spans="1:5">
      <c r="A153" s="816"/>
      <c r="B153" s="306" t="str">
        <f>IF('Upgrade Data'!J6="","","SKIP_SNAPS")</f>
        <v/>
      </c>
      <c r="C153" s="619" t="str">
        <f>IF('Upgrade Data'!J6="","",C79)</f>
        <v/>
      </c>
      <c r="D153" s="825"/>
      <c r="E153" s="881"/>
    </row>
    <row r="154" spans="1:5">
      <c r="A154" s="816"/>
      <c r="B154" s="699"/>
      <c r="C154" s="643" t="str">
        <f>IF(B155="Update_Version",C118,"")</f>
        <v/>
      </c>
      <c r="D154" s="894">
        <f>IF(B155="No Additional Web Servers",1,"")</f>
        <v>1</v>
      </c>
      <c r="E154" s="855" t="str">
        <f>IF(B155="No Additional Web Servers","Automated Complete 
No additional web servers","")</f>
        <v>Automated Complete 
No additional web servers</v>
      </c>
    </row>
    <row r="155" spans="1:5">
      <c r="A155" s="816"/>
      <c r="B155" s="699" t="str">
        <f>IF('Upgrade Data'!J7="","No Additional Web Servers","UPDATE_VERSION")</f>
        <v>No Additional Web Servers</v>
      </c>
      <c r="C155" s="366" t="str">
        <f>IF('Upgrade Data'!J7="","",'Upgrade Data'!B8)</f>
        <v/>
      </c>
      <c r="D155" s="895"/>
      <c r="E155" s="856"/>
    </row>
    <row r="156" spans="1:5">
      <c r="A156" s="816"/>
      <c r="B156" s="311" t="str">
        <f>IF('Upgrade Data'!J7="","","TARGET_SERVER_NAME")</f>
        <v/>
      </c>
      <c r="C156" s="749" t="str">
        <f>IF('Upgrade Data'!J7="","",'Upgrade Data'!J7)</f>
        <v/>
      </c>
      <c r="D156" s="895"/>
      <c r="E156" s="856"/>
    </row>
    <row r="157" spans="1:5">
      <c r="A157" s="816"/>
      <c r="B157" s="311" t="str">
        <f>IF('Upgrade Data'!J7="","","CUSTOMER_CODE")</f>
        <v/>
      </c>
      <c r="C157" s="748" t="str">
        <f>IF('Upgrade Data'!J7="","",'Upgrade Data'!F6)</f>
        <v/>
      </c>
      <c r="D157" s="895"/>
      <c r="E157" s="856"/>
    </row>
    <row r="158" spans="1:5">
      <c r="A158" s="816"/>
      <c r="B158" s="311" t="str">
        <f>IF('Upgrade Data'!J7="","","DNS_HOST_NAME")</f>
        <v/>
      </c>
      <c r="C158" s="748" t="str">
        <f>IF('Upgrade Data'!J7="","",'Upgrade Data'!F3)</f>
        <v/>
      </c>
      <c r="D158" s="895"/>
      <c r="E158" s="856"/>
    </row>
    <row r="159" spans="1:5">
      <c r="A159" s="816"/>
      <c r="B159" s="699" t="str">
        <f>IF('Upgrade Data'!J7="","","SQL_SERVER_NAME")</f>
        <v/>
      </c>
      <c r="C159" s="752" t="str">
        <f>IF('Upgrade Data'!J7="","",'Upgrade Data'!I5)</f>
        <v/>
      </c>
      <c r="D159" s="895"/>
      <c r="E159" s="856"/>
    </row>
    <row r="160" spans="1:5">
      <c r="A160" s="816"/>
      <c r="B160" s="699" t="str">
        <f>IF('Upgrade Data'!J7="","","SAS_SERVER_NAME")</f>
        <v/>
      </c>
      <c r="C160" s="751" t="str">
        <f>IF('Upgrade Data'!J7="","",IF('Upgrade Data'!F12=TRUE,'Upgrade Data'!I5,'Upgrade Data'!I7))</f>
        <v/>
      </c>
      <c r="D160" s="895"/>
      <c r="E160" s="856"/>
    </row>
    <row r="161" spans="1:5">
      <c r="A161" s="817"/>
      <c r="B161" s="699" t="str">
        <f>IF('Upgrade Data'!J7="","","SKIP_SNAPS")</f>
        <v/>
      </c>
      <c r="C161" s="750" t="str">
        <f>IF('Upgrade Data'!J7="","",C79)</f>
        <v/>
      </c>
      <c r="D161" s="896"/>
      <c r="E161" s="857"/>
    </row>
    <row r="162" spans="1:5">
      <c r="A162" s="709">
        <v>17</v>
      </c>
      <c r="B162" s="710" t="s">
        <v>197</v>
      </c>
      <c r="C162" s="711" t="s">
        <v>198</v>
      </c>
      <c r="D162" s="60"/>
      <c r="E162" s="671"/>
    </row>
    <row r="163" spans="1:5">
      <c r="A163" s="764">
        <v>18</v>
      </c>
      <c r="B163" s="196" t="s">
        <v>199</v>
      </c>
      <c r="C163" s="43" t="s">
        <v>200</v>
      </c>
      <c r="D163" s="248"/>
      <c r="E163" s="263"/>
    </row>
    <row r="164" spans="1:5">
      <c r="A164" s="811">
        <v>19</v>
      </c>
      <c r="B164" s="712" t="s">
        <v>156</v>
      </c>
      <c r="C164" s="713"/>
      <c r="D164" s="823"/>
      <c r="E164" s="879"/>
    </row>
    <row r="165" spans="1:5">
      <c r="A165" s="812"/>
      <c r="B165" s="355" t="str">
        <f>('SB Alignment'!B177)</f>
        <v>Validate ADM 01</v>
      </c>
      <c r="C165" s="639" t="str">
        <f>(MasterConfig!B1)&amp;"/login/body.asp?manual=Y"</f>
        <v>/login/body.asp?manual=Y</v>
      </c>
      <c r="D165" s="824"/>
      <c r="E165" s="880"/>
    </row>
    <row r="166" spans="1:5">
      <c r="A166" s="812"/>
      <c r="B166" s="753" t="str">
        <f>('SB Alignment'!B178)</f>
        <v>Validate Versions using following URLs</v>
      </c>
      <c r="C166" s="639" t="str">
        <f>_xlfn.CONCAT(AutoPop!M112,'Upgrade Data'!F3,AutoPop!N112)</f>
        <v>Start-Process "chrome.exe" "https://0.pvcloud.com/planview/diag/version.aspx"</v>
      </c>
      <c r="D166" s="824"/>
      <c r="E166" s="880"/>
    </row>
    <row r="167" spans="1:5">
      <c r="A167" s="812"/>
      <c r="B167" s="753" t="str">
        <f>('SB Alignment'!B179)</f>
        <v>Test odata with following URLs</v>
      </c>
      <c r="C167" s="639" t="str">
        <f>_xlfn.CONCAT(AutoPop!M112,'Upgrade Data'!F3,AutoPop!N113)</f>
        <v>Start-Process "chrome.exe" "https://0.pvcloud.com/odataservice/OdataService.svc"</v>
      </c>
      <c r="D167" s="824"/>
      <c r="E167" s="880"/>
    </row>
    <row r="168" spans="1:5">
      <c r="A168" s="812"/>
      <c r="B168" s="753" t="str">
        <f>('SB Alignment'!B180)</f>
        <v>Test Progression Engine</v>
      </c>
      <c r="C168" s="639" t="str">
        <f>_xlfn.CONCAT(AutoPop!M112,'Upgrade Data'!F3,AutoPop!N114)</f>
        <v>Start-Process "chrome.exe" "https://0.pvcloud.com/planview/Progressing/ProgressInteractively.aspx"</v>
      </c>
      <c r="D168" s="824"/>
      <c r="E168" s="880"/>
    </row>
    <row r="169" spans="1:5">
      <c r="A169" s="812"/>
      <c r="B169" s="753" t="str">
        <f>('SB Alignment'!B181)</f>
        <v>Administration &gt; Reporting &gt; Model Management</v>
      </c>
      <c r="C169" s="639" t="str">
        <f>_xlfn.CONCAT(AutoPop!M112,'Upgrade Data'!F3,AutoPop!N115)</f>
        <v>Start-Process "chrome.exe" "https://0.pvcloud.com/planview/AdminApplication/AdministerOLAPConnStrings.aspx"</v>
      </c>
      <c r="D169" s="824"/>
      <c r="E169" s="880"/>
    </row>
    <row r="170" spans="1:5">
      <c r="A170" s="812"/>
      <c r="B170" s="753" t="str">
        <f>('SB Alignment'!B182)</f>
        <v>Administration &gt; System Configuration &gt; Database Management</v>
      </c>
      <c r="C170" s="639" t="str">
        <f>_xlfn.CONCAT(AutoPop!M112,'Upgrade Data'!F3,AutoPop!N116)</f>
        <v>Start-Process "chrome.exe" "https://0.pvcloud.com/planview/AdminDatabase/Databases.aspx"</v>
      </c>
      <c r="D170" s="824"/>
      <c r="E170" s="880"/>
    </row>
    <row r="171" spans="1:5">
      <c r="A171" s="812"/>
      <c r="B171" s="753" t="str">
        <f>('SB Alignment'!B183)</f>
        <v>Administration &gt; Reporting &gt; DataSet Management</v>
      </c>
      <c r="C171" s="639" t="str">
        <f>_xlfn.CONCAT(AutoPop!M112,'Upgrade Data'!F3,AutoPop!N117)</f>
        <v>Start-Process "chrome.exe" "https://0.pvcloud.com/planview/AdminApplication/AdministerDataset.aspx"</v>
      </c>
      <c r="D171" s="824"/>
      <c r="E171" s="880"/>
    </row>
    <row r="172" spans="1:5">
      <c r="A172" s="812"/>
      <c r="B172" s="753" t="str">
        <f>('SB Alignment'!B184)</f>
        <v>Test Access Manager and Validate TESE is functioning properly</v>
      </c>
      <c r="C172" s="639" t="str">
        <f>_xlfn.CONCAT(AutoPop!M112,'Upgrade Data'!F3,AutoPop!N118)</f>
        <v>Start-Process "chrome.exe" "https://0.pvcloud.com/planview/AdminApplication/AdminServices.aspx"</v>
      </c>
      <c r="D172" s="824"/>
      <c r="E172" s="880"/>
    </row>
    <row r="173" spans="1:5">
      <c r="A173" s="812"/>
      <c r="B173" s="753" t="str">
        <f>('SB Alignment'!B185)</f>
        <v>Content Search</v>
      </c>
      <c r="C173" s="639" t="str">
        <f>_xlfn.CONCAT(AutoPop!M112,'Upgrade Data'!F3,AutoPop!N119)</f>
        <v>Start-Process "chrome.exe" "https://0.pvcloud.com/planview/AdminApplication/createcontentsearchindex.asp?step=1"</v>
      </c>
      <c r="D173" s="824"/>
      <c r="E173" s="880"/>
    </row>
    <row r="174" spans="1:5">
      <c r="A174" s="812"/>
      <c r="B174" s="753" t="str">
        <f>('SB Alignment'!B186)</f>
        <v>Validate CTM site launches successfully from PRM</v>
      </c>
      <c r="C174" s="639" t="str">
        <f>_xlfn.CONCAT(AutoPop!M112,'Upgrade Data'!F3,AutoPop!N120)</f>
        <v>Start-Process "chrome.exe" "https://0.pvcloud.com/ng/ctm/"</v>
      </c>
      <c r="D174" s="824"/>
      <c r="E174" s="880"/>
    </row>
    <row r="175" spans="1:5">
      <c r="A175" s="812"/>
      <c r="B175" s="753" t="str">
        <f>('SB Alignment'!B187)</f>
        <v>PRM Health Check</v>
      </c>
      <c r="C175" s="639" t="str">
        <f>_xlfn.CONCAT(AutoPop!M112,'Upgrade Data'!F3,AutoPop!N121)</f>
        <v>Start-Process "chrome.exe" "https://0.pvcloud.com/planview/diag/health.aspx"</v>
      </c>
      <c r="D175" s="824"/>
      <c r="E175" s="880"/>
    </row>
    <row r="176" spans="1:5">
      <c r="A176" s="812"/>
      <c r="B176" s="753" t="str">
        <f>('SB Alignment'!B188)</f>
        <v>CTM Health Check</v>
      </c>
      <c r="C176" s="639" t="str">
        <f>_xlfn.CONCAT(AutoPop!M113,'Upgrade Data'!I6,AutoPop!N122)</f>
        <v>Start-Process "chrome.exe" "http://0/health"</v>
      </c>
      <c r="D176" s="824"/>
      <c r="E176" s="880"/>
    </row>
    <row r="177" spans="1:5">
      <c r="A177" s="812"/>
      <c r="B177" s="355" t="str">
        <f>('SB Alignment'!B189)</f>
        <v>CTM Health Check</v>
      </c>
      <c r="C177" s="639" t="str">
        <f>_xlfn.CONCAT(AutoPop!M113,'Upgrade Data'!I6,AutoPop!N123)</f>
        <v>Start-Process "chrome.exe" "http://0/uaa/health"</v>
      </c>
      <c r="D177" s="824"/>
      <c r="E177" s="880"/>
    </row>
    <row r="178" spans="1:5">
      <c r="A178" s="821"/>
      <c r="B178" s="714" t="str">
        <f>('SB Alignment'!B190)</f>
        <v>CTM Health Check</v>
      </c>
      <c r="C178" s="713" t="str">
        <f>_xlfn.CONCAT(AutoPop!M113,'Upgrade Data'!I6,AutoPop!N124)</f>
        <v>Start-Process "chrome.exe" "http://0/tip/do/health"</v>
      </c>
      <c r="D178" s="825"/>
      <c r="E178" s="881"/>
    </row>
    <row r="179" spans="1:5">
      <c r="A179" s="247">
        <v>20</v>
      </c>
      <c r="B179" s="317" t="s">
        <v>138</v>
      </c>
      <c r="C179" s="700" t="s">
        <v>201</v>
      </c>
      <c r="D179" s="248"/>
      <c r="E179" s="671"/>
    </row>
    <row r="180" spans="1:5">
      <c r="A180" s="811">
        <v>21</v>
      </c>
      <c r="B180" s="715" t="s">
        <v>202</v>
      </c>
      <c r="C180" s="716" t="s">
        <v>203</v>
      </c>
      <c r="D180" s="823"/>
      <c r="E180" s="879"/>
    </row>
    <row r="181" spans="1:5">
      <c r="A181" s="821"/>
      <c r="B181" s="754"/>
      <c r="C181" s="755" t="str">
        <f>_xlfn.CONCAT("@here ",('Upgrade Data'!I2)&amp;"/login/body.asp?manual=Y is ready for smoke testing")</f>
        <v>@here https://0.pvcloud.com/login/body.asp?manual=Y is ready for smoke testing</v>
      </c>
      <c r="D181" s="825"/>
      <c r="E181" s="881"/>
    </row>
  </sheetData>
  <mergeCells count="67">
    <mergeCell ref="A3:A5"/>
    <mergeCell ref="E15:E16"/>
    <mergeCell ref="D3:D5"/>
    <mergeCell ref="D15:D16"/>
    <mergeCell ref="A6:A7"/>
    <mergeCell ref="D6:D7"/>
    <mergeCell ref="E6:E7"/>
    <mergeCell ref="E9:E14"/>
    <mergeCell ref="A9:A14"/>
    <mergeCell ref="D9:D14"/>
    <mergeCell ref="A15:A16"/>
    <mergeCell ref="A180:A181"/>
    <mergeCell ref="D180:D181"/>
    <mergeCell ref="D138:D145"/>
    <mergeCell ref="D130:D137"/>
    <mergeCell ref="D146:D153"/>
    <mergeCell ref="E180:E181"/>
    <mergeCell ref="A164:A178"/>
    <mergeCell ref="E164:E178"/>
    <mergeCell ref="D164:D178"/>
    <mergeCell ref="E75:E79"/>
    <mergeCell ref="E85:E91"/>
    <mergeCell ref="E92:E98"/>
    <mergeCell ref="E99:E105"/>
    <mergeCell ref="E106:E112"/>
    <mergeCell ref="A113:A117"/>
    <mergeCell ref="A118:A123"/>
    <mergeCell ref="D124:D129"/>
    <mergeCell ref="D113:D117"/>
    <mergeCell ref="D75:D79"/>
    <mergeCell ref="A124:A161"/>
    <mergeCell ref="D154:D161"/>
    <mergeCell ref="A80:A112"/>
    <mergeCell ref="D106:D112"/>
    <mergeCell ref="A64:A67"/>
    <mergeCell ref="D64:D67"/>
    <mergeCell ref="A69:A74"/>
    <mergeCell ref="A75:A79"/>
    <mergeCell ref="A17:A26"/>
    <mergeCell ref="A27:A63"/>
    <mergeCell ref="D17:D26"/>
    <mergeCell ref="D27:D31"/>
    <mergeCell ref="D36:D39"/>
    <mergeCell ref="D44:D47"/>
    <mergeCell ref="D52:D55"/>
    <mergeCell ref="E113:E117"/>
    <mergeCell ref="D99:D105"/>
    <mergeCell ref="D92:D98"/>
    <mergeCell ref="D85:D91"/>
    <mergeCell ref="E69:E74"/>
    <mergeCell ref="D80:D84"/>
    <mergeCell ref="D69:D73"/>
    <mergeCell ref="E80:E84"/>
    <mergeCell ref="E154:E161"/>
    <mergeCell ref="D118:D123"/>
    <mergeCell ref="E124:E129"/>
    <mergeCell ref="E130:E137"/>
    <mergeCell ref="E138:E145"/>
    <mergeCell ref="E146:E153"/>
    <mergeCell ref="E118:E123"/>
    <mergeCell ref="E64:E67"/>
    <mergeCell ref="E27:E63"/>
    <mergeCell ref="D60:D63"/>
    <mergeCell ref="D32:D35"/>
    <mergeCell ref="D40:D43"/>
    <mergeCell ref="D48:D51"/>
    <mergeCell ref="D56:D59"/>
  </mergeCells>
  <conditionalFormatting sqref="D75 D6">
    <cfRule type="iconSet" priority="40">
      <iconSet iconSet="3Symbols2" showValue="0">
        <cfvo type="percent" val="0"/>
        <cfvo type="num" val="0"/>
        <cfvo type="num" val="1"/>
      </iconSet>
    </cfRule>
    <cfRule type="iconSet" priority="41">
      <iconSet iconSet="3Symbols2">
        <cfvo type="percent" val="0"/>
        <cfvo type="num" val="0"/>
        <cfvo type="num" val="1"/>
      </iconSet>
    </cfRule>
    <cfRule type="iconSet" priority="42">
      <iconSet showValue="0">
        <cfvo type="percent" val="0"/>
        <cfvo type="percent" val="33"/>
        <cfvo type="percent" val="67"/>
      </iconSet>
    </cfRule>
    <cfRule type="iconSet" priority="43">
      <iconSet iconSet="3Symbols2">
        <cfvo type="percent" val="0"/>
        <cfvo type="num" val="0"/>
        <cfvo type="num" val="1"/>
      </iconSet>
    </cfRule>
  </conditionalFormatting>
  <conditionalFormatting sqref="D80">
    <cfRule type="iconSet" priority="38">
      <iconSet iconSet="3Symbols2" showValue="0">
        <cfvo type="percent" val="0"/>
        <cfvo type="num" val="0"/>
        <cfvo type="num" val="1"/>
      </iconSet>
    </cfRule>
    <cfRule type="iconSet" priority="39">
      <iconSet iconSet="3Symbols2">
        <cfvo type="percent" val="0"/>
        <cfvo type="num" val="0"/>
        <cfvo type="num" val="1"/>
      </iconSet>
    </cfRule>
  </conditionalFormatting>
  <conditionalFormatting sqref="D64">
    <cfRule type="iconSet" priority="32">
      <iconSet iconSet="3Symbols2" showValue="0">
        <cfvo type="percent" val="0"/>
        <cfvo type="num" val="0"/>
        <cfvo type="num" val="1"/>
      </iconSet>
    </cfRule>
  </conditionalFormatting>
  <conditionalFormatting sqref="D68">
    <cfRule type="iconSet" priority="30">
      <iconSet iconSet="3Symbols2" showValue="0">
        <cfvo type="percent" val="0"/>
        <cfvo type="num" val="0"/>
        <cfvo type="num" val="1"/>
      </iconSet>
    </cfRule>
  </conditionalFormatting>
  <conditionalFormatting sqref="D113:D117">
    <cfRule type="iconSet" priority="29">
      <iconSet iconSet="3Symbols2" showValue="0">
        <cfvo type="percent" val="0"/>
        <cfvo type="num" val="0"/>
        <cfvo type="num" val="1"/>
      </iconSet>
    </cfRule>
  </conditionalFormatting>
  <conditionalFormatting sqref="D124:D129">
    <cfRule type="iconSet" priority="28">
      <iconSet iconSet="3Symbols2" showValue="0">
        <cfvo type="percent" val="0"/>
        <cfvo type="num" val="0"/>
        <cfvo type="num" val="1"/>
      </iconSet>
    </cfRule>
  </conditionalFormatting>
  <conditionalFormatting sqref="D138:D139">
    <cfRule type="iconSet" priority="24">
      <iconSet iconSet="3Symbols2" showValue="0">
        <cfvo type="percent" val="0"/>
        <cfvo type="num" val="0"/>
        <cfvo type="num" val="1"/>
      </iconSet>
    </cfRule>
    <cfRule type="iconSet" priority="25">
      <iconSet iconSet="3Symbols2">
        <cfvo type="percent" val="0"/>
        <cfvo type="num" val="0"/>
        <cfvo type="num" val="1"/>
      </iconSet>
    </cfRule>
    <cfRule type="iconSet" priority="26">
      <iconSet showValue="0">
        <cfvo type="percent" val="0"/>
        <cfvo type="percent" val="33"/>
        <cfvo type="percent" val="67"/>
      </iconSet>
    </cfRule>
    <cfRule type="iconSet" priority="27">
      <iconSet iconSet="3Symbols2">
        <cfvo type="percent" val="0"/>
        <cfvo type="num" val="0"/>
        <cfvo type="num" val="1"/>
      </iconSet>
    </cfRule>
  </conditionalFormatting>
  <conditionalFormatting sqref="D154:D155">
    <cfRule type="iconSet" priority="20">
      <iconSet iconSet="3Symbols2" showValue="0">
        <cfvo type="percent" val="0"/>
        <cfvo type="num" val="0"/>
        <cfvo type="num" val="1"/>
      </iconSet>
    </cfRule>
    <cfRule type="iconSet" priority="21">
      <iconSet iconSet="3Symbols2">
        <cfvo type="percent" val="0"/>
        <cfvo type="num" val="0"/>
        <cfvo type="num" val="1"/>
      </iconSet>
    </cfRule>
    <cfRule type="iconSet" priority="22">
      <iconSet showValue="0">
        <cfvo type="percent" val="0"/>
        <cfvo type="percent" val="33"/>
        <cfvo type="percent" val="67"/>
      </iconSet>
    </cfRule>
    <cfRule type="iconSet" priority="23">
      <iconSet iconSet="3Symbols2">
        <cfvo type="percent" val="0"/>
        <cfvo type="num" val="0"/>
        <cfvo type="num" val="1"/>
      </iconSet>
    </cfRule>
  </conditionalFormatting>
  <conditionalFormatting sqref="D179">
    <cfRule type="iconSet" priority="18">
      <iconSet iconSet="3Symbols2" showValue="0">
        <cfvo type="percent" val="0"/>
        <cfvo type="num" val="0"/>
        <cfvo type="num" val="1"/>
      </iconSet>
    </cfRule>
  </conditionalFormatting>
  <conditionalFormatting sqref="D162">
    <cfRule type="iconSet" priority="15">
      <iconSet iconSet="3Symbols2" showValue="0">
        <cfvo type="percent" val="0"/>
        <cfvo type="num" val="0"/>
        <cfvo type="num" val="1"/>
      </iconSet>
    </cfRule>
  </conditionalFormatting>
  <conditionalFormatting sqref="D118:D123">
    <cfRule type="iconSet" priority="14">
      <iconSet iconSet="3Symbols2" showValue="0">
        <cfvo type="percent" val="0"/>
        <cfvo type="num" val="0"/>
        <cfvo type="num" val="1"/>
      </iconSet>
    </cfRule>
  </conditionalFormatting>
  <conditionalFormatting sqref="D69:D74">
    <cfRule type="iconSet" priority="9">
      <iconSet iconSet="3Symbols2" showValue="0">
        <cfvo type="percent" val="0"/>
        <cfvo type="num" val="0"/>
        <cfvo type="num" val="1"/>
      </iconSet>
    </cfRule>
  </conditionalFormatting>
  <conditionalFormatting sqref="D2">
    <cfRule type="iconSet" priority="3">
      <iconSet iconSet="3Symbols2" showValue="0">
        <cfvo type="percent" val="0"/>
        <cfvo type="num" val="0"/>
        <cfvo type="num" val="1"/>
      </iconSet>
    </cfRule>
    <cfRule type="iconSet" priority="4">
      <iconSet iconSet="3Symbols2">
        <cfvo type="percent" val="0"/>
        <cfvo type="num" val="0"/>
        <cfvo type="num" val="1"/>
      </iconSet>
    </cfRule>
    <cfRule type="iconSet" priority="5">
      <iconSet showValue="0">
        <cfvo type="percent" val="0"/>
        <cfvo type="percent" val="33"/>
        <cfvo type="percent" val="67"/>
      </iconSet>
    </cfRule>
    <cfRule type="iconSet" priority="6">
      <iconSet iconSet="3Symbols2">
        <cfvo type="percent" val="0"/>
        <cfvo type="num" val="0"/>
        <cfvo type="num" val="1"/>
      </iconSet>
    </cfRule>
  </conditionalFormatting>
  <conditionalFormatting sqref="D17:D18">
    <cfRule type="iconSet" priority="1141">
      <iconSet iconSet="3Symbols2" showValue="0">
        <cfvo type="percent" val="0"/>
        <cfvo type="num" val="0"/>
        <cfvo type="num" val="1"/>
      </iconSet>
    </cfRule>
  </conditionalFormatting>
  <conditionalFormatting sqref="D130:D131">
    <cfRule type="iconSet" priority="1183">
      <iconSet iconSet="3Symbols2" showValue="0">
        <cfvo type="percent" val="0"/>
        <cfvo type="num" val="0"/>
        <cfvo type="num" val="1"/>
      </iconSet>
    </cfRule>
  </conditionalFormatting>
  <conditionalFormatting sqref="D146:D147">
    <cfRule type="iconSet" priority="1184">
      <iconSet iconSet="3Symbols2" showValue="0">
        <cfvo type="percent" val="0"/>
        <cfvo type="num" val="0"/>
        <cfvo type="num" val="1"/>
      </iconSet>
    </cfRule>
  </conditionalFormatting>
  <conditionalFormatting sqref="D8:D15">
    <cfRule type="iconSet" priority="2">
      <iconSet iconSet="3Symbols2" showValue="0">
        <cfvo type="percent" val="0"/>
        <cfvo type="num" val="0"/>
        <cfvo type="num" val="1"/>
      </iconSet>
    </cfRule>
  </conditionalFormatting>
  <conditionalFormatting sqref="D3">
    <cfRule type="iconSet" priority="1441">
      <iconSet iconSet="3Symbols2" showValue="0">
        <cfvo type="percent" val="0"/>
        <cfvo type="num" val="0"/>
        <cfvo type="num" val="1"/>
      </iconSet>
    </cfRule>
  </conditionalFormatting>
  <conditionalFormatting sqref="D106">
    <cfRule type="iconSet" priority="1442">
      <iconSet iconSet="3Symbols2" showValue="0">
        <cfvo type="percent" val="0"/>
        <cfvo type="num" val="0"/>
        <cfvo type="num" val="1"/>
      </iconSet>
    </cfRule>
  </conditionalFormatting>
  <conditionalFormatting sqref="D99">
    <cfRule type="iconSet" priority="1443">
      <iconSet iconSet="3Symbols2" showValue="0">
        <cfvo type="percent" val="0"/>
        <cfvo type="num" val="0"/>
        <cfvo type="num" val="1"/>
      </iconSet>
    </cfRule>
  </conditionalFormatting>
  <conditionalFormatting sqref="D92">
    <cfRule type="iconSet" priority="1444">
      <iconSet iconSet="3Symbols2" showValue="0">
        <cfvo type="percent" val="0"/>
        <cfvo type="num" val="0"/>
        <cfvo type="num" val="1"/>
      </iconSet>
    </cfRule>
  </conditionalFormatting>
  <conditionalFormatting sqref="D85">
    <cfRule type="iconSet" priority="1445">
      <iconSet iconSet="3Symbols2" showValue="0">
        <cfvo type="percent" val="0"/>
        <cfvo type="num" val="0"/>
        <cfvo type="num" val="1"/>
      </iconSet>
    </cfRule>
  </conditionalFormatting>
  <conditionalFormatting sqref="D163:D164">
    <cfRule type="iconSet" priority="1446">
      <iconSet iconSet="3Symbols2" showValue="0">
        <cfvo type="percent" val="0"/>
        <cfvo type="num" val="0"/>
        <cfvo type="num" val="1"/>
      </iconSet>
    </cfRule>
  </conditionalFormatting>
  <conditionalFormatting sqref="D180:D181">
    <cfRule type="iconSet" priority="1">
      <iconSet iconSet="3Symbols2" showValue="0">
        <cfvo type="percent" val="0"/>
        <cfvo type="num" val="0"/>
        <cfvo type="num" val="1"/>
      </iconSet>
    </cfRule>
  </conditionalFormatting>
  <hyperlinks>
    <hyperlink ref="C64" r:id="rId1" display="https://jenkins.us.planview.world/job/deploy_sql_cu_pipe/"/>
    <hyperlink ref="C8" r:id="rId2" location="/home/monitors"/>
    <hyperlink ref="C162" r:id="rId3"/>
    <hyperlink ref="C163" r:id="rId4" location="/ccu-main"/>
  </hyperlinks>
  <pageMargins left="0.7" right="0.7" top="0.75" bottom="0.75" header="0.3" footer="0.3"/>
  <pageSetup orientation="portrait" r:id="rId5"/>
  <ignoredErrors>
    <ignoredError sqref="C116"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182"/>
  <sheetViews>
    <sheetView zoomScale="85" zoomScaleNormal="85" workbookViewId="0">
      <selection activeCell="B3" sqref="B3"/>
    </sheetView>
  </sheetViews>
  <sheetFormatPr defaultRowHeight="15"/>
  <cols>
    <col min="1" max="1" width="8.7109375" style="8"/>
    <col min="2" max="2" width="81.7109375" style="2" bestFit="1" customWidth="1"/>
    <col min="3" max="3" width="115" customWidth="1"/>
    <col min="4" max="4" width="26" bestFit="1" customWidth="1"/>
    <col min="5" max="5" width="28.7109375" style="412" bestFit="1" customWidth="1"/>
  </cols>
  <sheetData>
    <row r="1" spans="1:5" ht="18">
      <c r="A1" s="292"/>
      <c r="B1" s="446" t="s">
        <v>204</v>
      </c>
      <c r="C1" s="446" t="s">
        <v>136</v>
      </c>
      <c r="D1" s="446" t="s">
        <v>137</v>
      </c>
      <c r="E1" s="447" t="s">
        <v>98</v>
      </c>
    </row>
    <row r="2" spans="1:5">
      <c r="A2" s="763">
        <v>1</v>
      </c>
      <c r="B2" s="445">
        <f>('Upgrade Data'!F14)</f>
        <v>0</v>
      </c>
      <c r="C2" s="68" t="s">
        <v>228</v>
      </c>
      <c r="D2" s="776"/>
      <c r="E2" s="792"/>
    </row>
    <row r="3" spans="1:5" ht="90">
      <c r="A3" s="247">
        <v>2</v>
      </c>
      <c r="B3" s="420" t="s">
        <v>205</v>
      </c>
      <c r="C3" s="78" t="s">
        <v>238</v>
      </c>
      <c r="D3" s="248"/>
      <c r="E3" s="409"/>
    </row>
    <row r="4" spans="1:5">
      <c r="A4" s="791">
        <v>3</v>
      </c>
      <c r="B4" s="382" t="s">
        <v>239</v>
      </c>
      <c r="C4" s="122" t="s">
        <v>233</v>
      </c>
      <c r="D4" s="60"/>
      <c r="E4" s="792"/>
    </row>
    <row r="5" spans="1:5">
      <c r="A5" s="815">
        <v>4</v>
      </c>
      <c r="B5" s="900" t="s">
        <v>240</v>
      </c>
      <c r="C5" s="88" t="s">
        <v>175</v>
      </c>
      <c r="D5" s="819"/>
      <c r="E5" s="777"/>
    </row>
    <row r="6" spans="1:5">
      <c r="A6" s="816"/>
      <c r="B6" s="901"/>
      <c r="C6" s="91" t="str">
        <f>_xlfn.CONCAT(AutoPop!E119 &amp;'Upgrade Data'!I3&amp; "'," &amp; "'"&amp;'Upgrade Data'!I4&amp; "'," &amp; "'"&amp;'Upgrade Data'!I5&amp; "'," &amp; "'"&amp;'Upgrade Data'!I6&amp; "'" &amp; AutoPop!F119)</f>
        <v>Set-DataDogMaintWin -hosts @('0','0','0','0') -End $(get-date).AddHours(4)</v>
      </c>
      <c r="D6" s="837"/>
      <c r="E6" s="782"/>
    </row>
    <row r="7" spans="1:5">
      <c r="A7" s="816"/>
      <c r="B7" s="901"/>
      <c r="C7" s="59" t="str">
        <f>IF('Upgrade Data'!B5=5,_xlfn.CONCAT(AutoPop!E119&amp;'Upgrade Data'!J4&amp;"',"&amp;"'"&amp;'Upgrade Data'!J5&amp;"',"&amp;"'"&amp;'Upgrade Data'!J6&amp;"',"&amp;"'"&amp;'Upgrade Data'!J7&amp;"'"&amp;AutoPop!F119),IF('Upgrade Data'!B5=4,_xlfn.CONCAT(AutoPop!E119&amp;'Upgrade Data'!J4&amp;"',"&amp;"'"&amp;'Upgrade Data'!J5&amp;"',"&amp;"'"&amp;'Upgrade Data'!J6&amp;"'"&amp;AutoPop!F119),IF('Upgrade Data'!B5=3,_xlfn.CONCAT(AutoPop!E119&amp;'Upgrade Data'!J4&amp;"',"&amp;"'"&amp;'Upgrade Data'!J5&amp;"'"&amp;AutoPop!F119),IF('Upgrade Data'!B5=2,_xlfn.CONCAT(AutoPop!E119&amp;'Upgrade Data'!J4&amp;"'"&amp;AutoPop!F119),""))))</f>
        <v/>
      </c>
      <c r="D7" s="837"/>
      <c r="E7" s="782"/>
    </row>
    <row r="8" spans="1:5">
      <c r="A8" s="816"/>
      <c r="B8" s="901"/>
      <c r="C8" s="59"/>
      <c r="D8" s="837"/>
      <c r="E8" s="782"/>
    </row>
    <row r="9" spans="1:5">
      <c r="A9" s="817"/>
      <c r="B9" s="902"/>
      <c r="C9" s="90"/>
      <c r="D9" s="820"/>
      <c r="E9" s="778"/>
    </row>
    <row r="10" spans="1:5">
      <c r="A10" s="813">
        <v>5</v>
      </c>
      <c r="B10" s="327" t="s">
        <v>241</v>
      </c>
      <c r="C10" s="375" t="str">
        <f>_xlfn.CONCAT("Restart-Computer -ComputerName ",'Upgrade Data'!I3 &amp; ", ",'Upgrade Data'!I4 &amp; ", ",'Upgrade Data'!I5 &amp; ", ",'Upgrade Data'!I6 &amp;" -force")</f>
        <v>Restart-Computer -ComputerName 0, 0, 0, 0 -force</v>
      </c>
      <c r="D10" s="823"/>
      <c r="E10" s="870"/>
    </row>
    <row r="11" spans="1:5">
      <c r="A11" s="829"/>
      <c r="B11" s="356" t="str">
        <f>IF('Upgrade Data'!J4="","","Reboot additional Web Servers")</f>
        <v/>
      </c>
      <c r="C11" s="376" t="str">
        <f>IF('Upgrade Data'!B5=5,_xlfn.CONCAT("Restart-Computer -ComputerName ",'Upgrade Data'!J4&amp;", ",'Upgrade Data'!J5&amp;", ",'Upgrade Data'!J6&amp;", ",'Upgrade Data'!J7&amp;" -force"),IF('Upgrade Data'!B5=4,_xlfn.CONCAT("Restart-Computer -ComputerName ",'Upgrade Data'!J4&amp;", ",'Upgrade Data'!J5&amp;", ",'Upgrade Data'!J6&amp;" -force"),IF('Upgrade Data'!B5=3,_xlfn.CONCAT("Restart-Computer -ComputerName ",'Upgrade Data'!J4&amp;", ",'Upgrade Data'!J5&amp;" -force"),IF('Upgrade Data'!B5=2,_xlfn.CONCAT("Restart-Computer -ComputerName ",'Upgrade Data'!J4&amp;" -force"),""))))</f>
        <v/>
      </c>
      <c r="D11" s="825"/>
      <c r="E11" s="872"/>
    </row>
    <row r="12" spans="1:5">
      <c r="A12" s="815">
        <v>6</v>
      </c>
      <c r="B12" s="421" t="s">
        <v>208</v>
      </c>
      <c r="C12" s="310" t="str">
        <f>_xlfn.CONCAT(AutoPop!B79,AutoPop!C75)</f>
        <v>Enter-PSSession -ComputerName 0.sydney.planviewcloud.net</v>
      </c>
      <c r="D12" s="819"/>
      <c r="E12" s="777"/>
    </row>
    <row r="13" spans="1:5">
      <c r="A13" s="816"/>
      <c r="B13" s="326"/>
      <c r="C13" s="53" t="str">
        <f>_xlfn.CONCAT(AutoPop!B90 &amp; " " &amp; AutoPop!C91 &amp; " " &amp; AutoPop!D90)</f>
        <v>NET Stop PVAccessManager</v>
      </c>
      <c r="D13" s="837"/>
      <c r="E13" s="782"/>
    </row>
    <row r="14" spans="1:5">
      <c r="A14" s="816"/>
      <c r="B14" s="326"/>
      <c r="C14" s="249" t="str">
        <f>_xlfn.CONCAT(AutoPop!B90 &amp; " " &amp; AutoPop!C91 &amp; " " &amp; AutoPop!D91)</f>
        <v>NET Stop PlanviewAdminService</v>
      </c>
      <c r="D14" s="837"/>
      <c r="E14" s="782"/>
    </row>
    <row r="15" spans="1:5">
      <c r="A15" s="816"/>
      <c r="B15" s="326"/>
      <c r="C15" s="44" t="str">
        <f>_xlfn.CONCAT(AutoPop!B90 &amp; " " &amp; AutoPop!C91 &amp; " " &amp; AutoPop!D92)</f>
        <v>NET Stop PVCalendarServer</v>
      </c>
      <c r="D15" s="837"/>
      <c r="E15" s="782"/>
    </row>
    <row r="16" spans="1:5">
      <c r="A16" s="816"/>
      <c r="B16" s="326"/>
      <c r="C16" s="249" t="str">
        <f>_xlfn.CONCAT(AutoPop!B90 &amp; " " &amp; AutoPop!C91 &amp; " " &amp; AutoPop!D93)</f>
        <v>NET Stop "PlanView Content Management Index Manager"</v>
      </c>
      <c r="D16" s="837"/>
      <c r="E16" s="782"/>
    </row>
    <row r="17" spans="1:8">
      <c r="A17" s="816"/>
      <c r="B17" s="326"/>
      <c r="C17" s="44" t="str">
        <f>_xlfn.CONCAT(AutoPop!B90 &amp; " " &amp; AutoPop!C91 &amp; " " &amp; AutoPop!D94)</f>
        <v>NET Stop PlanviewEnterpriseScheduler</v>
      </c>
      <c r="D17" s="837"/>
      <c r="E17" s="782"/>
    </row>
    <row r="18" spans="1:8">
      <c r="A18" s="816"/>
      <c r="B18" s="326"/>
      <c r="C18" s="53" t="str">
        <f>(AutoPop!D101)</f>
        <v>iisreset /stop</v>
      </c>
      <c r="D18" s="837"/>
      <c r="E18" s="782"/>
    </row>
    <row r="19" spans="1:8">
      <c r="A19" s="816"/>
      <c r="B19" s="422"/>
      <c r="C19" s="320" t="s">
        <v>209</v>
      </c>
      <c r="D19" s="820"/>
      <c r="E19" s="778"/>
    </row>
    <row r="20" spans="1:8">
      <c r="A20" s="816"/>
      <c r="B20" s="383"/>
      <c r="C20" s="218" t="str">
        <f>_xlfn.CONCAT(AutoPop!B80,AutoPop!C75)</f>
        <v>Enter-PSSession -ComputerName 0.sydney.planviewcloud.net</v>
      </c>
      <c r="D20" s="824"/>
      <c r="E20" s="779"/>
    </row>
    <row r="21" spans="1:8">
      <c r="A21" s="816"/>
      <c r="B21" s="377"/>
      <c r="C21" s="220" t="str">
        <f>_xlfn.CONCAT(AutoPop!B90 &amp; " " &amp; AutoPop!C91 &amp; " " &amp; AutoPop!D95)</f>
        <v>NET Stop PlanviewEnterpriseJobexecution</v>
      </c>
      <c r="D21" s="824"/>
      <c r="E21" s="780"/>
      <c r="H21" s="8"/>
    </row>
    <row r="22" spans="1:8">
      <c r="A22" s="816"/>
      <c r="B22" s="377"/>
      <c r="C22" s="221" t="str">
        <f>_xlfn.CONCAT(AutoPop!B90 &amp; " " &amp; AutoPop!C91 &amp; " " &amp; AutoPop!D96)</f>
        <v>NET Stop tesegate</v>
      </c>
      <c r="D22" s="824"/>
      <c r="E22" s="780"/>
    </row>
    <row r="23" spans="1:8">
      <c r="A23" s="816"/>
      <c r="B23" s="423"/>
      <c r="C23" s="218" t="s">
        <v>209</v>
      </c>
      <c r="D23" s="825"/>
      <c r="E23" s="781"/>
    </row>
    <row r="24" spans="1:8">
      <c r="A24" s="816"/>
      <c r="B24" s="424" t="str">
        <f>IF('Upgrade Data'!J4="","No Additional Web Servers","")</f>
        <v>No Additional Web Servers</v>
      </c>
      <c r="C24" s="310" t="str">
        <f>IF('Upgrade Data'!B5&lt;=1,"",_xlfn.CONCAT(AutoPop!B78,'Upgrade Data'!J4,AutoPop!C75))</f>
        <v/>
      </c>
      <c r="D24" s="819">
        <f>IF(B24="No Additional Web Servers",1,"")</f>
        <v>1</v>
      </c>
      <c r="E24" s="848" t="str">
        <f>IF(B24="No Additional Web Servers","Automated Complete
no additional web servers","")</f>
        <v>Automated Complete
no additional web servers</v>
      </c>
    </row>
    <row r="25" spans="1:8">
      <c r="A25" s="816"/>
      <c r="B25" s="326"/>
      <c r="C25" s="237" t="str">
        <f>IF(C24="","",C13)</f>
        <v/>
      </c>
      <c r="D25" s="837"/>
      <c r="E25" s="849"/>
    </row>
    <row r="26" spans="1:8" ht="14.25" customHeight="1">
      <c r="A26" s="816"/>
      <c r="B26" s="326"/>
      <c r="C26" s="238" t="str">
        <f>IF(C24="","",C14)</f>
        <v/>
      </c>
      <c r="D26" s="837"/>
      <c r="E26" s="849"/>
    </row>
    <row r="27" spans="1:8" ht="14.25" customHeight="1">
      <c r="A27" s="816"/>
      <c r="B27" s="326"/>
      <c r="C27" s="236" t="str">
        <f>IF(C24="","",C15)</f>
        <v/>
      </c>
      <c r="D27" s="837"/>
      <c r="E27" s="849"/>
    </row>
    <row r="28" spans="1:8" ht="14.25" customHeight="1">
      <c r="A28" s="816"/>
      <c r="B28" s="326"/>
      <c r="C28" s="238" t="str">
        <f>IF(C24="","",C16)</f>
        <v/>
      </c>
      <c r="D28" s="837"/>
      <c r="E28" s="849"/>
    </row>
    <row r="29" spans="1:8" ht="14.25" customHeight="1">
      <c r="A29" s="816"/>
      <c r="B29" s="326"/>
      <c r="C29" s="236" t="str">
        <f>IF(C24="","",C17)</f>
        <v/>
      </c>
      <c r="D29" s="837"/>
      <c r="E29" s="849"/>
    </row>
    <row r="30" spans="1:8" ht="14.25" customHeight="1">
      <c r="A30" s="816"/>
      <c r="B30" s="326"/>
      <c r="C30" s="238" t="str">
        <f t="shared" ref="C30" si="0">IF(C29="","",C18)</f>
        <v/>
      </c>
      <c r="D30" s="837"/>
      <c r="E30" s="849"/>
    </row>
    <row r="31" spans="1:8" ht="14.25" customHeight="1">
      <c r="A31" s="816"/>
      <c r="B31" s="422"/>
      <c r="C31" s="235" t="str">
        <f>IF(C24="","",C19)</f>
        <v/>
      </c>
      <c r="D31" s="820"/>
      <c r="E31" s="850"/>
    </row>
    <row r="32" spans="1:8" ht="14.25" customHeight="1">
      <c r="A32" s="816"/>
      <c r="B32" s="329" t="str">
        <f>IF('Upgrade Data'!J5="","No Additional Web Servers","")</f>
        <v>No Additional Web Servers</v>
      </c>
      <c r="C32" s="250" t="str">
        <f>IF('Upgrade Data'!B5&lt;=2,"",_xlfn.CONCAT(AutoPop!B78,'Upgrade Data'!J5,AutoPop!C75))</f>
        <v/>
      </c>
      <c r="D32" s="823">
        <f>IF(B32="No Additional Web Servers",1,"")</f>
        <v>1</v>
      </c>
      <c r="E32" s="861" t="str">
        <f>IF(B32="No Additional Web Servers","Automated Complete
no additional web servers","")</f>
        <v>Automated Complete
no additional web servers</v>
      </c>
    </row>
    <row r="33" spans="1:5" ht="14.25" customHeight="1">
      <c r="A33" s="816"/>
      <c r="B33" s="377"/>
      <c r="C33" s="259" t="str">
        <f>IF(C32="","",C13)</f>
        <v/>
      </c>
      <c r="D33" s="824"/>
      <c r="E33" s="859"/>
    </row>
    <row r="34" spans="1:5">
      <c r="A34" s="816"/>
      <c r="B34" s="377"/>
      <c r="C34" s="223" t="str">
        <f>IF(C32="","",C14)</f>
        <v/>
      </c>
      <c r="D34" s="824"/>
      <c r="E34" s="859"/>
    </row>
    <row r="35" spans="1:5">
      <c r="A35" s="816"/>
      <c r="B35" s="377"/>
      <c r="C35" s="223" t="str">
        <f>IF(C32="","",C15)</f>
        <v/>
      </c>
      <c r="D35" s="824"/>
      <c r="E35" s="859"/>
    </row>
    <row r="36" spans="1:5">
      <c r="A36" s="816"/>
      <c r="B36" s="377"/>
      <c r="C36" s="217" t="str">
        <f>IF(C32="","",C16)</f>
        <v/>
      </c>
      <c r="D36" s="824"/>
      <c r="E36" s="859"/>
    </row>
    <row r="37" spans="1:5">
      <c r="A37" s="816"/>
      <c r="B37" s="377"/>
      <c r="C37" s="259" t="str">
        <f>IF(C32="","",C17)</f>
        <v/>
      </c>
      <c r="D37" s="824"/>
      <c r="E37" s="859"/>
    </row>
    <row r="38" spans="1:5">
      <c r="A38" s="816"/>
      <c r="B38" s="377"/>
      <c r="C38" s="259" t="str">
        <f>IF(C32="","",C18)</f>
        <v/>
      </c>
      <c r="D38" s="824"/>
      <c r="E38" s="859"/>
    </row>
    <row r="39" spans="1:5">
      <c r="A39" s="816"/>
      <c r="B39" s="423"/>
      <c r="C39" s="229" t="str">
        <f>IF(C32="","",C19)</f>
        <v/>
      </c>
      <c r="D39" s="825"/>
      <c r="E39" s="860"/>
    </row>
    <row r="40" spans="1:5">
      <c r="A40" s="816"/>
      <c r="B40" s="424" t="str">
        <f>IF('Upgrade Data'!J6="","No Additional Web Servers","")</f>
        <v>No Additional Web Servers</v>
      </c>
      <c r="C40" s="310" t="str">
        <f>IF('Upgrade Data'!B5&lt;=3,"",_xlfn.CONCAT(AutoPop!B78,'Upgrade Data'!J6,AutoPop!C75))</f>
        <v/>
      </c>
      <c r="D40" s="819">
        <f>IF(B40="No Additional Web Servers",1,"")</f>
        <v>1</v>
      </c>
      <c r="E40" s="848" t="str">
        <f>IF(B40="No Additional Web Servers","Automated Complete
no additional web servers","")</f>
        <v>Automated Complete
no additional web servers</v>
      </c>
    </row>
    <row r="41" spans="1:5">
      <c r="A41" s="816"/>
      <c r="B41" s="326"/>
      <c r="C41" s="237" t="str">
        <f>IF(C40="","",C13)</f>
        <v/>
      </c>
      <c r="D41" s="837"/>
      <c r="E41" s="849"/>
    </row>
    <row r="42" spans="1:5">
      <c r="A42" s="816"/>
      <c r="B42" s="326"/>
      <c r="C42" s="237" t="str">
        <f>IF(C40="","",C14)</f>
        <v/>
      </c>
      <c r="D42" s="837"/>
      <c r="E42" s="849"/>
    </row>
    <row r="43" spans="1:5">
      <c r="A43" s="816"/>
      <c r="B43" s="326"/>
      <c r="C43" s="238" t="str">
        <f>IF(C40="","",C15)</f>
        <v/>
      </c>
      <c r="D43" s="837"/>
      <c r="E43" s="849"/>
    </row>
    <row r="44" spans="1:5">
      <c r="A44" s="816"/>
      <c r="B44" s="326"/>
      <c r="C44" s="238" t="str">
        <f>IF(C40="","",C16)</f>
        <v/>
      </c>
      <c r="D44" s="837"/>
      <c r="E44" s="849"/>
    </row>
    <row r="45" spans="1:5">
      <c r="A45" s="816"/>
      <c r="B45" s="326"/>
      <c r="C45" s="236" t="str">
        <f>IF(C40="","",C17)</f>
        <v/>
      </c>
      <c r="D45" s="837"/>
      <c r="E45" s="849"/>
    </row>
    <row r="46" spans="1:5">
      <c r="A46" s="816"/>
      <c r="B46" s="326"/>
      <c r="C46" s="238" t="str">
        <f>IF(C40="","",C18)</f>
        <v/>
      </c>
      <c r="D46" s="837"/>
      <c r="E46" s="849"/>
    </row>
    <row r="47" spans="1:5">
      <c r="A47" s="816"/>
      <c r="B47" s="422"/>
      <c r="C47" s="386" t="str">
        <f>IF(C40="","",C19)</f>
        <v/>
      </c>
      <c r="D47" s="820"/>
      <c r="E47" s="850"/>
    </row>
    <row r="48" spans="1:5">
      <c r="A48" s="816"/>
      <c r="B48" s="425" t="str">
        <f>IF('Upgrade Data'!J7="","No Additional Web Servers","")</f>
        <v>No Additional Web Servers</v>
      </c>
      <c r="C48" s="252" t="str">
        <f>IF('Upgrade Data'!B5&lt;=4,"",_xlfn.CONCAT(AutoPop!B78,'Upgrade Data'!J7,AutoPop!C75))</f>
        <v/>
      </c>
      <c r="D48" s="823">
        <f>IF(B48="No Additional Web Servers",1,"")</f>
        <v>1</v>
      </c>
      <c r="E48" s="861" t="str">
        <f>IF(B48="No Additional Web Servers","Automated Complete
no additional web servers","")</f>
        <v>Automated Complete
no additional web servers</v>
      </c>
    </row>
    <row r="49" spans="1:5">
      <c r="A49" s="816"/>
      <c r="B49" s="426"/>
      <c r="C49" s="222" t="str">
        <f>IF(C48="","",C13)</f>
        <v/>
      </c>
      <c r="D49" s="824"/>
      <c r="E49" s="859"/>
    </row>
    <row r="50" spans="1:5">
      <c r="A50" s="816"/>
      <c r="B50" s="426"/>
      <c r="C50" s="221" t="str">
        <f>IF(C48="","",C14)</f>
        <v/>
      </c>
      <c r="D50" s="824"/>
      <c r="E50" s="859"/>
    </row>
    <row r="51" spans="1:5">
      <c r="A51" s="816"/>
      <c r="B51" s="426"/>
      <c r="C51" s="221" t="str">
        <f>IF(C48="","",C15)</f>
        <v/>
      </c>
      <c r="D51" s="824"/>
      <c r="E51" s="859"/>
    </row>
    <row r="52" spans="1:5">
      <c r="A52" s="816"/>
      <c r="B52" s="426"/>
      <c r="C52" s="221" t="str">
        <f>IF(C48="","",C16)</f>
        <v/>
      </c>
      <c r="D52" s="824"/>
      <c r="E52" s="859"/>
    </row>
    <row r="53" spans="1:5">
      <c r="A53" s="816"/>
      <c r="B53" s="426"/>
      <c r="C53" s="222" t="str">
        <f>IF(C48="","",C17)</f>
        <v/>
      </c>
      <c r="D53" s="824"/>
      <c r="E53" s="859"/>
    </row>
    <row r="54" spans="1:5">
      <c r="A54" s="816"/>
      <c r="B54" s="426"/>
      <c r="C54" s="221" t="str">
        <f>IF(C48="","",C18)</f>
        <v/>
      </c>
      <c r="D54" s="824"/>
      <c r="E54" s="859"/>
    </row>
    <row r="55" spans="1:5">
      <c r="A55" s="817"/>
      <c r="B55" s="427"/>
      <c r="C55" s="251" t="str">
        <f>IF(C48="","",C19)</f>
        <v/>
      </c>
      <c r="D55" s="825"/>
      <c r="E55" s="860"/>
    </row>
    <row r="56" spans="1:5">
      <c r="A56" s="813">
        <v>7</v>
      </c>
      <c r="B56" s="389" t="s">
        <v>210</v>
      </c>
      <c r="C56" s="417" t="str">
        <f>(Other!D9)</f>
        <v xml:space="preserve">DECLARE @name VARCHAR(50) -- database name  </v>
      </c>
      <c r="D56" s="823"/>
      <c r="E56" s="855"/>
    </row>
    <row r="57" spans="1:5">
      <c r="A57" s="814"/>
      <c r="B57" s="387"/>
      <c r="C57" s="418" t="str">
        <f>(Other!D10)</f>
        <v xml:space="preserve">DECLARE @path VARCHAR(256) -- path for backup files  </v>
      </c>
      <c r="D57" s="824"/>
      <c r="E57" s="856"/>
    </row>
    <row r="58" spans="1:5">
      <c r="A58" s="814"/>
      <c r="B58" s="387"/>
      <c r="C58" s="418" t="str">
        <f>(Other!D11)</f>
        <v xml:space="preserve">DECLARE @fileName VARCHAR(256) -- filename for backup  </v>
      </c>
      <c r="D58" s="824"/>
      <c r="E58" s="856"/>
    </row>
    <row r="59" spans="1:5">
      <c r="A59" s="814"/>
      <c r="B59" s="387"/>
      <c r="C59" s="419" t="str">
        <f>(Other!D12)</f>
        <v>DECLARE @fileDate VARCHAR(20) -- used for file name</v>
      </c>
      <c r="D59" s="824"/>
      <c r="E59" s="856"/>
    </row>
    <row r="60" spans="1:5">
      <c r="A60" s="814"/>
      <c r="B60" s="387"/>
      <c r="C60" s="418" t="str">
        <f>(Other!D13)</f>
        <v>-- specify database backup directory</v>
      </c>
      <c r="D60" s="824"/>
      <c r="E60" s="856"/>
    </row>
    <row r="61" spans="1:5">
      <c r="A61" s="814"/>
      <c r="B61" s="387"/>
      <c r="C61" s="419" t="str">
        <f>(Other!D14)</f>
        <v xml:space="preserve">SET @path = 'F:\SQLBackup\'  </v>
      </c>
      <c r="D61" s="824"/>
      <c r="E61" s="856"/>
    </row>
    <row r="62" spans="1:5">
      <c r="A62" s="814"/>
      <c r="B62" s="387"/>
      <c r="C62" s="417" t="str">
        <f>(Other!D15)</f>
        <v>-- specify filename format</v>
      </c>
      <c r="D62" s="824"/>
      <c r="E62" s="856"/>
    </row>
    <row r="63" spans="1:5">
      <c r="A63" s="814"/>
      <c r="B63" s="387"/>
      <c r="C63" s="419" t="str">
        <f>(Other!D16)</f>
        <v>SELECT @fileDate = CONVERT(VARCHAR(20),GETDATE(),112) + REPLACE(CONVERT(VARCHAR(20),GETDATE(),108),':','')</v>
      </c>
      <c r="D63" s="824"/>
      <c r="E63" s="856"/>
    </row>
    <row r="64" spans="1:5">
      <c r="A64" s="814"/>
      <c r="B64" s="387"/>
      <c r="C64" s="417" t="str">
        <f>(Other!D17)</f>
        <v xml:space="preserve">DECLARE db_cursor CURSOR READ_ONLY FOR  </v>
      </c>
      <c r="D64" s="824"/>
      <c r="E64" s="856"/>
    </row>
    <row r="65" spans="1:5">
      <c r="A65" s="814"/>
      <c r="B65" s="387"/>
      <c r="C65" s="418" t="str">
        <f>(Other!D18)</f>
        <v>SELECT name</v>
      </c>
      <c r="D65" s="824"/>
      <c r="E65" s="856"/>
    </row>
    <row r="66" spans="1:5">
      <c r="A66" s="814"/>
      <c r="B66" s="387"/>
      <c r="C66" s="419" t="str">
        <f>(Other!D19)</f>
        <v>FROM master.dbo.sysdatabases</v>
      </c>
      <c r="D66" s="824"/>
      <c r="E66" s="856"/>
    </row>
    <row r="67" spans="1:5">
      <c r="A67" s="814"/>
      <c r="B67" s="387"/>
      <c r="C67" s="417" t="str">
        <f>(Other!D20)</f>
        <v xml:space="preserve"> WHERE name NOT IN ('master','model','msdb','tempdb')  -- exclude these databases</v>
      </c>
      <c r="D67" s="824"/>
      <c r="E67" s="856"/>
    </row>
    <row r="68" spans="1:5">
      <c r="A68" s="814"/>
      <c r="B68" s="387"/>
      <c r="C68" s="419" t="str">
        <f>(Other!D21)</f>
        <v xml:space="preserve">OPEN db_cursor   </v>
      </c>
      <c r="D68" s="824"/>
      <c r="E68" s="856"/>
    </row>
    <row r="69" spans="1:5">
      <c r="A69" s="814"/>
      <c r="B69" s="387"/>
      <c r="C69" s="417" t="str">
        <f>(Other!D22)</f>
        <v xml:space="preserve">FETCH NEXT FROM db_cursor INTO @name   </v>
      </c>
      <c r="D69" s="824"/>
      <c r="E69" s="856"/>
    </row>
    <row r="70" spans="1:5">
      <c r="A70" s="814"/>
      <c r="B70" s="387"/>
      <c r="C70" s="419" t="str">
        <f>(Other!D23)</f>
        <v xml:space="preserve">WHILE @@FETCH_STATUS = 0   </v>
      </c>
      <c r="D70" s="824"/>
      <c r="E70" s="856"/>
    </row>
    <row r="71" spans="1:5">
      <c r="A71" s="814"/>
      <c r="B71" s="387"/>
      <c r="C71" s="417" t="str">
        <f>(Other!D24)</f>
        <v xml:space="preserve">BEGIN   </v>
      </c>
      <c r="D71" s="824"/>
      <c r="E71" s="856"/>
    </row>
    <row r="72" spans="1:5">
      <c r="A72" s="814"/>
      <c r="B72" s="387"/>
      <c r="C72" s="418" t="str">
        <f>(Other!D25)</f>
        <v xml:space="preserve">   SET @fileName = @path + @name + '_' + @fileDate + '.BAK'  </v>
      </c>
      <c r="D72" s="824"/>
      <c r="E72" s="856"/>
    </row>
    <row r="73" spans="1:5">
      <c r="A73" s="814"/>
      <c r="B73" s="387"/>
      <c r="C73" s="419" t="str">
        <f>(Other!D26)</f>
        <v xml:space="preserve">   BACKUP DATABASE @name TO DISK = @fileName with compression</v>
      </c>
      <c r="D73" s="824"/>
      <c r="E73" s="856"/>
    </row>
    <row r="74" spans="1:5">
      <c r="A74" s="814"/>
      <c r="B74" s="387"/>
      <c r="C74" s="419" t="str">
        <f>(Other!D27)</f>
        <v xml:space="preserve">   FETCH NEXT FROM db_cursor INTO @name   </v>
      </c>
      <c r="D74" s="824"/>
      <c r="E74" s="856"/>
    </row>
    <row r="75" spans="1:5">
      <c r="A75" s="814"/>
      <c r="B75" s="387"/>
      <c r="C75" s="417" t="str">
        <f>(Other!D28)</f>
        <v xml:space="preserve">END   </v>
      </c>
      <c r="D75" s="824"/>
      <c r="E75" s="856"/>
    </row>
    <row r="76" spans="1:5">
      <c r="A76" s="814"/>
      <c r="B76" s="387"/>
      <c r="C76" s="419" t="str">
        <f>(Other!D29)</f>
        <v xml:space="preserve">CLOSE db_cursor   </v>
      </c>
      <c r="D76" s="824"/>
      <c r="E76" s="856"/>
    </row>
    <row r="77" spans="1:5">
      <c r="A77" s="829"/>
      <c r="B77" s="387"/>
      <c r="C77" s="388" t="str">
        <f>(Other!D30)</f>
        <v>DEALLOCATE db_cursor</v>
      </c>
      <c r="D77" s="825"/>
      <c r="E77" s="857"/>
    </row>
    <row r="78" spans="1:5">
      <c r="A78" s="815">
        <v>8</v>
      </c>
      <c r="B78" s="421" t="s">
        <v>211</v>
      </c>
      <c r="C78" s="93" t="s">
        <v>212</v>
      </c>
      <c r="D78" s="819"/>
      <c r="E78" s="777"/>
    </row>
    <row r="79" spans="1:5">
      <c r="A79" s="816"/>
      <c r="B79" s="428" t="s">
        <v>184</v>
      </c>
      <c r="C79" s="98">
        <f>IF(MasterConfig!B19=TRUE,"",'Upgrade Data'!I3)</f>
        <v>0</v>
      </c>
      <c r="D79" s="837"/>
      <c r="E79" s="782"/>
    </row>
    <row r="80" spans="1:5">
      <c r="A80" s="816"/>
      <c r="B80" s="448" t="s">
        <v>191</v>
      </c>
      <c r="C80" s="95" t="str">
        <f>IF(C79="","",C101)</f>
        <v>0prodswarm</v>
      </c>
      <c r="D80" s="837"/>
      <c r="E80" s="782"/>
    </row>
    <row r="81" spans="1:5">
      <c r="A81" s="816"/>
      <c r="B81" s="329" t="s">
        <v>184</v>
      </c>
      <c r="C81" s="109">
        <f>('Upgrade Data'!I4)</f>
        <v>0</v>
      </c>
      <c r="D81" s="823"/>
      <c r="E81" s="779"/>
    </row>
    <row r="82" spans="1:5">
      <c r="A82" s="816"/>
      <c r="B82" s="330" t="s">
        <v>191</v>
      </c>
      <c r="C82" s="224" t="str">
        <f>IF(C21="","",C101)</f>
        <v>0prodswarm</v>
      </c>
      <c r="D82" s="825"/>
      <c r="E82" s="781"/>
    </row>
    <row r="83" spans="1:5">
      <c r="A83" s="816"/>
      <c r="B83" s="424" t="s">
        <v>184</v>
      </c>
      <c r="C83" s="213">
        <f>('Upgrade Data'!I5)</f>
        <v>0</v>
      </c>
      <c r="D83" s="837"/>
      <c r="E83" s="777"/>
    </row>
    <row r="84" spans="1:5">
      <c r="A84" s="816"/>
      <c r="B84" s="448" t="s">
        <v>191</v>
      </c>
      <c r="C84" s="94" t="str">
        <f>IF(C21="","",C101)</f>
        <v>0prodswarm</v>
      </c>
      <c r="D84" s="837"/>
      <c r="E84" s="778"/>
    </row>
    <row r="85" spans="1:5">
      <c r="A85" s="816"/>
      <c r="B85" s="329" t="s">
        <v>184</v>
      </c>
      <c r="C85" s="109">
        <f>('Upgrade Data'!I6)</f>
        <v>0</v>
      </c>
      <c r="D85" s="823"/>
      <c r="E85" s="779"/>
    </row>
    <row r="86" spans="1:5">
      <c r="A86" s="816"/>
      <c r="B86" s="330" t="s">
        <v>191</v>
      </c>
      <c r="C86" s="224" t="str">
        <f>IF(C21="","",C101)</f>
        <v>0prodswarm</v>
      </c>
      <c r="D86" s="825"/>
      <c r="E86" s="781"/>
    </row>
    <row r="87" spans="1:5">
      <c r="A87" s="816"/>
      <c r="B87" s="428" t="str">
        <f>IF('Upgrade Data'!J4="","No Additional Web Servers","TARGET_SERVER_NAME")</f>
        <v>No Additional Web Servers</v>
      </c>
      <c r="C87" s="95" t="str">
        <f>IF('Upgrade Data'!B5&lt;=1,"",'Upgrade Data'!J4)</f>
        <v/>
      </c>
      <c r="D87" s="819">
        <f>IF(B87="No Additional Web Servers",1,"")</f>
        <v>1</v>
      </c>
      <c r="E87" s="848" t="str">
        <f>IF(B87="No Additional Web Servers","Automated Complete
no additional web servers","")</f>
        <v>Automated Complete
no additional web servers</v>
      </c>
    </row>
    <row r="88" spans="1:5">
      <c r="A88" s="816"/>
      <c r="B88" s="428" t="str">
        <f>IF('Upgrade Data'!J4="","","NODE_LABEL")</f>
        <v/>
      </c>
      <c r="C88" s="95" t="str">
        <f>IF('Upgrade Data'!B5&lt;=1,"",C101)</f>
        <v/>
      </c>
      <c r="D88" s="820"/>
      <c r="E88" s="850"/>
    </row>
    <row r="89" spans="1:5" ht="15" customHeight="1">
      <c r="A89" s="816"/>
      <c r="B89" s="329" t="str">
        <f>IF('Upgrade Data'!J5="","No Additional Web Servers","TARGET_SERVER_NAME")</f>
        <v>No Additional Web Servers</v>
      </c>
      <c r="C89" s="226" t="str">
        <f>IF('Upgrade Data'!B5&lt;=2,"",'Upgrade Data'!J5)</f>
        <v/>
      </c>
      <c r="D89" s="823">
        <f>IF(B89="No Additional Web Servers",1,"")</f>
        <v>1</v>
      </c>
      <c r="E89" s="861" t="str">
        <f>IF(B89="No Additional Web Servers","Automated Complete
no additional web servers","")</f>
        <v>Automated Complete
no additional web servers</v>
      </c>
    </row>
    <row r="90" spans="1:5">
      <c r="A90" s="816"/>
      <c r="B90" s="330" t="str">
        <f>IF('Upgrade Data'!J5="","","NODE_LABEL")</f>
        <v/>
      </c>
      <c r="C90" s="110" t="str">
        <f>IF('Upgrade Data'!B5&lt;=2,"",C101)</f>
        <v/>
      </c>
      <c r="D90" s="825"/>
      <c r="E90" s="860"/>
    </row>
    <row r="91" spans="1:5">
      <c r="A91" s="816"/>
      <c r="B91" s="428" t="str">
        <f>IF('Upgrade Data'!J6="","No Additional Web Servers","TARGET_SERVER_NAME")</f>
        <v>No Additional Web Servers</v>
      </c>
      <c r="C91" s="95" t="str">
        <f>IF('Upgrade Data'!B5&lt;=3,"",'Upgrade Data'!J6)</f>
        <v/>
      </c>
      <c r="D91" s="819">
        <f>IF(B91="No Additional Web Servers",1,"")</f>
        <v>1</v>
      </c>
      <c r="E91" s="848" t="str">
        <f>IF(B91="No Additional Web Servers","Automated Complete
no additional web servers","")</f>
        <v>Automated Complete
no additional web servers</v>
      </c>
    </row>
    <row r="92" spans="1:5">
      <c r="A92" s="816"/>
      <c r="B92" s="428" t="str">
        <f>IF('Upgrade Data'!J6="","","NODE_LABEL")</f>
        <v/>
      </c>
      <c r="C92" s="95" t="str">
        <f>IF('Upgrade Data'!B5&lt;=3,"",C101)</f>
        <v/>
      </c>
      <c r="D92" s="820"/>
      <c r="E92" s="850"/>
    </row>
    <row r="93" spans="1:5">
      <c r="A93" s="816"/>
      <c r="B93" s="350" t="str">
        <f>IF('Upgrade Data'!J7="","No Additional Web Servers","TARGET_SERVER_NAME")</f>
        <v>No Additional Web Servers</v>
      </c>
      <c r="C93" s="226" t="str">
        <f>IF('Upgrade Data'!B5&lt;=4,"",'Upgrade Data'!J7)</f>
        <v/>
      </c>
      <c r="D93" s="823">
        <f>IF(B93="No Additional Web Servers",1,"")</f>
        <v>1</v>
      </c>
      <c r="E93" s="861" t="str">
        <f>IF(B93="No Additional Web Servers","Automated Complete
no additional web servers","")</f>
        <v>Automated Complete
no additional web servers</v>
      </c>
    </row>
    <row r="94" spans="1:5">
      <c r="A94" s="817"/>
      <c r="B94" s="330" t="str">
        <f>IF('Upgrade Data'!J7="","","NODE_LABEL")</f>
        <v/>
      </c>
      <c r="C94" s="110" t="str">
        <f>IF('Upgrade Data'!B5&lt;=4,"",C101)</f>
        <v/>
      </c>
      <c r="D94" s="825"/>
      <c r="E94" s="860"/>
    </row>
    <row r="95" spans="1:5" ht="30">
      <c r="A95" s="769">
        <v>9</v>
      </c>
      <c r="B95" s="429" t="str">
        <f>IF('Upgrade Data'!C54=TRUE, "Uninstall Open Suite","Skip this step, no Open Suite")</f>
        <v>Skip this step, no Open Suite</v>
      </c>
      <c r="C95" s="118" t="str">
        <f>IF('Upgrade Data'!C54=TRUE,'Upgrade Data'!I4,"")</f>
        <v/>
      </c>
      <c r="D95" s="775">
        <f>IF(B95="Skip this step, no Open Suite",1,"")</f>
        <v>1</v>
      </c>
      <c r="E95" s="784" t="str">
        <f>IF(B95="Skip this step, no Open Suite","Automated Complete 
No Open Suite","")</f>
        <v>Automated Complete 
No Open Suite</v>
      </c>
    </row>
    <row r="96" spans="1:5">
      <c r="A96" s="815">
        <v>10</v>
      </c>
      <c r="B96" s="310" t="s">
        <v>242</v>
      </c>
      <c r="C96" s="93" t="s">
        <v>214</v>
      </c>
      <c r="D96" s="819"/>
      <c r="E96" s="848"/>
    </row>
    <row r="97" spans="1:5">
      <c r="A97" s="816"/>
      <c r="B97" s="430" t="s">
        <v>184</v>
      </c>
      <c r="C97" s="114">
        <f>('Upgrade Data'!I4)</f>
        <v>0</v>
      </c>
      <c r="D97" s="837"/>
      <c r="E97" s="849"/>
    </row>
    <row r="98" spans="1:5">
      <c r="A98" s="816"/>
      <c r="B98" s="331" t="s">
        <v>189</v>
      </c>
      <c r="C98" s="97">
        <f>('Upgrade Data'!F6)</f>
        <v>0</v>
      </c>
      <c r="D98" s="837"/>
      <c r="E98" s="849"/>
    </row>
    <row r="99" spans="1:5">
      <c r="A99" s="816"/>
      <c r="B99" s="331" t="s">
        <v>188</v>
      </c>
      <c r="C99" s="98">
        <f>('Upgrade Data'!F4)</f>
        <v>0</v>
      </c>
      <c r="D99" s="837"/>
      <c r="E99" s="849"/>
    </row>
    <row r="100" spans="1:5">
      <c r="A100" s="816"/>
      <c r="B100" s="331" t="s">
        <v>190</v>
      </c>
      <c r="C100" s="59" t="b">
        <v>1</v>
      </c>
      <c r="D100" s="837"/>
      <c r="E100" s="849"/>
    </row>
    <row r="101" spans="1:5" ht="15" customHeight="1">
      <c r="A101" s="817"/>
      <c r="B101" s="431" t="s">
        <v>191</v>
      </c>
      <c r="C101" s="115" t="str">
        <f>_xlfn.CONCAT('Upgrade Data'!F5,AutoPop!B111)</f>
        <v>0prodswarm</v>
      </c>
      <c r="D101" s="820"/>
      <c r="E101" s="850"/>
    </row>
    <row r="102" spans="1:5">
      <c r="A102" s="813">
        <v>11</v>
      </c>
      <c r="B102" s="190" t="str">
        <f>IF(MasterConfig!B19=TRUE,"No Web Servers","Run Jenkins job to upgrade the following additional servers; Web(s)")</f>
        <v>Run Jenkins job to upgrade the following additional servers; Web(s)</v>
      </c>
      <c r="C102" s="202" t="str">
        <f>IF(MasterConfig!B19=TRUE,"","https://jenkins.planviewcloud.net/job/e1_upgrade_pipe/build?delay=0sec")</f>
        <v>https://jenkins.planviewcloud.net/job/e1_upgrade_pipe/build?delay=0sec</v>
      </c>
      <c r="D102" s="823" t="str">
        <f>IF(B102="No Web Servers",1,"")</f>
        <v/>
      </c>
      <c r="E102" s="855" t="s">
        <v>243</v>
      </c>
    </row>
    <row r="103" spans="1:5">
      <c r="A103" s="814"/>
      <c r="B103" s="309" t="str">
        <f>IF(MasterConfig!B19=TRUE,"","TARGET_SERVER_NAME")</f>
        <v>TARGET_SERVER_NAME</v>
      </c>
      <c r="C103" s="211">
        <f>IF(MasterConfig!B19=TRUE,"",'Upgrade Data'!I3)</f>
        <v>0</v>
      </c>
      <c r="D103" s="824"/>
      <c r="E103" s="856"/>
    </row>
    <row r="104" spans="1:5">
      <c r="A104" s="814"/>
      <c r="B104" s="307" t="str">
        <f>IF(MasterConfig!B19=TRUE,"","CUSTOMER_CODE")</f>
        <v>CUSTOMER_CODE</v>
      </c>
      <c r="C104" s="118">
        <f>IF(MasterConfig!B19=TRUE,"",C98)</f>
        <v>0</v>
      </c>
      <c r="D104" s="824"/>
      <c r="E104" s="856"/>
    </row>
    <row r="105" spans="1:5">
      <c r="A105" s="814"/>
      <c r="B105" s="307" t="str">
        <f>IF(MasterConfig!B19=TRUE,"","DNS_HOST_NAME")</f>
        <v>DNS_HOST_NAME</v>
      </c>
      <c r="C105" s="211">
        <f>IF(MasterConfig!B19=TRUE,"",C99)</f>
        <v>0</v>
      </c>
      <c r="D105" s="824"/>
      <c r="E105" s="856"/>
    </row>
    <row r="106" spans="1:5">
      <c r="A106" s="814"/>
      <c r="B106" s="307" t="str">
        <f>IF(MasterConfig!B19=TRUE,"","SKIP_SNAPS")</f>
        <v>SKIP_SNAPS</v>
      </c>
      <c r="C106" s="118" t="b">
        <f>IF(MasterConfig!B19=TRUE,"",C100)</f>
        <v>1</v>
      </c>
      <c r="D106" s="824"/>
      <c r="E106" s="856"/>
    </row>
    <row r="107" spans="1:5">
      <c r="A107" s="814"/>
      <c r="B107" s="301" t="str">
        <f>IF(MasterConfig!B19=TRUE,"","NODE_LABEL")</f>
        <v>NODE_LABEL</v>
      </c>
      <c r="C107" s="120" t="str">
        <f>IF(MasterConfig!B19=TRUE,"",C101)</f>
        <v>0prodswarm</v>
      </c>
      <c r="D107" s="825"/>
      <c r="E107" s="857"/>
    </row>
    <row r="108" spans="1:5">
      <c r="A108" s="814"/>
      <c r="B108" s="432" t="str">
        <f>IF(C24="","No Additional Web Servers","TARGET_SERVER_NAME")</f>
        <v>No Additional Web Servers</v>
      </c>
      <c r="C108" s="109" t="str">
        <f>IF(C24="","",'Upgrade Data'!J4)</f>
        <v/>
      </c>
      <c r="D108" s="819">
        <f>IF(B108="No Additional Web Servers",1,"")</f>
        <v>1</v>
      </c>
      <c r="E108" s="855" t="str">
        <f>IF(B108="No Additional Web Servers","Automated Complete
no additional web servers","")</f>
        <v>Automated Complete
no additional web servers</v>
      </c>
    </row>
    <row r="109" spans="1:5">
      <c r="A109" s="814"/>
      <c r="B109" s="433" t="str">
        <f>IF(C24="","","CUSTOMER_CODE")</f>
        <v/>
      </c>
      <c r="C109" s="101" t="str">
        <f>IF(C24="","",C98)</f>
        <v/>
      </c>
      <c r="D109" s="837"/>
      <c r="E109" s="856"/>
    </row>
    <row r="110" spans="1:5">
      <c r="A110" s="814"/>
      <c r="B110" s="434" t="str">
        <f>IF(C24="","","DNS_HOST_NAME")</f>
        <v/>
      </c>
      <c r="C110" s="100" t="str">
        <f>IF(C24="","",C99)</f>
        <v/>
      </c>
      <c r="D110" s="837"/>
      <c r="E110" s="856"/>
    </row>
    <row r="111" spans="1:5">
      <c r="A111" s="814"/>
      <c r="B111" s="433" t="str">
        <f>IF(C24="","","SQL_SERVER_NAME")</f>
        <v/>
      </c>
      <c r="C111" s="228" t="str">
        <f>IF(C24="","",'Upgrade Data'!I5)</f>
        <v/>
      </c>
      <c r="D111" s="837"/>
      <c r="E111" s="856"/>
    </row>
    <row r="112" spans="1:5">
      <c r="A112" s="814"/>
      <c r="B112" s="434" t="str">
        <f>IF(C24="","","SAS_SERVER_NAME")</f>
        <v/>
      </c>
      <c r="C112" s="228" t="str">
        <f>IF(C24="","",'Upgrade Data'!I5)</f>
        <v/>
      </c>
      <c r="D112" s="837"/>
      <c r="E112" s="856"/>
    </row>
    <row r="113" spans="1:5">
      <c r="A113" s="814"/>
      <c r="B113" s="435" t="str">
        <f>IF(C24="","","SKIP_SNAPS")</f>
        <v/>
      </c>
      <c r="C113" s="99" t="str">
        <f>IF(C24="","",C100)</f>
        <v/>
      </c>
      <c r="D113" s="837"/>
      <c r="E113" s="856"/>
    </row>
    <row r="114" spans="1:5">
      <c r="A114" s="814"/>
      <c r="B114" s="436" t="str">
        <f>IF(C24="","","NODE_LABEL")</f>
        <v/>
      </c>
      <c r="C114" s="99" t="str">
        <f>IF(C24="","",C101)</f>
        <v/>
      </c>
      <c r="D114" s="820"/>
      <c r="E114" s="857"/>
    </row>
    <row r="115" spans="1:5">
      <c r="A115" s="814"/>
      <c r="B115" s="337" t="str">
        <f>IF(C32="","No Additional Web Servers","TARGET_SERVER_NAME")</f>
        <v>No Additional Web Servers</v>
      </c>
      <c r="C115" s="232" t="str">
        <f>IF(C32="","",'Upgrade Data'!J5)</f>
        <v/>
      </c>
      <c r="D115" s="823">
        <f>IF(B115="No Additional Web Servers",1,"")</f>
        <v>1</v>
      </c>
      <c r="E115" s="855" t="str">
        <f>IF(B115="No Additional Web Servers","Automated Complete
no additional web servers","")</f>
        <v>Automated Complete
no additional web servers</v>
      </c>
    </row>
    <row r="116" spans="1:5">
      <c r="A116" s="814"/>
      <c r="B116" s="340" t="str">
        <f>IF(C32="","","CUSTOMER_CODE")</f>
        <v/>
      </c>
      <c r="C116" s="211" t="str">
        <f>IF(C32="","",C98)</f>
        <v/>
      </c>
      <c r="D116" s="824"/>
      <c r="E116" s="856"/>
    </row>
    <row r="117" spans="1:5">
      <c r="A117" s="814"/>
      <c r="B117" s="338" t="str">
        <f>IF(C32="","","DNS_HOST_NAME")</f>
        <v/>
      </c>
      <c r="C117" s="211" t="str">
        <f>IF(C32="","",C99)</f>
        <v/>
      </c>
      <c r="D117" s="824"/>
      <c r="E117" s="856"/>
    </row>
    <row r="118" spans="1:5">
      <c r="A118" s="814"/>
      <c r="B118" s="338" t="str">
        <f>IF(C32="","","SQL_SERVER_NAME")</f>
        <v/>
      </c>
      <c r="C118" s="240" t="str">
        <f>IF(C32="","",'Upgrade Data'!I5)</f>
        <v/>
      </c>
      <c r="D118" s="824"/>
      <c r="E118" s="856"/>
    </row>
    <row r="119" spans="1:5">
      <c r="A119" s="814"/>
      <c r="B119" s="338" t="str">
        <f>IF(C32="","","SAS_SERVER_NAME")</f>
        <v/>
      </c>
      <c r="C119" s="242" t="str">
        <f>IF(C32="","",'Upgrade Data'!I5)</f>
        <v/>
      </c>
      <c r="D119" s="824"/>
      <c r="E119" s="856"/>
    </row>
    <row r="120" spans="1:5">
      <c r="A120" s="814"/>
      <c r="B120" s="339" t="str">
        <f>IF(C32="","","SKIP_SNAPS")</f>
        <v/>
      </c>
      <c r="C120" s="119" t="str">
        <f>IF(C32="","",C100)</f>
        <v/>
      </c>
      <c r="D120" s="824"/>
      <c r="E120" s="856"/>
    </row>
    <row r="121" spans="1:5">
      <c r="A121" s="814"/>
      <c r="B121" s="341" t="str">
        <f>IF(C32="","","NODE_LABEL")</f>
        <v/>
      </c>
      <c r="C121" s="118" t="str">
        <f>IF(C32="","",C101)</f>
        <v/>
      </c>
      <c r="D121" s="825"/>
      <c r="E121" s="857"/>
    </row>
    <row r="122" spans="1:5">
      <c r="A122" s="814"/>
      <c r="B122" s="342" t="str">
        <f>IF(C40="","No Additional Web Servers","TARGET_SERVER_NAME")</f>
        <v>No Additional Web Servers</v>
      </c>
      <c r="C122" s="109" t="str">
        <f>IF(C40="","",'Upgrade Data'!J6)</f>
        <v/>
      </c>
      <c r="D122" s="819">
        <f>IF(B122="No Additional Web Servers",1,"")</f>
        <v>1</v>
      </c>
      <c r="E122" s="855" t="str">
        <f>IF(B122="No Additional Web Servers","Automated Complete
no additional web servers","")</f>
        <v>Automated Complete
no additional web servers</v>
      </c>
    </row>
    <row r="123" spans="1:5">
      <c r="A123" s="814"/>
      <c r="B123" s="334" t="str">
        <f>IF(C40="","","CUSTOMER_CODE")</f>
        <v/>
      </c>
      <c r="C123" s="101" t="str">
        <f>IF(C40="","",C98)</f>
        <v/>
      </c>
      <c r="D123" s="837"/>
      <c r="E123" s="856"/>
    </row>
    <row r="124" spans="1:5">
      <c r="A124" s="814"/>
      <c r="B124" s="335" t="str">
        <f>IF(C40="","","DNS_HOST_NAME")</f>
        <v/>
      </c>
      <c r="C124" s="101" t="str">
        <f>IF(C40="","",C99)</f>
        <v/>
      </c>
      <c r="D124" s="837"/>
      <c r="E124" s="856"/>
    </row>
    <row r="125" spans="1:5">
      <c r="A125" s="814"/>
      <c r="B125" s="333" t="str">
        <f>IF(C40="","","SQL_SERVER_NAME")</f>
        <v/>
      </c>
      <c r="C125" s="453" t="str">
        <f>IF(C40="","",'Upgrade Data'!I5)</f>
        <v/>
      </c>
      <c r="D125" s="837"/>
      <c r="E125" s="856"/>
    </row>
    <row r="126" spans="1:5">
      <c r="A126" s="814"/>
      <c r="B126" s="334" t="str">
        <f>IF(C40="","","SAS_SERVER_NAME")</f>
        <v/>
      </c>
      <c r="C126" s="225" t="str">
        <f>IF(C40="","",'Upgrade Data'!I5)</f>
        <v/>
      </c>
      <c r="D126" s="837"/>
      <c r="E126" s="856"/>
    </row>
    <row r="127" spans="1:5">
      <c r="A127" s="814"/>
      <c r="B127" s="335" t="str">
        <f>IF(C40="","","SKIP_SNAPS")</f>
        <v/>
      </c>
      <c r="C127" s="100" t="str">
        <f>IF(C40="","",C100)</f>
        <v/>
      </c>
      <c r="D127" s="837"/>
      <c r="E127" s="856"/>
    </row>
    <row r="128" spans="1:5">
      <c r="A128" s="814"/>
      <c r="B128" s="336" t="str">
        <f>IF(C40="","","NODE_LABEL")</f>
        <v/>
      </c>
      <c r="C128" s="99" t="str">
        <f>IF(C40="","",C101)</f>
        <v/>
      </c>
      <c r="D128" s="820"/>
      <c r="E128" s="857"/>
    </row>
    <row r="129" spans="1:5">
      <c r="A129" s="814"/>
      <c r="B129" s="437" t="str">
        <f>IF(C48="","No Additional Web Servers","TARGET_SERVER_NAME")</f>
        <v>No Additional Web Servers</v>
      </c>
      <c r="C129" s="232" t="str">
        <f>IF(C47="","",'Upgrade Data'!J7)</f>
        <v/>
      </c>
      <c r="D129" s="823">
        <f>IF(B129="No Additional Web Servers",1,"")</f>
        <v>1</v>
      </c>
      <c r="E129" s="855" t="str">
        <f>IF(B129="No Additional Web Servers","Automated Complete
no additional web servers","")</f>
        <v>Automated Complete
no additional web servers</v>
      </c>
    </row>
    <row r="130" spans="1:5">
      <c r="A130" s="814"/>
      <c r="B130" s="339" t="str">
        <f>IF(C48="","","CUSTOMER_CODE")</f>
        <v/>
      </c>
      <c r="C130" s="211" t="str">
        <f>IF(C48="","",C98)</f>
        <v/>
      </c>
      <c r="D130" s="824"/>
      <c r="E130" s="856"/>
    </row>
    <row r="131" spans="1:5">
      <c r="A131" s="814"/>
      <c r="B131" s="340" t="str">
        <f>IF(C48="","","DNS_HOST_NAME")</f>
        <v/>
      </c>
      <c r="C131" s="118" t="str">
        <f>IF(C48="","",C99)</f>
        <v/>
      </c>
      <c r="D131" s="824"/>
      <c r="E131" s="856"/>
    </row>
    <row r="132" spans="1:5">
      <c r="A132" s="814"/>
      <c r="B132" s="340" t="str">
        <f>IF(C48="","","SQL_SERVER_NAME")</f>
        <v/>
      </c>
      <c r="C132" s="452" t="str">
        <f>IF(C48="","",'Upgrade Data'!I5)</f>
        <v/>
      </c>
      <c r="D132" s="824"/>
      <c r="E132" s="856"/>
    </row>
    <row r="133" spans="1:5">
      <c r="A133" s="814"/>
      <c r="B133" s="338" t="str">
        <f>IF(C48="","","SAS_SERVER_NAME")</f>
        <v/>
      </c>
      <c r="C133" s="242" t="str">
        <f>IF(C48="","",'Upgrade Data'!I5)</f>
        <v/>
      </c>
      <c r="D133" s="824"/>
      <c r="E133" s="856"/>
    </row>
    <row r="134" spans="1:5">
      <c r="A134" s="814"/>
      <c r="B134" s="338" t="str">
        <f>IF(C48="","","SKIP_SNAPS")</f>
        <v/>
      </c>
      <c r="C134" s="118" t="str">
        <f>IF(C48="","",C100)</f>
        <v/>
      </c>
      <c r="D134" s="824"/>
      <c r="E134" s="856"/>
    </row>
    <row r="135" spans="1:5">
      <c r="A135" s="829"/>
      <c r="B135" s="341" t="str">
        <f>IF(C48="","","NODE_LABEL")</f>
        <v/>
      </c>
      <c r="C135" s="120" t="str">
        <f>IF(C48="","",C101)</f>
        <v/>
      </c>
      <c r="D135" s="825"/>
      <c r="E135" s="857"/>
    </row>
    <row r="136" spans="1:5">
      <c r="A136" s="838">
        <v>12</v>
      </c>
      <c r="B136" s="310" t="s">
        <v>244</v>
      </c>
      <c r="C136" s="93" t="s">
        <v>216</v>
      </c>
      <c r="D136" s="819"/>
      <c r="E136" s="777"/>
    </row>
    <row r="137" spans="1:5">
      <c r="A137" s="839"/>
      <c r="B137" s="311" t="s">
        <v>184</v>
      </c>
      <c r="C137" s="97">
        <f>('Upgrade Data'!I6)</f>
        <v>0</v>
      </c>
      <c r="D137" s="837"/>
      <c r="E137" s="782"/>
    </row>
    <row r="138" spans="1:5">
      <c r="A138" s="839"/>
      <c r="B138" s="331" t="s">
        <v>188</v>
      </c>
      <c r="C138" s="98">
        <f>('Upgrade Data'!F3)</f>
        <v>0</v>
      </c>
      <c r="D138" s="837"/>
      <c r="E138" s="782"/>
    </row>
    <row r="139" spans="1:5">
      <c r="A139" s="839"/>
      <c r="B139" s="331" t="s">
        <v>189</v>
      </c>
      <c r="C139" s="97">
        <f>('Upgrade Data'!F6)</f>
        <v>0</v>
      </c>
      <c r="D139" s="837"/>
      <c r="E139" s="782"/>
    </row>
    <row r="140" spans="1:5">
      <c r="A140" s="839"/>
      <c r="B140" s="302" t="s">
        <v>190</v>
      </c>
      <c r="C140" s="97" t="b">
        <v>1</v>
      </c>
      <c r="D140" s="837"/>
      <c r="E140" s="782"/>
    </row>
    <row r="141" spans="1:5">
      <c r="A141" s="892"/>
      <c r="B141" s="346" t="s">
        <v>191</v>
      </c>
      <c r="C141" s="95" t="str">
        <f>(C101)</f>
        <v>0prodswarm</v>
      </c>
      <c r="D141" s="820"/>
      <c r="E141" s="778"/>
    </row>
    <row r="142" spans="1:5">
      <c r="A142" s="813">
        <v>13</v>
      </c>
      <c r="B142" s="303" t="s">
        <v>196</v>
      </c>
      <c r="C142" s="103" t="s">
        <v>245</v>
      </c>
      <c r="D142" s="823"/>
      <c r="E142" s="870"/>
    </row>
    <row r="143" spans="1:5">
      <c r="A143" s="814"/>
      <c r="B143" s="345" t="s">
        <v>194</v>
      </c>
      <c r="C143" s="104">
        <f>('Upgrade Data'!B8)</f>
        <v>0</v>
      </c>
      <c r="D143" s="824"/>
      <c r="E143" s="871"/>
    </row>
    <row r="144" spans="1:5">
      <c r="A144" s="814"/>
      <c r="B144" s="298" t="s">
        <v>184</v>
      </c>
      <c r="C144" s="104">
        <f>IF(MasterConfig!B19=TRUE,"",'Upgrade Data'!I4)</f>
        <v>0</v>
      </c>
      <c r="D144" s="824"/>
      <c r="E144" s="871"/>
    </row>
    <row r="145" spans="1:5">
      <c r="A145" s="814"/>
      <c r="B145" s="298" t="s">
        <v>189</v>
      </c>
      <c r="C145" s="105">
        <f>IF(MasterConfig!B19=TRUE,"",C98)</f>
        <v>0</v>
      </c>
      <c r="D145" s="824"/>
      <c r="E145" s="871"/>
    </row>
    <row r="146" spans="1:5">
      <c r="A146" s="829"/>
      <c r="B146" s="438" t="s">
        <v>188</v>
      </c>
      <c r="C146" s="106">
        <f>IF(MasterConfig!B19=TRUE,"",C99)</f>
        <v>0</v>
      </c>
      <c r="D146" s="825"/>
      <c r="E146" s="872"/>
    </row>
    <row r="147" spans="1:5">
      <c r="A147" s="815">
        <v>14</v>
      </c>
      <c r="B147" s="310" t="str">
        <f>IF(MasterConfig!B19=TRUE,"No Web Servers","Run Jenkins job to upgrade the following additional servers; Web(s)")</f>
        <v>Run Jenkins job to upgrade the following additional servers; Web(s)</v>
      </c>
      <c r="C147" s="96" t="str">
        <f>IF(MasterConfig!B19=TRUE,"", C142)</f>
        <v>https://jenkins.planviewcloud.net/job/e1_uppdate_pipe/build?delay=0sec</v>
      </c>
      <c r="D147" s="819" t="str">
        <f>IF(B147="No Web Servers",1,"")</f>
        <v/>
      </c>
      <c r="E147" s="848" t="str">
        <f>IF(B147="No Web Servers","Automated Complete
no additional web servers","")</f>
        <v/>
      </c>
    </row>
    <row r="148" spans="1:5">
      <c r="A148" s="816"/>
      <c r="B148" s="439" t="str">
        <f>IF(MasterConfig!B19=TRUE,"","UPDATE_VERSION")</f>
        <v>UPDATE_VERSION</v>
      </c>
      <c r="C148" s="95">
        <f>IF(MasterConfig!B19=TRUE,"",C143)</f>
        <v>0</v>
      </c>
      <c r="D148" s="837"/>
      <c r="E148" s="849"/>
    </row>
    <row r="149" spans="1:5">
      <c r="A149" s="816"/>
      <c r="B149" s="439" t="str">
        <f>IF(MasterConfig!B19=TRUE,"","TARGET_SERVER_NAME")</f>
        <v>TARGET_SERVER_NAME</v>
      </c>
      <c r="C149" s="97">
        <f>IF('Upgrade Data'!I4="","",'Upgrade Data'!I3)</f>
        <v>0</v>
      </c>
      <c r="D149" s="837"/>
      <c r="E149" s="849"/>
    </row>
    <row r="150" spans="1:5">
      <c r="A150" s="816"/>
      <c r="B150" s="439" t="str">
        <f>IF(MasterConfig!B19=TRUE,"","CUSTOMER_CODE")</f>
        <v>CUSTOMER_CODE</v>
      </c>
      <c r="C150" s="95">
        <f>IF(MasterConfig!B19=TRUE,"",C98)</f>
        <v>0</v>
      </c>
      <c r="D150" s="837"/>
      <c r="E150" s="849"/>
    </row>
    <row r="151" spans="1:5">
      <c r="A151" s="816"/>
      <c r="B151" s="440" t="str">
        <f>IF(MasterConfig!B19=TRUE,"","DNS_HOST_NAME")</f>
        <v>DNS_HOST_NAME</v>
      </c>
      <c r="C151" s="94">
        <f>IF(MasterConfig!B19=TRUE,"",C99)</f>
        <v>0</v>
      </c>
      <c r="D151" s="820"/>
      <c r="E151" s="850"/>
    </row>
    <row r="152" spans="1:5">
      <c r="A152" s="816"/>
      <c r="B152" s="350" t="str">
        <f>IF('Upgrade Data'!J4="","No Additional Web Servers","UPDATE_VERSION")</f>
        <v>No Additional Web Servers</v>
      </c>
      <c r="C152" s="109" t="str">
        <f>IF('Upgrade Data'!J4="","",C143)</f>
        <v/>
      </c>
      <c r="D152" s="823">
        <f>IF(B152="No Additional Web Servers",1,"")</f>
        <v>1</v>
      </c>
      <c r="E152" s="848" t="str">
        <f>IF(B152="No Additional Web Servers","Automated Complete
no additional web servers","")</f>
        <v>Automated Complete
no additional web servers</v>
      </c>
    </row>
    <row r="153" spans="1:5">
      <c r="A153" s="816"/>
      <c r="B153" s="384" t="str">
        <f>IF('Upgrade Data'!J4="","","TARGET_SERVER_NAME")</f>
        <v/>
      </c>
      <c r="C153" s="100" t="str">
        <f>IF('Upgrade Data'!J4="","",'Upgrade Data'!J4)</f>
        <v/>
      </c>
      <c r="D153" s="824"/>
      <c r="E153" s="849"/>
    </row>
    <row r="154" spans="1:5">
      <c r="A154" s="816"/>
      <c r="B154" s="351" t="str">
        <f>IF('Upgrade Data'!J4="","","CUSTOMER_CODE")</f>
        <v/>
      </c>
      <c r="C154" s="101" t="str">
        <f>IF('Upgrade Data'!J4="","",C98)</f>
        <v/>
      </c>
      <c r="D154" s="824"/>
      <c r="E154" s="849"/>
    </row>
    <row r="155" spans="1:5">
      <c r="A155" s="816"/>
      <c r="B155" s="352" t="str">
        <f>IF('Upgrade Data'!J4="","","DNS_HOST_NAME")</f>
        <v/>
      </c>
      <c r="C155" s="99" t="str">
        <f>IF('Upgrade Data'!J4="","",C99)</f>
        <v/>
      </c>
      <c r="D155" s="824"/>
      <c r="E155" s="849"/>
    </row>
    <row r="156" spans="1:5">
      <c r="A156" s="816"/>
      <c r="B156" s="441" t="str">
        <f>IF('Upgrade Data'!J4="","","SQL_SERVER_NAME")</f>
        <v/>
      </c>
      <c r="C156" s="415" t="str">
        <f>IF('Upgrade Data'!J4="","",'Upgrade Data'!I5)</f>
        <v/>
      </c>
      <c r="D156" s="825"/>
      <c r="E156" s="850"/>
    </row>
    <row r="157" spans="1:5">
      <c r="A157" s="816"/>
      <c r="B157" s="424" t="str">
        <f>IF('Upgrade Data'!J5="","No Additional Web Servers","UPDATE_VERSION")</f>
        <v>No Additional Web Servers</v>
      </c>
      <c r="C157" s="92" t="str">
        <f>IF('Upgrade Data'!J5="","",C143)</f>
        <v/>
      </c>
      <c r="D157" s="819">
        <f>IF(B157="No Additional Web Servers",1,"")</f>
        <v>1</v>
      </c>
      <c r="E157" s="848" t="str">
        <f>IF(B157="No Additional Web Servers","Automated Complete
no additional web servers","")</f>
        <v>Automated Complete
no additional web servers</v>
      </c>
    </row>
    <row r="158" spans="1:5">
      <c r="A158" s="816"/>
      <c r="B158" s="439" t="str">
        <f>IF('Upgrade Data'!J5="","","TARGET_SERVER_NAME")</f>
        <v/>
      </c>
      <c r="C158" s="97" t="str">
        <f>IF('Upgrade Data'!J5="","",'Upgrade Data'!J5)</f>
        <v/>
      </c>
      <c r="D158" s="837"/>
      <c r="E158" s="849"/>
    </row>
    <row r="159" spans="1:5">
      <c r="A159" s="816"/>
      <c r="B159" s="442" t="str">
        <f>IF('Upgrade Data'!J5="","","CUSTOMER_CODE")</f>
        <v/>
      </c>
      <c r="C159" s="95" t="str">
        <f>IF('Upgrade Data'!J5="","",C98)</f>
        <v/>
      </c>
      <c r="D159" s="837"/>
      <c r="E159" s="849"/>
    </row>
    <row r="160" spans="1:5">
      <c r="A160" s="816"/>
      <c r="B160" s="428" t="str">
        <f>IF('Upgrade Data'!J5="","","DNS_HOST_NAME")</f>
        <v/>
      </c>
      <c r="C160" s="98" t="str">
        <f>IF('Upgrade Data'!J5="","",C99)</f>
        <v/>
      </c>
      <c r="D160" s="837"/>
      <c r="E160" s="849"/>
    </row>
    <row r="161" spans="1:5">
      <c r="A161" s="816"/>
      <c r="B161" s="440" t="str">
        <f>IF('Upgrade Data'!J5="","","SQL_SERVER_NAME")</f>
        <v/>
      </c>
      <c r="C161" s="414" t="str">
        <f>IF('Upgrade Data'!J5="","",'Upgrade Data'!I5)</f>
        <v/>
      </c>
      <c r="D161" s="820"/>
      <c r="E161" s="850"/>
    </row>
    <row r="162" spans="1:5">
      <c r="A162" s="816"/>
      <c r="B162" s="329" t="str">
        <f>IF('Upgrade Data'!J6="","No Additional Web Servers","UPDATE_VERSION")</f>
        <v>No Additional Web Servers</v>
      </c>
      <c r="C162" s="109" t="str">
        <f>IF('Upgrade Data'!J6="","",C143)</f>
        <v/>
      </c>
      <c r="D162" s="823">
        <f>IF(B162="No Additional Web Servers",1,"")</f>
        <v>1</v>
      </c>
      <c r="E162" s="848" t="str">
        <f>IF(B162="No Additional Web Servers","Automated Complete
no additional web servers","")</f>
        <v>Automated Complete
no additional web servers</v>
      </c>
    </row>
    <row r="163" spans="1:5">
      <c r="A163" s="816"/>
      <c r="B163" s="352" t="str">
        <f>IF('Upgrade Data'!J6="","","TARGET_SERVER_NAME")</f>
        <v/>
      </c>
      <c r="C163" s="99" t="str">
        <f>IF('Upgrade Data'!J6="","",'Upgrade Data'!J6)</f>
        <v/>
      </c>
      <c r="D163" s="824"/>
      <c r="E163" s="849"/>
    </row>
    <row r="164" spans="1:5">
      <c r="A164" s="816"/>
      <c r="B164" s="352" t="str">
        <f>IF('Upgrade Data'!J6="","","CUSTOMER_CODE")</f>
        <v/>
      </c>
      <c r="C164" s="99" t="str">
        <f>IF('Upgrade Data'!J6="","",C98)</f>
        <v/>
      </c>
      <c r="D164" s="824"/>
      <c r="E164" s="849"/>
    </row>
    <row r="165" spans="1:5">
      <c r="A165" s="816"/>
      <c r="B165" s="352" t="str">
        <f>IF('Upgrade Data'!J6="","","DNS_HOST_NAME")</f>
        <v/>
      </c>
      <c r="C165" s="99" t="str">
        <f>IF('Upgrade Data'!J6="","",C99)</f>
        <v/>
      </c>
      <c r="D165" s="824"/>
      <c r="E165" s="849"/>
    </row>
    <row r="166" spans="1:5">
      <c r="A166" s="816"/>
      <c r="B166" s="330" t="str">
        <f>IF('Upgrade Data'!J6="","","SQL_SERVER_NAME")</f>
        <v/>
      </c>
      <c r="C166" s="416" t="str">
        <f>IF('Upgrade Data'!J6="","",'Upgrade Data'!I5)</f>
        <v/>
      </c>
      <c r="D166" s="825"/>
      <c r="E166" s="850"/>
    </row>
    <row r="167" spans="1:5">
      <c r="A167" s="816"/>
      <c r="B167" s="428" t="str">
        <f>IF('Upgrade Data'!J7="","No Additional Web Servers","UPDATE_VERSION")</f>
        <v>No Additional Web Servers</v>
      </c>
      <c r="C167" s="95" t="str">
        <f>IF('Upgrade Data'!J7="","",C143)</f>
        <v/>
      </c>
      <c r="D167" s="819">
        <f>IF(B167="No Additional Web Servers",1,"")</f>
        <v>1</v>
      </c>
      <c r="E167" s="848" t="str">
        <f>IF(B167="No Additional Web Servers","Automated Complete
no additional web servers","")</f>
        <v>Automated Complete
no additional web servers</v>
      </c>
    </row>
    <row r="168" spans="1:5">
      <c r="A168" s="816"/>
      <c r="B168" s="442" t="str">
        <f>IF('Upgrade Data'!J7="","","TARGET_SERVER_NAME")</f>
        <v/>
      </c>
      <c r="C168" s="97" t="str">
        <f>IF('Upgrade Data'!J7="","",'Upgrade Data'!J7)</f>
        <v/>
      </c>
      <c r="D168" s="837"/>
      <c r="E168" s="849"/>
    </row>
    <row r="169" spans="1:5">
      <c r="A169" s="816"/>
      <c r="B169" s="442" t="str">
        <f>IF('Upgrade Data'!J7="","","CUSTOMER_CODE")</f>
        <v/>
      </c>
      <c r="C169" s="408" t="str">
        <f>IF('Upgrade Data'!J7="","",C98)</f>
        <v/>
      </c>
      <c r="D169" s="837"/>
      <c r="E169" s="849"/>
    </row>
    <row r="170" spans="1:5">
      <c r="A170" s="816"/>
      <c r="B170" s="428" t="str">
        <f>IF('Upgrade Data'!J7="","","DNS_HOST_NAME")</f>
        <v/>
      </c>
      <c r="C170" s="95" t="str">
        <f>IF('Upgrade Data'!J11="","",C99)</f>
        <v/>
      </c>
      <c r="D170" s="837"/>
      <c r="E170" s="849"/>
    </row>
    <row r="171" spans="1:5">
      <c r="A171" s="817"/>
      <c r="B171" s="428" t="str">
        <f>IF('Upgrade Data'!J7="","","SQL_SERVER_NAME")</f>
        <v/>
      </c>
      <c r="C171" s="413" t="str">
        <f>IF('Upgrade Data'!J6="","",'Upgrade Data'!I5)</f>
        <v/>
      </c>
      <c r="D171" s="820"/>
      <c r="E171" s="850"/>
    </row>
    <row r="172" spans="1:5">
      <c r="A172" s="873">
        <v>15</v>
      </c>
      <c r="B172" s="443" t="s">
        <v>193</v>
      </c>
      <c r="C172" s="89" t="s">
        <v>220</v>
      </c>
      <c r="D172" s="823"/>
      <c r="E172" s="870"/>
    </row>
    <row r="173" spans="1:5">
      <c r="A173" s="874"/>
      <c r="B173" s="349" t="s">
        <v>184</v>
      </c>
      <c r="C173" s="102">
        <f>('Upgrade Data'!I6)</f>
        <v>0</v>
      </c>
      <c r="D173" s="824"/>
      <c r="E173" s="871"/>
    </row>
    <row r="174" spans="1:5">
      <c r="A174" s="874"/>
      <c r="B174" s="324" t="s">
        <v>195</v>
      </c>
      <c r="C174" s="111">
        <f>('Upgrade Data'!F8)</f>
        <v>0</v>
      </c>
      <c r="D174" s="824"/>
      <c r="E174" s="871"/>
    </row>
    <row r="175" spans="1:5">
      <c r="A175" s="874"/>
      <c r="B175" s="324" t="s">
        <v>194</v>
      </c>
      <c r="C175" s="112">
        <f>('Upgrade Data'!B8)</f>
        <v>0</v>
      </c>
      <c r="D175" s="824"/>
      <c r="E175" s="871"/>
    </row>
    <row r="176" spans="1:5">
      <c r="A176" s="875"/>
      <c r="B176" s="293" t="s">
        <v>191</v>
      </c>
      <c r="C176" s="113" t="str">
        <f>IF(C48="","",C101)</f>
        <v/>
      </c>
      <c r="D176" s="825"/>
      <c r="E176" s="872"/>
    </row>
    <row r="177" spans="1:5">
      <c r="A177" s="125">
        <v>16</v>
      </c>
      <c r="B177" s="196" t="s">
        <v>246</v>
      </c>
      <c r="C177" s="63"/>
      <c r="D177" s="449"/>
      <c r="E177" s="406"/>
    </row>
    <row r="178" spans="1:5">
      <c r="A178" s="126">
        <v>17</v>
      </c>
      <c r="B178" s="195" t="s">
        <v>197</v>
      </c>
      <c r="C178" s="123" t="s">
        <v>198</v>
      </c>
      <c r="D178" s="451"/>
      <c r="E178" s="407"/>
    </row>
    <row r="179" spans="1:5">
      <c r="A179" s="125">
        <v>18</v>
      </c>
      <c r="B179" s="196" t="s">
        <v>247</v>
      </c>
      <c r="C179" s="63"/>
      <c r="D179" s="449"/>
      <c r="E179" s="406"/>
    </row>
    <row r="180" spans="1:5">
      <c r="A180" s="126">
        <v>19</v>
      </c>
      <c r="B180" s="357" t="s">
        <v>248</v>
      </c>
      <c r="C180" s="107"/>
      <c r="D180" s="451"/>
      <c r="E180" s="407"/>
    </row>
    <row r="181" spans="1:5">
      <c r="A181" s="247">
        <v>20</v>
      </c>
      <c r="B181" s="317" t="s">
        <v>199</v>
      </c>
      <c r="C181" s="57" t="s">
        <v>200</v>
      </c>
      <c r="D181" s="450"/>
      <c r="E181" s="410"/>
    </row>
    <row r="182" spans="1:5">
      <c r="A182" s="121">
        <v>21</v>
      </c>
      <c r="B182" s="444">
        <f>('Upgrade Data'!F14)</f>
        <v>0</v>
      </c>
      <c r="C182" s="58" t="s">
        <v>249</v>
      </c>
      <c r="D182" s="269"/>
      <c r="E182" s="411"/>
    </row>
  </sheetData>
  <mergeCells count="66">
    <mergeCell ref="A147:A171"/>
    <mergeCell ref="D152:D156"/>
    <mergeCell ref="A102:A135"/>
    <mergeCell ref="D147:D151"/>
    <mergeCell ref="D136:D141"/>
    <mergeCell ref="D142:D146"/>
    <mergeCell ref="D157:D161"/>
    <mergeCell ref="D162:D166"/>
    <mergeCell ref="D167:D171"/>
    <mergeCell ref="A142:A146"/>
    <mergeCell ref="D102:D107"/>
    <mergeCell ref="D108:D114"/>
    <mergeCell ref="D115:D121"/>
    <mergeCell ref="D122:D128"/>
    <mergeCell ref="D129:D135"/>
    <mergeCell ref="A136:A141"/>
    <mergeCell ref="E102:E107"/>
    <mergeCell ref="E108:E114"/>
    <mergeCell ref="E115:E121"/>
    <mergeCell ref="E122:E128"/>
    <mergeCell ref="E129:E135"/>
    <mergeCell ref="E56:E77"/>
    <mergeCell ref="E40:E47"/>
    <mergeCell ref="A5:A9"/>
    <mergeCell ref="D32:D39"/>
    <mergeCell ref="D24:D31"/>
    <mergeCell ref="D20:D23"/>
    <mergeCell ref="D12:D19"/>
    <mergeCell ref="E32:E39"/>
    <mergeCell ref="D5:D9"/>
    <mergeCell ref="A56:A77"/>
    <mergeCell ref="E24:E31"/>
    <mergeCell ref="B5:B9"/>
    <mergeCell ref="E10:E11"/>
    <mergeCell ref="E96:E101"/>
    <mergeCell ref="D81:D82"/>
    <mergeCell ref="D93:D94"/>
    <mergeCell ref="D83:D84"/>
    <mergeCell ref="D85:D86"/>
    <mergeCell ref="D87:D88"/>
    <mergeCell ref="A96:A101"/>
    <mergeCell ref="A12:A55"/>
    <mergeCell ref="A10:A11"/>
    <mergeCell ref="D78:D80"/>
    <mergeCell ref="D89:D90"/>
    <mergeCell ref="A78:A94"/>
    <mergeCell ref="D10:D11"/>
    <mergeCell ref="D91:D92"/>
    <mergeCell ref="D96:D101"/>
    <mergeCell ref="D56:D77"/>
    <mergeCell ref="A172:A176"/>
    <mergeCell ref="D172:D176"/>
    <mergeCell ref="E172:E176"/>
    <mergeCell ref="E142:E146"/>
    <mergeCell ref="D40:D47"/>
    <mergeCell ref="D48:D55"/>
    <mergeCell ref="E48:E55"/>
    <mergeCell ref="E87:E88"/>
    <mergeCell ref="E89:E90"/>
    <mergeCell ref="E91:E92"/>
    <mergeCell ref="E93:E94"/>
    <mergeCell ref="E147:E151"/>
    <mergeCell ref="E167:E171"/>
    <mergeCell ref="E152:E156"/>
    <mergeCell ref="E157:E161"/>
    <mergeCell ref="E162:E166"/>
  </mergeCells>
  <conditionalFormatting sqref="D4">
    <cfRule type="iconSet" priority="44">
      <iconSet iconSet="3Symbols2" showValue="0">
        <cfvo type="percent" val="0"/>
        <cfvo type="num" val="0"/>
        <cfvo type="num" val="1"/>
      </iconSet>
    </cfRule>
    <cfRule type="iconSet" priority="45">
      <iconSet iconSet="3Symbols2">
        <cfvo type="percent" val="0"/>
        <cfvo type="num" val="0"/>
        <cfvo type="num" val="1"/>
      </iconSet>
    </cfRule>
    <cfRule type="iconSet" priority="46">
      <iconSet showValue="0">
        <cfvo type="percent" val="0"/>
        <cfvo type="percent" val="33"/>
        <cfvo type="percent" val="67"/>
      </iconSet>
    </cfRule>
    <cfRule type="iconSet" priority="47">
      <iconSet iconSet="3Symbols2">
        <cfvo type="percent" val="0"/>
        <cfvo type="num" val="0"/>
        <cfvo type="num" val="1"/>
      </iconSet>
    </cfRule>
  </conditionalFormatting>
  <conditionalFormatting sqref="D10">
    <cfRule type="iconSet" priority="43">
      <iconSet iconSet="3Symbols2" showValue="0">
        <cfvo type="percent" val="0"/>
        <cfvo type="num" val="0"/>
        <cfvo type="num" val="1"/>
      </iconSet>
    </cfRule>
  </conditionalFormatting>
  <conditionalFormatting sqref="D5">
    <cfRule type="iconSet" priority="42">
      <iconSet iconSet="3Symbols2" showValue="0">
        <cfvo type="percent" val="0"/>
        <cfvo type="num" val="0"/>
        <cfvo type="num" val="1"/>
      </iconSet>
    </cfRule>
  </conditionalFormatting>
  <conditionalFormatting sqref="D81:D82">
    <cfRule type="iconSet" priority="40">
      <iconSet iconSet="3Symbols2" showValue="0">
        <cfvo type="percent" val="0"/>
        <cfvo type="num" val="0"/>
        <cfvo type="num" val="1"/>
      </iconSet>
    </cfRule>
  </conditionalFormatting>
  <conditionalFormatting sqref="D83:D84">
    <cfRule type="iconSet" priority="39">
      <iconSet iconSet="3Symbols2" showValue="0">
        <cfvo type="percent" val="0"/>
        <cfvo type="num" val="0"/>
        <cfvo type="num" val="1"/>
      </iconSet>
    </cfRule>
  </conditionalFormatting>
  <conditionalFormatting sqref="D95">
    <cfRule type="iconSet" priority="38">
      <iconSet iconSet="3Symbols2" showValue="0">
        <cfvo type="percent" val="0"/>
        <cfvo type="num" val="0"/>
        <cfvo type="num" val="1"/>
      </iconSet>
    </cfRule>
  </conditionalFormatting>
  <conditionalFormatting sqref="D89:D90">
    <cfRule type="iconSet" priority="36">
      <iconSet iconSet="3Symbols2" showValue="0">
        <cfvo type="percent" val="0"/>
        <cfvo type="num" val="0"/>
        <cfvo type="num" val="1"/>
      </iconSet>
    </cfRule>
  </conditionalFormatting>
  <conditionalFormatting sqref="D87:D88">
    <cfRule type="iconSet" priority="35">
      <iconSet iconSet="3Symbols2" showValue="0">
        <cfvo type="percent" val="0"/>
        <cfvo type="num" val="0"/>
        <cfvo type="num" val="1"/>
      </iconSet>
    </cfRule>
  </conditionalFormatting>
  <conditionalFormatting sqref="D85:D86">
    <cfRule type="iconSet" priority="34">
      <iconSet iconSet="3Symbols2" showValue="0">
        <cfvo type="percent" val="0"/>
        <cfvo type="num" val="0"/>
        <cfvo type="num" val="1"/>
      </iconSet>
    </cfRule>
  </conditionalFormatting>
  <conditionalFormatting sqref="D172">
    <cfRule type="iconSet" priority="33">
      <iconSet iconSet="3Symbols2" showValue="0">
        <cfvo type="percent" val="0"/>
        <cfvo type="num" val="0"/>
        <cfvo type="num" val="1"/>
      </iconSet>
    </cfRule>
  </conditionalFormatting>
  <conditionalFormatting sqref="D177">
    <cfRule type="iconSet" priority="32">
      <iconSet iconSet="3Symbols2" showValue="0">
        <cfvo type="percent" val="0"/>
        <cfvo type="num" val="0"/>
        <cfvo type="num" val="1"/>
      </iconSet>
    </cfRule>
  </conditionalFormatting>
  <conditionalFormatting sqref="D178">
    <cfRule type="iconSet" priority="31">
      <iconSet iconSet="3Symbols2" showValue="0">
        <cfvo type="percent" val="0"/>
        <cfvo type="num" val="0"/>
        <cfvo type="num" val="1"/>
      </iconSet>
    </cfRule>
  </conditionalFormatting>
  <conditionalFormatting sqref="D179">
    <cfRule type="iconSet" priority="30">
      <iconSet iconSet="3Symbols2" showValue="0">
        <cfvo type="percent" val="0"/>
        <cfvo type="num" val="0"/>
        <cfvo type="num" val="1"/>
      </iconSet>
    </cfRule>
  </conditionalFormatting>
  <conditionalFormatting sqref="D180">
    <cfRule type="iconSet" priority="29">
      <iconSet iconSet="3Symbols2" showValue="0">
        <cfvo type="percent" val="0"/>
        <cfvo type="num" val="0"/>
        <cfvo type="num" val="1"/>
      </iconSet>
    </cfRule>
  </conditionalFormatting>
  <conditionalFormatting sqref="D181">
    <cfRule type="iconSet" priority="28">
      <iconSet iconSet="3Symbols2" showValue="0">
        <cfvo type="percent" val="0"/>
        <cfvo type="num" val="0"/>
        <cfvo type="num" val="1"/>
      </iconSet>
    </cfRule>
  </conditionalFormatting>
  <conditionalFormatting sqref="D182">
    <cfRule type="iconSet" priority="27">
      <iconSet iconSet="3Symbols2" showValue="0">
        <cfvo type="percent" val="0"/>
        <cfvo type="num" val="0"/>
        <cfvo type="num" val="1"/>
      </iconSet>
    </cfRule>
  </conditionalFormatting>
  <conditionalFormatting sqref="D2">
    <cfRule type="iconSet" priority="23">
      <iconSet iconSet="3Symbols2" showValue="0">
        <cfvo type="percent" val="0"/>
        <cfvo type="num" val="0"/>
        <cfvo type="num" val="1"/>
      </iconSet>
    </cfRule>
    <cfRule type="iconSet" priority="24">
      <iconSet iconSet="3Symbols2">
        <cfvo type="percent" val="0"/>
        <cfvo type="num" val="0"/>
        <cfvo type="num" val="1"/>
      </iconSet>
    </cfRule>
    <cfRule type="iconSet" priority="25">
      <iconSet showValue="0">
        <cfvo type="percent" val="0"/>
        <cfvo type="percent" val="33"/>
        <cfvo type="percent" val="67"/>
      </iconSet>
    </cfRule>
    <cfRule type="iconSet" priority="26">
      <iconSet iconSet="3Symbols2">
        <cfvo type="percent" val="0"/>
        <cfvo type="num" val="0"/>
        <cfvo type="num" val="1"/>
      </iconSet>
    </cfRule>
  </conditionalFormatting>
  <conditionalFormatting sqref="D129">
    <cfRule type="iconSet" priority="19">
      <iconSet iconSet="3Symbols2" showValue="0">
        <cfvo type="percent" val="0"/>
        <cfvo type="num" val="0"/>
        <cfvo type="num" val="1"/>
      </iconSet>
    </cfRule>
    <cfRule type="iconSet" priority="20">
      <iconSet iconSet="3Symbols2">
        <cfvo type="percent" val="0"/>
        <cfvo type="num" val="0"/>
        <cfvo type="num" val="1"/>
      </iconSet>
    </cfRule>
    <cfRule type="iconSet" priority="21">
      <iconSet showValue="0">
        <cfvo type="percent" val="0"/>
        <cfvo type="percent" val="33"/>
        <cfvo type="percent" val="67"/>
      </iconSet>
    </cfRule>
    <cfRule type="iconSet" priority="22">
      <iconSet iconSet="3Symbols2">
        <cfvo type="percent" val="0"/>
        <cfvo type="num" val="0"/>
        <cfvo type="num" val="1"/>
      </iconSet>
    </cfRule>
  </conditionalFormatting>
  <conditionalFormatting sqref="D122">
    <cfRule type="iconSet" priority="15">
      <iconSet iconSet="3Symbols2" showValue="0">
        <cfvo type="percent" val="0"/>
        <cfvo type="num" val="0"/>
        <cfvo type="num" val="1"/>
      </iconSet>
    </cfRule>
    <cfRule type="iconSet" priority="16">
      <iconSet iconSet="3Symbols2">
        <cfvo type="percent" val="0"/>
        <cfvo type="num" val="0"/>
        <cfvo type="num" val="1"/>
      </iconSet>
    </cfRule>
    <cfRule type="iconSet" priority="17">
      <iconSet showValue="0">
        <cfvo type="percent" val="0"/>
        <cfvo type="percent" val="33"/>
        <cfvo type="percent" val="67"/>
      </iconSet>
    </cfRule>
    <cfRule type="iconSet" priority="18">
      <iconSet iconSet="3Symbols2">
        <cfvo type="percent" val="0"/>
        <cfvo type="num" val="0"/>
        <cfvo type="num" val="1"/>
      </iconSet>
    </cfRule>
  </conditionalFormatting>
  <conditionalFormatting sqref="D162 D157 D115 D3 D78 D12 D96 D102 D108 D136 D142 D152 D167">
    <cfRule type="iconSet" priority="1198">
      <iconSet iconSet="3Symbols2" showValue="0">
        <cfvo type="percent" val="0"/>
        <cfvo type="num" val="0"/>
        <cfvo type="num" val="1"/>
      </iconSet>
    </cfRule>
    <cfRule type="iconSet" priority="1199">
      <iconSet iconSet="3Symbols2">
        <cfvo type="percent" val="0"/>
        <cfvo type="num" val="0"/>
        <cfvo type="num" val="1"/>
      </iconSet>
    </cfRule>
    <cfRule type="iconSet" priority="1200">
      <iconSet showValue="0">
        <cfvo type="percent" val="0"/>
        <cfvo type="percent" val="33"/>
        <cfvo type="percent" val="67"/>
      </iconSet>
    </cfRule>
    <cfRule type="iconSet" priority="1201">
      <iconSet iconSet="3Symbols2">
        <cfvo type="percent" val="0"/>
        <cfvo type="num" val="0"/>
        <cfvo type="num" val="1"/>
      </iconSet>
    </cfRule>
  </conditionalFormatting>
  <conditionalFormatting sqref="D91:D92">
    <cfRule type="iconSet" priority="14">
      <iconSet iconSet="3Symbols2" showValue="0">
        <cfvo type="percent" val="0"/>
        <cfvo type="num" val="0"/>
        <cfvo type="num" val="1"/>
      </iconSet>
    </cfRule>
  </conditionalFormatting>
  <conditionalFormatting sqref="D93:D94">
    <cfRule type="iconSet" priority="13">
      <iconSet iconSet="3Symbols2" showValue="0">
        <cfvo type="percent" val="0"/>
        <cfvo type="num" val="0"/>
        <cfvo type="num" val="1"/>
      </iconSet>
    </cfRule>
  </conditionalFormatting>
  <conditionalFormatting sqref="D24:D31">
    <cfRule type="iconSet" priority="11">
      <iconSet iconSet="3Symbols2" showValue="0">
        <cfvo type="percent" val="0"/>
        <cfvo type="num" val="0"/>
        <cfvo type="num" val="1"/>
      </iconSet>
    </cfRule>
    <cfRule type="iconSet" priority="12">
      <iconSet iconSet="3Symbols2" showValue="0">
        <cfvo type="percent" val="0"/>
        <cfvo type="num" val="0"/>
        <cfvo type="num" val="&quot;0\1&quot;"/>
      </iconSet>
    </cfRule>
  </conditionalFormatting>
  <conditionalFormatting sqref="D40:D47">
    <cfRule type="iconSet" priority="9">
      <iconSet iconSet="3Symbols2" showValue="0">
        <cfvo type="percent" val="0"/>
        <cfvo type="num" val="0"/>
        <cfvo type="num" val="1"/>
      </iconSet>
    </cfRule>
    <cfRule type="iconSet" priority="10">
      <iconSet iconSet="3Symbols2" showValue="0">
        <cfvo type="percent" val="0"/>
        <cfvo type="num" val="0"/>
        <cfvo type="num" val="&quot;0\1&quot;"/>
      </iconSet>
    </cfRule>
  </conditionalFormatting>
  <conditionalFormatting sqref="D56:D77">
    <cfRule type="iconSet" priority="8">
      <iconSet iconSet="3Symbols2" showValue="0">
        <cfvo type="percent" val="0"/>
        <cfvo type="num" val="0"/>
        <cfvo type="num" val="1"/>
      </iconSet>
    </cfRule>
  </conditionalFormatting>
  <conditionalFormatting sqref="D48:D55">
    <cfRule type="iconSet" priority="7">
      <iconSet iconSet="3Symbols2" showValue="0">
        <cfvo type="percent" val="0"/>
        <cfvo type="num" val="0"/>
        <cfvo type="num" val="1"/>
      </iconSet>
    </cfRule>
  </conditionalFormatting>
  <conditionalFormatting sqref="D32:D39">
    <cfRule type="iconSet" priority="6">
      <iconSet iconSet="3Symbols2" showValue="0">
        <cfvo type="percent" val="0"/>
        <cfvo type="num" val="0"/>
        <cfvo type="num" val="1"/>
      </iconSet>
    </cfRule>
  </conditionalFormatting>
  <conditionalFormatting sqref="D20:D23">
    <cfRule type="iconSet" priority="5">
      <iconSet iconSet="3Symbols2" showValue="0">
        <cfvo type="percent" val="0"/>
        <cfvo type="num" val="0"/>
        <cfvo type="num" val="1"/>
      </iconSet>
    </cfRule>
  </conditionalFormatting>
  <conditionalFormatting sqref="D147">
    <cfRule type="iconSet" priority="1">
      <iconSet iconSet="3Symbols2" showValue="0">
        <cfvo type="percent" val="0"/>
        <cfvo type="num" val="0"/>
        <cfvo type="num" val="1"/>
      </iconSet>
    </cfRule>
    <cfRule type="iconSet" priority="2">
      <iconSet iconSet="3Symbols2">
        <cfvo type="percent" val="0"/>
        <cfvo type="num" val="0"/>
        <cfvo type="num" val="1"/>
      </iconSet>
    </cfRule>
    <cfRule type="iconSet" priority="3">
      <iconSet showValue="0">
        <cfvo type="percent" val="0"/>
        <cfvo type="percent" val="33"/>
        <cfvo type="percent" val="67"/>
      </iconSet>
    </cfRule>
    <cfRule type="iconSet" priority="4">
      <iconSet iconSet="3Symbols2">
        <cfvo type="percent" val="0"/>
        <cfvo type="num" val="0"/>
        <cfvo type="num" val="1"/>
      </iconSet>
    </cfRule>
  </conditionalFormatting>
  <hyperlinks>
    <hyperlink ref="C78" r:id="rId1"/>
    <hyperlink ref="C96" r:id="rId2"/>
    <hyperlink ref="C102" r:id="rId3" display="https://jenkins.planviewcloud.net/job/e1_upgrade_pipe/"/>
    <hyperlink ref="C181" r:id="rId4" location="/ccu-main" display="https://control.akamai.com/apps/fast-purge/ - /ccu-main"/>
    <hyperlink ref="C142" r:id="rId5"/>
    <hyperlink ref="C172" r:id="rId6"/>
    <hyperlink ref="C4" r:id="rId7" location="/home/monitors"/>
    <hyperlink ref="C178" r:id="rId8"/>
    <hyperlink ref="C136" r:id="rId9"/>
  </hyperlinks>
  <pageMargins left="0.7" right="0.7" top="0.75" bottom="0.75" header="0.3" footer="0.3"/>
  <pageSetup orientation="portrait" r:id="rId10"/>
  <extLst>
    <ext xmlns:x14="http://schemas.microsoft.com/office/spreadsheetml/2009/9/main" uri="{CCE6A557-97BC-4b89-ADB6-D9C93CAAB3DF}">
      <x14:dataValidations xmlns:xm="http://schemas.microsoft.com/office/excel/2006/main" count="1">
        <x14:dataValidation type="list" allowBlank="1" showInputMessage="1" showErrorMessage="1">
          <x14:formula1>
            <xm:f>AutoPop!$M$79</xm:f>
          </x14:formula1>
          <xm:sqref>D129 D122 D108 D115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10"/>
  <sheetViews>
    <sheetView workbookViewId="0">
      <selection activeCell="C11" sqref="C11"/>
    </sheetView>
  </sheetViews>
  <sheetFormatPr defaultRowHeight="15"/>
  <cols>
    <col min="2" max="2" width="59" bestFit="1" customWidth="1"/>
    <col min="3" max="3" width="104" bestFit="1" customWidth="1"/>
    <col min="4" max="4" width="13.85546875" bestFit="1" customWidth="1"/>
    <col min="5" max="5" width="45.42578125" bestFit="1" customWidth="1"/>
  </cols>
  <sheetData>
    <row r="1" spans="1:6" ht="38.25">
      <c r="A1" s="289"/>
      <c r="B1" s="274" t="s">
        <v>204</v>
      </c>
      <c r="C1" s="274" t="s">
        <v>136</v>
      </c>
      <c r="D1" s="291" t="s">
        <v>223</v>
      </c>
      <c r="E1" s="274" t="s">
        <v>224</v>
      </c>
    </row>
    <row r="2" spans="1:6">
      <c r="A2" s="773">
        <v>1</v>
      </c>
      <c r="B2" s="359" t="s">
        <v>157</v>
      </c>
      <c r="C2" s="54" t="str">
        <f>('Upgrade Data'!I2)&amp;"/login/body.asp?manual=Y"</f>
        <v>https://0.pvcloud.com/login/body.asp?manual=Y</v>
      </c>
      <c r="D2" s="773"/>
      <c r="E2" s="290"/>
      <c r="F2" t="str">
        <f>('Upgrade Data'!F10)</f>
        <v/>
      </c>
    </row>
    <row r="3" spans="1:6">
      <c r="A3" s="765">
        <v>2</v>
      </c>
      <c r="B3" s="360" t="s">
        <v>225</v>
      </c>
      <c r="C3" s="53" t="str">
        <f>_xlfn.CONCAT(AutoPop!M112,'Upgrade Data'!F3,AutoPop!N112)</f>
        <v>Start-Process "chrome.exe" "https://0.pvcloud.com/planview/diag/version.aspx"</v>
      </c>
      <c r="D3" s="765"/>
      <c r="E3" s="117"/>
    </row>
    <row r="4" spans="1:6">
      <c r="A4" s="773">
        <v>3</v>
      </c>
      <c r="B4" s="361" t="s">
        <v>159</v>
      </c>
      <c r="C4" s="52" t="str">
        <f>_xlfn.CONCAT(AutoPop!M112,'Upgrade Data'!F3,AutoPop!N113)</f>
        <v>Start-Process "chrome.exe" "https://0.pvcloud.com/odataservice/OdataService.svc"</v>
      </c>
      <c r="D4" s="773"/>
      <c r="E4" s="51"/>
    </row>
    <row r="5" spans="1:6">
      <c r="A5" s="765">
        <v>4</v>
      </c>
      <c r="B5" s="362" t="s">
        <v>160</v>
      </c>
      <c r="C5" s="45" t="str">
        <f>_xlfn.CONCAT(AutoPop!M112,'Upgrade Data'!F3,AutoPop!N114)</f>
        <v>Start-Process "chrome.exe" "https://0.pvcloud.com/planview/Progressing/ProgressInteractively.aspx"</v>
      </c>
      <c r="D5" s="765"/>
      <c r="E5" s="44"/>
    </row>
    <row r="6" spans="1:6">
      <c r="A6" s="773">
        <v>5</v>
      </c>
      <c r="B6" s="363" t="s">
        <v>161</v>
      </c>
      <c r="C6" s="51" t="str">
        <f>_xlfn.CONCAT(AutoPop!M112,'Upgrade Data'!F3,AutoPop!N115)</f>
        <v>Start-Process "chrome.exe" "https://0.pvcloud.com/planview/AdminApplication/AdministerOLAPConnStrings.aspx"</v>
      </c>
      <c r="D6" s="773"/>
      <c r="E6" s="51"/>
    </row>
    <row r="7" spans="1:6">
      <c r="A7" s="765">
        <v>6</v>
      </c>
      <c r="B7" s="364" t="s">
        <v>162</v>
      </c>
      <c r="C7" s="44" t="e">
        <f>_xlfn.CONCAT(AutoPop!M112,'Upgrade Data'!F3,AutoPop!#REF!)</f>
        <v>#REF!</v>
      </c>
      <c r="D7" s="765"/>
      <c r="E7" s="44"/>
    </row>
    <row r="8" spans="1:6">
      <c r="A8" s="773">
        <v>7</v>
      </c>
      <c r="B8" s="363" t="s">
        <v>164</v>
      </c>
      <c r="C8" s="52" t="str">
        <f>_xlfn.CONCAT(AutoPop!M112,'Upgrade Data'!F3,AutoPop!N118)</f>
        <v>Start-Process "chrome.exe" "https://0.pvcloud.com/planview/AdminApplication/AdminServices.aspx"</v>
      </c>
      <c r="D8" s="773"/>
      <c r="E8" s="51"/>
    </row>
    <row r="9" spans="1:6">
      <c r="A9" s="765">
        <v>8</v>
      </c>
      <c r="B9" s="362" t="s">
        <v>226</v>
      </c>
      <c r="C9" s="45" t="s">
        <v>227</v>
      </c>
      <c r="D9" s="765"/>
      <c r="E9" s="44"/>
    </row>
    <row r="10" spans="1:6">
      <c r="A10" s="770">
        <v>9</v>
      </c>
      <c r="B10" s="365" t="s">
        <v>166</v>
      </c>
      <c r="C10" s="86" t="str">
        <f>_xlfn.CONCAT(AutoPop!M112,'Upgrade Data'!F3,AutoPop!N120)</f>
        <v>Start-Process "chrome.exe" "https://0.pvcloud.com/ng/ctm/"</v>
      </c>
      <c r="D10" s="770"/>
      <c r="E10" s="86"/>
    </row>
  </sheetData>
  <conditionalFormatting sqref="D10">
    <cfRule type="iconSet" priority="14">
      <iconSet iconSet="3Symbols" showValue="0">
        <cfvo type="percent" val="0"/>
        <cfvo type="num" val="1"/>
        <cfvo type="num" val="2"/>
      </iconSet>
    </cfRule>
    <cfRule type="iconSet" priority="15">
      <iconSet iconSet="3Symbols2" showValue="0">
        <cfvo type="percent" val="0"/>
        <cfvo type="num" val="1"/>
        <cfvo type="num" val="2"/>
      </iconSet>
    </cfRule>
    <cfRule type="iconSet" priority="16">
      <iconSet iconSet="3Symbols" showValue="0">
        <cfvo type="percent" val="0"/>
        <cfvo type="num" val="1"/>
        <cfvo type="num" val="2"/>
      </iconSet>
    </cfRule>
    <cfRule type="iconSet" priority="17">
      <iconSet iconSet="3Symbols">
        <cfvo type="percent" val="0"/>
        <cfvo type="num" val="1"/>
        <cfvo type="num" val="2"/>
      </iconSet>
    </cfRule>
  </conditionalFormatting>
  <conditionalFormatting sqref="D2">
    <cfRule type="iconSet" priority="37">
      <iconSet iconSet="3Symbols" showValue="0">
        <cfvo type="percent" val="0"/>
        <cfvo type="num" val="1"/>
        <cfvo type="num" val="2"/>
      </iconSet>
    </cfRule>
    <cfRule type="iconSet" priority="38">
      <iconSet iconSet="3Symbols2" showValue="0">
        <cfvo type="percent" val="0"/>
        <cfvo type="num" val="1"/>
        <cfvo type="num" val="2"/>
      </iconSet>
    </cfRule>
    <cfRule type="iconSet" priority="39">
      <iconSet iconSet="3Symbols" showValue="0">
        <cfvo type="percent" val="0"/>
        <cfvo type="num" val="1"/>
        <cfvo type="num" val="2"/>
      </iconSet>
    </cfRule>
  </conditionalFormatting>
  <conditionalFormatting sqref="D3">
    <cfRule type="iconSet" priority="1316">
      <iconSet iconSet="3Symbols" showValue="0">
        <cfvo type="percent" val="0"/>
        <cfvo type="percent" val="33"/>
        <cfvo type="percent" val="67"/>
      </iconSet>
    </cfRule>
    <cfRule type="iconSet" priority="1317">
      <iconSet iconSet="3Symbols">
        <cfvo type="percent" val="0"/>
        <cfvo type="percent" val="0"/>
        <cfvo type="percent" val="2"/>
      </iconSet>
    </cfRule>
    <cfRule type="iconSet" priority="1318">
      <iconSet iconSet="3Symbols2">
        <cfvo type="percent" val="0"/>
        <cfvo type="percent" val="33"/>
        <cfvo type="percent" val="67"/>
      </iconSet>
    </cfRule>
  </conditionalFormatting>
  <conditionalFormatting sqref="D3">
    <cfRule type="iconSet" priority="1319">
      <iconSet iconSet="3Symbols" showValue="0">
        <cfvo type="percent" val="0"/>
        <cfvo type="num" val="1"/>
        <cfvo type="num" val="2"/>
      </iconSet>
    </cfRule>
    <cfRule type="iconSet" priority="1320">
      <iconSet iconSet="3Symbols2" showValue="0">
        <cfvo type="percent" val="0"/>
        <cfvo type="num" val="1"/>
        <cfvo type="num" val="2"/>
      </iconSet>
    </cfRule>
    <cfRule type="iconSet" priority="1321">
      <iconSet iconSet="3Symbols" showValue="0">
        <cfvo type="percent" val="0"/>
        <cfvo type="num" val="1"/>
        <cfvo type="num" val="2"/>
      </iconSet>
    </cfRule>
    <cfRule type="iconSet" priority="1322">
      <iconSet iconSet="3Symbols">
        <cfvo type="percent" val="0"/>
        <cfvo type="num" val="1"/>
        <cfvo type="num" val="2"/>
      </iconSet>
    </cfRule>
  </conditionalFormatting>
  <conditionalFormatting sqref="D4">
    <cfRule type="iconSet" priority="1323">
      <iconSet iconSet="3Symbols2" showValue="0">
        <cfvo type="percent" val="0"/>
        <cfvo type="num" val="1"/>
        <cfvo type="num" val="2"/>
      </iconSet>
    </cfRule>
    <cfRule type="iconSet" priority="1324">
      <iconSet iconSet="3Symbols" showValue="0">
        <cfvo type="percent" val="0"/>
        <cfvo type="num" val="1"/>
        <cfvo type="num" val="2"/>
      </iconSet>
    </cfRule>
    <cfRule type="iconSet" priority="1325">
      <iconSet iconSet="3Symbols">
        <cfvo type="percent" val="0"/>
        <cfvo type="num" val="1"/>
        <cfvo type="num" val="2"/>
      </iconSet>
    </cfRule>
  </conditionalFormatting>
  <conditionalFormatting sqref="D4">
    <cfRule type="iconSet" priority="1326">
      <iconSet iconSet="3Symbols" showValue="0">
        <cfvo type="percent" val="0"/>
        <cfvo type="num" val="1"/>
        <cfvo type="num" val="2"/>
      </iconSet>
    </cfRule>
    <cfRule type="iconSet" priority="1327">
      <iconSet iconSet="3Symbols2" showValue="0">
        <cfvo type="percent" val="0"/>
        <cfvo type="num" val="1"/>
        <cfvo type="num" val="2"/>
      </iconSet>
    </cfRule>
    <cfRule type="iconSet" priority="1328">
      <iconSet iconSet="3Symbols" showValue="0">
        <cfvo type="percent" val="0"/>
        <cfvo type="num" val="1"/>
        <cfvo type="num" val="2"/>
      </iconSet>
    </cfRule>
    <cfRule type="iconSet" priority="1329">
      <iconSet iconSet="3Symbols">
        <cfvo type="percent" val="0"/>
        <cfvo type="num" val="1"/>
        <cfvo type="num" val="2"/>
      </iconSet>
    </cfRule>
  </conditionalFormatting>
  <conditionalFormatting sqref="D5:D6">
    <cfRule type="iconSet" priority="1344">
      <iconSet iconSet="3Symbols2" showValue="0">
        <cfvo type="percent" val="0"/>
        <cfvo type="num" val="1"/>
        <cfvo type="num" val="2"/>
      </iconSet>
    </cfRule>
    <cfRule type="iconSet" priority="1345">
      <iconSet iconSet="3Symbols" showValue="0">
        <cfvo type="percent" val="0"/>
        <cfvo type="num" val="1"/>
        <cfvo type="num" val="2"/>
      </iconSet>
    </cfRule>
  </conditionalFormatting>
  <conditionalFormatting sqref="D5:D6">
    <cfRule type="iconSet" priority="1346">
      <iconSet iconSet="3Symbols" showValue="0">
        <cfvo type="percent" val="0"/>
        <cfvo type="num" val="1"/>
        <cfvo type="num" val="2"/>
      </iconSet>
    </cfRule>
    <cfRule type="iconSet" priority="1347">
      <iconSet iconSet="3Symbols2" showValue="0">
        <cfvo type="percent" val="0"/>
        <cfvo type="num" val="1"/>
        <cfvo type="num" val="2"/>
      </iconSet>
    </cfRule>
  </conditionalFormatting>
  <conditionalFormatting sqref="D7">
    <cfRule type="iconSet" priority="1351">
      <iconSet iconSet="3Symbols2" showValue="0">
        <cfvo type="percent" val="0"/>
        <cfvo type="num" val="1"/>
        <cfvo type="num" val="2"/>
      </iconSet>
    </cfRule>
    <cfRule type="iconSet" priority="1352">
      <iconSet iconSet="3Symbols" showValue="0">
        <cfvo type="percent" val="0"/>
        <cfvo type="num" val="1"/>
        <cfvo type="num" val="2"/>
      </iconSet>
    </cfRule>
    <cfRule type="iconSet" priority="1353">
      <iconSet iconSet="3Symbols">
        <cfvo type="percent" val="0"/>
        <cfvo type="num" val="1"/>
        <cfvo type="num" val="2"/>
      </iconSet>
    </cfRule>
  </conditionalFormatting>
  <conditionalFormatting sqref="D7">
    <cfRule type="iconSet" priority="1354">
      <iconSet iconSet="3Symbols" showValue="0">
        <cfvo type="percent" val="0"/>
        <cfvo type="num" val="1"/>
        <cfvo type="num" val="2"/>
      </iconSet>
    </cfRule>
    <cfRule type="iconSet" priority="1355">
      <iconSet iconSet="3Symbols2" showValue="0">
        <cfvo type="percent" val="0"/>
        <cfvo type="num" val="1"/>
        <cfvo type="num" val="2"/>
      </iconSet>
    </cfRule>
    <cfRule type="iconSet" priority="1356">
      <iconSet iconSet="3Symbols" showValue="0">
        <cfvo type="percent" val="0"/>
        <cfvo type="num" val="1"/>
        <cfvo type="num" val="2"/>
      </iconSet>
    </cfRule>
    <cfRule type="iconSet" priority="1357">
      <iconSet iconSet="3Symbols">
        <cfvo type="percent" val="0"/>
        <cfvo type="num" val="1"/>
        <cfvo type="num" val="2"/>
      </iconSet>
    </cfRule>
  </conditionalFormatting>
  <conditionalFormatting sqref="D8:D9">
    <cfRule type="iconSet" priority="1372">
      <iconSet iconSet="3Symbols2" showValue="0">
        <cfvo type="percent" val="0"/>
        <cfvo type="num" val="1"/>
        <cfvo type="num" val="2"/>
      </iconSet>
    </cfRule>
    <cfRule type="iconSet" priority="1373">
      <iconSet iconSet="3Symbols" showValue="0">
        <cfvo type="percent" val="0"/>
        <cfvo type="num" val="1"/>
        <cfvo type="num" val="2"/>
      </iconSet>
    </cfRule>
  </conditionalFormatting>
  <conditionalFormatting sqref="D8:D9">
    <cfRule type="iconSet" priority="1374">
      <iconSet iconSet="3Symbols" showValue="0">
        <cfvo type="percent" val="0"/>
        <cfvo type="num" val="1"/>
        <cfvo type="num" val="2"/>
      </iconSet>
    </cfRule>
    <cfRule type="iconSet" priority="1375">
      <iconSet iconSet="3Symbols2" showValue="0">
        <cfvo type="percent" val="0"/>
        <cfvo type="num" val="1"/>
        <cfvo type="num" val="2"/>
      </iconSet>
    </cfRule>
  </conditionalFormatting>
  <conditionalFormatting sqref="D4:D10">
    <cfRule type="iconSet" priority="1376">
      <iconSet iconSet="3Symbols" showValue="0">
        <cfvo type="percent" val="0"/>
        <cfvo type="percent" val="33"/>
        <cfvo type="percent" val="67"/>
      </iconSet>
    </cfRule>
    <cfRule type="iconSet" priority="1377">
      <iconSet iconSet="3Symbols">
        <cfvo type="percent" val="0"/>
        <cfvo type="percent" val="0"/>
        <cfvo type="percent" val="2"/>
      </iconSet>
    </cfRule>
    <cfRule type="iconSet" priority="1378">
      <iconSet iconSet="3Symbols2">
        <cfvo type="percent" val="0"/>
        <cfvo type="percent" val="33"/>
        <cfvo type="percent" val="67"/>
      </iconSet>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27F7FB738632D4F998043CEB7F27F6F" ma:contentTypeVersion="11" ma:contentTypeDescription="Create a new document." ma:contentTypeScope="" ma:versionID="010cbadcc12744adaba2ee5f002475cb">
  <xsd:schema xmlns:xsd="http://www.w3.org/2001/XMLSchema" xmlns:xs="http://www.w3.org/2001/XMLSchema" xmlns:p="http://schemas.microsoft.com/office/2006/metadata/properties" xmlns:ns2="0f574179-0342-44ce-bf2d-5858e0f76a78" xmlns:ns3="986fc5fc-e195-4d2f-a768-06887fd463ec" targetNamespace="http://schemas.microsoft.com/office/2006/metadata/properties" ma:root="true" ma:fieldsID="00d312d39784bae2e8d176705bde98f8" ns2:_="" ns3:_="">
    <xsd:import namespace="0f574179-0342-44ce-bf2d-5858e0f76a78"/>
    <xsd:import namespace="986fc5fc-e195-4d2f-a768-06887fd463e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574179-0342-44ce-bf2d-5858e0f76a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86fc5fc-e195-4d2f-a768-06887fd463e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E90E83-EB65-416E-9A57-D55AB0E897D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9893A28-11D7-42E6-833C-3A43E6505ABE}">
  <ds:schemaRefs>
    <ds:schemaRef ds:uri="http://schemas.microsoft.com/sharepoint/v3/contenttype/forms"/>
  </ds:schemaRefs>
</ds:datastoreItem>
</file>

<file path=customXml/itemProps3.xml><?xml version="1.0" encoding="utf-8"?>
<ds:datastoreItem xmlns:ds="http://schemas.openxmlformats.org/officeDocument/2006/customXml" ds:itemID="{698ECE70-3ED4-4945-BDE1-967125BDED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574179-0342-44ce-bf2d-5858e0f76a78"/>
    <ds:schemaRef ds:uri="986fc5fc-e195-4d2f-a768-06887fd463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MasterConfig</vt:lpstr>
      <vt:lpstr>Upgrade Data</vt:lpstr>
      <vt:lpstr>SB Alignment</vt:lpstr>
      <vt:lpstr>SB Checklist</vt:lpstr>
      <vt:lpstr>AWS SB Checklist</vt:lpstr>
      <vt:lpstr>SB Validation</vt:lpstr>
      <vt:lpstr>Prod Checklist</vt:lpstr>
      <vt:lpstr>AWS Prod Checklist</vt:lpstr>
      <vt:lpstr>Prod Validation</vt:lpstr>
      <vt:lpstr>Automation</vt:lpstr>
      <vt:lpstr>AutoPop</vt:lpstr>
      <vt:lpstr>Other</vt:lpstr>
      <vt:lpstr>'Prod Validation'!_Hlk19182391</vt:lpstr>
      <vt:lpstr>'SB Validation'!_Hlk19182391</vt:lpstr>
    </vt:vector>
  </TitlesOfParts>
  <Manager/>
  <Company>Planview</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 Tallman</dc:creator>
  <cp:keywords/>
  <dc:description/>
  <cp:lastModifiedBy>Raul Reyes - Admin</cp:lastModifiedBy>
  <cp:revision/>
  <dcterms:created xsi:type="dcterms:W3CDTF">2019-10-30T14:08:43Z</dcterms:created>
  <dcterms:modified xsi:type="dcterms:W3CDTF">2021-01-27T22:54:29Z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0x010100527F7FB738632D4F998043CEB7F27F6F</vt:lpwstr>
  </property>
</Properties>
</file>