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never"/>
  <mc:AlternateContent xmlns:mc="http://schemas.openxmlformats.org/markup-compatibility/2006">
    <mc:Choice Requires="x15">
      <x15ac:absPath xmlns:x15ac="http://schemas.microsoft.com/office/spreadsheetml/2010/11/ac" url="F:\Build Templates\InPlace\"/>
    </mc:Choice>
  </mc:AlternateContent>
  <bookViews>
    <workbookView xWindow="-38520" yWindow="-120" windowWidth="38640" windowHeight="15840" activeTab="1"/>
  </bookViews>
  <sheets>
    <sheet name="MasterConfig" sheetId="25" r:id="rId1"/>
    <sheet name="Build Data" sheetId="3" r:id="rId2"/>
    <sheet name="Jenkins Inputs" sheetId="27" r:id="rId3"/>
    <sheet name="Post Build" sheetId="28" r:id="rId4"/>
    <sheet name="DataRefresh" sheetId="31" state="hidden" r:id="rId5"/>
    <sheet name="Cutover" sheetId="29" state="hidden" r:id="rId6"/>
    <sheet name="SB Alignment" sheetId="16" state="hidden" r:id="rId7"/>
    <sheet name="SB Checklist" sheetId="21" state="hidden" r:id="rId8"/>
    <sheet name="AWS SB Checklist" sheetId="4" state="hidden" r:id="rId9"/>
    <sheet name="SB Validation" sheetId="7" state="hidden" r:id="rId10"/>
    <sheet name="Prod Checklist" sheetId="24" state="hidden" r:id="rId11"/>
    <sheet name="AWS Prod Checklist" sheetId="23" state="hidden" r:id="rId12"/>
    <sheet name="Prod Validation" sheetId="20" state="hidden" r:id="rId13"/>
    <sheet name="Automation" sheetId="26" r:id="rId14"/>
    <sheet name="AutoPop" sheetId="5" state="hidden" r:id="rId15"/>
    <sheet name="Decommision" sheetId="30" state="hidden" r:id="rId16"/>
    <sheet name="Other" sheetId="18" state="hidden" r:id="rId17"/>
  </sheets>
  <externalReferences>
    <externalReference r:id="rId18"/>
  </externalReferences>
  <definedNames>
    <definedName name="_Hlk19182391" localSheetId="12">'Prod Validation'!$A$1</definedName>
    <definedName name="_Hlk19182391" localSheetId="9">'SB Validation'!$A$1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3" l="1"/>
  <c r="I24" i="3"/>
  <c r="I19" i="3"/>
  <c r="I18" i="3"/>
  <c r="C19" i="28"/>
  <c r="C20" i="28"/>
  <c r="C21" i="28"/>
  <c r="C22" i="28"/>
  <c r="C23" i="28"/>
  <c r="C24" i="28"/>
  <c r="C25" i="28"/>
  <c r="C26" i="28"/>
  <c r="C27" i="28"/>
  <c r="I29" i="3"/>
  <c r="I28" i="3"/>
  <c r="F54" i="26"/>
  <c r="F53" i="26"/>
  <c r="F52" i="26"/>
  <c r="F51" i="26"/>
  <c r="F50" i="26"/>
  <c r="F49" i="26"/>
  <c r="H26" i="26"/>
  <c r="F22" i="26"/>
  <c r="H4" i="26"/>
  <c r="H3" i="26"/>
  <c r="H2" i="26"/>
  <c r="D124" i="26"/>
  <c r="C49" i="28"/>
  <c r="C68" i="28"/>
  <c r="C67" i="28"/>
  <c r="C66" i="28"/>
  <c r="C65" i="28"/>
  <c r="C64" i="28"/>
  <c r="C63" i="28"/>
  <c r="C62" i="28"/>
  <c r="C61" i="28"/>
  <c r="C60" i="28"/>
  <c r="C59" i="28"/>
  <c r="C52" i="28"/>
  <c r="C51" i="28"/>
  <c r="C29" i="28"/>
  <c r="C28" i="28"/>
  <c r="C13" i="28"/>
  <c r="C12" i="28"/>
  <c r="C15" i="28"/>
  <c r="C16" i="28"/>
  <c r="C17" i="28"/>
  <c r="C18" i="28"/>
  <c r="C14" i="28"/>
  <c r="H8" i="26"/>
  <c r="H16" i="26"/>
  <c r="H24" i="26"/>
  <c r="D331" i="26"/>
  <c r="F62" i="26"/>
  <c r="F58" i="26"/>
  <c r="F47" i="26"/>
  <c r="F43" i="26"/>
  <c r="H25" i="26"/>
  <c r="F20" i="26"/>
  <c r="G2" i="26"/>
  <c r="F2" i="26"/>
  <c r="F64" i="26"/>
  <c r="F60" i="26"/>
  <c r="F45" i="26"/>
  <c r="F41" i="26"/>
  <c r="G21" i="26"/>
  <c r="H12" i="26"/>
  <c r="D332" i="26"/>
  <c r="F63" i="26"/>
  <c r="F59" i="26"/>
  <c r="F44" i="26"/>
  <c r="F21" i="26"/>
  <c r="H17" i="26"/>
  <c r="G4" i="26"/>
  <c r="F65" i="26"/>
  <c r="F61" i="26"/>
  <c r="F46" i="26"/>
  <c r="F42" i="26"/>
  <c r="F19" i="26"/>
  <c r="F16" i="26"/>
  <c r="G5" i="26"/>
  <c r="G3" i="26"/>
  <c r="F18" i="26"/>
  <c r="F3" i="26"/>
  <c r="F48" i="26"/>
  <c r="H9" i="26"/>
  <c r="C235" i="28"/>
  <c r="C230" i="28"/>
  <c r="C226" i="28"/>
  <c r="C220" i="28"/>
  <c r="C215" i="28"/>
  <c r="C211" i="28"/>
  <c r="C160" i="28"/>
  <c r="C156" i="28"/>
  <c r="C73" i="28"/>
  <c r="C56" i="28"/>
  <c r="C50" i="28"/>
  <c r="C228" i="28"/>
  <c r="C222" i="28"/>
  <c r="C184" i="28"/>
  <c r="C236" i="28"/>
  <c r="C231" i="28"/>
  <c r="C227" i="28"/>
  <c r="C221" i="28"/>
  <c r="C216" i="28"/>
  <c r="C212" i="28"/>
  <c r="C176" i="28"/>
  <c r="C234" i="28"/>
  <c r="C229" i="28"/>
  <c r="C225" i="28"/>
  <c r="C218" i="28"/>
  <c r="C214" i="28"/>
  <c r="C210" i="28"/>
  <c r="C159" i="28"/>
  <c r="C140" i="28"/>
  <c r="C53" i="28"/>
  <c r="C232" i="28"/>
  <c r="C217" i="28"/>
  <c r="C213" i="28"/>
  <c r="C158" i="28"/>
  <c r="C139" i="28"/>
  <c r="C157" i="28"/>
  <c r="C74" i="28"/>
  <c r="C57" i="28"/>
  <c r="B167" i="28" l="1"/>
  <c r="B166" i="28"/>
  <c r="B183" i="28"/>
  <c r="B190" i="28" s="1"/>
  <c r="B175" i="28"/>
  <c r="B182" i="28" s="1"/>
  <c r="B200" i="28"/>
  <c r="B208" i="28" s="1"/>
  <c r="B191" i="28"/>
  <c r="B197" i="28" s="1"/>
  <c r="C11" i="28"/>
  <c r="C10" i="28"/>
  <c r="C7" i="28"/>
  <c r="C5" i="28"/>
  <c r="C4" i="28"/>
  <c r="C200" i="28" l="1"/>
  <c r="C191" i="28"/>
  <c r="C183" i="28"/>
  <c r="C186" i="28" s="1"/>
  <c r="C175" i="28"/>
  <c r="C179" i="28" s="1"/>
  <c r="B176" i="28"/>
  <c r="B203" i="28"/>
  <c r="B177" i="28"/>
  <c r="B185" i="28"/>
  <c r="B204" i="28"/>
  <c r="B178" i="28"/>
  <c r="B186" i="28"/>
  <c r="B201" i="28"/>
  <c r="B187" i="28"/>
  <c r="B202" i="28"/>
  <c r="B184" i="28"/>
  <c r="B205" i="28"/>
  <c r="B179" i="28"/>
  <c r="B206" i="28"/>
  <c r="B180" i="28"/>
  <c r="B188" i="28"/>
  <c r="B207" i="28"/>
  <c r="B181" i="28"/>
  <c r="B189" i="28"/>
  <c r="B193" i="28"/>
  <c r="B198" i="28"/>
  <c r="B199" i="28"/>
  <c r="B192" i="28"/>
  <c r="B194" i="28"/>
  <c r="B195" i="28"/>
  <c r="B196" i="28"/>
  <c r="C164" i="28"/>
  <c r="C163" i="28"/>
  <c r="C181" i="28" l="1"/>
  <c r="C208" i="28"/>
  <c r="C205" i="28"/>
  <c r="C204" i="28"/>
  <c r="C203" i="28"/>
  <c r="C206" i="28"/>
  <c r="C195" i="28"/>
  <c r="C199" i="28"/>
  <c r="C197" i="28"/>
  <c r="C196" i="28"/>
  <c r="C188" i="28"/>
  <c r="C189" i="28"/>
  <c r="C187" i="28"/>
  <c r="C180" i="28"/>
  <c r="C182" i="28"/>
  <c r="C198" i="28" s="1"/>
  <c r="C178" i="28"/>
  <c r="C194" i="28" s="1"/>
  <c r="C9" i="28"/>
  <c r="C8" i="28"/>
  <c r="E224" i="28"/>
  <c r="E209" i="28"/>
  <c r="B172" i="28" l="1"/>
  <c r="H29" i="3"/>
  <c r="H28" i="3"/>
  <c r="B144" i="28" l="1"/>
  <c r="B143" i="28"/>
  <c r="C150" i="28" l="1"/>
  <c r="C148" i="28"/>
  <c r="C134" i="28" l="1"/>
  <c r="C129" i="28"/>
  <c r="B129" i="28"/>
  <c r="B56" i="28"/>
  <c r="C58" i="28"/>
  <c r="D23" i="26"/>
  <c r="B37" i="27" l="1"/>
  <c r="B25" i="27"/>
  <c r="H9" i="3" l="1"/>
  <c r="H8" i="3"/>
  <c r="L14" i="3"/>
  <c r="H14" i="3"/>
  <c r="A20" i="3"/>
  <c r="M21" i="3"/>
  <c r="L22" i="3"/>
  <c r="L21" i="3"/>
  <c r="C22" i="3"/>
  <c r="I21" i="3" s="1"/>
  <c r="L9" i="3"/>
  <c r="L8" i="3"/>
  <c r="E4" i="3"/>
  <c r="E6" i="3"/>
  <c r="E16" i="3" l="1"/>
  <c r="E19" i="3"/>
  <c r="E17" i="3"/>
  <c r="B6" i="3"/>
  <c r="N9" i="3" s="1"/>
  <c r="N3" i="3" l="1"/>
  <c r="D118" i="26"/>
  <c r="H3" i="3" l="1"/>
  <c r="H2" i="3"/>
  <c r="E18" i="3"/>
  <c r="M15" i="3"/>
  <c r="L16" i="3"/>
  <c r="L15" i="3"/>
  <c r="E5" i="3"/>
  <c r="E3" i="3"/>
  <c r="L2" i="3"/>
  <c r="L3" i="3"/>
  <c r="F3" i="3"/>
  <c r="I15" i="3"/>
  <c r="F5" i="3" l="1"/>
  <c r="C153" i="28"/>
  <c r="F4" i="3"/>
  <c r="F6" i="3"/>
  <c r="M8" i="3" s="1"/>
  <c r="I2" i="3"/>
  <c r="C209" i="28" s="1"/>
  <c r="M2" i="3" l="1"/>
  <c r="C147" i="28"/>
  <c r="I8" i="3"/>
  <c r="C224" i="28" s="1"/>
  <c r="B24" i="3"/>
  <c r="E72" i="3" l="1"/>
  <c r="E66" i="3"/>
  <c r="E64" i="3"/>
  <c r="E62" i="3"/>
  <c r="C190" i="28" l="1"/>
  <c r="C207" i="28" s="1"/>
  <c r="D112" i="26" l="1"/>
  <c r="C122" i="28"/>
  <c r="C123" i="28"/>
  <c r="C124" i="28"/>
  <c r="C125" i="28"/>
  <c r="C116" i="28"/>
  <c r="C117" i="28"/>
  <c r="C118" i="28"/>
  <c r="C109" i="28"/>
  <c r="C110" i="28"/>
  <c r="C111" i="28"/>
  <c r="C103" i="28"/>
  <c r="C104" i="28"/>
  <c r="C102" i="28"/>
  <c r="C99" i="28"/>
  <c r="E306" i="26"/>
  <c r="C97" i="28"/>
  <c r="C98" i="28"/>
  <c r="C96" i="28"/>
  <c r="C72" i="28"/>
  <c r="C75" i="28"/>
  <c r="C76" i="28"/>
  <c r="C77" i="28"/>
  <c r="C78" i="28"/>
  <c r="C113" i="28" s="1"/>
  <c r="C79" i="28"/>
  <c r="C71" i="28"/>
  <c r="C105" i="28" l="1"/>
  <c r="C126" i="28"/>
  <c r="C127" i="28"/>
  <c r="C106" i="28"/>
  <c r="C120" i="28"/>
  <c r="C119" i="28"/>
  <c r="C112" i="28"/>
  <c r="C10" i="27" l="1"/>
  <c r="C42" i="27" l="1"/>
  <c r="C41" i="27"/>
  <c r="B42" i="27"/>
  <c r="B41" i="27"/>
  <c r="C20" i="27"/>
  <c r="C19" i="27"/>
  <c r="B20" i="27"/>
  <c r="B19" i="27"/>
  <c r="B11" i="27"/>
  <c r="C11" i="27"/>
  <c r="C9" i="27"/>
  <c r="C31" i="27"/>
  <c r="B31" i="27"/>
  <c r="B9" i="27"/>
  <c r="C29" i="27"/>
  <c r="B29" i="27"/>
  <c r="B30" i="27"/>
  <c r="B7" i="3" l="1"/>
  <c r="C13" i="27"/>
  <c r="J9" i="3" l="1"/>
  <c r="J16" i="3"/>
  <c r="N13" i="3"/>
  <c r="N7" i="3"/>
  <c r="J3" i="3"/>
  <c r="D121" i="26"/>
  <c r="D122" i="26"/>
  <c r="E43" i="27"/>
  <c r="A59" i="27"/>
  <c r="A109" i="27"/>
  <c r="A96" i="27"/>
  <c r="A84" i="27"/>
  <c r="A71" i="27"/>
  <c r="A46" i="27"/>
  <c r="C69" i="27"/>
  <c r="C119" i="27"/>
  <c r="C82" i="27"/>
  <c r="C107" i="27"/>
  <c r="C94" i="27"/>
  <c r="B58" i="27"/>
  <c r="C22" i="27"/>
  <c r="C33" i="27"/>
  <c r="C44" i="27"/>
  <c r="C107" i="3"/>
  <c r="B107" i="3"/>
  <c r="A106" i="3"/>
  <c r="B106" i="3"/>
  <c r="C106" i="3"/>
  <c r="C97" i="3"/>
  <c r="B97" i="3"/>
  <c r="A97" i="3"/>
  <c r="E38" i="3"/>
  <c r="E37" i="3"/>
  <c r="A21" i="3"/>
  <c r="A35" i="3"/>
  <c r="A34" i="3"/>
  <c r="A33" i="3"/>
  <c r="A32" i="3"/>
  <c r="A31" i="3"/>
  <c r="A30" i="3"/>
  <c r="A29" i="3"/>
  <c r="A26" i="3"/>
  <c r="A24" i="3"/>
  <c r="E48" i="3"/>
  <c r="E36" i="3"/>
  <c r="B35" i="3"/>
  <c r="I48" i="3" s="1"/>
  <c r="A105" i="3"/>
  <c r="A96" i="3"/>
  <c r="A87" i="3"/>
  <c r="E55" i="3"/>
  <c r="E52" i="3"/>
  <c r="J48" i="3"/>
  <c r="H48" i="3"/>
  <c r="H55" i="3"/>
  <c r="H52" i="3"/>
  <c r="H49" i="3"/>
  <c r="F48" i="3"/>
  <c r="G48" i="3"/>
  <c r="E49" i="3"/>
  <c r="F36" i="3"/>
  <c r="A25" i="3"/>
  <c r="C57" i="27" l="1"/>
  <c r="B22" i="3"/>
  <c r="H21" i="3" s="1"/>
  <c r="I17" i="3"/>
  <c r="I26" i="3"/>
  <c r="I23" i="3"/>
  <c r="I22" i="3"/>
  <c r="I20" i="3"/>
  <c r="I16" i="3"/>
  <c r="A152" i="5" s="1"/>
  <c r="H16" i="3"/>
  <c r="H15" i="3"/>
  <c r="H22" i="3" l="1"/>
  <c r="J22" i="3"/>
  <c r="E22" i="3"/>
  <c r="A78" i="3"/>
  <c r="C21" i="3"/>
  <c r="B21" i="3"/>
  <c r="C89" i="3"/>
  <c r="B89" i="3"/>
  <c r="A88" i="3"/>
  <c r="B88" i="3"/>
  <c r="C88" i="3"/>
  <c r="C79" i="3"/>
  <c r="C80" i="3"/>
  <c r="B80" i="3"/>
  <c r="B79" i="3"/>
  <c r="A79" i="3"/>
  <c r="A77" i="3"/>
  <c r="A76" i="3"/>
  <c r="A75" i="3"/>
  <c r="A74" i="3"/>
  <c r="A73" i="3"/>
  <c r="A72" i="3"/>
  <c r="A71" i="3"/>
  <c r="A70" i="3"/>
  <c r="A69" i="3"/>
  <c r="A68" i="3"/>
  <c r="A66" i="3"/>
  <c r="A65" i="3"/>
  <c r="A64" i="3"/>
  <c r="A63" i="3"/>
  <c r="A62" i="3"/>
  <c r="A61" i="3"/>
  <c r="A60" i="3"/>
  <c r="A59" i="3"/>
  <c r="A58" i="3"/>
  <c r="A57" i="3"/>
  <c r="A56" i="3"/>
  <c r="A55" i="3"/>
  <c r="A54" i="3"/>
  <c r="A53" i="3"/>
  <c r="A52" i="3"/>
  <c r="A51" i="3"/>
  <c r="A50" i="3"/>
  <c r="A49" i="3"/>
  <c r="A48" i="3"/>
  <c r="A47" i="3"/>
  <c r="A46" i="3"/>
  <c r="A45" i="3"/>
  <c r="A44" i="3"/>
  <c r="A43" i="3"/>
  <c r="A42" i="3"/>
  <c r="A41" i="3"/>
  <c r="A40" i="3"/>
  <c r="A67" i="3"/>
  <c r="A39" i="3"/>
  <c r="A38" i="3"/>
  <c r="A37" i="3"/>
  <c r="A36" i="3"/>
  <c r="A28" i="3"/>
  <c r="A27" i="3"/>
  <c r="A23" i="3"/>
  <c r="A22" i="3"/>
  <c r="A18" i="3"/>
  <c r="A17" i="3"/>
  <c r="E68" i="3" l="1"/>
  <c r="F10" i="3"/>
  <c r="C38" i="3"/>
  <c r="C37" i="3"/>
  <c r="C36" i="3"/>
  <c r="B38" i="3"/>
  <c r="B37" i="3"/>
  <c r="B36" i="3"/>
  <c r="F7" i="3"/>
  <c r="A153" i="5" l="1"/>
  <c r="C23" i="27"/>
  <c r="C2" i="27"/>
  <c r="J7" i="3"/>
  <c r="J13" i="3"/>
  <c r="D325" i="26"/>
  <c r="C93" i="28" s="1"/>
  <c r="D317" i="26"/>
  <c r="C85" i="28" s="1"/>
  <c r="D324" i="26"/>
  <c r="C92" i="28" s="1"/>
  <c r="D316" i="26"/>
  <c r="C84" i="28" s="1"/>
  <c r="D315" i="26"/>
  <c r="C83" i="28" s="1"/>
  <c r="D323" i="26"/>
  <c r="C91" i="28" s="1"/>
  <c r="D322" i="26"/>
  <c r="C90" i="28" s="1"/>
  <c r="D314" i="26"/>
  <c r="C82" i="28" s="1"/>
  <c r="D312" i="26"/>
  <c r="C80" i="28" s="1"/>
  <c r="D318" i="26"/>
  <c r="C86" i="28" s="1"/>
  <c r="D321" i="26"/>
  <c r="C89" i="28" s="1"/>
  <c r="D313" i="26"/>
  <c r="C81" i="28" s="1"/>
  <c r="D320" i="26"/>
  <c r="C88" i="28" s="1"/>
  <c r="D319" i="26"/>
  <c r="C87" i="28" s="1"/>
  <c r="E70" i="3"/>
  <c r="E4" i="5"/>
  <c r="E5" i="5"/>
  <c r="E3" i="5"/>
  <c r="C152" i="28" l="1"/>
  <c r="C149" i="28"/>
  <c r="B8" i="27"/>
  <c r="B7" i="27"/>
  <c r="D21" i="5"/>
  <c r="M4" i="3" s="1"/>
  <c r="C35" i="5"/>
  <c r="C21" i="5"/>
  <c r="D36" i="5"/>
  <c r="I5" i="3" s="1"/>
  <c r="D22" i="5"/>
  <c r="M5" i="3" s="1"/>
  <c r="D13" i="5"/>
  <c r="I9" i="3" s="1"/>
  <c r="D14" i="5"/>
  <c r="I10" i="3" s="1"/>
  <c r="C16" i="5"/>
  <c r="D20" i="5"/>
  <c r="M3" i="3" s="1"/>
  <c r="C13" i="5"/>
  <c r="D17" i="5"/>
  <c r="I13" i="3" s="1"/>
  <c r="D38" i="5"/>
  <c r="I7" i="3" s="1"/>
  <c r="D27" i="5"/>
  <c r="M9" i="3" s="1"/>
  <c r="C34" i="5"/>
  <c r="C20" i="5"/>
  <c r="D35" i="5"/>
  <c r="I4" i="3" s="1"/>
  <c r="D24" i="5"/>
  <c r="M7" i="3" s="1"/>
  <c r="C30" i="5"/>
  <c r="D34" i="5"/>
  <c r="I3" i="3" s="1"/>
  <c r="C23" i="5"/>
  <c r="C36" i="5"/>
  <c r="C29" i="5"/>
  <c r="C15" i="5"/>
  <c r="D31" i="5"/>
  <c r="M13" i="3" s="1"/>
  <c r="I14" i="5"/>
  <c r="C28" i="5"/>
  <c r="C14" i="5"/>
  <c r="C27" i="5"/>
  <c r="D29" i="5"/>
  <c r="M11" i="3" s="1"/>
  <c r="C37" i="5"/>
  <c r="D28" i="5"/>
  <c r="M10" i="3" s="1"/>
  <c r="C22" i="5"/>
  <c r="D15" i="5"/>
  <c r="I11" i="3" s="1"/>
  <c r="I28" i="5"/>
  <c r="I34" i="5"/>
  <c r="I21" i="5"/>
  <c r="D23" i="5"/>
  <c r="M6" i="3" s="1"/>
  <c r="D16" i="5"/>
  <c r="I12" i="3" s="1"/>
  <c r="D37" i="5"/>
  <c r="I6" i="3" s="1"/>
  <c r="D30" i="5"/>
  <c r="M12" i="3" s="1"/>
  <c r="B10" i="28"/>
  <c r="E25" i="27"/>
  <c r="E26" i="27" s="1"/>
  <c r="E37" i="27"/>
  <c r="E38" i="27" s="1"/>
  <c r="C46" i="27"/>
  <c r="C86" i="27"/>
  <c r="C98" i="27"/>
  <c r="C111" i="27"/>
  <c r="C48" i="27"/>
  <c r="B61" i="27"/>
  <c r="C61" i="27"/>
  <c r="B48" i="27"/>
  <c r="C73" i="27"/>
  <c r="B98" i="27"/>
  <c r="B111" i="27"/>
  <c r="B86" i="27"/>
  <c r="B73" i="27"/>
  <c r="I37" i="26"/>
  <c r="C192" i="28" l="1"/>
  <c r="C201" i="28"/>
  <c r="C165" i="28"/>
  <c r="G13" i="5"/>
  <c r="H13" i="5"/>
  <c r="B138" i="28" l="1"/>
  <c r="B171" i="28"/>
  <c r="B170" i="28"/>
  <c r="B169" i="28"/>
  <c r="B168" i="28"/>
  <c r="B162" i="28"/>
  <c r="B155" i="28"/>
  <c r="B147" i="28"/>
  <c r="C43" i="27"/>
  <c r="C32" i="27"/>
  <c r="C21" i="27"/>
  <c r="C12" i="27"/>
  <c r="E15" i="3"/>
  <c r="B146" i="28"/>
  <c r="C6" i="27" l="1"/>
  <c r="B10" i="27"/>
  <c r="D46" i="5" l="1"/>
  <c r="D42" i="5"/>
  <c r="A42" i="5"/>
  <c r="C44" i="5"/>
  <c r="B46" i="5"/>
  <c r="B44" i="5"/>
  <c r="C48" i="5"/>
  <c r="B48" i="5"/>
  <c r="B42" i="5"/>
  <c r="C46" i="5"/>
  <c r="C42" i="5"/>
  <c r="D48" i="5"/>
  <c r="G14" i="5" s="1"/>
  <c r="D44" i="5"/>
  <c r="C27" i="27"/>
  <c r="C40" i="27"/>
  <c r="C28" i="27"/>
  <c r="C18" i="27"/>
  <c r="C39" i="27"/>
  <c r="C5" i="27"/>
  <c r="C17" i="27"/>
  <c r="C113" i="3"/>
  <c r="B113" i="3"/>
  <c r="C112" i="3"/>
  <c r="B112" i="3"/>
  <c r="C111" i="3"/>
  <c r="B111" i="3"/>
  <c r="C110" i="3"/>
  <c r="B110" i="3"/>
  <c r="C109" i="3"/>
  <c r="B109" i="3"/>
  <c r="C108" i="3"/>
  <c r="B108" i="3"/>
  <c r="C102" i="3"/>
  <c r="C49" i="5" l="1"/>
  <c r="C45" i="5"/>
  <c r="C47" i="5"/>
  <c r="C43" i="5"/>
  <c r="B43" i="5"/>
  <c r="B47" i="5"/>
  <c r="B45" i="5"/>
  <c r="B49" i="5"/>
  <c r="D45" i="5"/>
  <c r="D43" i="5"/>
  <c r="D49" i="5"/>
  <c r="H14" i="5" s="1"/>
  <c r="D47" i="5"/>
  <c r="B139" i="28"/>
  <c r="B141" i="28"/>
  <c r="C14" i="27"/>
  <c r="C35" i="27"/>
  <c r="C4" i="27"/>
  <c r="C26" i="27"/>
  <c r="N26" i="3"/>
  <c r="N25" i="3"/>
  <c r="N24" i="3"/>
  <c r="N23" i="3"/>
  <c r="N20" i="3"/>
  <c r="N19" i="3"/>
  <c r="N18" i="3"/>
  <c r="N17" i="3"/>
  <c r="E76" i="3"/>
  <c r="I38" i="26"/>
  <c r="F22" i="3"/>
  <c r="J17" i="3"/>
  <c r="J18" i="3"/>
  <c r="J19" i="3"/>
  <c r="J20" i="3"/>
  <c r="J24" i="3"/>
  <c r="J25" i="3"/>
  <c r="J26" i="3"/>
  <c r="J23" i="3"/>
  <c r="B131" i="28" l="1"/>
  <c r="C131" i="28"/>
  <c r="B130" i="28"/>
  <c r="E85" i="3"/>
  <c r="E83" i="3"/>
  <c r="E78" i="3"/>
  <c r="E75" i="3"/>
  <c r="E77" i="3"/>
  <c r="E74" i="3"/>
  <c r="C34" i="27"/>
  <c r="I56" i="26"/>
  <c r="C68" i="27"/>
  <c r="C118" i="27"/>
  <c r="C93" i="27"/>
  <c r="C106" i="27"/>
  <c r="C81" i="27"/>
  <c r="C56" i="27"/>
  <c r="B95" i="27"/>
  <c r="E60" i="27" s="1"/>
  <c r="C116" i="27"/>
  <c r="B69" i="27"/>
  <c r="B119" i="27"/>
  <c r="B70" i="27"/>
  <c r="C102" i="27"/>
  <c r="B83" i="27"/>
  <c r="B82" i="27"/>
  <c r="C91" i="27"/>
  <c r="C66" i="27"/>
  <c r="C90" i="27"/>
  <c r="C65" i="27"/>
  <c r="C103" i="27"/>
  <c r="B94" i="27"/>
  <c r="C78" i="27"/>
  <c r="C77" i="27"/>
  <c r="C53" i="27"/>
  <c r="B120" i="27"/>
  <c r="E85" i="27" s="1"/>
  <c r="C104" i="27"/>
  <c r="C52" i="27"/>
  <c r="B108" i="27"/>
  <c r="B57" i="27"/>
  <c r="B107" i="27"/>
  <c r="C115" i="27"/>
  <c r="B138" i="27"/>
  <c r="B134" i="27"/>
  <c r="C130" i="27"/>
  <c r="B126" i="27"/>
  <c r="B122" i="27"/>
  <c r="B114" i="27"/>
  <c r="B106" i="27"/>
  <c r="B100" i="27"/>
  <c r="B92" i="27"/>
  <c r="B87" i="27"/>
  <c r="B78" i="27"/>
  <c r="B72" i="27"/>
  <c r="B64" i="27"/>
  <c r="B56" i="27"/>
  <c r="B50" i="27"/>
  <c r="C141" i="27"/>
  <c r="C137" i="27"/>
  <c r="E133" i="27"/>
  <c r="B130" i="27"/>
  <c r="C121" i="27"/>
  <c r="B77" i="27"/>
  <c r="B55" i="27"/>
  <c r="B47" i="27"/>
  <c r="B141" i="27"/>
  <c r="E110" i="27" s="1"/>
  <c r="B137" i="27"/>
  <c r="B129" i="27"/>
  <c r="B125" i="27"/>
  <c r="B121" i="27"/>
  <c r="B113" i="27"/>
  <c r="B104" i="27"/>
  <c r="B99" i="27"/>
  <c r="B90" i="27"/>
  <c r="B85" i="27"/>
  <c r="B71" i="27"/>
  <c r="B63" i="27"/>
  <c r="B54" i="27"/>
  <c r="B49" i="27"/>
  <c r="C140" i="27"/>
  <c r="B133" i="27"/>
  <c r="C128" i="27"/>
  <c r="C124" i="27"/>
  <c r="B118" i="27"/>
  <c r="B103" i="27"/>
  <c r="B97" i="27"/>
  <c r="C84" i="27"/>
  <c r="B76" i="27"/>
  <c r="B53" i="27"/>
  <c r="B140" i="27"/>
  <c r="B136" i="27"/>
  <c r="C132" i="27"/>
  <c r="B128" i="27"/>
  <c r="B124" i="27"/>
  <c r="B117" i="27"/>
  <c r="B112" i="27"/>
  <c r="B102" i="27"/>
  <c r="C96" i="27"/>
  <c r="B89" i="27"/>
  <c r="B84" i="27"/>
  <c r="C75" i="27"/>
  <c r="B67" i="27"/>
  <c r="B62" i="27"/>
  <c r="B52" i="27"/>
  <c r="B51" i="27"/>
  <c r="C138" i="27"/>
  <c r="B131" i="27"/>
  <c r="C100" i="27"/>
  <c r="B74" i="27"/>
  <c r="C50" i="27"/>
  <c r="B105" i="27"/>
  <c r="C139" i="27"/>
  <c r="B132" i="27"/>
  <c r="C127" i="27"/>
  <c r="B116" i="27"/>
  <c r="B110" i="27"/>
  <c r="B96" i="27"/>
  <c r="B81" i="27"/>
  <c r="B75" i="27"/>
  <c r="B66" i="27"/>
  <c r="B60" i="27"/>
  <c r="B46" i="27"/>
  <c r="C126" i="27"/>
  <c r="B109" i="27"/>
  <c r="B79" i="27"/>
  <c r="B91" i="27"/>
  <c r="C71" i="27"/>
  <c r="B68" i="27"/>
  <c r="B139" i="27"/>
  <c r="B135" i="27"/>
  <c r="C131" i="27"/>
  <c r="B127" i="27"/>
  <c r="B123" i="27"/>
  <c r="B115" i="27"/>
  <c r="C109" i="27"/>
  <c r="B101" i="27"/>
  <c r="B88" i="27"/>
  <c r="B80" i="27"/>
  <c r="B65" i="27"/>
  <c r="C59" i="27"/>
  <c r="B93" i="27"/>
  <c r="B59" i="27"/>
  <c r="C54" i="27"/>
  <c r="C67" i="27"/>
  <c r="C79" i="27"/>
  <c r="C92" i="27"/>
  <c r="C117" i="27"/>
  <c r="C16" i="27"/>
  <c r="C38" i="27"/>
  <c r="B2" i="28"/>
  <c r="C2" i="28"/>
  <c r="B35" i="27"/>
  <c r="B23" i="27"/>
  <c r="B14" i="27"/>
  <c r="B2" i="27"/>
  <c r="E84" i="3" l="1"/>
  <c r="C112" i="27"/>
  <c r="E87" i="3"/>
  <c r="C64" i="27"/>
  <c r="E86" i="3"/>
  <c r="C101" i="27"/>
  <c r="C99" i="27"/>
  <c r="C45" i="27"/>
  <c r="C58" i="27"/>
  <c r="C120" i="27"/>
  <c r="C83" i="27"/>
  <c r="C108" i="27"/>
  <c r="C70" i="27"/>
  <c r="C95" i="27"/>
  <c r="C135" i="28"/>
  <c r="C130" i="28"/>
  <c r="B137" i="28"/>
  <c r="C137" i="28"/>
  <c r="C113" i="27"/>
  <c r="C136" i="28"/>
  <c r="B135" i="28"/>
  <c r="B136" i="28"/>
  <c r="C132" i="28"/>
  <c r="B132" i="28"/>
  <c r="C125" i="27"/>
  <c r="C134" i="27"/>
  <c r="C135" i="27"/>
  <c r="C136" i="27"/>
  <c r="C123" i="27"/>
  <c r="C88" i="27"/>
  <c r="C63" i="27"/>
  <c r="C87" i="27"/>
  <c r="C114" i="27"/>
  <c r="C89" i="27"/>
  <c r="C49" i="27"/>
  <c r="C62" i="27"/>
  <c r="C51" i="27"/>
  <c r="C74" i="27"/>
  <c r="C76" i="27"/>
  <c r="C83" i="16"/>
  <c r="C73" i="21" l="1"/>
  <c r="C120" i="21"/>
  <c r="F86" i="26" l="1"/>
  <c r="C30" i="16" l="1"/>
  <c r="C42" i="16"/>
  <c r="C41" i="16"/>
  <c r="C40" i="16"/>
  <c r="C45" i="16"/>
  <c r="C133" i="21"/>
  <c r="C136" i="21"/>
  <c r="B136" i="21"/>
  <c r="B135" i="21"/>
  <c r="B134" i="21"/>
  <c r="B133" i="21"/>
  <c r="B132" i="21"/>
  <c r="C124" i="24"/>
  <c r="C123" i="24"/>
  <c r="C121" i="24"/>
  <c r="B125" i="24"/>
  <c r="B124" i="24"/>
  <c r="B123" i="24"/>
  <c r="B122" i="24"/>
  <c r="B121" i="24"/>
  <c r="B120" i="24"/>
  <c r="E120" i="24" s="1"/>
  <c r="C79" i="24"/>
  <c r="C78" i="24"/>
  <c r="B80" i="24"/>
  <c r="B79" i="24"/>
  <c r="B78" i="24"/>
  <c r="B77" i="24"/>
  <c r="B76" i="24"/>
  <c r="E76" i="24" s="1"/>
  <c r="C82" i="21"/>
  <c r="C85" i="21"/>
  <c r="B86" i="21"/>
  <c r="B85" i="21"/>
  <c r="B84" i="21"/>
  <c r="B83" i="21"/>
  <c r="B82" i="21"/>
  <c r="B81" i="21"/>
  <c r="B167" i="24" l="1"/>
  <c r="B183" i="21"/>
  <c r="C161" i="24"/>
  <c r="B174" i="24"/>
  <c r="B162" i="24"/>
  <c r="B163" i="24"/>
  <c r="B164" i="24"/>
  <c r="B165" i="24"/>
  <c r="B166" i="24"/>
  <c r="B168" i="24"/>
  <c r="B169" i="24"/>
  <c r="B170" i="24"/>
  <c r="B171" i="24"/>
  <c r="B172" i="24"/>
  <c r="B173" i="24"/>
  <c r="B161" i="24"/>
  <c r="C175" i="16"/>
  <c r="B131" i="21"/>
  <c r="C79" i="21"/>
  <c r="C129" i="21"/>
  <c r="C110" i="24"/>
  <c r="C70" i="24"/>
  <c r="C75" i="24" l="1"/>
  <c r="C125" i="24" s="1"/>
  <c r="C80" i="24"/>
  <c r="C21" i="24"/>
  <c r="C17" i="24"/>
  <c r="C14" i="24"/>
  <c r="C12" i="24"/>
  <c r="C11" i="24"/>
  <c r="C3" i="21"/>
  <c r="C3" i="24" s="1"/>
  <c r="E176" i="21"/>
  <c r="B178" i="21"/>
  <c r="B179" i="21"/>
  <c r="B180" i="21"/>
  <c r="B181" i="21"/>
  <c r="B182" i="21"/>
  <c r="B184" i="21"/>
  <c r="B185" i="21"/>
  <c r="B186" i="21"/>
  <c r="B187" i="21"/>
  <c r="B188" i="21"/>
  <c r="B189" i="21"/>
  <c r="B190" i="21"/>
  <c r="B177" i="21"/>
  <c r="C4" i="21"/>
  <c r="C4" i="24" s="1"/>
  <c r="C10" i="21"/>
  <c r="C11" i="21"/>
  <c r="C13" i="21"/>
  <c r="C119" i="24" l="1"/>
  <c r="C28" i="16"/>
  <c r="C76" i="16"/>
  <c r="C128" i="16"/>
  <c r="C127" i="16"/>
  <c r="C124" i="16"/>
  <c r="B129" i="16"/>
  <c r="B141" i="16"/>
  <c r="C120" i="16"/>
  <c r="C121" i="16"/>
  <c r="C122" i="16"/>
  <c r="C123" i="16"/>
  <c r="C93" i="16"/>
  <c r="C94" i="16"/>
  <c r="C97" i="16"/>
  <c r="C98" i="16"/>
  <c r="C99" i="16"/>
  <c r="C100" i="16"/>
  <c r="C92" i="16"/>
  <c r="C119" i="16"/>
  <c r="C118" i="16"/>
  <c r="C132" i="16" l="1"/>
  <c r="C129" i="16"/>
  <c r="C130" i="16"/>
  <c r="C131" i="16"/>
  <c r="C140" i="16"/>
  <c r="C139" i="16"/>
  <c r="C138" i="16"/>
  <c r="C137" i="16"/>
  <c r="C134" i="16"/>
  <c r="C136" i="16"/>
  <c r="C135" i="16"/>
  <c r="B24" i="16"/>
  <c r="C161" i="16"/>
  <c r="B161" i="16"/>
  <c r="C86" i="16"/>
  <c r="E175" i="16"/>
  <c r="B165" i="16" l="1"/>
  <c r="C144" i="4"/>
  <c r="C79" i="16"/>
  <c r="C165" i="16" l="1"/>
  <c r="C47" i="16"/>
  <c r="C52" i="16"/>
  <c r="C24" i="21"/>
  <c r="C22" i="24" s="1"/>
  <c r="C22" i="21"/>
  <c r="C20" i="24" s="1"/>
  <c r="C21" i="21"/>
  <c r="C19" i="24" s="1"/>
  <c r="C18" i="21"/>
  <c r="C16" i="24" s="1"/>
  <c r="D72" i="26" l="1"/>
  <c r="D70" i="26"/>
  <c r="C15" i="21" s="1"/>
  <c r="B79" i="16" l="1"/>
  <c r="B78" i="16"/>
  <c r="B77" i="16"/>
  <c r="B80" i="16"/>
  <c r="F26" i="26"/>
  <c r="F25" i="26"/>
  <c r="F24" i="26"/>
  <c r="C51" i="16"/>
  <c r="D21" i="26"/>
  <c r="D15" i="26"/>
  <c r="C95" i="3"/>
  <c r="C94" i="3"/>
  <c r="C93" i="3"/>
  <c r="C92" i="3"/>
  <c r="C91" i="3"/>
  <c r="C90" i="3"/>
  <c r="B95" i="3"/>
  <c r="B94" i="3"/>
  <c r="B93" i="3"/>
  <c r="B92" i="3"/>
  <c r="B90" i="3"/>
  <c r="B91" i="3"/>
  <c r="C84" i="3"/>
  <c r="C86" i="3"/>
  <c r="C85" i="3"/>
  <c r="B86" i="3"/>
  <c r="B85" i="3"/>
  <c r="B84" i="3"/>
  <c r="B83" i="3"/>
  <c r="C83" i="3"/>
  <c r="C82" i="3"/>
  <c r="C81" i="3"/>
  <c r="B82" i="3"/>
  <c r="B81" i="3"/>
  <c r="B38" i="24" l="1"/>
  <c r="B32" i="24"/>
  <c r="B36" i="24"/>
  <c r="B31" i="24"/>
  <c r="B39" i="24"/>
  <c r="B40" i="24"/>
  <c r="B34" i="24"/>
  <c r="B35" i="24"/>
  <c r="B30" i="24"/>
  <c r="B43" i="24"/>
  <c r="B42" i="24"/>
  <c r="C39" i="24"/>
  <c r="C43" i="24"/>
  <c r="C35" i="24"/>
  <c r="C31" i="24"/>
  <c r="C36" i="24"/>
  <c r="C32" i="24"/>
  <c r="C40" i="24"/>
  <c r="B27" i="24"/>
  <c r="B28" i="24"/>
  <c r="C27" i="24"/>
  <c r="B26" i="24"/>
  <c r="C28" i="24"/>
  <c r="C38" i="21"/>
  <c r="C42" i="21"/>
  <c r="C34" i="21"/>
  <c r="C30" i="21"/>
  <c r="C46" i="21"/>
  <c r="B46" i="21"/>
  <c r="B45" i="21"/>
  <c r="C44" i="21"/>
  <c r="C41" i="24" s="1"/>
  <c r="C39" i="21"/>
  <c r="C43" i="21"/>
  <c r="C35" i="21"/>
  <c r="B34" i="21"/>
  <c r="C40" i="21"/>
  <c r="C37" i="24" s="1"/>
  <c r="B27" i="16"/>
  <c r="B35" i="21"/>
  <c r="C36" i="21"/>
  <c r="C33" i="24" s="1"/>
  <c r="B37" i="21"/>
  <c r="C32" i="21"/>
  <c r="C29" i="24" s="1"/>
  <c r="C24" i="16"/>
  <c r="B30" i="21"/>
  <c r="B41" i="21"/>
  <c r="B30" i="16"/>
  <c r="B31" i="21"/>
  <c r="B33" i="21"/>
  <c r="C26" i="16"/>
  <c r="B38" i="21"/>
  <c r="C28" i="21"/>
  <c r="C25" i="24" s="1"/>
  <c r="C31" i="21"/>
  <c r="B29" i="21"/>
  <c r="B39" i="21"/>
  <c r="B42" i="21"/>
  <c r="B43" i="21"/>
  <c r="B26" i="16"/>
  <c r="C27" i="16"/>
  <c r="B29" i="16"/>
  <c r="B25" i="16"/>
  <c r="C44" i="16"/>
  <c r="B39" i="16"/>
  <c r="C35" i="16"/>
  <c r="C38" i="16"/>
  <c r="C37" i="16"/>
  <c r="C34" i="16"/>
  <c r="C33" i="16"/>
  <c r="C32" i="16"/>
  <c r="C164" i="16" l="1"/>
  <c r="C162" i="16" l="1"/>
  <c r="B162" i="16"/>
  <c r="B164" i="16"/>
  <c r="C163" i="16"/>
  <c r="B163" i="16"/>
  <c r="B147" i="23" l="1"/>
  <c r="D147" i="23" s="1"/>
  <c r="B99" i="4"/>
  <c r="D99" i="4" s="1"/>
  <c r="B144" i="4"/>
  <c r="B102" i="23"/>
  <c r="D102" i="23" s="1"/>
  <c r="E147" i="23" l="1"/>
  <c r="E99" i="4"/>
  <c r="B4" i="16"/>
  <c r="D4" i="16" s="1"/>
  <c r="B6" i="16"/>
  <c r="C6" i="16" s="1"/>
  <c r="B5" i="16"/>
  <c r="D160" i="16"/>
  <c r="C158" i="16"/>
  <c r="C156" i="16"/>
  <c r="C154" i="16"/>
  <c r="C152" i="16"/>
  <c r="C150" i="16"/>
  <c r="C148" i="16"/>
  <c r="C146" i="16"/>
  <c r="C144" i="16"/>
  <c r="C142" i="16"/>
  <c r="B159" i="16"/>
  <c r="D141" i="16"/>
  <c r="D129" i="16"/>
  <c r="D159" i="16" l="1"/>
  <c r="C159" i="16"/>
  <c r="C125" i="21" l="1"/>
  <c r="C132" i="21" s="1"/>
  <c r="D120" i="24"/>
  <c r="D76" i="24"/>
  <c r="D131" i="21"/>
  <c r="E131" i="21"/>
  <c r="D81" i="21"/>
  <c r="E6" i="24"/>
  <c r="E14" i="21"/>
  <c r="E6" i="21"/>
  <c r="E81" i="21" l="1"/>
  <c r="B107" i="23"/>
  <c r="C57" i="23"/>
  <c r="C58" i="23"/>
  <c r="C59" i="23"/>
  <c r="C60" i="23"/>
  <c r="C61" i="23"/>
  <c r="C62" i="23"/>
  <c r="C63" i="23"/>
  <c r="C64" i="23"/>
  <c r="C65" i="23"/>
  <c r="C66" i="23"/>
  <c r="C67" i="23"/>
  <c r="C68" i="23"/>
  <c r="C69" i="23"/>
  <c r="C70" i="23"/>
  <c r="C71" i="23"/>
  <c r="C72" i="23"/>
  <c r="C73" i="23"/>
  <c r="C74" i="23"/>
  <c r="C75" i="23"/>
  <c r="C76" i="23"/>
  <c r="C77" i="23"/>
  <c r="C56" i="23"/>
  <c r="C74" i="4" l="1"/>
  <c r="C54" i="4"/>
  <c r="C55" i="4"/>
  <c r="C56" i="4"/>
  <c r="C57" i="4"/>
  <c r="C58" i="4"/>
  <c r="C59" i="4"/>
  <c r="C60" i="4"/>
  <c r="C61" i="4"/>
  <c r="C62" i="4"/>
  <c r="C63" i="4"/>
  <c r="C64" i="4"/>
  <c r="C65" i="4"/>
  <c r="C66" i="4"/>
  <c r="C67" i="4"/>
  <c r="C68" i="4"/>
  <c r="C69" i="4"/>
  <c r="C70" i="4"/>
  <c r="C71" i="4"/>
  <c r="C72" i="4"/>
  <c r="C73" i="4"/>
  <c r="C53" i="4"/>
  <c r="B102" i="4"/>
  <c r="B103" i="4"/>
  <c r="B104" i="4"/>
  <c r="C99" i="4"/>
  <c r="C36" i="27"/>
  <c r="B81" i="16"/>
  <c r="B2" i="21"/>
  <c r="B2" i="24"/>
  <c r="F11" i="26" l="1"/>
  <c r="C37" i="21"/>
  <c r="C124" i="21"/>
  <c r="C75" i="21"/>
  <c r="C80" i="16"/>
  <c r="B150" i="23" l="1"/>
  <c r="B149" i="23"/>
  <c r="B148" i="23"/>
  <c r="B151" i="23"/>
  <c r="C147" i="23"/>
  <c r="C102" i="23"/>
  <c r="B106" i="23"/>
  <c r="B105" i="23"/>
  <c r="B104" i="23"/>
  <c r="B103" i="23"/>
  <c r="C106" i="23"/>
  <c r="B101" i="4"/>
  <c r="B100" i="4"/>
  <c r="C103" i="4"/>
  <c r="B75" i="5"/>
  <c r="B148" i="4"/>
  <c r="B147" i="4"/>
  <c r="B146" i="4"/>
  <c r="B145" i="4"/>
  <c r="C15" i="27"/>
  <c r="C76" i="4"/>
  <c r="C3" i="27"/>
  <c r="B145" i="28" l="1"/>
  <c r="C64" i="21"/>
  <c r="C88" i="16"/>
  <c r="C89" i="16"/>
  <c r="C87" i="16"/>
  <c r="C181" i="16"/>
  <c r="C183" i="21" s="1"/>
  <c r="C67" i="21"/>
  <c r="C25" i="16"/>
  <c r="C29" i="21"/>
  <c r="C33" i="21"/>
  <c r="C119" i="21"/>
  <c r="C69" i="21"/>
  <c r="F12" i="26"/>
  <c r="C41" i="21"/>
  <c r="F8" i="26"/>
  <c r="C30" i="24"/>
  <c r="C173" i="24"/>
  <c r="C172" i="24"/>
  <c r="C174" i="24"/>
  <c r="C66" i="24"/>
  <c r="C26" i="24"/>
  <c r="C61" i="24"/>
  <c r="B56" i="16"/>
  <c r="C56" i="16" s="1"/>
  <c r="D56" i="16" s="1"/>
  <c r="C86" i="21"/>
  <c r="C80" i="21"/>
  <c r="B80" i="21"/>
  <c r="B130" i="21"/>
  <c r="C130" i="21" s="1"/>
  <c r="C69" i="24"/>
  <c r="C72" i="21"/>
  <c r="C7" i="24"/>
  <c r="B137" i="21"/>
  <c r="C137" i="21" s="1"/>
  <c r="C171" i="24"/>
  <c r="C167" i="24"/>
  <c r="C183" i="16"/>
  <c r="C185" i="21" s="1"/>
  <c r="C170" i="24"/>
  <c r="C180" i="16"/>
  <c r="C182" i="21" s="1"/>
  <c r="C169" i="24"/>
  <c r="C168" i="24"/>
  <c r="C187" i="21"/>
  <c r="C182" i="16"/>
  <c r="C184" i="21" s="1"/>
  <c r="C177" i="16"/>
  <c r="C179" i="21" s="1"/>
  <c r="C176" i="16"/>
  <c r="C178" i="21" s="1"/>
  <c r="C179" i="16"/>
  <c r="C181" i="21" s="1"/>
  <c r="C178" i="16"/>
  <c r="C180" i="21" s="1"/>
  <c r="C184" i="16"/>
  <c r="C186" i="21" s="1"/>
  <c r="C118" i="24"/>
  <c r="C162" i="24"/>
  <c r="C74" i="24"/>
  <c r="C166" i="24"/>
  <c r="C165" i="24"/>
  <c r="C163" i="24"/>
  <c r="C164" i="24"/>
  <c r="F9" i="26"/>
  <c r="F6" i="26"/>
  <c r="C38" i="24"/>
  <c r="C42" i="24"/>
  <c r="C45" i="21"/>
  <c r="F15" i="26"/>
  <c r="C29" i="16"/>
  <c r="C101" i="16"/>
  <c r="C72" i="16"/>
  <c r="C71" i="16"/>
  <c r="C70" i="16"/>
  <c r="C75" i="16"/>
  <c r="C74" i="16"/>
  <c r="C73" i="16"/>
  <c r="C64" i="16"/>
  <c r="C114" i="16"/>
  <c r="C103" i="16"/>
  <c r="C110" i="16"/>
  <c r="C106" i="16"/>
  <c r="C113" i="16"/>
  <c r="C102" i="16"/>
  <c r="C109" i="16"/>
  <c r="C105" i="16"/>
  <c r="C112" i="16"/>
  <c r="C108" i="16"/>
  <c r="C104" i="16"/>
  <c r="C115" i="16"/>
  <c r="C107" i="16"/>
  <c r="C111" i="16"/>
  <c r="B62" i="16"/>
  <c r="F7" i="26"/>
  <c r="F13" i="26"/>
  <c r="C155" i="16"/>
  <c r="C147" i="16"/>
  <c r="C141" i="16"/>
  <c r="C143" i="16"/>
  <c r="C149" i="16"/>
  <c r="C153" i="16"/>
  <c r="C145" i="16"/>
  <c r="C151" i="16"/>
  <c r="C157" i="16"/>
  <c r="F14" i="26"/>
  <c r="C36" i="16"/>
  <c r="C43" i="16"/>
  <c r="B33" i="16"/>
  <c r="C7" i="21"/>
  <c r="F38" i="26"/>
  <c r="B18" i="16"/>
  <c r="C18" i="16" s="1"/>
  <c r="C10" i="20"/>
  <c r="C6" i="20"/>
  <c r="C5" i="20"/>
  <c r="C4" i="20"/>
  <c r="C3" i="20"/>
  <c r="C8" i="20"/>
  <c r="C7" i="20"/>
  <c r="C3" i="7"/>
  <c r="C4" i="7"/>
  <c r="C5" i="7"/>
  <c r="C6" i="7"/>
  <c r="C7" i="7"/>
  <c r="C8" i="7"/>
  <c r="C10" i="7"/>
  <c r="C65" i="24"/>
  <c r="B65" i="24"/>
  <c r="C68" i="21"/>
  <c r="B95" i="23"/>
  <c r="C95" i="23"/>
  <c r="B13" i="16"/>
  <c r="C13" i="16" s="1"/>
  <c r="B14" i="16"/>
  <c r="C14" i="16" s="1"/>
  <c r="B15" i="16"/>
  <c r="C15" i="16" s="1"/>
  <c r="B12" i="16"/>
  <c r="C12" i="16" s="1"/>
  <c r="B10" i="16"/>
  <c r="C10" i="16" s="1"/>
  <c r="B9" i="16"/>
  <c r="C9" i="16" s="1"/>
  <c r="B11" i="16"/>
  <c r="C11" i="16" s="1"/>
  <c r="B8" i="16"/>
  <c r="C8" i="16" s="1"/>
  <c r="B7" i="16"/>
  <c r="C7" i="16" s="1"/>
  <c r="B21" i="16"/>
  <c r="C21" i="16" s="1"/>
  <c r="B22" i="16"/>
  <c r="C22" i="16" s="1"/>
  <c r="C92" i="4"/>
  <c r="B92" i="4"/>
  <c r="B68" i="21"/>
  <c r="B76" i="16"/>
  <c r="F2" i="7"/>
  <c r="F2" i="20"/>
  <c r="C81" i="16"/>
  <c r="C109" i="24"/>
  <c r="B23" i="16"/>
  <c r="C23" i="16" s="1"/>
  <c r="C100" i="4"/>
  <c r="B16" i="16"/>
  <c r="C16" i="16" s="1"/>
  <c r="B17" i="16"/>
  <c r="C146" i="4"/>
  <c r="C144" i="23"/>
  <c r="B19" i="16"/>
  <c r="C19" i="16" s="1"/>
  <c r="B20" i="16"/>
  <c r="C20" i="16" s="1"/>
  <c r="C81" i="21"/>
  <c r="C77" i="16" l="1"/>
  <c r="C5" i="16"/>
  <c r="C4" i="16"/>
  <c r="C62" i="16"/>
  <c r="C83" i="21"/>
  <c r="C134" i="21"/>
  <c r="C63" i="16"/>
  <c r="C60" i="16"/>
  <c r="C57" i="16"/>
  <c r="C61" i="16"/>
  <c r="C59" i="16"/>
  <c r="B60" i="16"/>
  <c r="C77" i="21"/>
  <c r="C58" i="16"/>
  <c r="C17" i="16"/>
  <c r="E95" i="23"/>
  <c r="D95" i="23"/>
  <c r="E65" i="24"/>
  <c r="D65" i="24"/>
  <c r="E92" i="4"/>
  <c r="D92" i="4"/>
  <c r="D68" i="21"/>
  <c r="E68" i="21"/>
  <c r="B2" i="4"/>
  <c r="B2" i="23"/>
  <c r="C142" i="4"/>
  <c r="B182" i="23"/>
  <c r="B180" i="4"/>
  <c r="C91" i="16"/>
  <c r="C6" i="28" l="1"/>
  <c r="C67" i="16"/>
  <c r="C66" i="16"/>
  <c r="C69" i="16"/>
  <c r="C65" i="16"/>
  <c r="C126" i="16"/>
  <c r="C117" i="16"/>
  <c r="C73" i="24"/>
  <c r="C15" i="24"/>
  <c r="C46" i="16"/>
  <c r="C23" i="24"/>
  <c r="C187" i="16"/>
  <c r="C17" i="21"/>
  <c r="C49" i="16"/>
  <c r="C186" i="16"/>
  <c r="C20" i="21"/>
  <c r="C188" i="16"/>
  <c r="C25" i="21"/>
  <c r="C39" i="16"/>
  <c r="C55" i="16"/>
  <c r="C190" i="21" l="1"/>
  <c r="C18" i="24"/>
  <c r="C188" i="21"/>
  <c r="C189" i="21"/>
  <c r="C68" i="24"/>
  <c r="C84" i="16" l="1"/>
  <c r="C82" i="16"/>
  <c r="B82" i="16"/>
  <c r="C117" i="24" l="1"/>
  <c r="C115" i="24"/>
  <c r="C112" i="24"/>
  <c r="C175" i="23"/>
  <c r="C174" i="23"/>
  <c r="C143" i="23"/>
  <c r="C139" i="23"/>
  <c r="C138" i="23"/>
  <c r="C148" i="23" l="1"/>
  <c r="C174" i="4"/>
  <c r="C175" i="4"/>
  <c r="C136" i="4"/>
  <c r="C140" i="4"/>
  <c r="C145" i="4" l="1"/>
  <c r="C131" i="21"/>
  <c r="C122" i="21"/>
  <c r="C127" i="21" l="1"/>
  <c r="E85" i="5" l="1"/>
  <c r="E86" i="5"/>
  <c r="E87" i="5"/>
  <c r="E84" i="5"/>
  <c r="E77" i="5"/>
  <c r="E72" i="5"/>
  <c r="E69" i="5"/>
  <c r="E66" i="5"/>
  <c r="E63" i="5"/>
  <c r="E65" i="5"/>
  <c r="E67" i="5"/>
  <c r="E68" i="5"/>
  <c r="E70" i="5"/>
  <c r="E71" i="5"/>
  <c r="E73" i="5"/>
  <c r="E74" i="5"/>
  <c r="E75" i="5"/>
  <c r="E76" i="5"/>
  <c r="E78" i="5"/>
  <c r="E79" i="5"/>
  <c r="E80" i="5"/>
  <c r="E81" i="5"/>
  <c r="E64" i="5"/>
  <c r="E62" i="5"/>
  <c r="C101" i="23" l="1"/>
  <c r="C94" i="23" s="1"/>
  <c r="C98" i="23"/>
  <c r="C22" i="23"/>
  <c r="C21" i="23"/>
  <c r="C18" i="23"/>
  <c r="C17" i="23"/>
  <c r="C16" i="23"/>
  <c r="C15" i="23"/>
  <c r="C14" i="23"/>
  <c r="C13" i="23"/>
  <c r="C92" i="23" l="1"/>
  <c r="C90" i="23"/>
  <c r="C104" i="23"/>
  <c r="C150" i="23"/>
  <c r="C145" i="23"/>
  <c r="C88" i="23"/>
  <c r="C107" i="23"/>
  <c r="C141" i="23"/>
  <c r="C84" i="23"/>
  <c r="C86" i="23"/>
  <c r="C82" i="23"/>
  <c r="C98" i="4" l="1"/>
  <c r="C95" i="4"/>
  <c r="C176" i="4" l="1"/>
  <c r="C138" i="4"/>
  <c r="C147" i="4"/>
  <c r="C101" i="4"/>
  <c r="C104" i="4"/>
  <c r="C77" i="4"/>
  <c r="C19" i="4"/>
  <c r="C18" i="4"/>
  <c r="C15" i="4"/>
  <c r="C14" i="4"/>
  <c r="C13" i="4"/>
  <c r="C12" i="4"/>
  <c r="C11" i="4"/>
  <c r="C10" i="4"/>
  <c r="C143" i="4" l="1"/>
  <c r="C85" i="16"/>
  <c r="C71" i="21"/>
  <c r="C135" i="4"/>
  <c r="C99" i="23"/>
  <c r="C96" i="4"/>
  <c r="O5" i="5"/>
  <c r="M5" i="5"/>
  <c r="C84" i="21" l="1"/>
  <c r="C135" i="21"/>
  <c r="C128" i="21"/>
  <c r="C78" i="21"/>
  <c r="C148" i="4"/>
  <c r="C102" i="4"/>
  <c r="C146" i="23"/>
  <c r="C105" i="23"/>
  <c r="C151" i="23"/>
  <c r="E56" i="5"/>
  <c r="C193" i="21" l="1"/>
  <c r="E57" i="5"/>
  <c r="C2" i="20" l="1"/>
  <c r="C177" i="24"/>
  <c r="C2" i="7"/>
  <c r="C177" i="21"/>
  <c r="C75" i="5" l="1"/>
  <c r="A5" i="5"/>
  <c r="A8" i="5"/>
  <c r="A7" i="5"/>
  <c r="C115" i="28" s="1"/>
  <c r="A4" i="5"/>
  <c r="C95" i="28" s="1"/>
  <c r="A6" i="5"/>
  <c r="C108" i="28" s="1"/>
  <c r="B20" i="5"/>
  <c r="A68" i="5"/>
  <c r="A3" i="5"/>
  <c r="B34" i="5"/>
  <c r="A46" i="5"/>
  <c r="A64" i="5"/>
  <c r="A66" i="5"/>
  <c r="A48" i="5"/>
  <c r="A44" i="5"/>
  <c r="A70" i="5"/>
  <c r="B13" i="5"/>
  <c r="C185" i="28" l="1"/>
  <c r="C202" i="28" s="1"/>
  <c r="C177" i="28"/>
  <c r="C193" i="28" s="1"/>
  <c r="C101" i="28"/>
  <c r="C70" i="28"/>
  <c r="A20" i="5"/>
  <c r="F20" i="5" s="1"/>
  <c r="N4" i="3" s="1"/>
  <c r="A21" i="5"/>
  <c r="F21" i="5" s="1"/>
  <c r="N5" i="3" s="1"/>
  <c r="A34" i="5"/>
  <c r="F34" i="5" s="1"/>
  <c r="J4" i="3" s="1"/>
  <c r="A35" i="5"/>
  <c r="A36" i="5"/>
  <c r="F36" i="5" s="1"/>
  <c r="A37" i="5"/>
  <c r="F37" i="5" s="1"/>
  <c r="A22" i="5"/>
  <c r="F22" i="5" s="1"/>
  <c r="N6" i="3" s="1"/>
  <c r="A23" i="5"/>
  <c r="F23" i="5" s="1"/>
  <c r="A10" i="5"/>
  <c r="C168" i="16"/>
  <c r="C172" i="16"/>
  <c r="C167" i="16"/>
  <c r="C171" i="16"/>
  <c r="C141" i="4"/>
  <c r="C82" i="4"/>
  <c r="C113" i="24"/>
  <c r="C76" i="21"/>
  <c r="C126" i="21" s="1"/>
  <c r="B83" i="5"/>
  <c r="A9" i="5"/>
  <c r="L3" i="18"/>
  <c r="N3" i="18"/>
  <c r="B27" i="5"/>
  <c r="J6" i="3" l="1"/>
  <c r="F35" i="5"/>
  <c r="A30" i="5"/>
  <c r="A29" i="5"/>
  <c r="A27" i="5"/>
  <c r="A28" i="5"/>
  <c r="C169" i="16"/>
  <c r="C173" i="16"/>
  <c r="C97" i="23"/>
  <c r="C149" i="23"/>
  <c r="C5" i="4"/>
  <c r="C7" i="4"/>
  <c r="B86" i="5"/>
  <c r="C134" i="4"/>
  <c r="C70" i="21"/>
  <c r="C121" i="21" s="1"/>
  <c r="C123" i="21" s="1"/>
  <c r="C111" i="24"/>
  <c r="C173" i="23"/>
  <c r="C137" i="23"/>
  <c r="C67" i="24"/>
  <c r="C173" i="4"/>
  <c r="C72" i="24"/>
  <c r="C116" i="24"/>
  <c r="C64" i="24"/>
  <c r="C62" i="24"/>
  <c r="C83" i="23"/>
  <c r="C80" i="4"/>
  <c r="C65" i="21"/>
  <c r="C81" i="23"/>
  <c r="B82" i="5"/>
  <c r="C85" i="23"/>
  <c r="C94" i="4"/>
  <c r="C9" i="4"/>
  <c r="C78" i="4"/>
  <c r="D2" i="18"/>
  <c r="B84" i="5"/>
  <c r="J3" i="18"/>
  <c r="B85" i="5"/>
  <c r="D3" i="18"/>
  <c r="B80" i="5"/>
  <c r="F3" i="18"/>
  <c r="B81" i="5"/>
  <c r="A67" i="5"/>
  <c r="A43" i="5"/>
  <c r="A71" i="5"/>
  <c r="A47" i="5"/>
  <c r="A69" i="5"/>
  <c r="A65" i="5"/>
  <c r="A49" i="5"/>
  <c r="A45" i="5"/>
  <c r="J5" i="3" l="1"/>
  <c r="E81" i="3"/>
  <c r="E79" i="3"/>
  <c r="B24" i="23"/>
  <c r="E24" i="23" s="1"/>
  <c r="B153" i="23"/>
  <c r="B48" i="24"/>
  <c r="C133" i="24"/>
  <c r="C87" i="24"/>
  <c r="C131" i="24"/>
  <c r="B131" i="24"/>
  <c r="B156" i="23"/>
  <c r="B46" i="24"/>
  <c r="C155" i="23"/>
  <c r="B83" i="24"/>
  <c r="C127" i="24"/>
  <c r="C154" i="23"/>
  <c r="B127" i="24"/>
  <c r="D126" i="24" s="1"/>
  <c r="B85" i="24"/>
  <c r="C152" i="23"/>
  <c r="B87" i="23"/>
  <c r="D87" i="23" s="1"/>
  <c r="B86" i="24"/>
  <c r="C83" i="24"/>
  <c r="B47" i="24"/>
  <c r="B82" i="24"/>
  <c r="E81" i="24" s="1"/>
  <c r="B130" i="24"/>
  <c r="B154" i="23"/>
  <c r="C132" i="24"/>
  <c r="C45" i="24"/>
  <c r="C46" i="24" s="1"/>
  <c r="B11" i="23"/>
  <c r="C86" i="24"/>
  <c r="B133" i="24"/>
  <c r="B132" i="24"/>
  <c r="C156" i="23"/>
  <c r="C153" i="23"/>
  <c r="B152" i="23"/>
  <c r="E152" i="23" s="1"/>
  <c r="B84" i="24"/>
  <c r="B87" i="24"/>
  <c r="C47" i="27"/>
  <c r="E46" i="27" s="1"/>
  <c r="B88" i="23"/>
  <c r="B155" i="23"/>
  <c r="C122" i="27"/>
  <c r="E121" i="27" s="1"/>
  <c r="C97" i="27"/>
  <c r="E96" i="27" s="1"/>
  <c r="C148" i="24"/>
  <c r="B56" i="24"/>
  <c r="B97" i="24"/>
  <c r="B98" i="24"/>
  <c r="C149" i="24"/>
  <c r="B166" i="23"/>
  <c r="B162" i="23"/>
  <c r="C98" i="24"/>
  <c r="C163" i="23"/>
  <c r="B149" i="24"/>
  <c r="C166" i="23"/>
  <c r="C171" i="23"/>
  <c r="C143" i="24"/>
  <c r="B164" i="23"/>
  <c r="B147" i="24"/>
  <c r="B100" i="24"/>
  <c r="B91" i="23"/>
  <c r="B54" i="24"/>
  <c r="C147" i="24"/>
  <c r="B99" i="24"/>
  <c r="C164" i="23"/>
  <c r="C165" i="23"/>
  <c r="C156" i="24"/>
  <c r="B151" i="24"/>
  <c r="B58" i="24"/>
  <c r="B105" i="24"/>
  <c r="B93" i="23"/>
  <c r="B157" i="24"/>
  <c r="C103" i="24"/>
  <c r="C155" i="24"/>
  <c r="B155" i="24"/>
  <c r="B106" i="24"/>
  <c r="C151" i="24"/>
  <c r="B48" i="23"/>
  <c r="B170" i="23"/>
  <c r="B107" i="24"/>
  <c r="C157" i="24"/>
  <c r="C108" i="24"/>
  <c r="C167" i="23"/>
  <c r="B169" i="23"/>
  <c r="B108" i="24"/>
  <c r="B167" i="23"/>
  <c r="B103" i="24"/>
  <c r="B156" i="24"/>
  <c r="B59" i="24"/>
  <c r="B94" i="23"/>
  <c r="B104" i="24"/>
  <c r="B171" i="23"/>
  <c r="C107" i="24"/>
  <c r="B60" i="24"/>
  <c r="C57" i="24"/>
  <c r="B168" i="23"/>
  <c r="C83" i="4"/>
  <c r="C81" i="4"/>
  <c r="C79" i="4"/>
  <c r="C20" i="23"/>
  <c r="C17" i="4"/>
  <c r="H3" i="18"/>
  <c r="A13" i="5"/>
  <c r="F13" i="5" s="1"/>
  <c r="J10" i="3" s="1"/>
  <c r="A14" i="5"/>
  <c r="F14" i="5" s="1"/>
  <c r="J11" i="3" s="1"/>
  <c r="A16" i="5"/>
  <c r="F16" i="5" s="1"/>
  <c r="F27" i="5"/>
  <c r="N10" i="3" s="1"/>
  <c r="F28" i="5"/>
  <c r="N11" i="3" s="1"/>
  <c r="F29" i="5"/>
  <c r="N12" i="3" s="1"/>
  <c r="A15" i="5"/>
  <c r="F15" i="5" s="1"/>
  <c r="J12" i="3" s="1"/>
  <c r="F30" i="5"/>
  <c r="B89" i="23" l="1"/>
  <c r="E2" i="26"/>
  <c r="B157" i="23"/>
  <c r="C157" i="23"/>
  <c r="B159" i="23"/>
  <c r="E80" i="3"/>
  <c r="C93" i="24"/>
  <c r="B161" i="23"/>
  <c r="B50" i="24"/>
  <c r="C140" i="24"/>
  <c r="C49" i="24"/>
  <c r="C52" i="24" s="1"/>
  <c r="B91" i="24"/>
  <c r="B52" i="24"/>
  <c r="B135" i="24"/>
  <c r="D134" i="24" s="1"/>
  <c r="B140" i="24"/>
  <c r="C161" i="23"/>
  <c r="B51" i="24"/>
  <c r="B94" i="24"/>
  <c r="B90" i="24"/>
  <c r="B92" i="24"/>
  <c r="B32" i="23"/>
  <c r="E32" i="23" s="1"/>
  <c r="B139" i="24"/>
  <c r="C160" i="23"/>
  <c r="B90" i="23"/>
  <c r="B141" i="24"/>
  <c r="B89" i="24"/>
  <c r="E88" i="24" s="1"/>
  <c r="C141" i="24"/>
  <c r="B158" i="23"/>
  <c r="C94" i="24"/>
  <c r="B160" i="23"/>
  <c r="C159" i="23"/>
  <c r="B93" i="24"/>
  <c r="C158" i="23"/>
  <c r="C139" i="24"/>
  <c r="C72" i="27"/>
  <c r="E71" i="27" s="1"/>
  <c r="D24" i="23"/>
  <c r="E91" i="3"/>
  <c r="E126" i="24"/>
  <c r="D81" i="24"/>
  <c r="E87" i="23"/>
  <c r="D152" i="23"/>
  <c r="C47" i="24"/>
  <c r="C48" i="24"/>
  <c r="E89" i="3"/>
  <c r="E88" i="3"/>
  <c r="B105" i="21"/>
  <c r="C133" i="27"/>
  <c r="E132" i="27" s="1"/>
  <c r="B143" i="24"/>
  <c r="E142" i="24" s="1"/>
  <c r="C101" i="24"/>
  <c r="B55" i="24"/>
  <c r="B165" i="23"/>
  <c r="C11" i="23"/>
  <c r="C162" i="23"/>
  <c r="C53" i="24"/>
  <c r="C55" i="24" s="1"/>
  <c r="B40" i="23"/>
  <c r="E40" i="23" s="1"/>
  <c r="B163" i="23"/>
  <c r="B101" i="24"/>
  <c r="B96" i="24"/>
  <c r="D95" i="24" s="1"/>
  <c r="B148" i="24"/>
  <c r="C100" i="24"/>
  <c r="B92" i="23"/>
  <c r="C45" i="4"/>
  <c r="C90" i="4"/>
  <c r="B108" i="21"/>
  <c r="B89" i="4"/>
  <c r="B161" i="4"/>
  <c r="B160" i="4"/>
  <c r="B165" i="4"/>
  <c r="C56" i="21"/>
  <c r="C158" i="21"/>
  <c r="C108" i="21"/>
  <c r="B88" i="4"/>
  <c r="B162" i="4"/>
  <c r="B159" i="21"/>
  <c r="C88" i="4"/>
  <c r="B37" i="4"/>
  <c r="C157" i="21"/>
  <c r="C163" i="4"/>
  <c r="B110" i="21"/>
  <c r="C110" i="21" s="1"/>
  <c r="C162" i="21"/>
  <c r="B160" i="21"/>
  <c r="B106" i="21"/>
  <c r="B163" i="4"/>
  <c r="B164" i="4"/>
  <c r="B109" i="21"/>
  <c r="B57" i="21"/>
  <c r="B163" i="21"/>
  <c r="B59" i="21"/>
  <c r="C104" i="21"/>
  <c r="B159" i="4"/>
  <c r="B166" i="4"/>
  <c r="B158" i="21"/>
  <c r="C160" i="4"/>
  <c r="B162" i="21"/>
  <c r="B58" i="21"/>
  <c r="B104" i="21"/>
  <c r="B107" i="21"/>
  <c r="B161" i="21"/>
  <c r="B157" i="21"/>
  <c r="C163" i="21"/>
  <c r="C107" i="21"/>
  <c r="C161" i="21"/>
  <c r="C159" i="21"/>
  <c r="C105" i="21"/>
  <c r="C159" i="4"/>
  <c r="C164" i="4"/>
  <c r="C161" i="4"/>
  <c r="C106" i="21"/>
  <c r="C162" i="4"/>
  <c r="C165" i="4"/>
  <c r="C160" i="21"/>
  <c r="C37" i="4"/>
  <c r="C119" i="4" s="1"/>
  <c r="B112" i="21"/>
  <c r="B170" i="4"/>
  <c r="B91" i="4"/>
  <c r="C168" i="4"/>
  <c r="B167" i="4"/>
  <c r="C169" i="21"/>
  <c r="C114" i="21"/>
  <c r="C85" i="27"/>
  <c r="E84" i="27" s="1"/>
  <c r="B154" i="4"/>
  <c r="B156" i="4"/>
  <c r="B149" i="21"/>
  <c r="C86" i="4"/>
  <c r="C158" i="4"/>
  <c r="C149" i="21"/>
  <c r="B99" i="21"/>
  <c r="B152" i="21"/>
  <c r="B101" i="21"/>
  <c r="B55" i="21"/>
  <c r="B97" i="21"/>
  <c r="B158" i="4"/>
  <c r="B148" i="21"/>
  <c r="B29" i="4"/>
  <c r="C148" i="21"/>
  <c r="C152" i="21"/>
  <c r="B154" i="21"/>
  <c r="B54" i="21"/>
  <c r="B153" i="21"/>
  <c r="C153" i="21"/>
  <c r="B53" i="21"/>
  <c r="B87" i="4"/>
  <c r="B157" i="4"/>
  <c r="C101" i="21"/>
  <c r="C99" i="21"/>
  <c r="C100" i="21"/>
  <c r="C154" i="21"/>
  <c r="C52" i="21"/>
  <c r="C96" i="21"/>
  <c r="B98" i="21"/>
  <c r="B151" i="21"/>
  <c r="B96" i="21"/>
  <c r="B102" i="21"/>
  <c r="C102" i="21" s="1"/>
  <c r="B100" i="21"/>
  <c r="B155" i="4"/>
  <c r="B86" i="4"/>
  <c r="B150" i="21"/>
  <c r="C97" i="21"/>
  <c r="C150" i="21"/>
  <c r="C154" i="4"/>
  <c r="C157" i="4"/>
  <c r="C151" i="21"/>
  <c r="C98" i="21"/>
  <c r="C29" i="4"/>
  <c r="C112" i="4" s="1"/>
  <c r="C60" i="27"/>
  <c r="E59" i="27" s="1"/>
  <c r="C92" i="21"/>
  <c r="B93" i="21"/>
  <c r="B51" i="21"/>
  <c r="C140" i="21"/>
  <c r="B151" i="4"/>
  <c r="C153" i="4"/>
  <c r="B141" i="21"/>
  <c r="B140" i="21"/>
  <c r="C143" i="21"/>
  <c r="B144" i="21"/>
  <c r="B50" i="21"/>
  <c r="C88" i="21"/>
  <c r="B85" i="4"/>
  <c r="B153" i="4"/>
  <c r="B149" i="4"/>
  <c r="B91" i="21"/>
  <c r="B139" i="21"/>
  <c r="C93" i="21"/>
  <c r="C144" i="21"/>
  <c r="B92" i="21"/>
  <c r="C145" i="21"/>
  <c r="C6" i="4"/>
  <c r="B90" i="21"/>
  <c r="B84" i="4"/>
  <c r="B142" i="21"/>
  <c r="B89" i="21"/>
  <c r="C84" i="4"/>
  <c r="B88" i="21"/>
  <c r="B21" i="4"/>
  <c r="C139" i="21"/>
  <c r="B152" i="4"/>
  <c r="C91" i="21"/>
  <c r="B145" i="21"/>
  <c r="B49" i="21"/>
  <c r="B8" i="4"/>
  <c r="C48" i="21"/>
  <c r="C8" i="4"/>
  <c r="B143" i="21"/>
  <c r="B94" i="21"/>
  <c r="C94" i="21" s="1"/>
  <c r="B150" i="4"/>
  <c r="C89" i="21"/>
  <c r="C141" i="21"/>
  <c r="C149" i="4"/>
  <c r="C151" i="4"/>
  <c r="C90" i="21"/>
  <c r="C152" i="4"/>
  <c r="C142" i="21"/>
  <c r="C21" i="4"/>
  <c r="C105" i="4" s="1"/>
  <c r="D157" i="23"/>
  <c r="E157" i="23"/>
  <c r="D89" i="23"/>
  <c r="E89" i="23"/>
  <c r="E91" i="23"/>
  <c r="D91" i="23"/>
  <c r="D162" i="23"/>
  <c r="E162" i="23"/>
  <c r="E150" i="24"/>
  <c r="D150" i="24"/>
  <c r="C58" i="24"/>
  <c r="C60" i="24"/>
  <c r="C59" i="24"/>
  <c r="E102" i="24"/>
  <c r="D102" i="24"/>
  <c r="E93" i="23"/>
  <c r="D93" i="23"/>
  <c r="E167" i="23"/>
  <c r="D167" i="23"/>
  <c r="D48" i="23"/>
  <c r="E48" i="23"/>
  <c r="C77" i="24"/>
  <c r="C122" i="24"/>
  <c r="C24" i="27"/>
  <c r="C103" i="23"/>
  <c r="F5" i="26"/>
  <c r="C79" i="23"/>
  <c r="C80" i="23" s="1"/>
  <c r="C34" i="24"/>
  <c r="C114" i="24"/>
  <c r="C71" i="24"/>
  <c r="C76" i="24" s="1"/>
  <c r="C6" i="23"/>
  <c r="C10" i="23"/>
  <c r="B79" i="5"/>
  <c r="C12" i="23" s="1"/>
  <c r="C130" i="24"/>
  <c r="C129" i="24"/>
  <c r="C169" i="23"/>
  <c r="C154" i="24"/>
  <c r="C153" i="24"/>
  <c r="C97" i="24"/>
  <c r="C146" i="24"/>
  <c r="C145" i="24"/>
  <c r="C138" i="24"/>
  <c r="C137" i="24"/>
  <c r="C135" i="24"/>
  <c r="C84" i="24"/>
  <c r="C90" i="24"/>
  <c r="C91" i="24"/>
  <c r="C105" i="24"/>
  <c r="C104" i="24"/>
  <c r="C128" i="24"/>
  <c r="B129" i="24"/>
  <c r="B128" i="24"/>
  <c r="B152" i="24"/>
  <c r="C168" i="23"/>
  <c r="C152" i="24"/>
  <c r="B154" i="24"/>
  <c r="B153" i="24"/>
  <c r="B145" i="24"/>
  <c r="B146" i="24"/>
  <c r="C144" i="24"/>
  <c r="B144" i="24"/>
  <c r="C136" i="24"/>
  <c r="B137" i="24"/>
  <c r="B136" i="24"/>
  <c r="B138" i="24"/>
  <c r="C7" i="23"/>
  <c r="C99" i="24"/>
  <c r="C96" i="24"/>
  <c r="C106" i="24"/>
  <c r="C92" i="24"/>
  <c r="C89" i="24"/>
  <c r="C82" i="24"/>
  <c r="C85" i="24"/>
  <c r="C40" i="23"/>
  <c r="B122" i="23" s="1"/>
  <c r="C91" i="23"/>
  <c r="C87" i="23"/>
  <c r="C24" i="23"/>
  <c r="B108" i="23" s="1"/>
  <c r="C89" i="23"/>
  <c r="C32" i="23"/>
  <c r="B115" i="23" s="1"/>
  <c r="C93" i="23"/>
  <c r="C48" i="23"/>
  <c r="B129" i="23" s="1"/>
  <c r="E134" i="24" l="1"/>
  <c r="C50" i="24"/>
  <c r="D88" i="24"/>
  <c r="C51" i="24"/>
  <c r="D32" i="23"/>
  <c r="B118" i="21"/>
  <c r="C118" i="21" s="1"/>
  <c r="C172" i="21"/>
  <c r="B166" i="21"/>
  <c r="B173" i="21" s="1"/>
  <c r="C173" i="21" s="1"/>
  <c r="C170" i="21"/>
  <c r="C167" i="4"/>
  <c r="C115" i="21"/>
  <c r="B172" i="21"/>
  <c r="B113" i="21"/>
  <c r="B116" i="21"/>
  <c r="C112" i="21"/>
  <c r="E3" i="26"/>
  <c r="C117" i="21"/>
  <c r="B45" i="4"/>
  <c r="E45" i="4" s="1"/>
  <c r="C171" i="21"/>
  <c r="C116" i="21"/>
  <c r="C169" i="4"/>
  <c r="B63" i="21"/>
  <c r="B61" i="21"/>
  <c r="C60" i="21"/>
  <c r="C63" i="21" s="1"/>
  <c r="B62" i="21"/>
  <c r="B171" i="4"/>
  <c r="B115" i="21"/>
  <c r="C166" i="21"/>
  <c r="B168" i="21"/>
  <c r="B169" i="4"/>
  <c r="B170" i="21"/>
  <c r="B171" i="21"/>
  <c r="C167" i="21"/>
  <c r="C171" i="4"/>
  <c r="B90" i="4"/>
  <c r="D90" i="4" s="1"/>
  <c r="B114" i="21"/>
  <c r="C170" i="4"/>
  <c r="B167" i="21"/>
  <c r="B168" i="4"/>
  <c r="C168" i="21"/>
  <c r="B169" i="21"/>
  <c r="C113" i="21"/>
  <c r="D142" i="24"/>
  <c r="C54" i="24"/>
  <c r="E90" i="3"/>
  <c r="C166" i="4"/>
  <c r="C109" i="21"/>
  <c r="C110" i="27"/>
  <c r="E109" i="27" s="1"/>
  <c r="E95" i="24"/>
  <c r="C56" i="24"/>
  <c r="D40" i="23"/>
  <c r="E84" i="4"/>
  <c r="D84" i="4"/>
  <c r="B146" i="21"/>
  <c r="C146" i="21" s="1"/>
  <c r="E139" i="21"/>
  <c r="C138" i="21"/>
  <c r="D139" i="21"/>
  <c r="D45" i="4"/>
  <c r="C156" i="21"/>
  <c r="E156" i="21"/>
  <c r="B164" i="21"/>
  <c r="C164" i="21" s="1"/>
  <c r="D156" i="21"/>
  <c r="E29" i="4"/>
  <c r="D29" i="4"/>
  <c r="D159" i="4"/>
  <c r="E159" i="4"/>
  <c r="D149" i="4"/>
  <c r="E149" i="4"/>
  <c r="B155" i="21"/>
  <c r="C155" i="21" s="1"/>
  <c r="E148" i="21"/>
  <c r="C147" i="21"/>
  <c r="D148" i="21"/>
  <c r="E167" i="4"/>
  <c r="D167" i="4"/>
  <c r="E112" i="21"/>
  <c r="D111" i="21"/>
  <c r="C111" i="21"/>
  <c r="E21" i="4"/>
  <c r="D21" i="4"/>
  <c r="D86" i="4"/>
  <c r="E86" i="4"/>
  <c r="C53" i="21"/>
  <c r="C54" i="21"/>
  <c r="C55" i="21"/>
  <c r="E103" i="21"/>
  <c r="D103" i="21"/>
  <c r="C103" i="21"/>
  <c r="E88" i="4"/>
  <c r="D88" i="4"/>
  <c r="C50" i="21"/>
  <c r="C49" i="21"/>
  <c r="C51" i="21"/>
  <c r="D87" i="21"/>
  <c r="C87" i="21"/>
  <c r="E87" i="21"/>
  <c r="D166" i="21"/>
  <c r="E154" i="4"/>
  <c r="D154" i="4"/>
  <c r="D95" i="21"/>
  <c r="C95" i="21"/>
  <c r="E95" i="21"/>
  <c r="E37" i="4"/>
  <c r="D37" i="4"/>
  <c r="C59" i="21"/>
  <c r="C57" i="21"/>
  <c r="C58" i="21"/>
  <c r="C120" i="24"/>
  <c r="C150" i="24"/>
  <c r="C126" i="24"/>
  <c r="C134" i="24"/>
  <c r="C142" i="24"/>
  <c r="C88" i="24"/>
  <c r="C81" i="24"/>
  <c r="C95" i="24"/>
  <c r="C102" i="24"/>
  <c r="D108" i="23"/>
  <c r="E108" i="23"/>
  <c r="D129" i="23"/>
  <c r="E129" i="23"/>
  <c r="D122" i="23"/>
  <c r="E122" i="23"/>
  <c r="D115" i="23"/>
  <c r="E115" i="23"/>
  <c r="C43" i="23"/>
  <c r="C45" i="23"/>
  <c r="C44" i="23"/>
  <c r="C46" i="23"/>
  <c r="C47" i="23"/>
  <c r="C129" i="23" s="1"/>
  <c r="C41" i="23"/>
  <c r="C42" i="23"/>
  <c r="C50" i="23"/>
  <c r="C52" i="23"/>
  <c r="C49" i="23"/>
  <c r="C51" i="23"/>
  <c r="C53" i="23"/>
  <c r="C54" i="23"/>
  <c r="C55" i="23"/>
  <c r="C36" i="23"/>
  <c r="C38" i="23"/>
  <c r="C33" i="23"/>
  <c r="C34" i="23"/>
  <c r="C35" i="23"/>
  <c r="C37" i="23"/>
  <c r="C39" i="23"/>
  <c r="C108" i="23"/>
  <c r="C31" i="23"/>
  <c r="C26" i="23"/>
  <c r="C25" i="23"/>
  <c r="C29" i="23"/>
  <c r="C30" i="23" s="1"/>
  <c r="C28" i="23"/>
  <c r="C27" i="23"/>
  <c r="C133" i="23"/>
  <c r="C132" i="23"/>
  <c r="C122" i="23"/>
  <c r="C126" i="23"/>
  <c r="C125" i="23"/>
  <c r="C115" i="23"/>
  <c r="C119" i="23"/>
  <c r="C118" i="23"/>
  <c r="C156" i="4"/>
  <c r="C150" i="4"/>
  <c r="C170" i="23"/>
  <c r="C155" i="4"/>
  <c r="C176" i="23"/>
  <c r="C112" i="23"/>
  <c r="C111" i="23"/>
  <c r="C113" i="23"/>
  <c r="B110" i="23"/>
  <c r="B114" i="23"/>
  <c r="C114" i="23"/>
  <c r="C109" i="23"/>
  <c r="B111" i="23"/>
  <c r="B109" i="23"/>
  <c r="B112" i="23"/>
  <c r="B113" i="23"/>
  <c r="C110" i="23"/>
  <c r="B117" i="23"/>
  <c r="B118" i="23"/>
  <c r="B116" i="23"/>
  <c r="B120" i="23"/>
  <c r="C116" i="23"/>
  <c r="B119" i="23"/>
  <c r="C120" i="23"/>
  <c r="B121" i="23"/>
  <c r="C121" i="23"/>
  <c r="C117" i="23"/>
  <c r="B131" i="23"/>
  <c r="B133" i="23"/>
  <c r="B135" i="23"/>
  <c r="C135" i="23"/>
  <c r="C134" i="23"/>
  <c r="C130" i="23"/>
  <c r="B134" i="23"/>
  <c r="B132" i="23"/>
  <c r="B130" i="23"/>
  <c r="C131" i="23"/>
  <c r="C127" i="23"/>
  <c r="C123" i="23"/>
  <c r="B125" i="23"/>
  <c r="B124" i="23"/>
  <c r="B127" i="23"/>
  <c r="B128" i="23"/>
  <c r="B123" i="23"/>
  <c r="C128" i="23"/>
  <c r="B126" i="23"/>
  <c r="C124" i="23"/>
  <c r="B112" i="4"/>
  <c r="B119" i="4"/>
  <c r="B105" i="4"/>
  <c r="E166" i="21" l="1"/>
  <c r="C165" i="21"/>
  <c r="C62" i="21"/>
  <c r="C61" i="21"/>
  <c r="E90" i="4"/>
  <c r="D112" i="4"/>
  <c r="E112" i="4"/>
  <c r="D105" i="4"/>
  <c r="E105" i="4"/>
  <c r="B126" i="4"/>
  <c r="D119" i="4"/>
  <c r="E119" i="4"/>
  <c r="C91" i="4"/>
  <c r="C85" i="4"/>
  <c r="C89" i="4"/>
  <c r="C87" i="4"/>
  <c r="C129" i="4"/>
  <c r="C127" i="4"/>
  <c r="C50" i="4"/>
  <c r="C46" i="4"/>
  <c r="B128" i="4"/>
  <c r="C132" i="4"/>
  <c r="C131" i="4"/>
  <c r="C128" i="4"/>
  <c r="C47" i="4"/>
  <c r="B129" i="4"/>
  <c r="C52" i="4"/>
  <c r="C48" i="4"/>
  <c r="C49" i="4"/>
  <c r="B130" i="4"/>
  <c r="B131" i="4"/>
  <c r="C51" i="4"/>
  <c r="B127" i="4"/>
  <c r="B132" i="4"/>
  <c r="C130" i="4"/>
  <c r="C116" i="4"/>
  <c r="C115" i="4"/>
  <c r="C122" i="4"/>
  <c r="C123" i="4"/>
  <c r="C31" i="4"/>
  <c r="C118" i="4"/>
  <c r="C117" i="4"/>
  <c r="B118" i="4"/>
  <c r="B117" i="4"/>
  <c r="B115" i="4"/>
  <c r="B116" i="4"/>
  <c r="C111" i="4"/>
  <c r="C109" i="4"/>
  <c r="C110" i="4"/>
  <c r="C108" i="4"/>
  <c r="B110" i="4"/>
  <c r="B108" i="4"/>
  <c r="B109" i="4"/>
  <c r="B111" i="4"/>
  <c r="C38" i="4"/>
  <c r="C124" i="4"/>
  <c r="B122" i="4"/>
  <c r="C125" i="4"/>
  <c r="B125" i="4"/>
  <c r="B124" i="4"/>
  <c r="B123" i="4"/>
  <c r="C26" i="4"/>
  <c r="C22" i="4"/>
  <c r="C27" i="4"/>
  <c r="C25" i="4"/>
  <c r="C106" i="4"/>
  <c r="C113" i="4"/>
  <c r="C23" i="4"/>
  <c r="C35" i="4"/>
  <c r="C24" i="4"/>
  <c r="C107" i="4"/>
  <c r="C28" i="4"/>
  <c r="C30" i="4"/>
  <c r="C44" i="4"/>
  <c r="C126" i="4" s="1"/>
  <c r="B121" i="4"/>
  <c r="B120" i="4"/>
  <c r="B113" i="4"/>
  <c r="B114" i="4"/>
  <c r="B106" i="4"/>
  <c r="B107" i="4"/>
  <c r="C32" i="4"/>
  <c r="C34" i="4"/>
  <c r="C114" i="4"/>
  <c r="C36" i="4"/>
  <c r="C33" i="4"/>
  <c r="C40" i="4"/>
  <c r="C121" i="4"/>
  <c r="C42" i="4"/>
  <c r="C43" i="4"/>
  <c r="C39" i="4"/>
  <c r="C41" i="4"/>
  <c r="C120" i="4"/>
  <c r="C13" i="24"/>
  <c r="E126" i="4" l="1"/>
  <c r="D126" i="4"/>
  <c r="C12" i="21"/>
  <c r="C14" i="21"/>
  <c r="C9" i="21"/>
  <c r="C10" i="24"/>
</calcChain>
</file>

<file path=xl/comments1.xml><?xml version="1.0" encoding="utf-8"?>
<comments xmlns="http://schemas.openxmlformats.org/spreadsheetml/2006/main">
  <authors>
    <author>Chris Tallman</author>
  </authors>
  <commentList>
    <comment ref="A4" authorId="0" shapeId="0">
      <text>
        <r>
          <rPr>
            <b/>
            <sz val="9"/>
            <color indexed="81"/>
            <rFont val="Tahoma"/>
            <charset val="1"/>
          </rPr>
          <t>Chris Tallman:</t>
        </r>
        <r>
          <rPr>
            <sz val="9"/>
            <color indexed="81"/>
            <rFont val="Tahoma"/>
            <charset val="1"/>
          </rPr>
          <t xml:space="preserve">
Accessible from explorer, not Sharepoint</t>
        </r>
      </text>
    </comment>
    <comment ref="E15" authorId="0" shapeId="0">
      <text>
        <r>
          <rPr>
            <b/>
            <sz val="9"/>
            <color indexed="81"/>
            <rFont val="Tahoma"/>
            <charset val="1"/>
          </rPr>
          <t>Chris Tallman:</t>
        </r>
        <r>
          <rPr>
            <sz val="9"/>
            <color indexed="81"/>
            <rFont val="Tahoma"/>
            <charset val="1"/>
          </rPr>
          <t xml:space="preserve">
Accessible from explorer, not Sharepoint</t>
        </r>
      </text>
    </comment>
  </commentList>
</comments>
</file>

<file path=xl/comments2.xml><?xml version="1.0" encoding="utf-8"?>
<comments xmlns="http://schemas.openxmlformats.org/spreadsheetml/2006/main">
  <authors>
    <author>Chris Tallman</author>
  </authors>
  <commentList>
    <comment ref="C219" authorId="0" shapeId="0">
      <text>
        <r>
          <rPr>
            <b/>
            <sz val="9"/>
            <color indexed="81"/>
            <rFont val="Tahoma"/>
            <charset val="1"/>
          </rPr>
          <t>Chris Tallman:</t>
        </r>
        <r>
          <rPr>
            <sz val="9"/>
            <color indexed="81"/>
            <rFont val="Tahoma"/>
            <charset val="1"/>
          </rPr>
          <t xml:space="preserve">
Production</t>
        </r>
      </text>
    </comment>
    <comment ref="C220" authorId="0" shapeId="0">
      <text>
        <r>
          <rPr>
            <b/>
            <sz val="9"/>
            <color indexed="81"/>
            <rFont val="Tahoma"/>
            <charset val="1"/>
          </rPr>
          <t>Chris Tallman:</t>
        </r>
        <r>
          <rPr>
            <sz val="9"/>
            <color indexed="81"/>
            <rFont val="Tahoma"/>
            <charset val="1"/>
          </rPr>
          <t xml:space="preserve">
Test</t>
        </r>
      </text>
    </comment>
    <comment ref="C221" authorId="0" shapeId="0">
      <text>
        <r>
          <rPr>
            <b/>
            <sz val="9"/>
            <color indexed="81"/>
            <rFont val="Tahoma"/>
            <charset val="1"/>
          </rPr>
          <t>Chris Tallman:</t>
        </r>
        <r>
          <rPr>
            <sz val="9"/>
            <color indexed="81"/>
            <rFont val="Tahoma"/>
            <charset val="1"/>
          </rPr>
          <t xml:space="preserve">
Development</t>
        </r>
      </text>
    </comment>
    <comment ref="C222" authorId="0" shapeId="0">
      <text>
        <r>
          <rPr>
            <b/>
            <sz val="9"/>
            <color indexed="81"/>
            <rFont val="Tahoma"/>
            <charset val="1"/>
          </rPr>
          <t>Chris Tallman:</t>
        </r>
        <r>
          <rPr>
            <sz val="9"/>
            <color indexed="81"/>
            <rFont val="Tahoma"/>
            <charset val="1"/>
          </rPr>
          <t xml:space="preserve">
Sales</t>
        </r>
      </text>
    </comment>
    <comment ref="C223" authorId="0" shapeId="0">
      <text>
        <r>
          <rPr>
            <b/>
            <sz val="9"/>
            <color indexed="81"/>
            <rFont val="Tahoma"/>
            <charset val="1"/>
          </rPr>
          <t>Chris Tallman:</t>
        </r>
        <r>
          <rPr>
            <sz val="9"/>
            <color indexed="81"/>
            <rFont val="Tahoma"/>
            <charset val="1"/>
          </rPr>
          <t xml:space="preserve">
QE</t>
        </r>
      </text>
    </comment>
    <comment ref="C224" authorId="0" shapeId="0">
      <text>
        <r>
          <rPr>
            <b/>
            <sz val="9"/>
            <color indexed="81"/>
            <rFont val="Tahoma"/>
            <charset val="1"/>
          </rPr>
          <t>Chris Tallman:</t>
        </r>
        <r>
          <rPr>
            <sz val="9"/>
            <color indexed="81"/>
            <rFont val="Tahoma"/>
            <charset val="1"/>
          </rPr>
          <t xml:space="preserve">
Infrastructure (Not to be used by build team)
</t>
        </r>
      </text>
    </comment>
    <comment ref="C225" authorId="0" shapeId="0">
      <text>
        <r>
          <rPr>
            <b/>
            <sz val="9"/>
            <color indexed="81"/>
            <rFont val="Tahoma"/>
            <charset val="1"/>
          </rPr>
          <t>Chris Tallman:</t>
        </r>
        <r>
          <rPr>
            <sz val="9"/>
            <color indexed="81"/>
            <rFont val="Tahoma"/>
            <charset val="1"/>
          </rPr>
          <t xml:space="preserve">
Development Engineering (Not to be used by build team)</t>
        </r>
      </text>
    </comment>
  </commentList>
</comments>
</file>

<file path=xl/sharedStrings.xml><?xml version="1.0" encoding="utf-8"?>
<sst xmlns="http://schemas.openxmlformats.org/spreadsheetml/2006/main" count="1146" uniqueCount="816">
  <si>
    <t>Production URL</t>
  </si>
  <si>
    <t>Sandbox URL</t>
  </si>
  <si>
    <t>2nd Sandbox URL</t>
  </si>
  <si>
    <t>3rd Sandbox URL</t>
  </si>
  <si>
    <t>SaaS Info URL</t>
  </si>
  <si>
    <t>SF Ticket Number</t>
  </si>
  <si>
    <t>New Logo Info</t>
  </si>
  <si>
    <t>Environment Metadata</t>
  </si>
  <si>
    <t>Value</t>
  </si>
  <si>
    <t>Prod Alias</t>
  </si>
  <si>
    <t>Sandbox Alias</t>
  </si>
  <si>
    <t>Data Center Location</t>
  </si>
  <si>
    <t>ProjectPlace Prod Acct #</t>
  </si>
  <si>
    <t>ProjectPlace Sandbox Acct #</t>
  </si>
  <si>
    <t>LeanKit Prod ID</t>
  </si>
  <si>
    <t>LeanKit SB ID</t>
  </si>
  <si>
    <t>Customer Abbreviation</t>
  </si>
  <si>
    <t xml:space="preserve">Prod Server Number </t>
  </si>
  <si>
    <t>Sandbox Server Number</t>
  </si>
  <si>
    <t>Customer Current Major Version (Production)</t>
  </si>
  <si>
    <t>Customer OU Name in AD</t>
  </si>
  <si>
    <t>New Relic</t>
  </si>
  <si>
    <t>No</t>
  </si>
  <si>
    <t>Unencrypted PVMaster Pass.</t>
  </si>
  <si>
    <t>Encrypted PVMaster Pass.</t>
  </si>
  <si>
    <t>AWS Build</t>
  </si>
  <si>
    <t>Combined Web / App</t>
  </si>
  <si>
    <t>Environment Logistics</t>
  </si>
  <si>
    <t>Production</t>
  </si>
  <si>
    <t>Sandbox</t>
  </si>
  <si>
    <t>PRM License Count</t>
  </si>
  <si>
    <t># Servers</t>
  </si>
  <si>
    <t># Web Servers per Environment</t>
  </si>
  <si>
    <t>Environment Version</t>
  </si>
  <si>
    <t>Progressing Version</t>
  </si>
  <si>
    <t>.</t>
  </si>
  <si>
    <t>Latest Release</t>
  </si>
  <si>
    <t># of Custom SAS Cubes/Models</t>
  </si>
  <si>
    <t>*Detailed List Available Below</t>
  </si>
  <si>
    <t>Report Migration Required</t>
  </si>
  <si>
    <t>Yes</t>
  </si>
  <si>
    <t># of Interfaces</t>
  </si>
  <si>
    <t>PP  Connector</t>
  </si>
  <si>
    <t>LK Connector</t>
  </si>
  <si>
    <t>CTM Connector</t>
  </si>
  <si>
    <t>CTM in use</t>
  </si>
  <si>
    <t>IP Restrictions</t>
  </si>
  <si>
    <t>Open Suite</t>
  </si>
  <si>
    <t>Database Logistics</t>
  </si>
  <si>
    <t>Production (XXXPROD)</t>
  </si>
  <si>
    <t>Sandbox (XXXSANDBOX1)</t>
  </si>
  <si>
    <t>SQL MAX DOP</t>
  </si>
  <si>
    <t>SQL COST THRESHOLD</t>
  </si>
  <si>
    <t>DB Encryption</t>
  </si>
  <si>
    <t>Minimum Server Memory</t>
  </si>
  <si>
    <t>Maximum Server Memory</t>
  </si>
  <si>
    <t>DB size</t>
  </si>
  <si>
    <t>Report Farm URL</t>
  </si>
  <si>
    <t>Resouce Alignment</t>
  </si>
  <si>
    <t>NAME</t>
  </si>
  <si>
    <t>CPUs</t>
  </si>
  <si>
    <t>RAM (GB)</t>
  </si>
  <si>
    <t>HD SIZES</t>
  </si>
  <si>
    <t>HD IS STANDARD</t>
  </si>
  <si>
    <t>CUSTOM SCHEDULED TASKS</t>
  </si>
  <si>
    <t>INSTANCE SIZE (AWS)</t>
  </si>
  <si>
    <t>AVAILABILITY ZONE (AWS)</t>
  </si>
  <si>
    <t>IP ADDRESS (AWS)</t>
  </si>
  <si>
    <t>INSTANCE ID (AWS)</t>
  </si>
  <si>
    <t>Production Servers</t>
  </si>
  <si>
    <t>WEB Server</t>
  </si>
  <si>
    <t>APP Server</t>
  </si>
  <si>
    <t>CTM Server</t>
  </si>
  <si>
    <t>SQL Server</t>
  </si>
  <si>
    <t>SAS Server</t>
  </si>
  <si>
    <t>PVE Server</t>
  </si>
  <si>
    <t>Additional Production Web Servers</t>
  </si>
  <si>
    <t>Sandbox Servers</t>
  </si>
  <si>
    <t>Additional Sandbox Web Servers</t>
  </si>
  <si>
    <t>Models</t>
  </si>
  <si>
    <t>Interfaces</t>
  </si>
  <si>
    <t>Databases</t>
  </si>
  <si>
    <t>Details</t>
  </si>
  <si>
    <t>Inputs for Build (Verify)</t>
  </si>
  <si>
    <t>Input Calculation Results (Verify)</t>
  </si>
  <si>
    <t>Description</t>
  </si>
  <si>
    <t>Build Type</t>
  </si>
  <si>
    <t>PreBuild</t>
  </si>
  <si>
    <t># Environments Needed</t>
  </si>
  <si>
    <t>E1 Build Version</t>
  </si>
  <si>
    <t>PP Connector Prod Account #</t>
  </si>
  <si>
    <t>PP Connector SB Account #</t>
  </si>
  <si>
    <t>LK Prod ID #</t>
  </si>
  <si>
    <t>LK Sandbox ID #</t>
  </si>
  <si>
    <t>Add Non-Standard DB's at build</t>
  </si>
  <si>
    <t>Time Zone</t>
  </si>
  <si>
    <t>Estimates</t>
  </si>
  <si>
    <t>Hours</t>
  </si>
  <si>
    <t>2SUN</t>
  </si>
  <si>
    <t>Build Estimate</t>
  </si>
  <si>
    <t>Secure Server</t>
  </si>
  <si>
    <t>LK Card Link</t>
  </si>
  <si>
    <t>https://pbirsfarm01fr.pvcloud.com/Reports</t>
  </si>
  <si>
    <t>Notes</t>
  </si>
  <si>
    <t>LK  Card Info</t>
  </si>
  <si>
    <t>PVMaster PW</t>
  </si>
  <si>
    <t>Maint Day</t>
  </si>
  <si>
    <t>Prod Url</t>
  </si>
  <si>
    <t>Sandbox Url</t>
  </si>
  <si>
    <t>Report Url</t>
  </si>
  <si>
    <t>Prod Servers</t>
  </si>
  <si>
    <t>STEP</t>
  </si>
  <si>
    <t>INPUT</t>
  </si>
  <si>
    <t>COMPLETE</t>
  </si>
  <si>
    <t>NOTES</t>
  </si>
  <si>
    <t>Jenkins Pipe #</t>
  </si>
  <si>
    <t>Slack Channel Comms</t>
  </si>
  <si>
    <t>1. Run to Deploy update</t>
  </si>
  <si>
    <t>TARGET_SERVER_NAME</t>
  </si>
  <si>
    <t>2. Execute DB SQL</t>
  </si>
  <si>
    <t>DNS_HOST_NAME</t>
  </si>
  <si>
    <t>3. Complete update, run to postbuild</t>
  </si>
  <si>
    <t>CUSTOMER_CODE</t>
  </si>
  <si>
    <t>CUSTOMER_NAME</t>
  </si>
  <si>
    <t>MAINTENANCE_DAY</t>
  </si>
  <si>
    <t>TIME_ZONE</t>
  </si>
  <si>
    <t>eu-central-1b</t>
  </si>
  <si>
    <t>PVMASTER_PW</t>
  </si>
  <si>
    <t>eu-central-1c</t>
  </si>
  <si>
    <t>Objective</t>
  </si>
  <si>
    <t>eu-central-1a</t>
  </si>
  <si>
    <t>Variables</t>
  </si>
  <si>
    <t>$buildServers =</t>
  </si>
  <si>
    <t>$buildWebs =</t>
  </si>
  <si>
    <t>$buildCtm =</t>
  </si>
  <si>
    <t>$buildSqls =</t>
  </si>
  <si>
    <t xml:space="preserve">Create Testing Virtual Directory on web servers.  </t>
  </si>
  <si>
    <t>From DC Jumpbox</t>
  </si>
  <si>
    <t>Invoke-Command -ComputerName $prmWebs -ErrorAction Stop -ScriptBlock {Invoke-Expression -Command:"cmd.exe /c 'C:\Deploy\WebserverConfig\FR_TestingWebServerConfig.bat'"}</t>
  </si>
  <si>
    <t>Config, SB2, SB3</t>
  </si>
  <si>
    <t>Invoke-Command -ComputerName $allSql -ScriptBlock {Remove-Item "C:\Program Files\Microsoft SQL Server\MSSQL14.MSSQLSERVER\MSSQL\DATA\temp*.*" -verbose}</t>
  </si>
  <si>
    <t>Finish Post Build</t>
  </si>
  <si>
    <t>Validation</t>
  </si>
  <si>
    <t>24x7</t>
  </si>
  <si>
    <t>OTHER</t>
  </si>
  <si>
    <t>hails-nGHrJ</t>
  </si>
  <si>
    <t>Known Build Issues Currently in progress</t>
  </si>
  <si>
    <t xml:space="preserve">Edit oData web.config file </t>
  </si>
  <si>
    <t xml:space="preserve">Edit oData web.config file  </t>
  </si>
  <si>
    <t>PveDsn</t>
  </si>
  <si>
    <t>DPM</t>
  </si>
  <si>
    <t>dbconnection.ini</t>
  </si>
  <si>
    <t>rs_dbpassword="x(!1 {a9"-2Ix{ebmo8Yu,=!M"</t>
  </si>
  <si>
    <t>Copy dbconection.ini to app servers/additional web servers</t>
  </si>
  <si>
    <t>trouxAdmin.bat import-config -Dadmin.configs.importFile=f:\baseline\config.xml</t>
  </si>
  <si>
    <t>Move LK Card</t>
  </si>
  <si>
    <t>https://planview.leankit.com/board/751178783
Drag or right click LK card Move to Lane -&gt; PRM + CTM under Pre-Prod and Sandbox in the Build Team In Progress column.  Assign card to yourself.</t>
  </si>
  <si>
    <t>Align Server Resources</t>
  </si>
  <si>
    <t>Take backup of all non system db's in Sandbox</t>
  </si>
  <si>
    <t>CD\</t>
  </si>
  <si>
    <t>(get-item DBBackups.0).start()</t>
  </si>
  <si>
    <t>(get-item DBBackups.0 | FT CurrentRunStatus, LastRunOutcome)</t>
  </si>
  <si>
    <t>F:</t>
  </si>
  <si>
    <t>Update Reporting Datasources</t>
  </si>
  <si>
    <t>URL</t>
  </si>
  <si>
    <t>Connection String</t>
  </si>
  <si>
    <t>PW</t>
  </si>
  <si>
    <t>Sandbox TSQL post restore</t>
  </si>
  <si>
    <t>#DM Update</t>
  </si>
  <si>
    <t># Running PSP's</t>
  </si>
  <si>
    <t>Connectors</t>
  </si>
  <si>
    <t>Update web.config files</t>
  </si>
  <si>
    <t>oData</t>
  </si>
  <si>
    <t>Planview</t>
  </si>
  <si>
    <t>Validate ADM 01</t>
  </si>
  <si>
    <t>Validate Versions using following URLs</t>
  </si>
  <si>
    <t>Test odata with following URLs</t>
  </si>
  <si>
    <t>Test Progression Engine</t>
  </si>
  <si>
    <t>Administration &gt; Reporting &gt; Model Management</t>
  </si>
  <si>
    <t>Administration &gt; System Configuration &gt; Database Management</t>
  </si>
  <si>
    <t>Administration &gt; Reporting &gt; DataSet Management</t>
  </si>
  <si>
    <t>Test Access Manager and Validate TESE is functioning properly</t>
  </si>
  <si>
    <t>Content Search</t>
  </si>
  <si>
    <t>Validate CTM site launches successfully from PRM</t>
  </si>
  <si>
    <t>PRM Health Check</t>
  </si>
  <si>
    <t>CTM Health Check</t>
  </si>
  <si>
    <t>https://planview.leankit.com/board/751178783
Drag or right click LK card Move to Lane -&gt; Testing -&gt; Sandbox -&gt; 17 Testing and assign to UMT.</t>
  </si>
  <si>
    <t>COMMENTS</t>
  </si>
  <si>
    <t>Drag or right click LK card Move to Lane -&gt; Testing -&gt; Sandbox -&gt; BLD Schedule In-Place.</t>
  </si>
  <si>
    <t>Customer Notification</t>
  </si>
  <si>
    <t>This is a courtesy reminder to inform you that your sandbox environment upgrade will begin today at (using customer local time, specifiy start time here, no need for our start time) and is scheduled for X hours.  Please refrain from reporting issues until Planview has notified you that your upgrade is ready.
Best Regards,
Planview Cloud Operations</t>
  </si>
  <si>
    <t>Disable Monitoring in Datadog</t>
  </si>
  <si>
    <t>https://app.datadoghq.com/infrastructure</t>
  </si>
  <si>
    <t>Maintenance Begins</t>
  </si>
  <si>
    <t>Reboot all servers to receive Windows updates</t>
  </si>
  <si>
    <t>Sleep 5 minutes for reboot</t>
  </si>
  <si>
    <t>Display maintenance page</t>
  </si>
  <si>
    <t>Disable PRM Services</t>
  </si>
  <si>
    <t>Backup Databases</t>
  </si>
  <si>
    <t>Snapshots</t>
  </si>
  <si>
    <t>Run SQL CU update Pipe</t>
  </si>
  <si>
    <t>CU_VERSION</t>
  </si>
  <si>
    <t>NODE_NAME</t>
  </si>
  <si>
    <t>Run Jenkins CTM Upgrade Pipe</t>
  </si>
  <si>
    <t>SKIP_SNAPS</t>
  </si>
  <si>
    <t>NODE_LABEL</t>
  </si>
  <si>
    <t xml:space="preserve">Run E1 Upgrade pipe </t>
  </si>
  <si>
    <t>Run Jenkins TRX Update pipe</t>
  </si>
  <si>
    <t>UPDATE_VERSION</t>
  </si>
  <si>
    <t>Run Jenkins E1 Update pipe</t>
  </si>
  <si>
    <t>Apply key disk to all databases</t>
  </si>
  <si>
    <t>Key Disk</t>
  </si>
  <si>
    <t>Flush Akamai</t>
  </si>
  <si>
    <t>https://control.akamai.com/apps/fast-purge/#/ccu-main</t>
  </si>
  <si>
    <t>Drag or right click LK card Move to Lane -&gt; Testing -&gt; Sandbox -&gt; BLD Schedule In-Place and assign to UMT.</t>
  </si>
  <si>
    <t>Slack UMT</t>
  </si>
  <si>
    <t xml:space="preserve">Notify #e1-live-cutovers </t>
  </si>
  <si>
    <t>Notify customers of outage</t>
  </si>
  <si>
    <r>
      <t xml:space="preserve">This is a courtesy reminder to inform you that your sandbox environment upgrade will begin today at </t>
    </r>
    <r>
      <rPr>
        <sz val="11"/>
        <color rgb="FFFF0000"/>
        <rFont val="Calibri"/>
        <family val="2"/>
        <scheme val="minor"/>
      </rPr>
      <t>(using customer local time, specifiy start time here, no need for our start time)</t>
    </r>
    <r>
      <rPr>
        <sz val="11"/>
        <color theme="1"/>
        <rFont val="Calibri"/>
        <family val="2"/>
        <scheme val="minor"/>
      </rPr>
      <t xml:space="preserve"> and is scheduled for </t>
    </r>
    <r>
      <rPr>
        <sz val="11"/>
        <color rgb="FFFF0000"/>
        <rFont val="Calibri"/>
        <family val="2"/>
        <scheme val="minor"/>
      </rPr>
      <t>X</t>
    </r>
    <r>
      <rPr>
        <sz val="11"/>
        <color theme="1"/>
        <rFont val="Calibri"/>
        <family val="2"/>
        <scheme val="minor"/>
      </rPr>
      <t xml:space="preserve"> hours.  Please refrain from reporting issues until Planview has notified you that your upgraded is ready.
Best Regards,
Planview Cloud Operations</t>
    </r>
  </si>
  <si>
    <t>Disable Monitoring in Datadog (4 hours)</t>
  </si>
  <si>
    <t>Stop Planview services and IIS on all web\app servers</t>
  </si>
  <si>
    <t>EXIT</t>
  </si>
  <si>
    <t>Take Backup of all databases</t>
  </si>
  <si>
    <t>Run Jenkins job to create AMI backups; Web(s), App, SQL, CTM</t>
  </si>
  <si>
    <t>https://jenkins.planviewcloud.net/job/create_ami_pipe/build?delay=0sec</t>
  </si>
  <si>
    <t>UPGRADE E1</t>
  </si>
  <si>
    <t>https://jenkins.planviewcloud.net/job/e1_upgrade_pipe/build?delay=0sec</t>
  </si>
  <si>
    <t>UPGRADE CTM</t>
  </si>
  <si>
    <t>https://jenkins.planviewcloud.net/job/ctm_upgrade_pipe/build?delay=0sec</t>
  </si>
  <si>
    <t>E1 Update</t>
  </si>
  <si>
    <t>https://jenkins.planviewcloud.net/job/e1_update_pipe/build?delay=0sec</t>
  </si>
  <si>
    <t>TRX Update</t>
  </si>
  <si>
    <t>https://jenkins.planviewcloud.net/job/trx_update_pipe/build?delay=0sec</t>
  </si>
  <si>
    <t>Run any patches and DM Generic fix, as necessary</t>
  </si>
  <si>
    <t>Drag or right click LK card Move to Lane -&gt; Testing -&gt; Sandbox -&gt; 18 Testing and assign to UMT.</t>
  </si>
  <si>
    <t>Pass = 2
Warn = 1
Fail = 0</t>
  </si>
  <si>
    <t>ISSUES (Link to Slack or Jira)</t>
  </si>
  <si>
    <t>Validate Versions using following URLs.</t>
  </si>
  <si>
    <t>Verify Generic fix for DM version is at latest</t>
  </si>
  <si>
    <t>select * from ip.dm_version order by seq desc</t>
  </si>
  <si>
    <t>Drag or right click LK card Move to Lane -&gt; Scheduled Cutoer -&gt; This Week -&gt; Cutovers -&gt; In Progress</t>
  </si>
  <si>
    <t>Notify customer that work is beginning</t>
  </si>
  <si>
    <t>This is a courtesy reminder to inform you that your production environment upgrade will begin today at (using customer local time, specifiy start time here, no need for our start time) and is scheduled for X hours.  Please refrain from reporting issues until Planview has notified you that your upgraded is ready.
Best Regards,
Planview Cloud Operations</t>
  </si>
  <si>
    <t>Prior to start time:</t>
  </si>
  <si>
    <t>Disable Monitoring in 24x7</t>
  </si>
  <si>
    <t>https://www.site24x7.com/app/client#/home/monitors</t>
  </si>
  <si>
    <t>At designated start time, disable web servers from F5</t>
  </si>
  <si>
    <t>Take Backup</t>
  </si>
  <si>
    <t>Run E1 Upgrade pipe</t>
  </si>
  <si>
    <t>NODE_NAME_TUP</t>
  </si>
  <si>
    <r>
      <t xml:space="preserve">This is a courtesy reminder to inform you that your production environment upgrade will begin today at </t>
    </r>
    <r>
      <rPr>
        <b/>
        <sz val="11"/>
        <color rgb="FFFF0000"/>
        <rFont val="Calibri"/>
        <family val="2"/>
        <scheme val="minor"/>
      </rPr>
      <t>(using customer local time, specifiy start time here, no need for our start time)</t>
    </r>
    <r>
      <rPr>
        <sz val="11"/>
        <color theme="1"/>
        <rFont val="Calibri"/>
        <family val="2"/>
        <scheme val="minor"/>
      </rPr>
      <t xml:space="preserve"> and is scheduled for </t>
    </r>
    <r>
      <rPr>
        <b/>
        <sz val="11"/>
        <color rgb="FFFF0000"/>
        <rFont val="Calibri"/>
        <family val="2"/>
        <scheme val="minor"/>
      </rPr>
      <t>X</t>
    </r>
    <r>
      <rPr>
        <sz val="11"/>
        <color theme="1"/>
        <rFont val="Calibri"/>
        <family val="2"/>
        <scheme val="minor"/>
      </rPr>
      <t xml:space="preserve"> hours.  Please refrain from reporting issues until Planview has notified you that your upgraded is ready.
Best Regards,
Planview Cloud Operations</t>
    </r>
  </si>
  <si>
    <t>Disable 24x7 Monitoring</t>
  </si>
  <si>
    <t>Disable Datadog monitoring, Select E1</t>
  </si>
  <si>
    <t>Restart Servers</t>
  </si>
  <si>
    <t>Run Jenkins job to upgrade</t>
  </si>
  <si>
    <t>Automated Complete
no additional web servers</t>
  </si>
  <si>
    <t>Run Jenksin Job to upgrade CTM</t>
  </si>
  <si>
    <t>https://jenkins.planviewcloud.net/job/e1_uppdate_pipe/build?delay=0sec</t>
  </si>
  <si>
    <t>Install Latest Progression / Patches</t>
  </si>
  <si>
    <t>Update datamart to laest generic fix to all DM databases</t>
  </si>
  <si>
    <t>Run progression db script against all db's if not at 06 version.</t>
  </si>
  <si>
    <t>Drag or right click LK card Move to Lane -&gt; Scheduled Cutoer -&gt; This Week -&gt; Cutovers -&gt; Go Live Testing and assign to UMT</t>
  </si>
  <si>
    <t>Command</t>
  </si>
  <si>
    <t>Params</t>
  </si>
  <si>
    <t>Values</t>
  </si>
  <si>
    <t>CALCS</t>
  </si>
  <si>
    <t xml:space="preserve">backup-pvdatabase </t>
  </si>
  <si>
    <t xml:space="preserve">-excludedatamart </t>
  </si>
  <si>
    <t xml:space="preserve">0 </t>
  </si>
  <si>
    <t xml:space="preserve">Invoke-Command </t>
  </si>
  <si>
    <t xml:space="preserve">-sqlbackupdirectory </t>
  </si>
  <si>
    <t>5</t>
  </si>
  <si>
    <t xml:space="preserve">Set-DataDogMaintWin </t>
  </si>
  <si>
    <t xml:space="preserve"> -Verbose</t>
  </si>
  <si>
    <t>10</t>
  </si>
  <si>
    <t xml:space="preserve">Invoke-sqlcmd </t>
  </si>
  <si>
    <t xml:space="preserve">-hosts </t>
  </si>
  <si>
    <t>168</t>
  </si>
  <si>
    <t xml:space="preserve">Get-PSDrive </t>
  </si>
  <si>
    <t xml:space="preserve">-END </t>
  </si>
  <si>
    <t xml:space="preserve">F:\Deploy\UpgradeDBBackup.sql </t>
  </si>
  <si>
    <t xml:space="preserve">Select-Object </t>
  </si>
  <si>
    <t>get-date</t>
  </si>
  <si>
    <t>OU=ZZZZ: Decommission Servers,OU=Hosting,DC=us,DC=planview,DC=world</t>
  </si>
  <si>
    <t>SB All</t>
  </si>
  <si>
    <t xml:space="preserve">Get-ADComputer </t>
  </si>
  <si>
    <t>.AddHours</t>
  </si>
  <si>
    <t>F:\sqlbackup</t>
  </si>
  <si>
    <t xml:space="preserve">Get-ChildItem </t>
  </si>
  <si>
    <t xml:space="preserve">-QueryTimeout </t>
  </si>
  <si>
    <t>\\</t>
  </si>
  <si>
    <t xml:space="preserve">Get-SqlAgent </t>
  </si>
  <si>
    <t xml:space="preserve">-ServerInstance </t>
  </si>
  <si>
    <t>\</t>
  </si>
  <si>
    <t xml:space="preserve">Get-SqlAgentJob </t>
  </si>
  <si>
    <t xml:space="preserve">-InputFile </t>
  </si>
  <si>
    <t>F$</t>
  </si>
  <si>
    <t>SB Web</t>
  </si>
  <si>
    <t xml:space="preserve">New-DDDowntime </t>
  </si>
  <si>
    <t xml:space="preserve"> -ScriptBlock</t>
  </si>
  <si>
    <t>sqlbackup</t>
  </si>
  <si>
    <t xml:space="preserve">-CustID </t>
  </si>
  <si>
    <t xml:space="preserve">"Muting environment for In Place Upgrade" </t>
  </si>
  <si>
    <t xml:space="preserve">start-sleep </t>
  </si>
  <si>
    <t>PSComputerName</t>
  </si>
  <si>
    <t>"</t>
  </si>
  <si>
    <t>Move-ADObject</t>
  </si>
  <si>
    <t>Prod All</t>
  </si>
  <si>
    <t xml:space="preserve">Enter-PVSession </t>
  </si>
  <si>
    <t xml:space="preserve"> {</t>
  </si>
  <si>
    <t xml:space="preserve"> -Recurse </t>
  </si>
  <si>
    <t>}</t>
  </si>
  <si>
    <t xml:space="preserve">copy-item </t>
  </si>
  <si>
    <t xml:space="preserve">Stop-Service </t>
  </si>
  <si>
    <t>*</t>
  </si>
  <si>
    <t xml:space="preserve">Copy-PVDatabase </t>
  </si>
  <si>
    <t xml:space="preserve">Start-Service </t>
  </si>
  <si>
    <t>@</t>
  </si>
  <si>
    <t>Prod Web</t>
  </si>
  <si>
    <t xml:space="preserve">Start-Process </t>
  </si>
  <si>
    <t xml:space="preserve">stop-WebAppPool </t>
  </si>
  <si>
    <t>('</t>
  </si>
  <si>
    <t xml:space="preserve"> -Mutelength </t>
  </si>
  <si>
    <t xml:space="preserve"> -Message </t>
  </si>
  <si>
    <t>$</t>
  </si>
  <si>
    <t xml:space="preserve">-ComputerName </t>
  </si>
  <si>
    <t xml:space="preserve"> -Command </t>
  </si>
  <si>
    <t>(</t>
  </si>
  <si>
    <t xml:space="preserve">-s </t>
  </si>
  <si>
    <t>)</t>
  </si>
  <si>
    <t xml:space="preserve"> -DisplayName </t>
  </si>
  <si>
    <t xml:space="preserve">, </t>
  </si>
  <si>
    <t xml:space="preserve"> Get-Service </t>
  </si>
  <si>
    <t xml:space="preserve">planview </t>
  </si>
  <si>
    <t>https://jenkins.planviewcloud.net/job/manage_reports_pipe/build?delay=0sec</t>
  </si>
  <si>
    <t>-AWS</t>
  </si>
  <si>
    <t>15</t>
  </si>
  <si>
    <t xml:space="preserve">Move-ADObject </t>
  </si>
  <si>
    <t xml:space="preserve"> Plan* </t>
  </si>
  <si>
    <r>
      <t>$content = [</t>
    </r>
    <r>
      <rPr>
        <sz val="9.75"/>
        <color rgb="FF2B91AF"/>
        <rFont val="Inherit"/>
      </rPr>
      <t>System</t>
    </r>
    <r>
      <rPr>
        <sz val="9.75"/>
        <color rgb="FF303336"/>
        <rFont val="Inherit"/>
      </rPr>
      <t>.IO.</t>
    </r>
    <r>
      <rPr>
        <sz val="9.75"/>
        <color rgb="FF2B91AF"/>
        <rFont val="Inherit"/>
      </rPr>
      <t>File</t>
    </r>
    <r>
      <rPr>
        <sz val="9.75"/>
        <color rgb="FF303336"/>
        <rFont val="Inherit"/>
      </rPr>
      <t>]::</t>
    </r>
    <r>
      <rPr>
        <sz val="9.75"/>
        <color rgb="FF2B91AF"/>
        <rFont val="Inherit"/>
      </rPr>
      <t>ReadAllText</t>
    </r>
    <r>
      <rPr>
        <sz val="9.75"/>
        <color rgb="FF303336"/>
        <rFont val="Inherit"/>
      </rPr>
      <t>(</t>
    </r>
    <r>
      <rPr>
        <sz val="9.75"/>
        <color rgb="FF7D2727"/>
        <rFont val="Inherit"/>
      </rPr>
      <t>"</t>
    </r>
  </si>
  <si>
    <t>60</t>
  </si>
  <si>
    <r>
      <t>.</t>
    </r>
    <r>
      <rPr>
        <sz val="9.75"/>
        <color rgb="FF2B91AF"/>
        <rFont val="Inherit"/>
      </rPr>
      <t>Replace</t>
    </r>
  </si>
  <si>
    <t>frankfurt.planviewcloud.net</t>
  </si>
  <si>
    <r>
      <t>[</t>
    </r>
    <r>
      <rPr>
        <sz val="9.75"/>
        <color rgb="FF2B91AF"/>
        <rFont val="Inherit"/>
      </rPr>
      <t>System</t>
    </r>
    <r>
      <rPr>
        <sz val="9.75"/>
        <color rgb="FF303336"/>
        <rFont val="Inherit"/>
      </rPr>
      <t>.IO.</t>
    </r>
    <r>
      <rPr>
        <sz val="9.75"/>
        <color rgb="FF2B91AF"/>
        <rFont val="Inherit"/>
      </rPr>
      <t>File</t>
    </r>
    <r>
      <rPr>
        <sz val="9.75"/>
        <color rgb="FF303336"/>
        <rFont val="Inherit"/>
      </rPr>
      <t>]::</t>
    </r>
    <r>
      <rPr>
        <sz val="9.75"/>
        <color rgb="FF2B91AF"/>
        <rFont val="Inherit"/>
      </rPr>
      <t>WriteAllText</t>
    </r>
    <r>
      <rPr>
        <sz val="9.75"/>
        <color rgb="FF303336"/>
        <rFont val="Inherit"/>
      </rPr>
      <t>(</t>
    </r>
    <r>
      <rPr>
        <sz val="9.75"/>
        <color rgb="FF7D2727"/>
        <rFont val="Inherit"/>
      </rPr>
      <t>"</t>
    </r>
  </si>
  <si>
    <t>Robocopy.exe</t>
  </si>
  <si>
    <t xml:space="preserve"> $content</t>
  </si>
  <si>
    <t xml:space="preserve"> -TargetPath "OU=ZZZZ: Decommission Servers,OU=Hosting,DC=us,DC=planview,DC=world"</t>
  </si>
  <si>
    <t>|</t>
  </si>
  <si>
    <t xml:space="preserve"> -Destination </t>
  </si>
  <si>
    <t>F:\Planview\MidTier\webserver\Login\Oauth\web.config</t>
  </si>
  <si>
    <t>https://planview.lightning.force.com/lightning/r/Case/5001M00001Zu5wsQAB/view</t>
  </si>
  <si>
    <t>-Force</t>
  </si>
  <si>
    <t>F:\Planview\MidTier\webserver\objects\dbconnection.ini</t>
  </si>
  <si>
    <t xml:space="preserve"> -SourceDBServer </t>
  </si>
  <si>
    <t>C:\ProgramData\New Relic\.NET Agent\newrelic.config</t>
  </si>
  <si>
    <t xml:space="preserve">-SourcePVEServer </t>
  </si>
  <si>
    <t>F:\baseline\config.xml</t>
  </si>
  <si>
    <t xml:space="preserve"> -DestPVEServer </t>
  </si>
  <si>
    <r>
      <t>F</t>
    </r>
    <r>
      <rPr>
        <sz val="11"/>
        <color theme="1"/>
        <rFont val="Calibri"/>
        <family val="2"/>
        <scheme val="minor"/>
      </rPr>
      <t>:\troux\troux_home\18_0_0\utils\admin.properties</t>
    </r>
  </si>
  <si>
    <t xml:space="preserve"> -DestDBServer </t>
  </si>
  <si>
    <t>-sb</t>
  </si>
  <si>
    <t xml:space="preserve"> -SourceDB </t>
  </si>
  <si>
    <t>\F$\Planview\MidTier\webserver\objects\dbconnection.ini</t>
  </si>
  <si>
    <t xml:space="preserve"> -DestDB </t>
  </si>
  <si>
    <t xml:space="preserve">cd </t>
  </si>
  <si>
    <t xml:space="preserve"> -Cutover</t>
  </si>
  <si>
    <t xml:space="preserve">SQLSERVER: </t>
  </si>
  <si>
    <t>SQL\</t>
  </si>
  <si>
    <t>{(GCI "F:\sqlbackup\" | Measure-Object)} | ft PSComputerName, Count</t>
  </si>
  <si>
    <t xml:space="preserve">\Default\JobServer\Jobs </t>
  </si>
  <si>
    <t>SQL</t>
  </si>
  <si>
    <t xml:space="preserve">(get-item DBBackups.0 | FT </t>
  </si>
  <si>
    <t>exec sp_change_users_login 'Auto_fix', 'pv_report_user';</t>
  </si>
  <si>
    <t xml:space="preserve">start-WebAppPool </t>
  </si>
  <si>
    <t>CurrentRunStatus</t>
  </si>
  <si>
    <t>exec sp_change_users_login 'Auto_fix', 'ip';</t>
  </si>
  <si>
    <t xml:space="preserve">chrome.exe </t>
  </si>
  <si>
    <t>LastRunOutcome</t>
  </si>
  <si>
    <t>exec sp_change_users_login 'Auto_fix', 'ro';</t>
  </si>
  <si>
    <t>(get-item DBBackups.0).drop()</t>
  </si>
  <si>
    <t xml:space="preserve">$Prodservers = </t>
  </si>
  <si>
    <t>exec ip.psp_ppm_cube_pop;</t>
  </si>
  <si>
    <t xml:space="preserve">-ErrorAction </t>
  </si>
  <si>
    <t xml:space="preserve">$SQLservers = </t>
  </si>
  <si>
    <t>exec ip.psp_ifm_cube;</t>
  </si>
  <si>
    <t xml:space="preserve"> -Environment </t>
  </si>
  <si>
    <t xml:space="preserve">$servers = </t>
  </si>
  <si>
    <t>UPDATE ip.tile SET URL = REPLACE(URL, Left(URL, CHARINDEX('/PowerBI', URL) - 1), '') WHERE tile_type = 'PBIX' AND URL NOT LIKE '/PowerBI%';</t>
  </si>
  <si>
    <t xml:space="preserve">Restart-Computer </t>
  </si>
  <si>
    <t>Start-Transcript -Path F:\temp\</t>
  </si>
  <si>
    <t>UPDATE ip.tile SET URL = REPLACE(URL, Left(URL, CHARINDEX('/Reports', URL) - 1), '') WHERE tile_type = 'REPORT' AND URL NOT LIKE '/Reports%';</t>
  </si>
  <si>
    <t xml:space="preserve">Backup-SqlDatabase -ServerInstance </t>
  </si>
  <si>
    <t>\cutover.log</t>
  </si>
  <si>
    <t>Update ip.global_options set option_value = 'Y' where option_id = '2245';</t>
  </si>
  <si>
    <t xml:space="preserve"> -Database </t>
  </si>
  <si>
    <t>Stop-Transcript</t>
  </si>
  <si>
    <t>update ip.global_options set option_value = 'N' where option_id = '7700';</t>
  </si>
  <si>
    <t xml:space="preserve"> -BackupFile "\\</t>
  </si>
  <si>
    <t>\f$\planview\midtier\webserver\login\SAML\*.config"</t>
  </si>
  <si>
    <t>Update ip.global_options set option_value = '/ng/ctm' where option_id = '2242';</t>
  </si>
  <si>
    <t xml:space="preserve"> -query </t>
  </si>
  <si>
    <t>\f$\planview\midtier\webserver\login\SAML\*.cer"</t>
  </si>
  <si>
    <t>update ip.ip_user set user_password='</t>
  </si>
  <si>
    <t>where user_name='pvmaster';</t>
  </si>
  <si>
    <t xml:space="preserve">  -Silent</t>
  </si>
  <si>
    <t>\f$\planview\midtier\webserver\login\SAML\*.pfx"</t>
  </si>
  <si>
    <t xml:space="preserve"> -Name</t>
  </si>
  <si>
    <t>/planview/login/body.asp?manual=Y</t>
  </si>
  <si>
    <t>New-ADOrganizationalUnit</t>
  </si>
  <si>
    <t>/planview/diag/version.aspx</t>
  </si>
  <si>
    <t>/odataservice/OdataService.svc</t>
  </si>
  <si>
    <t>exec ip.psp_dm_create_synonyms;</t>
  </si>
  <si>
    <t>/planview/Progressing/ProgressInteractively.aspx</t>
  </si>
  <si>
    <t>exec ip.psp_dm_create_function;</t>
  </si>
  <si>
    <t>/planview/AdminApplication/AdministerOLAPConnStrings.aspx</t>
  </si>
  <si>
    <t>truncate table ip.dm_dimension_key;</t>
  </si>
  <si>
    <t>/planview/AdminDatabase/Databases.aspx</t>
  </si>
  <si>
    <t>truncate table ip.dm_all_structure_stg;</t>
  </si>
  <si>
    <t>/planview/AdminApplication/AdminServices.aspx</t>
  </si>
  <si>
    <t>Truncate table ip.dm_structure_info_int;</t>
  </si>
  <si>
    <t>/ng/ctm/</t>
  </si>
  <si>
    <t xml:space="preserve">F:\Deploy\ImportConfig.bat </t>
  </si>
  <si>
    <t>delete from ip.jobq_fired_triggers;</t>
  </si>
  <si>
    <t xml:space="preserve">Stop </t>
  </si>
  <si>
    <t>delete from ip.jobq_paused_trigger_grps;</t>
  </si>
  <si>
    <t>{Invoke-Expression -Command:"cmd.exe /c 'F:\ImportConfig.bat'"}</t>
  </si>
  <si>
    <t>delete from ip.jobq_scheduler_state;</t>
  </si>
  <si>
    <t>delete from ip.jobq_locks;</t>
  </si>
  <si>
    <t>delete from ip.jobq_simple_triggers;</t>
  </si>
  <si>
    <t xml:space="preserve"> = </t>
  </si>
  <si>
    <t>delete from ip.jobq_simprop_triggers;</t>
  </si>
  <si>
    <t>delete from ip.jobq_blob_triggers;</t>
  </si>
  <si>
    <t xml:space="preserve">Foreach-Object { $_ -replace "Abbreviation", </t>
  </si>
  <si>
    <t>delete from ip.jobq_cron_triggers;</t>
  </si>
  <si>
    <t xml:space="preserve">Foreach-Object { $_ -replace </t>
  </si>
  <si>
    <t>delete from ip.jobq_triggers;</t>
  </si>
  <si>
    <t xml:space="preserve"> , "Abbreviation"</t>
  </si>
  <si>
    <t>delete from ip.jobq_job_details;</t>
  </si>
  <si>
    <t>{New-Item -Path F:\SqlBackup\SBSync -ItemType Directory}</t>
  </si>
  <si>
    <t>auprodswarm</t>
  </si>
  <si>
    <t>delete from ip.jobq_calendars;</t>
  </si>
  <si>
    <t>\F$\sqlbackup\SBSync\</t>
  </si>
  <si>
    <t>frprodswarm</t>
  </si>
  <si>
    <t>delete from ip.job_stream_schedule;</t>
  </si>
  <si>
    <t>_SbSync.bak"</t>
  </si>
  <si>
    <t>delete from ip.pv_process_log where logger='Admin.JobStream';</t>
  </si>
  <si>
    <t xml:space="preserve"> -CompressionOption On</t>
  </si>
  <si>
    <t>exec('update ip.planning_entity set [pp_sync] = ''PP`$SyncNo'' where pp_sync in (''PP`$SyncPP'',''PP`$SyncPVE'') ')</t>
  </si>
  <si>
    <t xml:space="preserve"> Master</t>
  </si>
  <si>
    <t xml:space="preserve">ALTER DATABASE </t>
  </si>
  <si>
    <t xml:space="preserve">SET SINGLE_USER WITH ROLLBACK IMMEDIATE </t>
  </si>
  <si>
    <t xml:space="preserve">DROP DATABASE </t>
  </si>
  <si>
    <t xml:space="preserve">RESTORE DATABASE </t>
  </si>
  <si>
    <t>FROM DISK = 'F:\SQLBackup\SBSync\</t>
  </si>
  <si>
    <t>WITH REPLACE, MOVE 'RPMDEV2' TO 'G:\sqldata\</t>
  </si>
  <si>
    <t>.mdf',</t>
  </si>
  <si>
    <t>MOVE 'RPMDEV2_log' TO 'G:\sqldata\</t>
  </si>
  <si>
    <t>.ldf'"</t>
  </si>
  <si>
    <t>_SbSync.bak'</t>
  </si>
  <si>
    <t xml:space="preserve"> CTM*</t>
  </si>
  <si>
    <t xml:space="preserve">"Muting environment Sandbox Sync" </t>
  </si>
  <si>
    <t>MOVE 'troux_log' TO 'G:\sqldata\</t>
  </si>
  <si>
    <t>WITH REPLACE, MOVE 'troux' TO 'G:\sqldata\</t>
  </si>
  <si>
    <t xml:space="preserve">1800 </t>
  </si>
  <si>
    <t>https://usreportfarm03.pvcloud.com/Reports</t>
  </si>
  <si>
    <t>/Reports/browse/</t>
  </si>
  <si>
    <t>/Data%20Sources</t>
  </si>
  <si>
    <t>https://eureportfarm03.pvcloud.com/Reports</t>
  </si>
  <si>
    <t>US</t>
  </si>
  <si>
    <t>https://pbirsfarm03au.pvcloud.com/Reports</t>
  </si>
  <si>
    <t>EU</t>
  </si>
  <si>
    <t xml:space="preserve"> F:\</t>
  </si>
  <si>
    <t>AU_TestingWebServerConfig.bat</t>
  </si>
  <si>
    <t>FR_TestingWebServerConfig.bat</t>
  </si>
  <si>
    <t>C$\</t>
  </si>
  <si>
    <t>Unlimited</t>
  </si>
  <si>
    <t>Deploy\</t>
  </si>
  <si>
    <t>WebserverConfig\</t>
  </si>
  <si>
    <t>.\add_dns_cname_records.ps1 'sgcvmadc12.us.planview.world' 'pvcloud.com' '</t>
  </si>
  <si>
    <t>.us.planview.world</t>
  </si>
  <si>
    <t>.eu.planview.world</t>
  </si>
  <si>
    <t>FROM DISK = 'F:\SQLBackup\Build\</t>
  </si>
  <si>
    <t>ap-southeast-2a</t>
  </si>
  <si>
    <t>_Build.bak'</t>
  </si>
  <si>
    <t>ap-southeast-2b</t>
  </si>
  <si>
    <t>{New-Item -Path F:\SqlBackup\Build -ItemType Directory}</t>
  </si>
  <si>
    <t>ap-southeast-2c</t>
  </si>
  <si>
    <t xml:space="preserve"> PreSandbox2 </t>
  </si>
  <si>
    <t xml:space="preserve"> PreSandbox3 </t>
  </si>
  <si>
    <t>projectplace-site-us</t>
  </si>
  <si>
    <t>projectplace-site-se</t>
  </si>
  <si>
    <t>OU=</t>
  </si>
  <si>
    <t>projectplace-site-us-sb</t>
  </si>
  <si>
    <t>projectplace-site-se-sb</t>
  </si>
  <si>
    <t>,</t>
  </si>
  <si>
    <t>US (prod.integrations.net)</t>
  </si>
  <si>
    <t>Europe (eu-central-1.pvintegrations.net)</t>
  </si>
  <si>
    <t>Austrailia (ap-southeast-2.pvintegrations.net)</t>
  </si>
  <si>
    <t>$ProdPrm</t>
  </si>
  <si>
    <t>$SbPrm</t>
  </si>
  <si>
    <t>$ProdAll</t>
  </si>
  <si>
    <t>$SbAll</t>
  </si>
  <si>
    <t>$ProdWebs</t>
  </si>
  <si>
    <t>$SBWebs</t>
  </si>
  <si>
    <t>$allSqls</t>
  </si>
  <si>
    <t>Data Validation</t>
  </si>
  <si>
    <t>New Logo</t>
  </si>
  <si>
    <t>Internal</t>
  </si>
  <si>
    <t>Sandbox 2 Only</t>
  </si>
  <si>
    <t>Sandbox 3 Only</t>
  </si>
  <si>
    <t>sg</t>
  </si>
  <si>
    <t>ln</t>
  </si>
  <si>
    <t>fr</t>
  </si>
  <si>
    <t>au</t>
  </si>
  <si>
    <t>p</t>
  </si>
  <si>
    <t>t</t>
  </si>
  <si>
    <t>d</t>
  </si>
  <si>
    <t>s</t>
  </si>
  <si>
    <t>q</t>
  </si>
  <si>
    <t>i</t>
  </si>
  <si>
    <t>e</t>
  </si>
  <si>
    <t>Transactional DB Fixes</t>
  </si>
  <si>
    <t>fixes orphaned user</t>
  </si>
  <si>
    <t>Update tile table removing URL</t>
  </si>
  <si>
    <t>Enable CTM</t>
  </si>
  <si>
    <t>Disables LK Connector</t>
  </si>
  <si>
    <t>Defines CTM URL</t>
  </si>
  <si>
    <t>Manual DB Copy Additional Update</t>
  </si>
  <si>
    <t>deletes job stream schedules</t>
  </si>
  <si>
    <t>Disables Project Place connector sync</t>
  </si>
  <si>
    <t>Datamart DB Fixes</t>
  </si>
  <si>
    <t>Sets pdb path for datamart load</t>
  </si>
  <si>
    <t>update history table</t>
  </si>
  <si>
    <t>created synonyms for DM load</t>
  </si>
  <si>
    <t>creates functions</t>
  </si>
  <si>
    <t>truncated tables for dm load</t>
  </si>
  <si>
    <t>Truncate table ip.dm_structure_info_int;"</t>
  </si>
  <si>
    <t>runs stored procedure for model load</t>
  </si>
  <si>
    <t>exec ip.psp_ifm_cube;"</t>
  </si>
  <si>
    <t>PROD</t>
  </si>
  <si>
    <t>CONFIG</t>
  </si>
  <si>
    <t>SANDBOX1</t>
  </si>
  <si>
    <t>\\filegateway02\e1-prod-</t>
  </si>
  <si>
    <t>-content-shared\</t>
  </si>
  <si>
    <t>.pvcloud.com</t>
  </si>
  <si>
    <t>SANDBOX2</t>
  </si>
  <si>
    <t>pve</t>
  </si>
  <si>
    <t>SANDBOX3</t>
  </si>
  <si>
    <t>CTM</t>
  </si>
  <si>
    <t>Single Quote</t>
  </si>
  <si>
    <t/>
  </si>
  <si>
    <t>Sandbox Server Names</t>
  </si>
  <si>
    <t>Additional Web Servers</t>
  </si>
  <si>
    <t>web</t>
  </si>
  <si>
    <t>app</t>
  </si>
  <si>
    <t>sql</t>
  </si>
  <si>
    <t>ctm</t>
  </si>
  <si>
    <t>sas</t>
  </si>
  <si>
    <t>2nd Sandbox Server Names</t>
  </si>
  <si>
    <t>For AWS</t>
  </si>
  <si>
    <t>Upgrade</t>
  </si>
  <si>
    <t>3nd Sandbox Server Names</t>
  </si>
  <si>
    <t>Type</t>
  </si>
  <si>
    <t>Rebuild</t>
  </si>
  <si>
    <t>DataCenter</t>
  </si>
  <si>
    <t>Prod Server Names</t>
  </si>
  <si>
    <t>rv</t>
  </si>
  <si>
    <t>1000-2000</t>
  </si>
  <si>
    <t>2000-3500</t>
  </si>
  <si>
    <t>SANDBOX</t>
  </si>
  <si>
    <t>2nd SANDBOX</t>
  </si>
  <si>
    <t>3rd SANDBOX</t>
  </si>
  <si>
    <t>Prod</t>
  </si>
  <si>
    <t>3500-5000</t>
  </si>
  <si>
    <t>5000+</t>
  </si>
  <si>
    <t>1SAT</t>
  </si>
  <si>
    <t>Maint</t>
  </si>
  <si>
    <t>Set Complex pvmaster password.  &lt;PVMasterPass&gt;</t>
  </si>
  <si>
    <t>1SUN</t>
  </si>
  <si>
    <t>&lt;add key="PveUserPassword" value="&lt;EncryptedPass&gt;" /&gt;</t>
  </si>
  <si>
    <t>2SAT</t>
  </si>
  <si>
    <t>\\filegateway02\e1-prod-&lt;DC&gt;-content-shared\\&lt;CustDNS&gt;.pvcloud.com</t>
  </si>
  <si>
    <t>3SAT</t>
  </si>
  <si>
    <t>3SUN</t>
  </si>
  <si>
    <t>4SAT</t>
  </si>
  <si>
    <t>4SUN</t>
  </si>
  <si>
    <t>12 or lower</t>
  </si>
  <si>
    <t>Current Version</t>
  </si>
  <si>
    <t>https://</t>
  </si>
  <si>
    <t>-sb.pvcloud.com</t>
  </si>
  <si>
    <t>-sb2.pvcloud.com</t>
  </si>
  <si>
    <t>-sb3.pvcloud.com</t>
  </si>
  <si>
    <t>Resource Comparison</t>
  </si>
  <si>
    <t>https://usreportfarm03.pvcloud.com/ReportServer</t>
  </si>
  <si>
    <t>Report Servers</t>
  </si>
  <si>
    <t>Web CPU's</t>
  </si>
  <si>
    <t>https://eureportfarm03.pvcloud.com/ReportServer</t>
  </si>
  <si>
    <t>Web RAM</t>
  </si>
  <si>
    <t>https://pbirsfarm03au.pvcloud.com/reportserver</t>
  </si>
  <si>
    <t>Standard Web Disk</t>
  </si>
  <si>
    <t>https://pbirsfarm01fr.pvcloud.com/reportserver</t>
  </si>
  <si>
    <t>App CPU's</t>
  </si>
  <si>
    <t>App RAM</t>
  </si>
  <si>
    <t>None</t>
  </si>
  <si>
    <t>Standard App Disk</t>
  </si>
  <si>
    <t>PP</t>
  </si>
  <si>
    <t>SAS CPU</t>
  </si>
  <si>
    <t>LK</t>
  </si>
  <si>
    <t>SAS RAM</t>
  </si>
  <si>
    <t>Standard SAS Disk</t>
  </si>
  <si>
    <t>SQL CPU</t>
  </si>
  <si>
    <t>SQL RAM</t>
  </si>
  <si>
    <t xml:space="preserve"> 0 - 4</t>
  </si>
  <si>
    <t>Standard CTM Disk</t>
  </si>
  <si>
    <t xml:space="preserve"> 5 - 9</t>
  </si>
  <si>
    <t>Which AWS Environment</t>
  </si>
  <si>
    <t>CTM CPU's</t>
  </si>
  <si>
    <t>10 +</t>
  </si>
  <si>
    <t>CTM RAM</t>
  </si>
  <si>
    <t>Enter Session Powershell</t>
  </si>
  <si>
    <t xml:space="preserve">Enter-PSSession -ComputerName </t>
  </si>
  <si>
    <t>Standard CTM  Disk</t>
  </si>
  <si>
    <t>Check Boxes</t>
  </si>
  <si>
    <t>IP RESTICTIONS</t>
  </si>
  <si>
    <t>DB ENCRYPTION</t>
  </si>
  <si>
    <t>OPEN SUITE</t>
  </si>
  <si>
    <t>Web Servers</t>
  </si>
  <si>
    <t>SB</t>
  </si>
  <si>
    <t>Scheduled Task Comparison</t>
  </si>
  <si>
    <t>PRM Web</t>
  </si>
  <si>
    <t>PRM App</t>
  </si>
  <si>
    <t>PRM  Services</t>
  </si>
  <si>
    <t>NET</t>
  </si>
  <si>
    <t>Start</t>
  </si>
  <si>
    <t>PVAccessManager</t>
  </si>
  <si>
    <t>Jenkins Pipes</t>
  </si>
  <si>
    <t>Stop</t>
  </si>
  <si>
    <t>PlanviewAdminService</t>
  </si>
  <si>
    <t>https://jenkins.us.planview.world/job/e1_upgrade_pipe/build?delay=0sec</t>
  </si>
  <si>
    <t>PVCalendarServer</t>
  </si>
  <si>
    <t>https://jenkins.eu.planview.world/job/e1_upgrade_pipe/build?delay=0sec</t>
  </si>
  <si>
    <t>"PlanView Content Management Index Manager"</t>
  </si>
  <si>
    <t>https://jenkins.us.planview.world/job/ctm_upgrade_pipe/build?delay=0sec</t>
  </si>
  <si>
    <t>PlanviewEnterpriseScheduler</t>
  </si>
  <si>
    <t>https://jenkins.eu.planview.world/job/ctm_upgrade_pipe/build?delay=0sec</t>
  </si>
  <si>
    <t>PlanviewEnterpriseJobexecution</t>
  </si>
  <si>
    <t>https://jenkins.us.planview.world/job/manage_reports_pipe/build?delay=0sec</t>
  </si>
  <si>
    <t>tesegate</t>
  </si>
  <si>
    <t>https://jenkins.eu.planview.world/job/manage_reports_pipe/build?delay=0sec</t>
  </si>
  <si>
    <t>PRM Web Services</t>
  </si>
  <si>
    <t>PlanviewMessageLoggerDiagnosticService</t>
  </si>
  <si>
    <t>PlanviewPrmAdapterService</t>
  </si>
  <si>
    <t>PlanviewE1-PRMMonitorMessageLogger</t>
  </si>
  <si>
    <t>PlanviewE1-PRMPhalkonMessageLogger</t>
  </si>
  <si>
    <t>iisreset /stop</t>
  </si>
  <si>
    <t>CTM Services</t>
  </si>
  <si>
    <t>NET STOP</t>
  </si>
  <si>
    <t xml:space="preserve"> ctm_uaa</t>
  </si>
  <si>
    <t>NET START</t>
  </si>
  <si>
    <t xml:space="preserve"> ctm_gateway</t>
  </si>
  <si>
    <t xml:space="preserve"> ctm_server</t>
  </si>
  <si>
    <t>App Services</t>
  </si>
  <si>
    <t>Kill Tasks</t>
  </si>
  <si>
    <t>Jenkins Swarm</t>
  </si>
  <si>
    <t xml:space="preserve">taskkill /F /IM </t>
  </si>
  <si>
    <t>prodswarm</t>
  </si>
  <si>
    <t>"PlanviewAdminService.exe"</t>
  </si>
  <si>
    <t>"PvsMessageLogger.exe"</t>
  </si>
  <si>
    <t>Start-Process "chrome.exe" "https://</t>
  </si>
  <si>
    <t>.pvcloud.com/planview/diag/version.aspx"</t>
  </si>
  <si>
    <t>"PrmDiagService.exe"</t>
  </si>
  <si>
    <t>Start-Process "chrome.exe" "http://</t>
  </si>
  <si>
    <t>.pvcloud.com/odataservice/OdataService.svc"</t>
  </si>
  <si>
    <t>"PrmMonitorService.exe"</t>
  </si>
  <si>
    <t>.pvcloud.com/planview/Progressing/ProgressInteractively.aspx"</t>
  </si>
  <si>
    <t>.pvcloud.com/planview/AdminApplication/AdministerOLAPConnStrings.aspx"</t>
  </si>
  <si>
    <t>C:\Deploy\StopPRMServices.ps1</t>
  </si>
  <si>
    <t>.pvcloud.com/planview/AdminDatabase/Databases.aspx"</t>
  </si>
  <si>
    <t>.pvcloud.com/planview/AdminApplication/AdministerDataset.aspx"</t>
  </si>
  <si>
    <t>Mute Data Dog</t>
  </si>
  <si>
    <t>.pvcloud.com/planview/AdminApplication/AdminServices.aspx"</t>
  </si>
  <si>
    <t>Set-DataDogMaintWin -hosts @('</t>
  </si>
  <si>
    <t>) -End $(get-date).AddHours(4)</t>
  </si>
  <si>
    <t>.pvcloud.com/planview/AdminApplication/createcontentsearchindex.asp?step=1"</t>
  </si>
  <si>
    <t>.pvcloud.com/ng/ctm/"</t>
  </si>
  <si>
    <t>.pvcloud.com/planview/diag/health.aspx"</t>
  </si>
  <si>
    <t>/health"</t>
  </si>
  <si>
    <t>/uaa/health"</t>
  </si>
  <si>
    <t>Latest PRM Patch</t>
  </si>
  <si>
    <t>/tip/do/health"</t>
  </si>
  <si>
    <t>PRM18.0.4WebServerPlatformSetup.exe</t>
  </si>
  <si>
    <t>Copy Powershell</t>
  </si>
  <si>
    <t>copy-item -Path "F:\deploy\StopPRMServices.ps1" -Destination "\\</t>
  </si>
  <si>
    <t>\c$\Deploy\" -force -recurse</t>
  </si>
  <si>
    <t>Release</t>
  </si>
  <si>
    <t>&lt;add key=</t>
  </si>
  <si>
    <t>value="$&amp;quot;/7CbH&amp;amp;,[8" /&gt;</t>
  </si>
  <si>
    <t>value="User ID=/:(@8HLT[Kfi`r;password=$&amp;quot;/7CbH&amp;amp;,[8" /&gt;</t>
  </si>
  <si>
    <t xml:space="preserve"> </t>
  </si>
  <si>
    <t>corporate\ushost</t>
  </si>
  <si>
    <t>iisuser</t>
  </si>
  <si>
    <t>eu\euhost</t>
  </si>
  <si>
    <t>iis</t>
  </si>
  <si>
    <t>e1-prod-au\sydneyhost</t>
  </si>
  <si>
    <t>e1-prod-fr\frankfurthost</t>
  </si>
  <si>
    <t>TAB</t>
  </si>
  <si>
    <t>DESCRIPTION</t>
  </si>
  <si>
    <t>AUTOMATION</t>
  </si>
  <si>
    <t>SB Sync Tab</t>
  </si>
  <si>
    <t>Restore SB</t>
  </si>
  <si>
    <t>Enter-PVSession</t>
  </si>
  <si>
    <t xml:space="preserve">Copy-PVDatabase -SourcePVEServer </t>
  </si>
  <si>
    <t>-SourceDBServer</t>
  </si>
  <si>
    <t>-DestPVEServer</t>
  </si>
  <si>
    <t>-DestDBServer</t>
  </si>
  <si>
    <t>-SourceDB</t>
  </si>
  <si>
    <t>-DestDB</t>
  </si>
  <si>
    <t>-Verbose -Silent</t>
  </si>
  <si>
    <t>Tile URL Update</t>
  </si>
  <si>
    <t xml:space="preserve">UPDATE ip.tile SET URL = REPLACE(URL, Left(URL, CHARINDEX('/PowerBI', URL) - 1), '') WHERE tile_type = 'PBIX' AND URL NOT LIKE '/PowerBI%'; </t>
  </si>
  <si>
    <t>DB Backup Script</t>
  </si>
  <si>
    <r>
      <t>DECLARE</t>
    </r>
    <r>
      <rPr>
        <sz val="9"/>
        <color rgb="FF000000"/>
        <rFont val="Calibri"/>
        <family val="2"/>
        <scheme val="minor"/>
      </rPr>
      <t xml:space="preserve"> @name </t>
    </r>
    <r>
      <rPr>
        <sz val="9"/>
        <color rgb="FF0000FF"/>
        <rFont val="Calibri"/>
        <family val="2"/>
        <scheme val="minor"/>
      </rPr>
      <t>VARCHAR</t>
    </r>
    <r>
      <rPr>
        <sz val="9"/>
        <color rgb="FF808080"/>
        <rFont val="Calibri"/>
        <family val="2"/>
        <scheme val="minor"/>
      </rPr>
      <t>(</t>
    </r>
    <r>
      <rPr>
        <sz val="9"/>
        <color rgb="FF000000"/>
        <rFont val="Calibri"/>
        <family val="2"/>
        <scheme val="minor"/>
      </rPr>
      <t>50</t>
    </r>
    <r>
      <rPr>
        <sz val="9"/>
        <color rgb="FF808080"/>
        <rFont val="Calibri"/>
        <family val="2"/>
        <scheme val="minor"/>
      </rPr>
      <t xml:space="preserve">) </t>
    </r>
    <r>
      <rPr>
        <sz val="9"/>
        <color rgb="FF008000"/>
        <rFont val="Calibri"/>
        <family val="2"/>
        <scheme val="minor"/>
      </rPr>
      <t xml:space="preserve">-- database name  </t>
    </r>
  </si>
  <si>
    <r>
      <t>DECLARE</t>
    </r>
    <r>
      <rPr>
        <sz val="9"/>
        <color rgb="FF000000"/>
        <rFont val="Calibri"/>
        <family val="2"/>
        <scheme val="minor"/>
      </rPr>
      <t xml:space="preserve"> @path </t>
    </r>
    <r>
      <rPr>
        <sz val="9"/>
        <color rgb="FF0000FF"/>
        <rFont val="Calibri"/>
        <family val="2"/>
        <scheme val="minor"/>
      </rPr>
      <t>VARCHAR</t>
    </r>
    <r>
      <rPr>
        <sz val="9"/>
        <color rgb="FF808080"/>
        <rFont val="Calibri"/>
        <family val="2"/>
        <scheme val="minor"/>
      </rPr>
      <t>(</t>
    </r>
    <r>
      <rPr>
        <sz val="9"/>
        <color rgb="FF000000"/>
        <rFont val="Calibri"/>
        <family val="2"/>
        <scheme val="minor"/>
      </rPr>
      <t>256</t>
    </r>
    <r>
      <rPr>
        <sz val="9"/>
        <color rgb="FF808080"/>
        <rFont val="Calibri"/>
        <family val="2"/>
        <scheme val="minor"/>
      </rPr>
      <t xml:space="preserve">) </t>
    </r>
    <r>
      <rPr>
        <sz val="9"/>
        <color rgb="FF008000"/>
        <rFont val="Calibri"/>
        <family val="2"/>
        <scheme val="minor"/>
      </rPr>
      <t xml:space="preserve">-- path for backup files  </t>
    </r>
  </si>
  <si>
    <r>
      <t>DECLARE</t>
    </r>
    <r>
      <rPr>
        <sz val="9"/>
        <color rgb="FF000000"/>
        <rFont val="Calibri"/>
        <family val="2"/>
        <scheme val="minor"/>
      </rPr>
      <t xml:space="preserve"> @fileName </t>
    </r>
    <r>
      <rPr>
        <sz val="9"/>
        <color rgb="FF0000FF"/>
        <rFont val="Calibri"/>
        <family val="2"/>
        <scheme val="minor"/>
      </rPr>
      <t>VARCHAR</t>
    </r>
    <r>
      <rPr>
        <sz val="9"/>
        <color rgb="FF808080"/>
        <rFont val="Calibri"/>
        <family val="2"/>
        <scheme val="minor"/>
      </rPr>
      <t>(</t>
    </r>
    <r>
      <rPr>
        <sz val="9"/>
        <color rgb="FF000000"/>
        <rFont val="Calibri"/>
        <family val="2"/>
        <scheme val="minor"/>
      </rPr>
      <t>256</t>
    </r>
    <r>
      <rPr>
        <sz val="9"/>
        <color rgb="FF808080"/>
        <rFont val="Calibri"/>
        <family val="2"/>
        <scheme val="minor"/>
      </rPr>
      <t xml:space="preserve">) </t>
    </r>
    <r>
      <rPr>
        <sz val="9"/>
        <color rgb="FF008000"/>
        <rFont val="Calibri"/>
        <family val="2"/>
        <scheme val="minor"/>
      </rPr>
      <t xml:space="preserve">-- filename for backup  </t>
    </r>
  </si>
  <si>
    <r>
      <t>DECLARE</t>
    </r>
    <r>
      <rPr>
        <sz val="9"/>
        <color rgb="FF000000"/>
        <rFont val="Calibri"/>
        <family val="2"/>
        <scheme val="minor"/>
      </rPr>
      <t xml:space="preserve"> @fileDate </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 xml:space="preserve">) </t>
    </r>
    <r>
      <rPr>
        <sz val="9"/>
        <color rgb="FF008000"/>
        <rFont val="Calibri"/>
        <family val="2"/>
        <scheme val="minor"/>
      </rPr>
      <t>-- used for file name</t>
    </r>
  </si>
  <si>
    <t>-- specify database backup directory</t>
  </si>
  <si>
    <r>
      <t>SET</t>
    </r>
    <r>
      <rPr>
        <sz val="9"/>
        <color rgb="FF000000"/>
        <rFont val="Calibri"/>
        <family val="2"/>
        <scheme val="minor"/>
      </rPr>
      <t xml:space="preserve"> @path </t>
    </r>
    <r>
      <rPr>
        <sz val="9"/>
        <color rgb="FF808080"/>
        <rFont val="Calibri"/>
        <family val="2"/>
        <scheme val="minor"/>
      </rPr>
      <t xml:space="preserve">= </t>
    </r>
    <r>
      <rPr>
        <sz val="9"/>
        <color rgb="FFFF0000"/>
        <rFont val="Calibri"/>
        <family val="2"/>
        <scheme val="minor"/>
      </rPr>
      <t>'F:\SQLBackup\'</t>
    </r>
    <r>
      <rPr>
        <sz val="9"/>
        <color rgb="FF000000"/>
        <rFont val="Calibri"/>
        <family val="2"/>
        <scheme val="minor"/>
      </rPr>
      <t xml:space="preserve">  </t>
    </r>
  </si>
  <si>
    <t>-- specify filename format</t>
  </si>
  <si>
    <r>
      <t>SELECT</t>
    </r>
    <r>
      <rPr>
        <sz val="9"/>
        <color rgb="FF000000"/>
        <rFont val="Calibri"/>
        <family val="2"/>
        <scheme val="minor"/>
      </rPr>
      <t xml:space="preserve"> @fileDate </t>
    </r>
    <r>
      <rPr>
        <sz val="9"/>
        <color rgb="FF808080"/>
        <rFont val="Calibri"/>
        <family val="2"/>
        <scheme val="minor"/>
      </rPr>
      <t xml:space="preserve">= </t>
    </r>
    <r>
      <rPr>
        <sz val="9"/>
        <color rgb="FFFF00FF"/>
        <rFont val="Calibri"/>
        <family val="2"/>
        <scheme val="minor"/>
      </rPr>
      <t>CONVERT</t>
    </r>
    <r>
      <rPr>
        <sz val="9"/>
        <color rgb="FF808080"/>
        <rFont val="Calibri"/>
        <family val="2"/>
        <scheme val="minor"/>
      </rPr>
      <t>(</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t>
    </r>
    <r>
      <rPr>
        <sz val="9"/>
        <color rgb="FFFF00FF"/>
        <rFont val="Calibri"/>
        <family val="2"/>
        <scheme val="minor"/>
      </rPr>
      <t>GETDATE</t>
    </r>
    <r>
      <rPr>
        <sz val="9"/>
        <color rgb="FF808080"/>
        <rFont val="Calibri"/>
        <family val="2"/>
        <scheme val="minor"/>
      </rPr>
      <t>(),</t>
    </r>
    <r>
      <rPr>
        <sz val="9"/>
        <color rgb="FF000000"/>
        <rFont val="Calibri"/>
        <family val="2"/>
        <scheme val="minor"/>
      </rPr>
      <t>112</t>
    </r>
    <r>
      <rPr>
        <sz val="9"/>
        <color rgb="FF808080"/>
        <rFont val="Calibri"/>
        <family val="2"/>
        <scheme val="minor"/>
      </rPr>
      <t xml:space="preserve">) + </t>
    </r>
    <r>
      <rPr>
        <sz val="9"/>
        <color rgb="FFFF00FF"/>
        <rFont val="Calibri"/>
        <family val="2"/>
        <scheme val="minor"/>
      </rPr>
      <t>REPLACE</t>
    </r>
    <r>
      <rPr>
        <sz val="9"/>
        <color rgb="FF808080"/>
        <rFont val="Calibri"/>
        <family val="2"/>
        <scheme val="minor"/>
      </rPr>
      <t>(</t>
    </r>
    <r>
      <rPr>
        <sz val="9"/>
        <color rgb="FFFF00FF"/>
        <rFont val="Calibri"/>
        <family val="2"/>
        <scheme val="minor"/>
      </rPr>
      <t>CONVERT</t>
    </r>
    <r>
      <rPr>
        <sz val="9"/>
        <color rgb="FF808080"/>
        <rFont val="Calibri"/>
        <family val="2"/>
        <scheme val="minor"/>
      </rPr>
      <t>(</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t>
    </r>
    <r>
      <rPr>
        <sz val="9"/>
        <color rgb="FFFF00FF"/>
        <rFont val="Calibri"/>
        <family val="2"/>
        <scheme val="minor"/>
      </rPr>
      <t>GETDATE</t>
    </r>
    <r>
      <rPr>
        <sz val="9"/>
        <color rgb="FF808080"/>
        <rFont val="Calibri"/>
        <family val="2"/>
        <scheme val="minor"/>
      </rPr>
      <t>(),</t>
    </r>
    <r>
      <rPr>
        <sz val="9"/>
        <color rgb="FF000000"/>
        <rFont val="Calibri"/>
        <family val="2"/>
        <scheme val="minor"/>
      </rPr>
      <t>108</t>
    </r>
    <r>
      <rPr>
        <sz val="9"/>
        <color rgb="FF808080"/>
        <rFont val="Calibri"/>
        <family val="2"/>
        <scheme val="minor"/>
      </rPr>
      <t>),</t>
    </r>
    <r>
      <rPr>
        <sz val="9"/>
        <color rgb="FFFF0000"/>
        <rFont val="Calibri"/>
        <family val="2"/>
        <scheme val="minor"/>
      </rPr>
      <t>':'</t>
    </r>
    <r>
      <rPr>
        <sz val="9"/>
        <color rgb="FF808080"/>
        <rFont val="Calibri"/>
        <family val="2"/>
        <scheme val="minor"/>
      </rPr>
      <t>,</t>
    </r>
    <r>
      <rPr>
        <sz val="9"/>
        <color rgb="FFFF0000"/>
        <rFont val="Calibri"/>
        <family val="2"/>
        <scheme val="minor"/>
      </rPr>
      <t>''</t>
    </r>
    <r>
      <rPr>
        <sz val="9"/>
        <color rgb="FF808080"/>
        <rFont val="Calibri"/>
        <family val="2"/>
        <scheme val="minor"/>
      </rPr>
      <t>)</t>
    </r>
  </si>
  <si>
    <r>
      <t>DECLARE</t>
    </r>
    <r>
      <rPr>
        <sz val="9"/>
        <color rgb="FF000000"/>
        <rFont val="Calibri"/>
        <family val="2"/>
        <scheme val="minor"/>
      </rPr>
      <t xml:space="preserve"> db_cursor </t>
    </r>
    <r>
      <rPr>
        <sz val="9"/>
        <color rgb="FF0000FF"/>
        <rFont val="Calibri"/>
        <family val="2"/>
        <scheme val="minor"/>
      </rPr>
      <t>CURSOR</t>
    </r>
    <r>
      <rPr>
        <sz val="9"/>
        <color rgb="FF000000"/>
        <rFont val="Calibri"/>
        <family val="2"/>
        <scheme val="minor"/>
      </rPr>
      <t xml:space="preserve"> READ_ONLY </t>
    </r>
    <r>
      <rPr>
        <sz val="9"/>
        <color rgb="FF0000FF"/>
        <rFont val="Calibri"/>
        <family val="2"/>
        <scheme val="minor"/>
      </rPr>
      <t>FOR</t>
    </r>
    <r>
      <rPr>
        <sz val="9"/>
        <color rgb="FF000000"/>
        <rFont val="Calibri"/>
        <family val="2"/>
        <scheme val="minor"/>
      </rPr>
      <t xml:space="preserve">  </t>
    </r>
  </si>
  <si>
    <r>
      <t>SELECT</t>
    </r>
    <r>
      <rPr>
        <sz val="9"/>
        <color rgb="FF000000"/>
        <rFont val="Calibri"/>
        <family val="2"/>
        <scheme val="minor"/>
      </rPr>
      <t xml:space="preserve"> name</t>
    </r>
  </si>
  <si>
    <r>
      <t>FROM</t>
    </r>
    <r>
      <rPr>
        <sz val="9"/>
        <color rgb="FF000000"/>
        <rFont val="Calibri"/>
        <family val="2"/>
        <scheme val="minor"/>
      </rPr>
      <t xml:space="preserve"> master</t>
    </r>
    <r>
      <rPr>
        <sz val="9"/>
        <color rgb="FF808080"/>
        <rFont val="Calibri"/>
        <family val="2"/>
        <scheme val="minor"/>
      </rPr>
      <t>.</t>
    </r>
    <r>
      <rPr>
        <sz val="9"/>
        <color rgb="FF000000"/>
        <rFont val="Calibri"/>
        <family val="2"/>
        <scheme val="minor"/>
      </rPr>
      <t>dbo</t>
    </r>
    <r>
      <rPr>
        <sz val="9"/>
        <color rgb="FF808080"/>
        <rFont val="Calibri"/>
        <family val="2"/>
        <scheme val="minor"/>
      </rPr>
      <t>.</t>
    </r>
    <r>
      <rPr>
        <sz val="9"/>
        <color rgb="FF000000"/>
        <rFont val="Calibri"/>
        <family val="2"/>
        <scheme val="minor"/>
      </rPr>
      <t>sysdatabases</t>
    </r>
  </si>
  <si>
    <r>
      <t xml:space="preserve"> </t>
    </r>
    <r>
      <rPr>
        <sz val="9"/>
        <color rgb="FF0000FF"/>
        <rFont val="Calibri"/>
        <family val="2"/>
        <scheme val="minor"/>
      </rPr>
      <t>WHERE</t>
    </r>
    <r>
      <rPr>
        <sz val="9"/>
        <color rgb="FF000000"/>
        <rFont val="Calibri"/>
        <family val="2"/>
        <scheme val="minor"/>
      </rPr>
      <t xml:space="preserve"> name </t>
    </r>
    <r>
      <rPr>
        <sz val="9"/>
        <color rgb="FF808080"/>
        <rFont val="Calibri"/>
        <family val="2"/>
        <scheme val="minor"/>
      </rPr>
      <t>NOT IN (</t>
    </r>
    <r>
      <rPr>
        <sz val="9"/>
        <color rgb="FFFF0000"/>
        <rFont val="Calibri"/>
        <family val="2"/>
        <scheme val="minor"/>
      </rPr>
      <t>'master'</t>
    </r>
    <r>
      <rPr>
        <sz val="9"/>
        <color rgb="FF808080"/>
        <rFont val="Calibri"/>
        <family val="2"/>
        <scheme val="minor"/>
      </rPr>
      <t>,</t>
    </r>
    <r>
      <rPr>
        <sz val="9"/>
        <color rgb="FFFF0000"/>
        <rFont val="Calibri"/>
        <family val="2"/>
        <scheme val="minor"/>
      </rPr>
      <t>'model'</t>
    </r>
    <r>
      <rPr>
        <sz val="9"/>
        <color rgb="FF808080"/>
        <rFont val="Calibri"/>
        <family val="2"/>
        <scheme val="minor"/>
      </rPr>
      <t>,</t>
    </r>
    <r>
      <rPr>
        <sz val="9"/>
        <color rgb="FFFF0000"/>
        <rFont val="Calibri"/>
        <family val="2"/>
        <scheme val="minor"/>
      </rPr>
      <t>'msdb'</t>
    </r>
    <r>
      <rPr>
        <sz val="9"/>
        <color rgb="FF808080"/>
        <rFont val="Calibri"/>
        <family val="2"/>
        <scheme val="minor"/>
      </rPr>
      <t>,</t>
    </r>
    <r>
      <rPr>
        <sz val="9"/>
        <color rgb="FFFF0000"/>
        <rFont val="Calibri"/>
        <family val="2"/>
        <scheme val="minor"/>
      </rPr>
      <t>'tempdb'</t>
    </r>
    <r>
      <rPr>
        <sz val="9"/>
        <color rgb="FF808080"/>
        <rFont val="Calibri"/>
        <family val="2"/>
        <scheme val="minor"/>
      </rPr>
      <t>)</t>
    </r>
    <r>
      <rPr>
        <sz val="9"/>
        <color rgb="FF000000"/>
        <rFont val="Calibri"/>
        <family val="2"/>
        <scheme val="minor"/>
      </rPr>
      <t xml:space="preserve">  </t>
    </r>
    <r>
      <rPr>
        <sz val="9"/>
        <color rgb="FF008000"/>
        <rFont val="Calibri"/>
        <family val="2"/>
        <scheme val="minor"/>
      </rPr>
      <t>-- exclude these databases</t>
    </r>
  </si>
  <si>
    <r>
      <t>OPEN</t>
    </r>
    <r>
      <rPr>
        <sz val="9"/>
        <color rgb="FF000000"/>
        <rFont val="Calibri"/>
        <family val="2"/>
        <scheme val="minor"/>
      </rPr>
      <t xml:space="preserve"> db_cursor   </t>
    </r>
  </si>
  <si>
    <r>
      <t>FETCH</t>
    </r>
    <r>
      <rPr>
        <sz val="9"/>
        <color rgb="FF000000"/>
        <rFont val="Calibri"/>
        <family val="2"/>
        <scheme val="minor"/>
      </rPr>
      <t xml:space="preserve"> NEXT </t>
    </r>
    <r>
      <rPr>
        <sz val="9"/>
        <color rgb="FF0000FF"/>
        <rFont val="Calibri"/>
        <family val="2"/>
        <scheme val="minor"/>
      </rPr>
      <t>FROM</t>
    </r>
    <r>
      <rPr>
        <sz val="9"/>
        <color rgb="FF000000"/>
        <rFont val="Calibri"/>
        <family val="2"/>
        <scheme val="minor"/>
      </rPr>
      <t xml:space="preserve"> db_cursor </t>
    </r>
    <r>
      <rPr>
        <sz val="9"/>
        <color rgb="FF0000FF"/>
        <rFont val="Calibri"/>
        <family val="2"/>
        <scheme val="minor"/>
      </rPr>
      <t>INTO</t>
    </r>
    <r>
      <rPr>
        <sz val="9"/>
        <color rgb="FF000000"/>
        <rFont val="Calibri"/>
        <family val="2"/>
        <scheme val="minor"/>
      </rPr>
      <t xml:space="preserve"> @name   </t>
    </r>
  </si>
  <si>
    <r>
      <t xml:space="preserve">WHILE </t>
    </r>
    <r>
      <rPr>
        <sz val="9"/>
        <color rgb="FFFF00FF"/>
        <rFont val="Calibri"/>
        <family val="2"/>
        <scheme val="minor"/>
      </rPr>
      <t xml:space="preserve">@@FETCH_STATUS </t>
    </r>
    <r>
      <rPr>
        <sz val="9"/>
        <color rgb="FF808080"/>
        <rFont val="Calibri"/>
        <family val="2"/>
        <scheme val="minor"/>
      </rPr>
      <t>=</t>
    </r>
    <r>
      <rPr>
        <sz val="9"/>
        <color rgb="FF000000"/>
        <rFont val="Calibri"/>
        <family val="2"/>
        <scheme val="minor"/>
      </rPr>
      <t xml:space="preserve"> 0   </t>
    </r>
  </si>
  <si>
    <r>
      <t>BEGIN</t>
    </r>
    <r>
      <rPr>
        <sz val="9"/>
        <color rgb="FF000000"/>
        <rFont val="Calibri"/>
        <family val="2"/>
        <scheme val="minor"/>
      </rPr>
      <t xml:space="preserve">   </t>
    </r>
  </si>
  <si>
    <r>
      <t xml:space="preserve">   </t>
    </r>
    <r>
      <rPr>
        <sz val="9"/>
        <color rgb="FF0000FF"/>
        <rFont val="Calibri"/>
        <family val="2"/>
        <scheme val="minor"/>
      </rPr>
      <t>SET</t>
    </r>
    <r>
      <rPr>
        <sz val="9"/>
        <color rgb="FF000000"/>
        <rFont val="Calibri"/>
        <family val="2"/>
        <scheme val="minor"/>
      </rPr>
      <t xml:space="preserve"> @fileName </t>
    </r>
    <r>
      <rPr>
        <sz val="9"/>
        <color rgb="FF808080"/>
        <rFont val="Calibri"/>
        <family val="2"/>
        <scheme val="minor"/>
      </rPr>
      <t>=</t>
    </r>
    <r>
      <rPr>
        <sz val="9"/>
        <color rgb="FF000000"/>
        <rFont val="Calibri"/>
        <family val="2"/>
        <scheme val="minor"/>
      </rPr>
      <t xml:space="preserve"> @path </t>
    </r>
    <r>
      <rPr>
        <sz val="9"/>
        <color rgb="FF808080"/>
        <rFont val="Calibri"/>
        <family val="2"/>
        <scheme val="minor"/>
      </rPr>
      <t>+</t>
    </r>
    <r>
      <rPr>
        <sz val="9"/>
        <color rgb="FF000000"/>
        <rFont val="Calibri"/>
        <family val="2"/>
        <scheme val="minor"/>
      </rPr>
      <t xml:space="preserve"> @name </t>
    </r>
    <r>
      <rPr>
        <sz val="9"/>
        <color rgb="FF808080"/>
        <rFont val="Calibri"/>
        <family val="2"/>
        <scheme val="minor"/>
      </rPr>
      <t xml:space="preserve">+ </t>
    </r>
    <r>
      <rPr>
        <sz val="9"/>
        <color rgb="FFFF0000"/>
        <rFont val="Calibri"/>
        <family val="2"/>
        <scheme val="minor"/>
      </rPr>
      <t xml:space="preserve">'_' </t>
    </r>
    <r>
      <rPr>
        <sz val="9"/>
        <color rgb="FF808080"/>
        <rFont val="Calibri"/>
        <family val="2"/>
        <scheme val="minor"/>
      </rPr>
      <t>+</t>
    </r>
    <r>
      <rPr>
        <sz val="9"/>
        <color rgb="FF000000"/>
        <rFont val="Calibri"/>
        <family val="2"/>
        <scheme val="minor"/>
      </rPr>
      <t xml:space="preserve"> @fileDate </t>
    </r>
    <r>
      <rPr>
        <sz val="9"/>
        <color rgb="FF808080"/>
        <rFont val="Calibri"/>
        <family val="2"/>
        <scheme val="minor"/>
      </rPr>
      <t xml:space="preserve">+ </t>
    </r>
    <r>
      <rPr>
        <sz val="9"/>
        <color rgb="FFFF0000"/>
        <rFont val="Calibri"/>
        <family val="2"/>
        <scheme val="minor"/>
      </rPr>
      <t>'.BAK'</t>
    </r>
    <r>
      <rPr>
        <sz val="9"/>
        <color rgb="FF000000"/>
        <rFont val="Calibri"/>
        <family val="2"/>
        <scheme val="minor"/>
      </rPr>
      <t xml:space="preserve">  </t>
    </r>
  </si>
  <si>
    <r>
      <t xml:space="preserve">   </t>
    </r>
    <r>
      <rPr>
        <sz val="9"/>
        <color rgb="FF0000FF"/>
        <rFont val="Calibri"/>
        <family val="2"/>
        <scheme val="minor"/>
      </rPr>
      <t>BACKUP DATABASE</t>
    </r>
    <r>
      <rPr>
        <sz val="9"/>
        <color rgb="FF000000"/>
        <rFont val="Calibri"/>
        <family val="2"/>
        <scheme val="minor"/>
      </rPr>
      <t xml:space="preserve"> @name </t>
    </r>
    <r>
      <rPr>
        <sz val="9"/>
        <color rgb="FF0000FF"/>
        <rFont val="Calibri"/>
        <family val="2"/>
        <scheme val="minor"/>
      </rPr>
      <t xml:space="preserve">TO DISK </t>
    </r>
    <r>
      <rPr>
        <sz val="9"/>
        <color rgb="FF808080"/>
        <rFont val="Calibri"/>
        <family val="2"/>
        <scheme val="minor"/>
      </rPr>
      <t>=</t>
    </r>
    <r>
      <rPr>
        <sz val="9"/>
        <color rgb="FF000000"/>
        <rFont val="Calibri"/>
        <family val="2"/>
        <scheme val="minor"/>
      </rPr>
      <t xml:space="preserve"> @fileName </t>
    </r>
    <r>
      <rPr>
        <sz val="11"/>
        <color theme="1"/>
        <rFont val="Calibri"/>
        <family val="2"/>
        <scheme val="minor"/>
      </rPr>
      <t>with compression</t>
    </r>
  </si>
  <si>
    <r>
      <t xml:space="preserve">   </t>
    </r>
    <r>
      <rPr>
        <sz val="9"/>
        <color rgb="FF0000FF"/>
        <rFont val="Calibri"/>
        <family val="2"/>
        <scheme val="minor"/>
      </rPr>
      <t>FETCH</t>
    </r>
    <r>
      <rPr>
        <sz val="9"/>
        <color rgb="FF000000"/>
        <rFont val="Calibri"/>
        <family val="2"/>
        <scheme val="minor"/>
      </rPr>
      <t xml:space="preserve"> NEXT </t>
    </r>
    <r>
      <rPr>
        <sz val="9"/>
        <color rgb="FF0000FF"/>
        <rFont val="Calibri"/>
        <family val="2"/>
        <scheme val="minor"/>
      </rPr>
      <t>FROM</t>
    </r>
    <r>
      <rPr>
        <sz val="9"/>
        <color rgb="FF000000"/>
        <rFont val="Calibri"/>
        <family val="2"/>
        <scheme val="minor"/>
      </rPr>
      <t xml:space="preserve"> db_cursor </t>
    </r>
    <r>
      <rPr>
        <sz val="9"/>
        <color rgb="FF0000FF"/>
        <rFont val="Calibri"/>
        <family val="2"/>
        <scheme val="minor"/>
      </rPr>
      <t>INTO</t>
    </r>
    <r>
      <rPr>
        <sz val="9"/>
        <color rgb="FF000000"/>
        <rFont val="Calibri"/>
        <family val="2"/>
        <scheme val="minor"/>
      </rPr>
      <t xml:space="preserve"> @name   </t>
    </r>
  </si>
  <si>
    <r>
      <t>END</t>
    </r>
    <r>
      <rPr>
        <sz val="9"/>
        <color rgb="FF000000"/>
        <rFont val="Calibri"/>
        <family val="2"/>
        <scheme val="minor"/>
      </rPr>
      <t xml:space="preserve">   </t>
    </r>
  </si>
  <si>
    <r>
      <t>CLOSE</t>
    </r>
    <r>
      <rPr>
        <sz val="9"/>
        <color rgb="FF000000"/>
        <rFont val="Calibri"/>
        <family val="2"/>
        <scheme val="minor"/>
      </rPr>
      <t xml:space="preserve"> db_cursor   </t>
    </r>
  </si>
  <si>
    <r>
      <t>DEALLOCATE</t>
    </r>
    <r>
      <rPr>
        <sz val="9"/>
        <color rgb="FF000000"/>
        <rFont val="Calibri"/>
        <family val="2"/>
        <scheme val="minor"/>
      </rPr>
      <t xml:space="preserve"> db_cursor</t>
    </r>
  </si>
  <si>
    <t>Customer Models</t>
  </si>
  <si>
    <t>select * from ip.olap_properties where bism_ind ='N'</t>
  </si>
  <si>
    <t>CTM SQL User Grants</t>
  </si>
  <si>
    <t xml:space="preserve">DROP USER </t>
  </si>
  <si>
    <t xml:space="preserve">CREATE USER </t>
  </si>
  <si>
    <t>TIRS</t>
  </si>
  <si>
    <t xml:space="preserve">ALTER USER </t>
  </si>
  <si>
    <t>dbo</t>
  </si>
  <si>
    <t xml:space="preserve">ALTER ROLE </t>
  </si>
  <si>
    <t>[</t>
  </si>
  <si>
    <t xml:space="preserve"> ADD MEMBER </t>
  </si>
  <si>
    <t>]</t>
  </si>
  <si>
    <t xml:space="preserve">USE </t>
  </si>
  <si>
    <t>db_datareader</t>
  </si>
  <si>
    <t>GO</t>
  </si>
  <si>
    <t>db_owner</t>
  </si>
  <si>
    <t xml:space="preserve"> FOR LOGIN </t>
  </si>
  <si>
    <t xml:space="preserve"> WITH DEFAULT_SCHEMA=</t>
  </si>
  <si>
    <t>Connection Sting</t>
  </si>
  <si>
    <t>Data Source=</t>
  </si>
  <si>
    <t>Initial Catalog=</t>
  </si>
  <si>
    <t>;</t>
  </si>
  <si>
    <t xml:space="preserve">        ReportUserPassword = 'hails-nGHrJ'</t>
  </si>
  <si>
    <t xml:space="preserve">    &amp; "c:\deploy\Add-ReportUser.ps1" @reportUserCreationParams</t>
  </si>
  <si>
    <t>PS For Cutover</t>
  </si>
  <si>
    <r>
      <t>copy-item -Path "</t>
    </r>
    <r>
      <rPr>
        <sz val="11"/>
        <color theme="1"/>
        <rFont val="Calibri"/>
        <family val="2"/>
        <scheme val="minor"/>
      </rPr>
      <t>\\techservices\upgrade</t>
    </r>
    <r>
      <rPr>
        <sz val="11"/>
        <color rgb="FF000000"/>
        <rFont val="Calibri"/>
        <family val="2"/>
        <scheme val="minor"/>
      </rPr>
      <t>" -Destination "</t>
    </r>
    <r>
      <rPr>
        <sz val="11"/>
        <color theme="1"/>
        <rFont val="Calibri"/>
        <family val="2"/>
        <scheme val="minor"/>
      </rPr>
      <t>\\lnpvmBRKweb03\f$\</t>
    </r>
    <r>
      <rPr>
        <sz val="11"/>
        <color rgb="FF000000"/>
        <rFont val="Calibri"/>
        <family val="2"/>
        <scheme val="minor"/>
      </rPr>
      <t>" -Recurse -Force;</t>
    </r>
  </si>
  <si>
    <t xml:space="preserve"> -TargetPath </t>
  </si>
  <si>
    <t>Get-Content</t>
  </si>
  <si>
    <t xml:space="preserve"> -replace</t>
  </si>
  <si>
    <t xml:space="preserve"> -Raw</t>
  </si>
  <si>
    <t>XXX</t>
  </si>
  <si>
    <t>Set-Content</t>
  </si>
  <si>
    <t>{New-Item -Path F:\SqlBackup\PreBuild -ItemType Directory}</t>
  </si>
  <si>
    <t>$buildSqls</t>
  </si>
  <si>
    <t>\F$\sqlbackup\PreBuild\</t>
  </si>
  <si>
    <t>_PreBuild.bak'</t>
  </si>
  <si>
    <t>_preBuild.bak"</t>
  </si>
  <si>
    <t>BUILD_SCENARIO</t>
  </si>
  <si>
    <t>SRC_REPORT_SERVER_URL</t>
  </si>
  <si>
    <t>SRC_FOLDER</t>
  </si>
  <si>
    <t>DST_REPORT_SERVER_URL</t>
  </si>
  <si>
    <t>DST_FOLDER</t>
  </si>
  <si>
    <t>KBL.PVCLOUD.COM</t>
  </si>
  <si>
    <t>Datadog</t>
  </si>
  <si>
    <t>Maintenance Day</t>
  </si>
  <si>
    <t>SSM Agent</t>
  </si>
  <si>
    <t>Load Balancing (F5, AWS)</t>
  </si>
  <si>
    <t>Sumo</t>
  </si>
  <si>
    <t>SCCM</t>
  </si>
  <si>
    <t>Get-Service -Name *sumo*</t>
  </si>
  <si>
    <t>Get-Service -Name *datadog*</t>
  </si>
  <si>
    <t>Get-Service -Name *CcmExec*</t>
  </si>
  <si>
    <t>Get-Service -Name *Amazon*</t>
  </si>
  <si>
    <t>Get-Service -Name *ir_agent*</t>
  </si>
  <si>
    <t>Rapid7</t>
  </si>
  <si>
    <t>https://www.site24x7.com/sp/client?fs=true#/home</t>
  </si>
  <si>
    <t>(Get-ItemProperty -Path $key -Name $value).$value</t>
  </si>
  <si>
    <t>"Registry::HKEY_LOCAL_MACHINE\SOFTWARE\WOW6432Node\Microsoft\Windows\CurrentVersion\Uninstall\Planview IT MGUPD"</t>
  </si>
  <si>
    <t>"DisplayName"</t>
  </si>
  <si>
    <t xml:space="preserve">$key = </t>
  </si>
  <si>
    <t xml:space="preserve">$value = </t>
  </si>
  <si>
    <t>Get-Item "Registry::HKEY_LOCAL_MACHINE\SOFTWARE\New Relic\"</t>
  </si>
  <si>
    <t>Verify all web servers are in load balanced pool</t>
  </si>
  <si>
    <t>Prod Trans Connection String</t>
  </si>
  <si>
    <t>SB1 Trans Connection String</t>
  </si>
  <si>
    <t>SB1 DM Connection String</t>
  </si>
  <si>
    <t>Prod DM Connection String</t>
  </si>
  <si>
    <t>/browse/</t>
  </si>
  <si>
    <t>.pvcloud.com/Data%20Sources</t>
  </si>
  <si>
    <t>CR_VERSION</t>
  </si>
  <si>
    <t xml:space="preserve"> PreProd</t>
  </si>
  <si>
    <t xml:space="preserve"> -Path </t>
  </si>
  <si>
    <t>Get-ADComputer -Filter 'Name -like "sgpvmXXX*"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</si>
</sst>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8">
    <font>
      <sz val="11"/>
      <color theme="1"/>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u/>
      <sz val="11"/>
      <color theme="10"/>
      <name val="Calibri"/>
      <family val="2"/>
      <scheme val="minor"/>
    </font>
    <font>
      <sz val="11"/>
      <color rgb="FF222222"/>
      <name val="Calibri"/>
      <family val="2"/>
      <scheme val="minor"/>
    </font>
    <font>
      <sz val="8"/>
      <color theme="1"/>
      <name val="Calibri"/>
      <family val="2"/>
    </font>
    <font>
      <sz val="9"/>
      <color theme="1"/>
      <name val="Calibri"/>
      <family val="2"/>
      <scheme val="minor"/>
    </font>
    <font>
      <sz val="11"/>
      <color rgb="FFFF0000"/>
      <name val="Calibri"/>
      <family val="2"/>
      <scheme val="minor"/>
    </font>
    <font>
      <sz val="11"/>
      <name val="Calibri"/>
      <family val="2"/>
      <scheme val="minor"/>
    </font>
    <font>
      <sz val="9"/>
      <color rgb="FF1D1C1D"/>
      <name val="Consolas"/>
      <family val="3"/>
    </font>
    <font>
      <sz val="9"/>
      <color rgb="FF0000FF"/>
      <name val="Calibri"/>
      <family val="2"/>
      <scheme val="minor"/>
    </font>
    <font>
      <sz val="9"/>
      <color rgb="FF000000"/>
      <name val="Calibri"/>
      <family val="2"/>
      <scheme val="minor"/>
    </font>
    <font>
      <sz val="9"/>
      <color rgb="FF808080"/>
      <name val="Calibri"/>
      <family val="2"/>
      <scheme val="minor"/>
    </font>
    <font>
      <sz val="9"/>
      <color rgb="FF008000"/>
      <name val="Calibri"/>
      <family val="2"/>
      <scheme val="minor"/>
    </font>
    <font>
      <sz val="9"/>
      <color rgb="FFFF0000"/>
      <name val="Calibri"/>
      <family val="2"/>
      <scheme val="minor"/>
    </font>
    <font>
      <sz val="9"/>
      <color rgb="FFFF00FF"/>
      <name val="Calibri"/>
      <family val="2"/>
      <scheme val="minor"/>
    </font>
    <font>
      <sz val="10.5"/>
      <name val="Consolas"/>
      <family val="3"/>
    </font>
    <font>
      <sz val="11"/>
      <color rgb="FF3366FF"/>
      <name val="Segoe UI"/>
      <family val="2"/>
    </font>
    <font>
      <sz val="11"/>
      <color theme="5" tint="-0.249977111117893"/>
      <name val="Calibri"/>
      <family val="2"/>
      <scheme val="minor"/>
    </font>
    <font>
      <b/>
      <sz val="11"/>
      <color rgb="FFFF0000"/>
      <name val="Calibri"/>
      <family val="2"/>
      <scheme val="minor"/>
    </font>
    <font>
      <b/>
      <sz val="11"/>
      <color rgb="FFFF0000"/>
      <name val="Arial"/>
      <family val="2"/>
    </font>
    <font>
      <b/>
      <sz val="14"/>
      <color theme="0"/>
      <name val="Bahnschrift SemiLight SemiConde"/>
      <family val="2"/>
    </font>
    <font>
      <b/>
      <sz val="14"/>
      <color theme="1"/>
      <name val="Calibri"/>
      <family val="2"/>
      <scheme val="minor"/>
    </font>
    <font>
      <i/>
      <sz val="11"/>
      <color rgb="FFFF0000"/>
      <name val="Calibri"/>
      <family val="2"/>
      <scheme val="minor"/>
    </font>
    <font>
      <b/>
      <sz val="14"/>
      <color rgb="FF002060"/>
      <name val="Bahnschrift SemiLight SemiConde"/>
      <family val="2"/>
    </font>
    <font>
      <b/>
      <sz val="12"/>
      <color theme="1"/>
      <name val="Calibri"/>
      <family val="2"/>
      <scheme val="minor"/>
    </font>
    <font>
      <sz val="10"/>
      <name val="Calibri"/>
      <family val="2"/>
      <scheme val="minor"/>
    </font>
    <font>
      <b/>
      <sz val="11"/>
      <name val="Calibri"/>
      <family val="2"/>
      <scheme val="minor"/>
    </font>
    <font>
      <b/>
      <sz val="14"/>
      <color theme="1"/>
      <name val="Bahnschrift SemiLight SemiConde"/>
      <family val="2"/>
    </font>
    <font>
      <b/>
      <sz val="11"/>
      <color theme="0"/>
      <name val="Bahnschrift SemiLight SemiConde"/>
      <family val="2"/>
    </font>
    <font>
      <b/>
      <sz val="10"/>
      <color theme="0"/>
      <name val="Bahnschrift SemiLight SemiConde"/>
      <family val="2"/>
    </font>
    <font>
      <b/>
      <sz val="11"/>
      <color rgb="FF333333"/>
      <name val="Calibri"/>
      <family val="2"/>
      <scheme val="minor"/>
    </font>
    <font>
      <b/>
      <sz val="11"/>
      <color rgb="FF333333"/>
      <name val="Arial"/>
      <family val="2"/>
    </font>
    <font>
      <b/>
      <sz val="11"/>
      <color rgb="FF000000"/>
      <name val="Calibri"/>
      <family val="2"/>
      <scheme val="minor"/>
    </font>
    <font>
      <b/>
      <sz val="10"/>
      <color rgb="FF333333"/>
      <name val="Arial"/>
      <family val="2"/>
    </font>
    <font>
      <sz val="11"/>
      <color theme="5"/>
      <name val="Calibri"/>
      <family val="2"/>
      <scheme val="minor"/>
    </font>
    <font>
      <b/>
      <sz val="11"/>
      <color theme="5"/>
      <name val="Calibri"/>
      <family val="2"/>
      <scheme val="minor"/>
    </font>
    <font>
      <b/>
      <sz val="14"/>
      <color rgb="FFFFFFFF"/>
      <name val="Bahnschrift SemiLight SemiConde"/>
      <family val="2"/>
    </font>
    <font>
      <i/>
      <sz val="11"/>
      <color theme="1"/>
      <name val="Calibri"/>
      <family val="2"/>
      <scheme val="minor"/>
    </font>
    <font>
      <sz val="9.75"/>
      <color rgb="FF303336"/>
      <name val="Inherit"/>
    </font>
    <font>
      <sz val="9.75"/>
      <color rgb="FF2B91AF"/>
      <name val="Inherit"/>
    </font>
    <font>
      <sz val="9.75"/>
      <color rgb="FF7D2727"/>
      <name val="Inherit"/>
    </font>
    <font>
      <u/>
      <sz val="11"/>
      <name val="Calibri"/>
      <family val="2"/>
      <scheme val="minor"/>
    </font>
    <font>
      <sz val="8"/>
      <name val="Calibri"/>
      <family val="2"/>
      <scheme val="minor"/>
    </font>
    <font>
      <u/>
      <sz val="8"/>
      <color theme="10"/>
      <name val="Calibri"/>
      <family val="2"/>
      <scheme val="minor"/>
    </font>
    <font>
      <b/>
      <sz val="8"/>
      <color theme="1"/>
      <name val="Calibri"/>
      <family val="2"/>
      <scheme val="minor"/>
    </font>
    <font>
      <b/>
      <sz val="14"/>
      <color theme="4" tint="0.79998168889431442"/>
      <name val="Bahnschrift SemiLight SemiConde"/>
      <family val="2"/>
    </font>
    <font>
      <sz val="28"/>
      <color theme="1"/>
      <name val="Calibri"/>
      <family val="2"/>
      <scheme val="minor"/>
    </font>
    <font>
      <u/>
      <sz val="11"/>
      <color rgb="FF0070C0"/>
      <name val="Calibri"/>
      <family val="2"/>
      <scheme val="minor"/>
    </font>
    <font>
      <sz val="11"/>
      <color rgb="FF333333"/>
      <name val="Calibri"/>
      <family val="2"/>
      <scheme val="minor"/>
    </font>
    <font>
      <b/>
      <i/>
      <sz val="11"/>
      <color rgb="FF091E42"/>
      <name val="Segoe UI"/>
      <family val="2"/>
    </font>
    <font>
      <sz val="9"/>
      <color indexed="81"/>
      <name val="Tahoma"/>
      <charset val="1"/>
    </font>
    <font>
      <b/>
      <sz val="9"/>
      <color indexed="81"/>
      <name val="Tahoma"/>
      <charset val="1"/>
    </font>
    <font>
      <u/>
      <sz val="8"/>
      <color theme="4"/>
      <name val="Calibri"/>
      <family val="2"/>
      <scheme val="minor"/>
    </font>
    <font>
      <sz val="11"/>
      <color rgb="FF3F3F76"/>
      <name val="Calibri"/>
      <family val="2"/>
      <scheme val="minor"/>
    </font>
    <font>
      <b/>
      <sz val="11"/>
      <color rgb="FF3F3F76"/>
      <name val="Calibri"/>
      <family val="2"/>
      <scheme val="minor"/>
    </font>
    <font>
      <sz val="8"/>
      <color rgb="FF3F3F76"/>
      <name val="Calibri"/>
      <family val="2"/>
      <scheme val="minor"/>
    </font>
    <font>
      <sz val="8"/>
      <color theme="0" tint="-0.499984740745262"/>
      <name val="Calibri"/>
      <family val="2"/>
      <scheme val="minor"/>
    </font>
    <font>
      <b/>
      <sz val="8"/>
      <color theme="0"/>
      <name val="Calibri"/>
      <family val="2"/>
      <scheme val="minor"/>
    </font>
    <font>
      <i/>
      <sz val="11"/>
      <name val="Calibri"/>
      <family val="2"/>
      <scheme val="minor"/>
    </font>
    <font>
      <b/>
      <sz val="8"/>
      <color rgb="FF1D1C1D"/>
      <name val="Arial"/>
      <family val="2"/>
    </font>
    <font>
      <u/>
      <sz val="8"/>
      <color theme="1"/>
      <name val="Calibri"/>
      <family val="2"/>
      <scheme val="minor"/>
    </font>
    <font>
      <sz val="8"/>
      <color rgb="FFFF0000"/>
      <name val="Calibri"/>
      <family val="2"/>
      <scheme val="minor"/>
    </font>
    <font>
      <b/>
      <sz val="8"/>
      <color theme="4"/>
      <name val="Calibri"/>
      <family val="2"/>
      <scheme val="minor"/>
    </font>
    <font>
      <u/>
      <sz val="11"/>
      <color theme="4"/>
      <name val="Calibri"/>
      <family val="2"/>
      <scheme val="minor"/>
    </font>
    <font>
      <sz val="11"/>
      <color theme="10"/>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
      <patternFill patternType="solid">
        <fgColor theme="4" tint="-0.499984740745262"/>
        <bgColor indexed="64"/>
      </patternFill>
    </fill>
    <fill>
      <patternFill patternType="solid">
        <fgColor rgb="FFE1FFEB"/>
        <bgColor indexed="64"/>
      </patternFill>
    </fill>
    <fill>
      <patternFill patternType="solid">
        <fgColor rgb="FF90F0B7"/>
        <bgColor indexed="64"/>
      </patternFill>
    </fill>
    <fill>
      <patternFill patternType="solid">
        <fgColor rgb="FFC8F8E1"/>
        <bgColor indexed="64"/>
      </patternFill>
    </fill>
    <fill>
      <patternFill patternType="solid">
        <fgColor rgb="FFFFF3F3"/>
        <bgColor indexed="64"/>
      </patternFill>
    </fill>
    <fill>
      <patternFill patternType="solid">
        <fgColor rgb="FFFFCCCC"/>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203764"/>
        <bgColor rgb="FF000000"/>
      </patternFill>
    </fill>
    <fill>
      <patternFill patternType="solid">
        <fgColor rgb="FFFFCC99"/>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125">
    <border>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style="thin">
        <color theme="0"/>
      </bottom>
      <diagonal/>
    </border>
    <border>
      <left/>
      <right style="thin">
        <color indexed="64"/>
      </right>
      <top style="thin">
        <color theme="0" tint="-0.14999847407452621"/>
      </top>
      <bottom/>
      <diagonal/>
    </border>
    <border>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0.14999847407452621"/>
      </top>
      <bottom style="thin">
        <color indexed="64"/>
      </bottom>
      <diagonal/>
    </border>
    <border>
      <left style="thin">
        <color indexed="64"/>
      </left>
      <right/>
      <top style="thin">
        <color theme="0" tint="-0.14999847407452621"/>
      </top>
      <bottom style="thin">
        <color theme="0" tint="-0.14999847407452621"/>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theme="0"/>
      </top>
      <bottom style="thin">
        <color theme="0"/>
      </bottom>
      <diagonal/>
    </border>
    <border>
      <left style="thin">
        <color indexed="64"/>
      </left>
      <right/>
      <top style="thin">
        <color theme="0" tint="-0.14999847407452621"/>
      </top>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
      <left/>
      <right style="thin">
        <color indexed="64"/>
      </right>
      <top style="thin">
        <color theme="0"/>
      </top>
      <bottom style="thin">
        <color indexed="64"/>
      </bottom>
      <diagonal/>
    </border>
    <border>
      <left style="thin">
        <color indexed="64"/>
      </left>
      <right style="thin">
        <color indexed="64"/>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right/>
      <top style="thin">
        <color indexed="64"/>
      </top>
      <bottom style="thin">
        <color indexed="64"/>
      </bottom>
      <diagonal/>
    </border>
    <border>
      <left style="thin">
        <color indexed="64"/>
      </left>
      <right/>
      <top style="thin">
        <color theme="0" tint="-0.14999847407452621"/>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6" tint="0.39997558519241921"/>
      </top>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top/>
      <bottom style="thin">
        <color indexed="64"/>
      </bottom>
      <diagonal/>
    </border>
    <border>
      <left style="thin">
        <color rgb="FF000000"/>
      </left>
      <right/>
      <top/>
      <bottom style="thin">
        <color indexed="64"/>
      </bottom>
      <diagonal/>
    </border>
    <border>
      <left style="thin">
        <color indexed="64"/>
      </left>
      <right/>
      <top style="thin">
        <color indexed="64"/>
      </top>
      <bottom style="thin">
        <color theme="0" tint="-0.14999847407452621"/>
      </bottom>
      <diagonal/>
    </border>
    <border>
      <left style="thin">
        <color indexed="64"/>
      </left>
      <right/>
      <top style="thin">
        <color theme="0"/>
      </top>
      <bottom style="thin">
        <color indexed="64"/>
      </bottom>
      <diagonal/>
    </border>
    <border>
      <left/>
      <right style="thin">
        <color indexed="64"/>
      </right>
      <top style="thin">
        <color theme="0" tint="-4.9989318521683403E-2"/>
      </top>
      <bottom/>
      <diagonal/>
    </border>
    <border>
      <left/>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theme="0"/>
      </bottom>
      <diagonal/>
    </border>
    <border>
      <left style="thin">
        <color theme="0"/>
      </left>
      <right/>
      <top style="thin">
        <color theme="0"/>
      </top>
      <bottom style="thin">
        <color theme="0"/>
      </bottom>
      <diagonal/>
    </border>
    <border>
      <left style="thin">
        <color indexed="64"/>
      </left>
      <right/>
      <top style="thin">
        <color theme="0"/>
      </top>
      <bottom/>
      <diagonal/>
    </border>
    <border>
      <left style="thin">
        <color indexed="64"/>
      </left>
      <right style="thin">
        <color indexed="64"/>
      </right>
      <top style="thin">
        <color theme="0" tint="-4.9989318521683403E-2"/>
      </top>
      <bottom style="thin">
        <color theme="0" tint="-0.14999847407452621"/>
      </bottom>
      <diagonal/>
    </border>
    <border>
      <left style="thin">
        <color indexed="64"/>
      </left>
      <right style="thin">
        <color indexed="64"/>
      </right>
      <top style="thin">
        <color theme="0" tint="-0.14999847407452621"/>
      </top>
      <bottom style="thin">
        <color theme="0" tint="-4.9989318521683403E-2"/>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top/>
      <bottom style="thin">
        <color theme="0"/>
      </bottom>
      <diagonal/>
    </border>
    <border>
      <left style="thin">
        <color rgb="FF000000"/>
      </left>
      <right/>
      <top/>
      <bottom style="thin">
        <color theme="0"/>
      </bottom>
      <diagonal/>
    </border>
    <border>
      <left style="thin">
        <color rgb="FF000000"/>
      </left>
      <right/>
      <top style="thin">
        <color theme="0"/>
      </top>
      <bottom style="thin">
        <color theme="0"/>
      </bottom>
      <diagonal/>
    </border>
    <border>
      <left/>
      <right style="thin">
        <color indexed="64"/>
      </right>
      <top style="thin">
        <color rgb="FF000000"/>
      </top>
      <bottom style="thin">
        <color indexed="64"/>
      </bottom>
      <diagonal/>
    </border>
    <border>
      <left style="thin">
        <color indexed="64"/>
      </left>
      <right style="thin">
        <color indexed="64"/>
      </right>
      <top style="thin">
        <color theme="4" tint="0.79998168889431442"/>
      </top>
      <bottom/>
      <diagonal/>
    </border>
    <border>
      <left style="thin">
        <color indexed="64"/>
      </left>
      <right style="thin">
        <color indexed="64"/>
      </right>
      <top style="thin">
        <color theme="4" tint="0.59999389629810485"/>
      </top>
      <bottom/>
      <diagonal/>
    </border>
    <border>
      <left style="thin">
        <color indexed="64"/>
      </left>
      <right style="thin">
        <color indexed="64"/>
      </right>
      <top style="thin">
        <color indexed="64"/>
      </top>
      <bottom style="thin">
        <color theme="4" tint="0.79998168889431442"/>
      </bottom>
      <diagonal/>
    </border>
    <border>
      <left style="thin">
        <color indexed="64"/>
      </left>
      <right style="thin">
        <color indexed="64"/>
      </right>
      <top style="thin">
        <color theme="4" tint="0.59999389629810485"/>
      </top>
      <bottom style="thin">
        <color theme="4" tint="0.59999389629810485"/>
      </bottom>
      <diagonal/>
    </border>
    <border>
      <left style="thin">
        <color indexed="64"/>
      </left>
      <right style="thin">
        <color indexed="64"/>
      </right>
      <top/>
      <bottom style="thin">
        <color theme="4" tint="0.59999389629810485"/>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theme="4" tint="0.79998168889431442"/>
      </top>
      <bottom style="thin">
        <color theme="4" tint="0.79998168889431442"/>
      </bottom>
      <diagonal/>
    </border>
    <border>
      <left style="thin">
        <color indexed="64"/>
      </left>
      <right style="thin">
        <color indexed="64"/>
      </right>
      <top style="thin">
        <color theme="4" tint="0.79998168889431442"/>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style="thin">
        <color theme="0" tint="-4.9989318521683403E-2"/>
      </top>
      <bottom style="thin">
        <color theme="0" tint="-4.9989318521683403E-2"/>
      </bottom>
      <diagonal/>
    </border>
    <border>
      <left style="thin">
        <color rgb="FF7F7F7F"/>
      </left>
      <right style="thin">
        <color rgb="FF7F7F7F"/>
      </right>
      <top style="thin">
        <color theme="0" tint="-4.9989318521683403E-2"/>
      </top>
      <bottom/>
      <diagonal/>
    </border>
    <border>
      <left style="thin">
        <color rgb="FF7F7F7F"/>
      </left>
      <right style="thin">
        <color rgb="FF7F7F7F"/>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style="thin">
        <color indexed="64"/>
      </right>
      <top style="thin">
        <color theme="0"/>
      </top>
      <bottom/>
      <diagonal/>
    </border>
    <border>
      <left style="thin">
        <color indexed="64"/>
      </left>
      <right style="thin">
        <color theme="0"/>
      </right>
      <top/>
      <bottom/>
      <diagonal/>
    </border>
    <border>
      <left style="thin">
        <color indexed="64"/>
      </left>
      <right style="thin">
        <color theme="0"/>
      </right>
      <top style="thin">
        <color theme="0"/>
      </top>
      <bottom/>
      <diagonal/>
    </border>
    <border>
      <left style="thin">
        <color rgb="FF7F7F7F"/>
      </left>
      <right/>
      <top style="thin">
        <color theme="0"/>
      </top>
      <bottom/>
      <diagonal/>
    </border>
    <border>
      <left style="thin">
        <color theme="0"/>
      </left>
      <right style="thin">
        <color indexed="64"/>
      </right>
      <top style="thin">
        <color theme="0"/>
      </top>
      <bottom style="thin">
        <color theme="0"/>
      </bottom>
      <diagonal/>
    </border>
    <border>
      <left/>
      <right/>
      <top style="thin">
        <color theme="0"/>
      </top>
      <bottom/>
      <diagonal/>
    </border>
    <border>
      <left/>
      <right/>
      <top/>
      <bottom style="thin">
        <color theme="0"/>
      </bottom>
      <diagonal/>
    </border>
    <border>
      <left style="thin">
        <color rgb="FF7F7F7F"/>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rgb="FF7F7F7F"/>
      </left>
      <right/>
      <top style="thin">
        <color theme="0"/>
      </top>
      <bottom style="thin">
        <color theme="0"/>
      </bottom>
      <diagonal/>
    </border>
    <border>
      <left style="thin">
        <color rgb="FF000000"/>
      </left>
      <right/>
      <top style="thin">
        <color theme="0"/>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rgb="FF000000"/>
      </top>
      <bottom style="thin">
        <color indexed="64"/>
      </bottom>
      <diagonal/>
    </border>
    <border>
      <left style="thin">
        <color theme="0"/>
      </left>
      <right/>
      <top/>
      <bottom/>
      <diagonal/>
    </border>
    <border>
      <left/>
      <right style="thin">
        <color theme="0"/>
      </right>
      <top style="thin">
        <color indexed="64"/>
      </top>
      <bottom style="thin">
        <color indexed="64"/>
      </bottom>
      <diagonal/>
    </border>
    <border>
      <left/>
      <right/>
      <top style="thin">
        <color theme="0" tint="-4.9989318521683403E-2"/>
      </top>
      <bottom/>
      <diagonal/>
    </border>
    <border>
      <left/>
      <right/>
      <top/>
      <bottom style="thin">
        <color theme="0" tint="-4.9989318521683403E-2"/>
      </bottom>
      <diagonal/>
    </border>
    <border>
      <left style="thin">
        <color rgb="FF7F7F7F"/>
      </left>
      <right/>
      <top/>
      <bottom/>
      <diagonal/>
    </border>
    <border>
      <left style="thin">
        <color theme="0"/>
      </left>
      <right style="thin">
        <color theme="0"/>
      </right>
      <top style="thin">
        <color theme="0"/>
      </top>
      <bottom/>
      <diagonal/>
    </border>
    <border>
      <left style="thin">
        <color theme="0"/>
      </left>
      <right style="thin">
        <color theme="0"/>
      </right>
      <top style="thin">
        <color indexed="64"/>
      </top>
      <bottom style="thin">
        <color theme="0"/>
      </bottom>
      <diagonal/>
    </border>
    <border>
      <left style="thin">
        <color theme="0"/>
      </left>
      <right/>
      <top/>
      <bottom style="thin">
        <color theme="0"/>
      </bottom>
      <diagonal/>
    </border>
    <border>
      <left style="thin">
        <color theme="0"/>
      </left>
      <right/>
      <top style="thin">
        <color indexed="64"/>
      </top>
      <bottom style="thin">
        <color rgb="FF000000"/>
      </bottom>
      <diagonal/>
    </border>
    <border>
      <left style="thin">
        <color indexed="64"/>
      </left>
      <right style="thin">
        <color indexed="64"/>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style="thin">
        <color theme="0"/>
      </right>
      <top style="thin">
        <color indexed="64"/>
      </top>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right>
      <top/>
      <bottom/>
      <diagonal/>
    </border>
    <border>
      <left/>
      <right style="thin">
        <color theme="0"/>
      </right>
      <top style="thin">
        <color theme="0"/>
      </top>
      <bottom/>
      <diagonal/>
    </border>
    <border>
      <left/>
      <right style="thin">
        <color theme="0"/>
      </right>
      <top/>
      <bottom style="thin">
        <color theme="0"/>
      </bottom>
      <diagonal/>
    </border>
  </borders>
  <cellStyleXfs count="3">
    <xf numFmtId="0" fontId="0" fillId="0" borderId="0"/>
    <xf numFmtId="0" fontId="5" fillId="0" borderId="0" applyNumberFormat="0" applyFill="0" applyBorder="0" applyAlignment="0" applyProtection="0"/>
    <xf numFmtId="0" fontId="56" fillId="19" borderId="86" applyNumberFormat="0" applyAlignment="0" applyProtection="0"/>
  </cellStyleXfs>
  <cellXfs count="1155">
    <xf numFmtId="0" fontId="0" fillId="0" borderId="0" xfId="0"/>
    <xf numFmtId="0" fontId="2" fillId="0" borderId="0" xfId="0" applyFont="1"/>
    <xf numFmtId="49" fontId="0" fillId="0" borderId="0" xfId="0" applyNumberFormat="1"/>
    <xf numFmtId="0" fontId="5" fillId="0" borderId="0" xfId="1"/>
    <xf numFmtId="0" fontId="6" fillId="0" borderId="0" xfId="0" applyFont="1"/>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center"/>
    </xf>
    <xf numFmtId="0" fontId="0" fillId="0" borderId="0" xfId="0" applyNumberFormat="1"/>
    <xf numFmtId="0" fontId="0" fillId="0" borderId="3" xfId="0" applyBorder="1"/>
    <xf numFmtId="2" fontId="0" fillId="0" borderId="0" xfId="0" applyNumberFormat="1"/>
    <xf numFmtId="0" fontId="0" fillId="5" borderId="0" xfId="0" applyFill="1"/>
    <xf numFmtId="0" fontId="0" fillId="5" borderId="13" xfId="0" applyFill="1" applyBorder="1"/>
    <xf numFmtId="0" fontId="0" fillId="5" borderId="12" xfId="0" applyFill="1" applyBorder="1"/>
    <xf numFmtId="164" fontId="0" fillId="0" borderId="0" xfId="0" applyNumberFormat="1"/>
    <xf numFmtId="164" fontId="0" fillId="0" borderId="0" xfId="0" applyNumberFormat="1" applyAlignment="1">
      <alignment horizontal="left"/>
    </xf>
    <xf numFmtId="0" fontId="0" fillId="0" borderId="8" xfId="0" applyBorder="1" applyAlignment="1">
      <alignment horizontal="right"/>
    </xf>
    <xf numFmtId="49" fontId="4" fillId="0" borderId="0" xfId="0" applyNumberFormat="1" applyFont="1" applyAlignment="1">
      <alignment wrapText="1"/>
    </xf>
    <xf numFmtId="0" fontId="0" fillId="0" borderId="0" xfId="0" applyAlignment="1">
      <alignment wrapText="1"/>
    </xf>
    <xf numFmtId="0" fontId="7" fillId="0" borderId="0" xfId="0" applyFont="1" applyAlignment="1">
      <alignment horizontal="left" vertical="top"/>
    </xf>
    <xf numFmtId="0" fontId="8" fillId="0" borderId="0" xfId="0" applyFont="1" applyAlignment="1">
      <alignment horizontal="left" vertical="top"/>
    </xf>
    <xf numFmtId="0" fontId="8" fillId="0" borderId="0" xfId="0" applyFont="1"/>
    <xf numFmtId="0" fontId="4" fillId="0" borderId="0" xfId="0" applyFont="1" applyAlignment="1">
      <alignment vertical="center"/>
    </xf>
    <xf numFmtId="0" fontId="4" fillId="0" borderId="0" xfId="0" applyFont="1" applyAlignment="1">
      <alignment horizontal="left" vertical="top"/>
    </xf>
    <xf numFmtId="0" fontId="4" fillId="0" borderId="0" xfId="0" applyFont="1"/>
    <xf numFmtId="0" fontId="0" fillId="0" borderId="0" xfId="0" applyAlignment="1">
      <alignment horizontal="left" vertical="center" indent="4"/>
    </xf>
    <xf numFmtId="0" fontId="0" fillId="0" borderId="0" xfId="0" applyAlignment="1">
      <alignment vertical="center"/>
    </xf>
    <xf numFmtId="49" fontId="0" fillId="0" borderId="0" xfId="0" quotePrefix="1" applyNumberFormat="1"/>
    <xf numFmtId="0" fontId="3" fillId="0" borderId="0" xfId="0" applyFont="1"/>
    <xf numFmtId="0" fontId="2" fillId="2" borderId="0" xfId="0" applyFont="1" applyFill="1" applyAlignment="1">
      <alignment horizontal="center" vertical="center"/>
    </xf>
    <xf numFmtId="0" fontId="0" fillId="3" borderId="14" xfId="0" applyFill="1" applyBorder="1" applyAlignment="1">
      <alignment horizontal="center" vertical="center"/>
    </xf>
    <xf numFmtId="0" fontId="2" fillId="0" borderId="13" xfId="0" applyFont="1" applyBorder="1"/>
    <xf numFmtId="0" fontId="0" fillId="0" borderId="13" xfId="0" applyBorder="1" applyAlignment="1">
      <alignment horizontal="center" vertical="center"/>
    </xf>
    <xf numFmtId="0" fontId="0" fillId="0" borderId="4" xfId="0" applyBorder="1"/>
    <xf numFmtId="0" fontId="0" fillId="6" borderId="4" xfId="0" applyFill="1" applyBorder="1"/>
    <xf numFmtId="0" fontId="5" fillId="6" borderId="4" xfId="1" applyFill="1" applyBorder="1"/>
    <xf numFmtId="0" fontId="0" fillId="6" borderId="5" xfId="0" applyFill="1" applyBorder="1"/>
    <xf numFmtId="0" fontId="0" fillId="6" borderId="5" xfId="0" applyFill="1" applyBorder="1" applyAlignment="1">
      <alignment wrapText="1"/>
    </xf>
    <xf numFmtId="0" fontId="0" fillId="6" borderId="3" xfId="0" applyFill="1" applyBorder="1"/>
    <xf numFmtId="0" fontId="0" fillId="0" borderId="0" xfId="0" quotePrefix="1"/>
    <xf numFmtId="0" fontId="0" fillId="0" borderId="12" xfId="0" applyBorder="1" applyAlignment="1">
      <alignment horizontal="right"/>
    </xf>
    <xf numFmtId="0" fontId="0" fillId="0" borderId="5" xfId="0" applyFill="1" applyBorder="1"/>
    <xf numFmtId="0" fontId="0" fillId="0" borderId="5" xfId="0" applyFill="1" applyBorder="1" applyAlignment="1">
      <alignment wrapText="1"/>
    </xf>
    <xf numFmtId="0" fontId="0" fillId="6" borderId="37" xfId="0" applyFill="1" applyBorder="1"/>
    <xf numFmtId="0" fontId="0" fillId="0" borderId="16" xfId="0" applyFill="1" applyBorder="1"/>
    <xf numFmtId="0" fontId="10" fillId="6" borderId="5" xfId="1" applyFont="1" applyFill="1" applyBorder="1"/>
    <xf numFmtId="0" fontId="10" fillId="6" borderId="6" xfId="1" applyFont="1" applyFill="1" applyBorder="1"/>
    <xf numFmtId="0" fontId="5" fillId="6" borderId="27" xfId="1" applyFill="1" applyBorder="1"/>
    <xf numFmtId="0" fontId="10" fillId="0" borderId="4" xfId="1" applyFont="1" applyBorder="1"/>
    <xf numFmtId="0" fontId="10" fillId="6" borderId="36" xfId="1" applyFont="1" applyFill="1" applyBorder="1"/>
    <xf numFmtId="0" fontId="0" fillId="3" borderId="4" xfId="0" applyFill="1" applyBorder="1" applyAlignment="1">
      <alignment horizontal="center" vertical="center"/>
    </xf>
    <xf numFmtId="0" fontId="2" fillId="6" borderId="4" xfId="0" applyFont="1" applyFill="1" applyBorder="1" applyAlignment="1">
      <alignment horizontal="center" vertical="center"/>
    </xf>
    <xf numFmtId="0" fontId="2" fillId="0" borderId="4" xfId="0" applyFont="1" applyBorder="1"/>
    <xf numFmtId="0" fontId="0" fillId="0" borderId="2" xfId="0" applyBorder="1" applyAlignment="1">
      <alignment horizontal="right"/>
    </xf>
    <xf numFmtId="0" fontId="0" fillId="0" borderId="0" xfId="0" applyBorder="1" applyAlignment="1">
      <alignment horizontal="right"/>
    </xf>
    <xf numFmtId="0" fontId="0" fillId="0" borderId="5" xfId="0" applyBorder="1"/>
    <xf numFmtId="0" fontId="0" fillId="0" borderId="6" xfId="0" applyBorder="1"/>
    <xf numFmtId="0" fontId="11" fillId="0" borderId="0" xfId="0" applyFont="1" applyAlignment="1">
      <alignment horizontal="left" vertical="center"/>
    </xf>
    <xf numFmtId="0" fontId="12"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0" fontId="0" fillId="6" borderId="7" xfId="0" applyFont="1" applyFill="1" applyBorder="1" applyAlignment="1">
      <alignment horizontal="left" vertical="center"/>
    </xf>
    <xf numFmtId="0" fontId="0" fillId="6" borderId="48" xfId="0" applyFont="1" applyFill="1" applyBorder="1" applyAlignment="1">
      <alignment horizontal="left" vertical="center"/>
    </xf>
    <xf numFmtId="0" fontId="18" fillId="0" borderId="0" xfId="0" applyFont="1" applyAlignment="1">
      <alignment vertical="center"/>
    </xf>
    <xf numFmtId="0" fontId="19" fillId="0" borderId="0" xfId="0" applyFont="1" applyAlignment="1">
      <alignment horizontal="left" vertical="center" wrapText="1" indent="6"/>
    </xf>
    <xf numFmtId="0" fontId="0" fillId="0" borderId="0" xfId="0" applyAlignment="1">
      <alignment horizontal="right"/>
    </xf>
    <xf numFmtId="0" fontId="0" fillId="6" borderId="8" xfId="0" applyFont="1" applyFill="1" applyBorder="1" applyAlignment="1">
      <alignment horizontal="center" vertical="center"/>
    </xf>
    <xf numFmtId="0" fontId="0" fillId="6" borderId="0" xfId="0" applyFont="1" applyFill="1" applyBorder="1" applyAlignment="1">
      <alignment horizontal="left" vertical="center" wrapText="1"/>
    </xf>
    <xf numFmtId="0" fontId="0" fillId="7" borderId="4" xfId="0" applyFill="1" applyBorder="1" applyAlignment="1">
      <alignment horizontal="center" vertical="center"/>
    </xf>
    <xf numFmtId="0" fontId="0" fillId="7" borderId="4" xfId="0" applyFill="1" applyBorder="1"/>
    <xf numFmtId="0" fontId="5" fillId="7" borderId="4" xfId="1" applyFill="1" applyBorder="1"/>
    <xf numFmtId="0" fontId="10" fillId="7" borderId="6" xfId="1" applyFont="1" applyFill="1" applyBorder="1" applyAlignment="1">
      <alignment horizontal="center" vertical="center"/>
    </xf>
    <xf numFmtId="0" fontId="5" fillId="0" borderId="2" xfId="1" applyBorder="1"/>
    <xf numFmtId="0" fontId="5" fillId="6" borderId="2" xfId="1" applyFill="1" applyBorder="1"/>
    <xf numFmtId="0" fontId="0" fillId="7" borderId="6" xfId="0" applyFill="1" applyBorder="1"/>
    <xf numFmtId="0" fontId="5" fillId="6" borderId="4" xfId="1" applyFill="1" applyBorder="1" applyAlignment="1">
      <alignment wrapText="1"/>
    </xf>
    <xf numFmtId="0" fontId="10" fillId="6" borderId="3" xfId="1" applyFont="1" applyFill="1" applyBorder="1"/>
    <xf numFmtId="0" fontId="5" fillId="0" borderId="3" xfId="1" applyBorder="1" applyAlignment="1">
      <alignment horizontal="left" vertical="center"/>
    </xf>
    <xf numFmtId="0" fontId="10" fillId="6" borderId="41" xfId="1" applyFont="1" applyFill="1" applyBorder="1"/>
    <xf numFmtId="0" fontId="10" fillId="6" borderId="37" xfId="1" applyFont="1" applyFill="1" applyBorder="1"/>
    <xf numFmtId="0" fontId="10" fillId="6" borderId="3" xfId="1" applyFont="1" applyFill="1" applyBorder="1" applyAlignment="1">
      <alignment horizontal="center" vertical="center"/>
    </xf>
    <xf numFmtId="0" fontId="5" fillId="6" borderId="3" xfId="1" applyFill="1" applyBorder="1"/>
    <xf numFmtId="0" fontId="10" fillId="6" borderId="41" xfId="1" applyFont="1" applyFill="1" applyBorder="1" applyAlignment="1">
      <alignment horizontal="center" vertical="center"/>
    </xf>
    <xf numFmtId="0" fontId="10" fillId="6" borderId="5" xfId="1" applyFont="1" applyFill="1" applyBorder="1" applyAlignment="1">
      <alignment horizontal="center" vertical="center"/>
    </xf>
    <xf numFmtId="0" fontId="5" fillId="6" borderId="38" xfId="1" applyFill="1" applyBorder="1"/>
    <xf numFmtId="0" fontId="10" fillId="6" borderId="36" xfId="1" applyFont="1" applyFill="1" applyBorder="1" applyAlignment="1">
      <alignment horizontal="center" vertical="center"/>
    </xf>
    <xf numFmtId="0" fontId="10" fillId="6" borderId="37" xfId="1" applyFont="1" applyFill="1" applyBorder="1" applyAlignment="1">
      <alignment horizontal="center" vertical="center"/>
    </xf>
    <xf numFmtId="0" fontId="10" fillId="4" borderId="5" xfId="1" applyFont="1" applyFill="1" applyBorder="1" applyAlignment="1">
      <alignment horizontal="center" vertical="center"/>
    </xf>
    <xf numFmtId="0" fontId="10" fillId="4" borderId="35" xfId="1" applyFont="1" applyFill="1" applyBorder="1" applyAlignment="1">
      <alignment horizontal="center" vertical="center"/>
    </xf>
    <xf numFmtId="0" fontId="10" fillId="4" borderId="34" xfId="1" applyFont="1" applyFill="1" applyBorder="1" applyAlignment="1">
      <alignment horizontal="center" vertical="center"/>
    </xf>
    <xf numFmtId="0" fontId="0" fillId="0" borderId="31" xfId="0" applyBorder="1" applyAlignment="1">
      <alignment horizontal="center" vertical="center"/>
    </xf>
    <xf numFmtId="0" fontId="5" fillId="0" borderId="10" xfId="1" applyBorder="1" applyAlignment="1">
      <alignment horizontal="left" vertical="center"/>
    </xf>
    <xf numFmtId="0" fontId="10" fillId="0" borderId="44" xfId="1" applyFont="1" applyBorder="1" applyAlignment="1">
      <alignment horizontal="center" vertical="center"/>
    </xf>
    <xf numFmtId="0" fontId="0" fillId="0" borderId="44" xfId="0" applyBorder="1" applyAlignment="1">
      <alignment horizontal="center" vertical="center"/>
    </xf>
    <xf numFmtId="0" fontId="10" fillId="0" borderId="49" xfId="1" applyFont="1" applyBorder="1" applyAlignment="1">
      <alignment horizontal="center" vertical="center"/>
    </xf>
    <xf numFmtId="0" fontId="2" fillId="0" borderId="4" xfId="0" applyFont="1" applyBorder="1" applyAlignment="1">
      <alignment horizontal="center" vertical="center"/>
    </xf>
    <xf numFmtId="0" fontId="0" fillId="7" borderId="3" xfId="0" applyFill="1" applyBorder="1"/>
    <xf numFmtId="0" fontId="10" fillId="4" borderId="3" xfId="1" applyFont="1" applyFill="1" applyBorder="1" applyAlignment="1">
      <alignment horizontal="center" vertical="center"/>
    </xf>
    <xf numFmtId="0" fontId="10" fillId="4" borderId="6" xfId="1" applyFont="1" applyFill="1" applyBorder="1" applyAlignment="1">
      <alignment horizontal="center" vertical="center"/>
    </xf>
    <xf numFmtId="0" fontId="0" fillId="0" borderId="5" xfId="0" applyFont="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vertical="center"/>
    </xf>
    <xf numFmtId="0" fontId="10" fillId="6" borderId="33" xfId="0" applyFont="1" applyFill="1" applyBorder="1" applyAlignment="1">
      <alignment horizontal="center" vertical="center"/>
    </xf>
    <xf numFmtId="0" fontId="10" fillId="6" borderId="6" xfId="1" applyFont="1" applyFill="1" applyBorder="1" applyAlignment="1">
      <alignment horizontal="center" vertical="center"/>
    </xf>
    <xf numFmtId="0" fontId="10" fillId="7" borderId="5" xfId="1" applyFont="1" applyFill="1" applyBorder="1"/>
    <xf numFmtId="0" fontId="0" fillId="6" borderId="5" xfId="0" applyFill="1" applyBorder="1" applyAlignment="1"/>
    <xf numFmtId="0" fontId="10" fillId="7" borderId="5" xfId="1" applyFont="1" applyFill="1" applyBorder="1" applyAlignment="1">
      <alignment horizontal="center" vertical="center"/>
    </xf>
    <xf numFmtId="0" fontId="10" fillId="7" borderId="16" xfId="1" applyFont="1" applyFill="1" applyBorder="1" applyAlignment="1">
      <alignment horizontal="center" vertical="center"/>
    </xf>
    <xf numFmtId="0" fontId="10" fillId="7" borderId="30" xfId="1" applyFont="1" applyFill="1" applyBorder="1" applyAlignment="1">
      <alignment horizontal="center" vertical="center"/>
    </xf>
    <xf numFmtId="0" fontId="0" fillId="0" borderId="27" xfId="0" applyBorder="1" applyAlignment="1">
      <alignment horizontal="center" vertical="center"/>
    </xf>
    <xf numFmtId="0" fontId="5" fillId="7" borderId="3" xfId="1" applyFill="1" applyBorder="1" applyAlignment="1">
      <alignment vertical="center"/>
    </xf>
    <xf numFmtId="0" fontId="5" fillId="7" borderId="6" xfId="1" applyFill="1" applyBorder="1" applyAlignment="1">
      <alignment horizontal="left" vertical="top"/>
    </xf>
    <xf numFmtId="0" fontId="0" fillId="6" borderId="4" xfId="0" applyFont="1" applyFill="1" applyBorder="1" applyAlignment="1">
      <alignment horizontal="left" vertical="center" wrapText="1"/>
    </xf>
    <xf numFmtId="0" fontId="0" fillId="6" borderId="4" xfId="0" applyFont="1" applyFill="1" applyBorder="1" applyAlignment="1">
      <alignment horizontal="center" vertical="center"/>
    </xf>
    <xf numFmtId="0" fontId="0" fillId="0" borderId="4" xfId="0" applyFont="1" applyBorder="1" applyAlignment="1">
      <alignment horizontal="center" vertical="center"/>
    </xf>
    <xf numFmtId="0" fontId="23" fillId="8" borderId="4" xfId="0" applyFont="1" applyFill="1" applyBorder="1"/>
    <xf numFmtId="0" fontId="24" fillId="0" borderId="0" xfId="0" applyFont="1"/>
    <xf numFmtId="0" fontId="23" fillId="8" borderId="20" xfId="0" applyFont="1" applyFill="1" applyBorder="1"/>
    <xf numFmtId="0" fontId="1" fillId="0" borderId="0" xfId="0" applyFont="1" applyAlignment="1">
      <alignment horizontal="right" vertical="top"/>
    </xf>
    <xf numFmtId="0" fontId="1" fillId="0" borderId="0" xfId="0" applyFont="1" applyAlignment="1">
      <alignment vertical="center"/>
    </xf>
    <xf numFmtId="0" fontId="1" fillId="0" borderId="47" xfId="0" applyFont="1" applyBorder="1" applyAlignment="1">
      <alignment horizontal="right" vertical="top"/>
    </xf>
    <xf numFmtId="0" fontId="1" fillId="0" borderId="53" xfId="0" applyFont="1" applyBorder="1" applyAlignment="1">
      <alignment horizontal="right" vertical="top"/>
    </xf>
    <xf numFmtId="49" fontId="1" fillId="0" borderId="0" xfId="0" applyNumberFormat="1" applyFont="1" applyAlignment="1">
      <alignment vertical="center"/>
    </xf>
    <xf numFmtId="0" fontId="23" fillId="8" borderId="4" xfId="0" applyFont="1" applyFill="1" applyBorder="1" applyAlignment="1">
      <alignment horizontal="left" vertical="center"/>
    </xf>
    <xf numFmtId="0" fontId="23" fillId="8" borderId="4" xfId="0" applyFont="1" applyFill="1" applyBorder="1" applyAlignment="1">
      <alignment horizontal="center"/>
    </xf>
    <xf numFmtId="0" fontId="1" fillId="0" borderId="8" xfId="0" applyFont="1" applyBorder="1" applyAlignment="1">
      <alignment horizontal="right" vertical="center"/>
    </xf>
    <xf numFmtId="0" fontId="25" fillId="0" borderId="0" xfId="0" applyFont="1"/>
    <xf numFmtId="0" fontId="1" fillId="0" borderId="7" xfId="0" applyFont="1" applyBorder="1" applyAlignment="1">
      <alignment horizontal="right"/>
    </xf>
    <xf numFmtId="0" fontId="1" fillId="0" borderId="7" xfId="0" applyFont="1" applyBorder="1" applyAlignment="1">
      <alignment horizontal="right" vertical="top"/>
    </xf>
    <xf numFmtId="0" fontId="1" fillId="0" borderId="11" xfId="0" applyFont="1" applyBorder="1" applyAlignment="1">
      <alignment horizontal="center" vertical="center"/>
    </xf>
    <xf numFmtId="0" fontId="1" fillId="0" borderId="12" xfId="0" applyFont="1" applyBorder="1" applyAlignment="1">
      <alignment horizontal="right" vertical="top"/>
    </xf>
    <xf numFmtId="0" fontId="1" fillId="0" borderId="6" xfId="0" applyFont="1" applyBorder="1" applyAlignment="1">
      <alignment horizontal="center" vertical="center"/>
    </xf>
    <xf numFmtId="0" fontId="23" fillId="9" borderId="4" xfId="0" applyFont="1" applyFill="1" applyBorder="1"/>
    <xf numFmtId="0" fontId="1" fillId="0" borderId="8" xfId="0" applyFont="1" applyBorder="1" applyAlignment="1">
      <alignment horizontal="right"/>
    </xf>
    <xf numFmtId="0" fontId="26" fillId="8" borderId="4" xfId="0" applyFont="1" applyFill="1" applyBorder="1"/>
    <xf numFmtId="0" fontId="26" fillId="10" borderId="4" xfId="0" applyFont="1" applyFill="1" applyBorder="1"/>
    <xf numFmtId="0" fontId="26" fillId="10" borderId="4" xfId="0" applyFont="1" applyFill="1" applyBorder="1" applyAlignment="1">
      <alignment horizontal="center" vertical="center"/>
    </xf>
    <xf numFmtId="0" fontId="26" fillId="10" borderId="27" xfId="0" applyFont="1" applyFill="1" applyBorder="1" applyAlignment="1">
      <alignment horizontal="center" vertical="center"/>
    </xf>
    <xf numFmtId="0" fontId="27" fillId="11" borderId="8" xfId="0" applyFont="1" applyFill="1" applyBorder="1" applyAlignment="1">
      <alignment horizontal="left"/>
    </xf>
    <xf numFmtId="0" fontId="2" fillId="12" borderId="54" xfId="0" applyFont="1" applyFill="1" applyBorder="1" applyAlignment="1">
      <alignment horizontal="center" vertical="center"/>
    </xf>
    <xf numFmtId="0" fontId="0" fillId="13" borderId="54" xfId="0" applyFill="1" applyBorder="1" applyAlignment="1">
      <alignment horizontal="center" vertical="center"/>
    </xf>
    <xf numFmtId="0" fontId="0" fillId="0" borderId="55" xfId="0" applyBorder="1" applyAlignment="1">
      <alignment horizontal="center" vertical="center"/>
    </xf>
    <xf numFmtId="0" fontId="23" fillId="9" borderId="2" xfId="0" applyFont="1" applyFill="1" applyBorder="1"/>
    <xf numFmtId="0" fontId="0" fillId="14" borderId="56" xfId="0" applyFill="1" applyBorder="1" applyAlignment="1">
      <alignment horizontal="right" vertical="center"/>
    </xf>
    <xf numFmtId="0" fontId="0" fillId="14" borderId="57" xfId="0" applyFill="1" applyBorder="1" applyAlignment="1">
      <alignment horizontal="right" vertical="center"/>
    </xf>
    <xf numFmtId="0" fontId="23" fillId="9" borderId="8" xfId="0" applyFont="1" applyFill="1" applyBorder="1"/>
    <xf numFmtId="0" fontId="0" fillId="14" borderId="58" xfId="0" applyFill="1" applyBorder="1" applyAlignment="1">
      <alignment horizontal="right" vertical="center" wrapText="1"/>
    </xf>
    <xf numFmtId="0" fontId="0" fillId="0" borderId="59" xfId="0" applyBorder="1" applyAlignment="1">
      <alignment horizontal="center" vertical="center"/>
    </xf>
    <xf numFmtId="0" fontId="0" fillId="0" borderId="13" xfId="0" applyBorder="1" applyAlignment="1">
      <alignment horizontal="center" vertical="center" wrapText="1"/>
    </xf>
    <xf numFmtId="0" fontId="0" fillId="6" borderId="3" xfId="0" applyFill="1" applyBorder="1" applyAlignment="1">
      <alignment horizontal="left" vertical="center"/>
    </xf>
    <xf numFmtId="0" fontId="0" fillId="6" borderId="5" xfId="0" applyFill="1" applyBorder="1" applyAlignment="1">
      <alignment horizontal="left" vertical="center"/>
    </xf>
    <xf numFmtId="0" fontId="0" fillId="6" borderId="6" xfId="0" applyFill="1" applyBorder="1" applyAlignment="1">
      <alignment horizontal="left" vertical="center"/>
    </xf>
    <xf numFmtId="0" fontId="0" fillId="6" borderId="3" xfId="0" applyFont="1" applyFill="1" applyBorder="1" applyAlignment="1">
      <alignment horizontal="left" vertical="center"/>
    </xf>
    <xf numFmtId="0" fontId="0" fillId="6" borderId="5" xfId="0" applyFont="1" applyFill="1" applyBorder="1" applyAlignment="1">
      <alignment horizontal="left" vertical="center"/>
    </xf>
    <xf numFmtId="0" fontId="0" fillId="7" borderId="3" xfId="0" applyFont="1" applyFill="1" applyBorder="1" applyAlignment="1">
      <alignment horizontal="left" vertical="center"/>
    </xf>
    <xf numFmtId="0" fontId="0" fillId="7" borderId="5" xfId="0" applyFont="1" applyFill="1" applyBorder="1"/>
    <xf numFmtId="0" fontId="2" fillId="7" borderId="3" xfId="0" applyFont="1" applyFill="1" applyBorder="1"/>
    <xf numFmtId="0" fontId="0" fillId="0" borderId="0" xfId="0" applyAlignment="1">
      <alignment horizontal="left" vertical="center"/>
    </xf>
    <xf numFmtId="0" fontId="2" fillId="6" borderId="42" xfId="0" applyFont="1" applyFill="1" applyBorder="1" applyAlignment="1">
      <alignment horizontal="left" vertical="center"/>
    </xf>
    <xf numFmtId="0" fontId="2" fillId="0" borderId="0" xfId="0" applyFont="1" applyAlignment="1">
      <alignment horizontal="left" vertical="center"/>
    </xf>
    <xf numFmtId="0" fontId="2" fillId="6" borderId="0" xfId="0" applyFont="1" applyFill="1" applyBorder="1" applyAlignment="1">
      <alignment horizontal="left" vertical="center"/>
    </xf>
    <xf numFmtId="0" fontId="2" fillId="0" borderId="4" xfId="0" applyFont="1" applyBorder="1" applyAlignment="1">
      <alignment horizontal="left" vertical="center"/>
    </xf>
    <xf numFmtId="0" fontId="2" fillId="6" borderId="4" xfId="0" applyFont="1" applyFill="1" applyBorder="1" applyAlignment="1">
      <alignment horizontal="left" vertical="center"/>
    </xf>
    <xf numFmtId="0" fontId="2" fillId="7" borderId="5" xfId="0" applyFont="1" applyFill="1" applyBorder="1" applyAlignment="1">
      <alignment horizontal="left" vertical="center"/>
    </xf>
    <xf numFmtId="0" fontId="2" fillId="6" borderId="2" xfId="0" applyFont="1" applyFill="1" applyBorder="1" applyAlignment="1">
      <alignment horizontal="left" vertical="center"/>
    </xf>
    <xf numFmtId="0" fontId="2" fillId="6" borderId="53" xfId="0" applyFont="1" applyFill="1" applyBorder="1" applyAlignment="1">
      <alignment horizontal="left" vertical="center"/>
    </xf>
    <xf numFmtId="0" fontId="2" fillId="7" borderId="2" xfId="0" applyFont="1" applyFill="1" applyBorder="1" applyAlignment="1">
      <alignment horizontal="left" vertical="center"/>
    </xf>
    <xf numFmtId="0" fontId="2" fillId="6" borderId="61" xfId="0" applyFont="1" applyFill="1" applyBorder="1" applyAlignment="1">
      <alignment horizontal="left" vertical="center"/>
    </xf>
    <xf numFmtId="0" fontId="5" fillId="7" borderId="3" xfId="1" applyFill="1" applyBorder="1"/>
    <xf numFmtId="0" fontId="10" fillId="7" borderId="30" xfId="1" applyFont="1" applyFill="1" applyBorder="1"/>
    <xf numFmtId="0" fontId="5" fillId="7" borderId="64" xfId="1" applyFill="1" applyBorder="1"/>
    <xf numFmtId="0" fontId="10" fillId="7" borderId="43" xfId="1" applyFont="1" applyFill="1" applyBorder="1"/>
    <xf numFmtId="0" fontId="10" fillId="6" borderId="38" xfId="1" applyFont="1" applyFill="1" applyBorder="1"/>
    <xf numFmtId="0" fontId="0" fillId="6" borderId="37" xfId="0" applyFont="1" applyFill="1" applyBorder="1" applyAlignment="1">
      <alignment horizontal="center" vertical="center"/>
    </xf>
    <xf numFmtId="0" fontId="0" fillId="6" borderId="6" xfId="0" applyFont="1" applyFill="1" applyBorder="1" applyAlignment="1">
      <alignment horizontal="center"/>
    </xf>
    <xf numFmtId="0" fontId="0" fillId="4" borderId="5" xfId="0" applyFont="1" applyFill="1" applyBorder="1" applyAlignment="1">
      <alignment horizontal="center"/>
    </xf>
    <xf numFmtId="0" fontId="20" fillId="4" borderId="5" xfId="0" applyFont="1" applyFill="1" applyBorder="1" applyAlignment="1">
      <alignment horizontal="center"/>
    </xf>
    <xf numFmtId="0" fontId="0" fillId="7" borderId="6" xfId="0" applyFont="1" applyFill="1" applyBorder="1" applyAlignment="1">
      <alignment horizontal="center"/>
    </xf>
    <xf numFmtId="0" fontId="10" fillId="7" borderId="31" xfId="1" applyFont="1" applyFill="1" applyBorder="1" applyAlignment="1">
      <alignment horizontal="center" vertical="center"/>
    </xf>
    <xf numFmtId="0" fontId="10" fillId="4" borderId="8" xfId="1" applyFont="1" applyFill="1" applyBorder="1" applyAlignment="1">
      <alignment horizontal="center" vertical="center"/>
    </xf>
    <xf numFmtId="0" fontId="10" fillId="6" borderId="38" xfId="1" applyFont="1" applyFill="1" applyBorder="1" applyAlignment="1">
      <alignment horizontal="center" vertical="center"/>
    </xf>
    <xf numFmtId="0" fontId="5" fillId="7" borderId="29" xfId="1" applyFill="1" applyBorder="1"/>
    <xf numFmtId="0" fontId="0" fillId="7" borderId="16" xfId="0" applyFont="1" applyFill="1" applyBorder="1" applyAlignment="1">
      <alignment horizontal="center" vertical="center"/>
    </xf>
    <xf numFmtId="0" fontId="10" fillId="7" borderId="3" xfId="1" applyFont="1" applyFill="1" applyBorder="1"/>
    <xf numFmtId="0" fontId="0" fillId="7" borderId="31" xfId="0" applyFill="1" applyBorder="1"/>
    <xf numFmtId="0" fontId="0" fillId="4" borderId="5" xfId="0" applyFont="1" applyFill="1" applyBorder="1"/>
    <xf numFmtId="0" fontId="2" fillId="4" borderId="5" xfId="0" applyFont="1" applyFill="1" applyBorder="1"/>
    <xf numFmtId="0" fontId="0" fillId="7" borderId="31" xfId="0" applyFont="1" applyFill="1" applyBorder="1"/>
    <xf numFmtId="0" fontId="0" fillId="4" borderId="35" xfId="0" applyFill="1" applyBorder="1"/>
    <xf numFmtId="0" fontId="0" fillId="4" borderId="34" xfId="0" applyFill="1" applyBorder="1"/>
    <xf numFmtId="0" fontId="0" fillId="4" borderId="5" xfId="0" applyFill="1" applyBorder="1"/>
    <xf numFmtId="0" fontId="0" fillId="4" borderId="34" xfId="0" applyFont="1" applyFill="1" applyBorder="1"/>
    <xf numFmtId="0" fontId="10" fillId="4" borderId="50" xfId="1" applyFont="1" applyFill="1" applyBorder="1" applyAlignment="1">
      <alignment horizontal="center" vertical="center"/>
    </xf>
    <xf numFmtId="0" fontId="20" fillId="4" borderId="5" xfId="1" applyFont="1" applyFill="1" applyBorder="1" applyAlignment="1">
      <alignment horizontal="center" vertical="center"/>
    </xf>
    <xf numFmtId="0" fontId="10" fillId="4" borderId="51" xfId="1" applyFont="1" applyFill="1" applyBorder="1" applyAlignment="1">
      <alignment horizontal="center" vertical="center"/>
    </xf>
    <xf numFmtId="0" fontId="20" fillId="4" borderId="34" xfId="1" applyFont="1" applyFill="1" applyBorder="1" applyAlignment="1">
      <alignment horizontal="center" vertical="center"/>
    </xf>
    <xf numFmtId="0" fontId="20" fillId="4" borderId="35" xfId="1" applyFont="1" applyFill="1" applyBorder="1" applyAlignment="1">
      <alignment horizontal="center" vertical="center"/>
    </xf>
    <xf numFmtId="0" fontId="2" fillId="4" borderId="50" xfId="0" applyFont="1" applyFill="1" applyBorder="1"/>
    <xf numFmtId="0" fontId="0" fillId="7" borderId="15" xfId="0" applyFont="1" applyFill="1" applyBorder="1"/>
    <xf numFmtId="0" fontId="0" fillId="7" borderId="16" xfId="0" applyFont="1" applyFill="1" applyBorder="1"/>
    <xf numFmtId="0" fontId="10" fillId="7" borderId="3" xfId="1" applyFont="1" applyFill="1" applyBorder="1" applyAlignment="1">
      <alignment horizontal="center" vertical="center"/>
    </xf>
    <xf numFmtId="0" fontId="10" fillId="7" borderId="15" xfId="1" applyFont="1" applyFill="1" applyBorder="1" applyAlignment="1">
      <alignment horizontal="center" vertical="center"/>
    </xf>
    <xf numFmtId="0" fontId="21" fillId="6" borderId="5" xfId="1" applyFont="1" applyFill="1" applyBorder="1" applyAlignment="1">
      <alignment horizontal="center" vertical="center"/>
    </xf>
    <xf numFmtId="0" fontId="0" fillId="6" borderId="6" xfId="0" applyFont="1" applyFill="1" applyBorder="1"/>
    <xf numFmtId="0" fontId="0" fillId="6" borderId="5" xfId="0" applyFont="1" applyFill="1" applyBorder="1"/>
    <xf numFmtId="0" fontId="0" fillId="6" borderId="37" xfId="0" applyFont="1" applyFill="1" applyBorder="1"/>
    <xf numFmtId="0" fontId="0" fillId="6" borderId="36" xfId="0" applyFont="1" applyFill="1" applyBorder="1"/>
    <xf numFmtId="0" fontId="0" fillId="6" borderId="39" xfId="0" applyFont="1" applyFill="1" applyBorder="1"/>
    <xf numFmtId="0" fontId="20" fillId="7" borderId="5" xfId="1" applyFont="1" applyFill="1" applyBorder="1" applyAlignment="1">
      <alignment horizontal="center" vertical="center"/>
    </xf>
    <xf numFmtId="0" fontId="10" fillId="7" borderId="29" xfId="1" applyFont="1" applyFill="1" applyBorder="1" applyAlignment="1">
      <alignment horizontal="center" vertical="center"/>
    </xf>
    <xf numFmtId="0" fontId="20" fillId="7" borderId="31" xfId="1" applyFont="1" applyFill="1" applyBorder="1" applyAlignment="1">
      <alignment horizontal="center" vertical="center"/>
    </xf>
    <xf numFmtId="0" fontId="5" fillId="6" borderId="10" xfId="1" applyFill="1" applyBorder="1"/>
    <xf numFmtId="0" fontId="10" fillId="6" borderId="0" xfId="1" applyFont="1" applyFill="1" applyBorder="1" applyAlignment="1">
      <alignment horizontal="center" vertical="center"/>
    </xf>
    <xf numFmtId="0" fontId="10" fillId="6" borderId="32" xfId="1" applyFont="1" applyFill="1" applyBorder="1" applyAlignment="1">
      <alignment horizontal="center" vertical="center"/>
    </xf>
    <xf numFmtId="0" fontId="10" fillId="6" borderId="33" xfId="1" applyFont="1" applyFill="1" applyBorder="1" applyAlignment="1">
      <alignment horizontal="center" vertical="center"/>
    </xf>
    <xf numFmtId="0" fontId="0" fillId="6" borderId="4" xfId="0" applyFill="1" applyBorder="1" applyAlignment="1">
      <alignment horizontal="center" vertical="center"/>
    </xf>
    <xf numFmtId="0" fontId="0" fillId="16" borderId="4" xfId="0" applyFill="1" applyBorder="1" applyAlignment="1">
      <alignment horizontal="center" vertical="center"/>
    </xf>
    <xf numFmtId="0" fontId="0" fillId="6" borderId="36" xfId="0" applyFill="1" applyBorder="1"/>
    <xf numFmtId="0" fontId="2" fillId="4" borderId="3" xfId="0" applyFont="1" applyFill="1" applyBorder="1"/>
    <xf numFmtId="0" fontId="2" fillId="4" borderId="6" xfId="0" applyFont="1" applyFill="1" applyBorder="1"/>
    <xf numFmtId="0" fontId="2" fillId="4" borderId="51" xfId="0" applyFont="1" applyFill="1" applyBorder="1"/>
    <xf numFmtId="0" fontId="0" fillId="7" borderId="3" xfId="0" applyFont="1" applyFill="1" applyBorder="1"/>
    <xf numFmtId="0" fontId="0" fillId="7" borderId="6" xfId="0" applyFont="1" applyFill="1" applyBorder="1"/>
    <xf numFmtId="0" fontId="0" fillId="4" borderId="3" xfId="0" applyFont="1" applyFill="1" applyBorder="1"/>
    <xf numFmtId="0" fontId="0" fillId="4" borderId="6" xfId="0" applyFont="1" applyFill="1" applyBorder="1"/>
    <xf numFmtId="0" fontId="0" fillId="4" borderId="51" xfId="0" applyFont="1" applyFill="1" applyBorder="1"/>
    <xf numFmtId="0" fontId="0" fillId="4" borderId="50" xfId="0" applyFont="1" applyFill="1" applyBorder="1"/>
    <xf numFmtId="0" fontId="0" fillId="4" borderId="35" xfId="0" applyFont="1" applyFill="1" applyBorder="1"/>
    <xf numFmtId="0" fontId="22" fillId="6" borderId="7" xfId="0" applyFont="1" applyFill="1" applyBorder="1" applyAlignment="1">
      <alignment horizontal="left" vertical="center"/>
    </xf>
    <xf numFmtId="0" fontId="0" fillId="0" borderId="4" xfId="0" applyBorder="1" applyAlignment="1">
      <alignment vertical="center" wrapText="1"/>
    </xf>
    <xf numFmtId="0" fontId="0" fillId="6" borderId="4" xfId="0" applyFill="1" applyBorder="1" applyAlignment="1">
      <alignment vertical="center" wrapText="1"/>
    </xf>
    <xf numFmtId="0" fontId="0" fillId="7" borderId="3" xfId="0" applyFill="1" applyBorder="1" applyAlignment="1">
      <alignment vertical="center" wrapText="1"/>
    </xf>
    <xf numFmtId="0" fontId="0" fillId="7" borderId="5" xfId="0" applyFill="1" applyBorder="1" applyAlignment="1">
      <alignment vertical="center" wrapText="1"/>
    </xf>
    <xf numFmtId="0" fontId="0" fillId="7" borderId="6" xfId="0" applyFill="1" applyBorder="1" applyAlignment="1">
      <alignment vertical="center" wrapText="1"/>
    </xf>
    <xf numFmtId="0" fontId="0" fillId="7" borderId="4" xfId="0" applyFill="1" applyBorder="1" applyAlignment="1">
      <alignment vertical="center" wrapText="1"/>
    </xf>
    <xf numFmtId="0" fontId="0" fillId="0" borderId="0" xfId="0" applyAlignment="1">
      <alignment vertical="center" wrapText="1"/>
    </xf>
    <xf numFmtId="0" fontId="0" fillId="16" borderId="27" xfId="0" applyFill="1" applyBorder="1" applyAlignment="1">
      <alignment horizontal="center" vertical="center"/>
    </xf>
    <xf numFmtId="0" fontId="0" fillId="3" borderId="4" xfId="0" applyFill="1" applyBorder="1" applyAlignment="1">
      <alignment horizontal="center"/>
    </xf>
    <xf numFmtId="0" fontId="0" fillId="16" borderId="4" xfId="0" applyFill="1" applyBorder="1" applyAlignment="1">
      <alignment horizontal="center"/>
    </xf>
    <xf numFmtId="0" fontId="23" fillId="9" borderId="4" xfId="0" applyFont="1" applyFill="1" applyBorder="1" applyAlignment="1">
      <alignment horizontal="center" vertical="center"/>
    </xf>
    <xf numFmtId="0" fontId="23" fillId="9" borderId="9" xfId="0" applyFont="1" applyFill="1" applyBorder="1" applyAlignment="1">
      <alignment horizontal="center" vertical="center"/>
    </xf>
    <xf numFmtId="0" fontId="30" fillId="9" borderId="21" xfId="0" applyFont="1" applyFill="1" applyBorder="1" applyAlignment="1">
      <alignment horizontal="center" vertical="center"/>
    </xf>
    <xf numFmtId="0" fontId="23" fillId="9" borderId="65" xfId="0" applyFont="1" applyFill="1" applyBorder="1" applyAlignment="1">
      <alignment horizontal="center" vertical="center"/>
    </xf>
    <xf numFmtId="0" fontId="23" fillId="9" borderId="65" xfId="0" applyFont="1" applyFill="1" applyBorder="1" applyAlignment="1">
      <alignment horizontal="center" vertical="center" wrapText="1"/>
    </xf>
    <xf numFmtId="0" fontId="0" fillId="7" borderId="5" xfId="0" applyFont="1" applyFill="1" applyBorder="1" applyAlignment="1">
      <alignment horizontal="left" vertical="center"/>
    </xf>
    <xf numFmtId="0" fontId="2" fillId="7" borderId="12" xfId="0" applyFont="1" applyFill="1" applyBorder="1" applyAlignment="1">
      <alignment horizontal="left" vertical="center"/>
    </xf>
    <xf numFmtId="0" fontId="0" fillId="7" borderId="29" xfId="0" applyFont="1" applyFill="1" applyBorder="1" applyAlignment="1">
      <alignment horizontal="left" vertical="center" wrapText="1"/>
    </xf>
    <xf numFmtId="0" fontId="0" fillId="6" borderId="38" xfId="0" applyFill="1" applyBorder="1" applyAlignment="1">
      <alignment horizontal="left" vertical="center" wrapText="1"/>
    </xf>
    <xf numFmtId="0" fontId="0" fillId="6" borderId="38" xfId="0" applyFont="1" applyFill="1" applyBorder="1" applyAlignment="1">
      <alignment horizontal="left" vertical="center"/>
    </xf>
    <xf numFmtId="0" fontId="2" fillId="0" borderId="66" xfId="0" applyFont="1" applyFill="1" applyBorder="1" applyAlignment="1">
      <alignment horizontal="left" vertical="center"/>
    </xf>
    <xf numFmtId="0" fontId="0" fillId="0" borderId="29" xfId="0" applyFill="1" applyBorder="1" applyAlignment="1">
      <alignment horizontal="left" vertical="center"/>
    </xf>
    <xf numFmtId="0" fontId="0" fillId="0" borderId="5" xfId="0" applyFill="1" applyBorder="1" applyAlignment="1">
      <alignment horizontal="left" vertical="center"/>
    </xf>
    <xf numFmtId="0" fontId="0" fillId="0" borderId="16" xfId="0" applyFill="1" applyBorder="1" applyAlignment="1">
      <alignment horizontal="left" vertical="center"/>
    </xf>
    <xf numFmtId="0" fontId="0" fillId="3" borderId="6" xfId="0" applyFill="1" applyBorder="1" applyAlignment="1">
      <alignment horizontal="center"/>
    </xf>
    <xf numFmtId="0" fontId="0" fillId="0" borderId="6" xfId="0" applyBorder="1" applyAlignment="1">
      <alignment vertical="center" wrapText="1"/>
    </xf>
    <xf numFmtId="0" fontId="31" fillId="9" borderId="67" xfId="0" applyFont="1" applyFill="1" applyBorder="1" applyAlignment="1">
      <alignment horizontal="center" vertical="center"/>
    </xf>
    <xf numFmtId="0" fontId="23" fillId="9" borderId="67" xfId="0" applyFont="1" applyFill="1" applyBorder="1" applyAlignment="1">
      <alignment horizontal="center" vertical="center"/>
    </xf>
    <xf numFmtId="0" fontId="23" fillId="9" borderId="65" xfId="0" applyFont="1" applyFill="1" applyBorder="1"/>
    <xf numFmtId="0" fontId="0" fillId="0" borderId="5" xfId="0" applyFill="1" applyBorder="1" applyAlignment="1"/>
    <xf numFmtId="0" fontId="32" fillId="9" borderId="65" xfId="0" applyFont="1" applyFill="1" applyBorder="1" applyAlignment="1">
      <alignment horizontal="center" vertical="center" wrapText="1"/>
    </xf>
    <xf numFmtId="0" fontId="23" fillId="7" borderId="21" xfId="0" applyFont="1" applyFill="1" applyBorder="1" applyAlignment="1">
      <alignment horizontal="center" vertical="center"/>
    </xf>
    <xf numFmtId="0" fontId="2" fillId="0" borderId="6" xfId="0" applyFont="1" applyBorder="1" applyAlignment="1">
      <alignment horizontal="right" vertical="center"/>
    </xf>
    <xf numFmtId="0" fontId="2" fillId="0" borderId="29" xfId="0" applyFont="1" applyBorder="1" applyAlignment="1">
      <alignment vertical="center" wrapText="1"/>
    </xf>
    <xf numFmtId="0" fontId="2" fillId="0" borderId="5" xfId="0" applyFont="1" applyBorder="1" applyAlignment="1">
      <alignment vertical="center"/>
    </xf>
    <xf numFmtId="0" fontId="2" fillId="7" borderId="2" xfId="0" applyFont="1" applyFill="1" applyBorder="1"/>
    <xf numFmtId="0" fontId="2" fillId="0" borderId="3" xfId="0" applyFont="1" applyBorder="1"/>
    <xf numFmtId="0" fontId="2" fillId="0" borderId="16" xfId="0" applyFont="1" applyBorder="1" applyAlignment="1">
      <alignment horizontal="right"/>
    </xf>
    <xf numFmtId="0" fontId="2" fillId="0" borderId="31" xfId="0" applyFont="1" applyBorder="1" applyAlignment="1">
      <alignment horizontal="right"/>
    </xf>
    <xf numFmtId="0" fontId="2" fillId="7" borderId="31" xfId="0" applyFont="1" applyFill="1" applyBorder="1" applyAlignment="1">
      <alignment horizontal="right"/>
    </xf>
    <xf numFmtId="0" fontId="2" fillId="7" borderId="6" xfId="0" applyFont="1" applyFill="1" applyBorder="1" applyAlignment="1">
      <alignment horizontal="right"/>
    </xf>
    <xf numFmtId="0" fontId="2" fillId="6" borderId="0" xfId="0" applyFont="1" applyFill="1"/>
    <xf numFmtId="0" fontId="2" fillId="6" borderId="5" xfId="0" applyFont="1" applyFill="1" applyBorder="1" applyAlignment="1">
      <alignment horizontal="right"/>
    </xf>
    <xf numFmtId="0" fontId="2" fillId="0" borderId="29" xfId="0" applyFont="1" applyBorder="1" applyAlignment="1">
      <alignment horizontal="left"/>
    </xf>
    <xf numFmtId="0" fontId="2" fillId="4" borderId="3" xfId="0" applyFont="1" applyFill="1" applyBorder="1" applyAlignment="1">
      <alignment horizontal="right"/>
    </xf>
    <xf numFmtId="0" fontId="2" fillId="4" borderId="5" xfId="0" applyFont="1" applyFill="1" applyBorder="1" applyAlignment="1">
      <alignment horizontal="right"/>
    </xf>
    <xf numFmtId="0" fontId="2" fillId="4" borderId="6" xfId="0" applyFont="1" applyFill="1" applyBorder="1" applyAlignment="1">
      <alignment horizontal="right"/>
    </xf>
    <xf numFmtId="0" fontId="2" fillId="7" borderId="5" xfId="0" applyFont="1" applyFill="1" applyBorder="1" applyAlignment="1">
      <alignment horizontal="right"/>
    </xf>
    <xf numFmtId="0" fontId="2" fillId="7" borderId="3" xfId="0" applyFont="1" applyFill="1" applyBorder="1" applyAlignment="1">
      <alignment horizontal="right"/>
    </xf>
    <xf numFmtId="0" fontId="2" fillId="7" borderId="16" xfId="0" applyFont="1" applyFill="1" applyBorder="1" applyAlignment="1">
      <alignment horizontal="right"/>
    </xf>
    <xf numFmtId="0" fontId="2" fillId="6" borderId="3" xfId="0" applyFont="1" applyFill="1" applyBorder="1"/>
    <xf numFmtId="0" fontId="2" fillId="6" borderId="37" xfId="0" applyFont="1" applyFill="1" applyBorder="1" applyAlignment="1">
      <alignment horizontal="right"/>
    </xf>
    <xf numFmtId="0" fontId="2" fillId="6" borderId="36" xfId="0" applyFont="1" applyFill="1" applyBorder="1" applyAlignment="1">
      <alignment horizontal="right"/>
    </xf>
    <xf numFmtId="0" fontId="2" fillId="7" borderId="3" xfId="0" applyFont="1" applyFill="1" applyBorder="1" applyAlignment="1">
      <alignment horizontal="left"/>
    </xf>
    <xf numFmtId="0" fontId="2" fillId="7" borderId="30" xfId="0" applyFont="1" applyFill="1" applyBorder="1" applyAlignment="1">
      <alignment horizontal="right"/>
    </xf>
    <xf numFmtId="0" fontId="2" fillId="4" borderId="35" xfId="0" applyFont="1" applyFill="1" applyBorder="1" applyAlignment="1">
      <alignment horizontal="right"/>
    </xf>
    <xf numFmtId="0" fontId="2" fillId="6" borderId="11" xfId="0" applyFont="1" applyFill="1" applyBorder="1" applyAlignment="1">
      <alignment horizontal="left" vertical="center"/>
    </xf>
    <xf numFmtId="0" fontId="2" fillId="7" borderId="4" xfId="0" applyFont="1" applyFill="1" applyBorder="1"/>
    <xf numFmtId="0" fontId="2" fillId="6" borderId="4" xfId="0" applyFont="1" applyFill="1" applyBorder="1"/>
    <xf numFmtId="0" fontId="2" fillId="6" borderId="26" xfId="0" applyFont="1" applyFill="1" applyBorder="1" applyAlignment="1">
      <alignment vertical="center"/>
    </xf>
    <xf numFmtId="0" fontId="2" fillId="7" borderId="16" xfId="0" applyFont="1" applyFill="1" applyBorder="1" applyAlignment="1">
      <alignment vertical="center"/>
    </xf>
    <xf numFmtId="0" fontId="2" fillId="6" borderId="41" xfId="0" applyFont="1" applyFill="1" applyBorder="1"/>
    <xf numFmtId="0" fontId="2" fillId="0" borderId="31" xfId="0" applyFont="1" applyBorder="1" applyAlignment="1">
      <alignment vertical="center"/>
    </xf>
    <xf numFmtId="0" fontId="2" fillId="0" borderId="16" xfId="0" applyFont="1" applyBorder="1" applyAlignment="1">
      <alignment vertical="center"/>
    </xf>
    <xf numFmtId="0" fontId="2" fillId="0" borderId="16" xfId="0" applyFont="1" applyBorder="1" applyAlignment="1">
      <alignment horizontal="right" vertical="center"/>
    </xf>
    <xf numFmtId="0" fontId="2" fillId="0" borderId="31" xfId="0" applyFont="1" applyBorder="1" applyAlignment="1">
      <alignment horizontal="right" vertical="center"/>
    </xf>
    <xf numFmtId="0" fontId="2" fillId="0" borderId="30" xfId="0" applyFont="1" applyBorder="1" applyAlignment="1">
      <alignment vertical="center"/>
    </xf>
    <xf numFmtId="0" fontId="2" fillId="6" borderId="5" xfId="0" applyFont="1" applyFill="1" applyBorder="1" applyAlignment="1">
      <alignment vertical="center"/>
    </xf>
    <xf numFmtId="0" fontId="2" fillId="7" borderId="3" xfId="0" applyFont="1" applyFill="1" applyBorder="1" applyAlignment="1">
      <alignment vertical="center"/>
    </xf>
    <xf numFmtId="0" fontId="2" fillId="7" borderId="5" xfId="0" applyFont="1" applyFill="1" applyBorder="1" applyAlignment="1">
      <alignment horizontal="right" vertical="center"/>
    </xf>
    <xf numFmtId="0" fontId="2" fillId="4" borderId="3" xfId="0" applyFont="1" applyFill="1" applyBorder="1" applyAlignment="1">
      <alignment horizontal="right" vertical="center"/>
    </xf>
    <xf numFmtId="0" fontId="2" fillId="4" borderId="6" xfId="0" applyFont="1" applyFill="1" applyBorder="1" applyAlignment="1">
      <alignment horizontal="right" vertical="center"/>
    </xf>
    <xf numFmtId="0" fontId="33" fillId="6" borderId="36" xfId="0" applyFont="1" applyFill="1" applyBorder="1" applyAlignment="1">
      <alignment horizontal="right"/>
    </xf>
    <xf numFmtId="0" fontId="34" fillId="4" borderId="3" xfId="0" applyFont="1" applyFill="1" applyBorder="1" applyAlignment="1">
      <alignment horizontal="right"/>
    </xf>
    <xf numFmtId="0" fontId="34" fillId="4" borderId="34" xfId="0" applyFont="1" applyFill="1" applyBorder="1" applyAlignment="1">
      <alignment horizontal="right"/>
    </xf>
    <xf numFmtId="0" fontId="34" fillId="4" borderId="5" xfId="0" applyFont="1" applyFill="1" applyBorder="1" applyAlignment="1">
      <alignment horizontal="right"/>
    </xf>
    <xf numFmtId="0" fontId="34" fillId="4" borderId="35" xfId="0" applyFont="1" applyFill="1" applyBorder="1" applyAlignment="1">
      <alignment horizontal="right"/>
    </xf>
    <xf numFmtId="0" fontId="34" fillId="4" borderId="6" xfId="0" applyFont="1" applyFill="1" applyBorder="1" applyAlignment="1">
      <alignment horizontal="right"/>
    </xf>
    <xf numFmtId="0" fontId="34" fillId="7" borderId="3" xfId="0" applyFont="1" applyFill="1" applyBorder="1" applyAlignment="1">
      <alignment horizontal="right"/>
    </xf>
    <xf numFmtId="0" fontId="34" fillId="7" borderId="31" xfId="0" applyFont="1" applyFill="1" applyBorder="1" applyAlignment="1">
      <alignment horizontal="right"/>
    </xf>
    <xf numFmtId="0" fontId="34" fillId="7" borderId="5" xfId="0" applyFont="1" applyFill="1" applyBorder="1" applyAlignment="1">
      <alignment horizontal="right"/>
    </xf>
    <xf numFmtId="0" fontId="34" fillId="7" borderId="16" xfId="0" applyFont="1" applyFill="1" applyBorder="1" applyAlignment="1">
      <alignment horizontal="right"/>
    </xf>
    <xf numFmtId="0" fontId="34" fillId="7" borderId="6" xfId="0" applyFont="1" applyFill="1" applyBorder="1" applyAlignment="1">
      <alignment horizontal="right"/>
    </xf>
    <xf numFmtId="0" fontId="34" fillId="4" borderId="51" xfId="0" applyFont="1" applyFill="1" applyBorder="1" applyAlignment="1">
      <alignment horizontal="right"/>
    </xf>
    <xf numFmtId="0" fontId="33" fillId="0" borderId="16" xfId="0" applyFont="1" applyBorder="1" applyAlignment="1">
      <alignment horizontal="right"/>
    </xf>
    <xf numFmtId="0" fontId="33" fillId="0" borderId="31" xfId="0" applyFont="1" applyBorder="1" applyAlignment="1">
      <alignment horizontal="right"/>
    </xf>
    <xf numFmtId="0" fontId="2" fillId="0" borderId="5" xfId="0" applyFont="1" applyBorder="1" applyAlignment="1">
      <alignment horizontal="right"/>
    </xf>
    <xf numFmtId="0" fontId="2" fillId="6" borderId="41" xfId="0" applyFont="1" applyFill="1" applyBorder="1" applyAlignment="1">
      <alignment horizontal="right"/>
    </xf>
    <xf numFmtId="0" fontId="2" fillId="0" borderId="29" xfId="0" applyFont="1" applyBorder="1"/>
    <xf numFmtId="0" fontId="2" fillId="0" borderId="15" xfId="0" applyFont="1" applyBorder="1" applyAlignment="1">
      <alignment horizontal="right" vertical="center"/>
    </xf>
    <xf numFmtId="0" fontId="2" fillId="0" borderId="5" xfId="0" applyFont="1" applyBorder="1" applyAlignment="1">
      <alignment horizontal="right" vertical="center"/>
    </xf>
    <xf numFmtId="0" fontId="2" fillId="4" borderId="51" xfId="0" applyFont="1" applyFill="1" applyBorder="1" applyAlignment="1">
      <alignment horizontal="right" vertical="center"/>
    </xf>
    <xf numFmtId="0" fontId="2" fillId="4" borderId="34" xfId="0" applyFont="1" applyFill="1" applyBorder="1" applyAlignment="1">
      <alignment horizontal="right" vertical="center"/>
    </xf>
    <xf numFmtId="0" fontId="2" fillId="4" borderId="5" xfId="0" applyFont="1" applyFill="1" applyBorder="1" applyAlignment="1">
      <alignment horizontal="right" vertical="center"/>
    </xf>
    <xf numFmtId="0" fontId="2" fillId="0" borderId="3" xfId="0" applyFont="1" applyBorder="1" applyAlignment="1">
      <alignment horizontal="right" vertical="center"/>
    </xf>
    <xf numFmtId="0" fontId="2" fillId="7" borderId="3" xfId="0" applyFont="1" applyFill="1" applyBorder="1" applyAlignment="1">
      <alignment horizontal="right" vertical="center"/>
    </xf>
    <xf numFmtId="0" fontId="2" fillId="7" borderId="31" xfId="0" applyFont="1" applyFill="1" applyBorder="1" applyAlignment="1">
      <alignment horizontal="right" vertical="center"/>
    </xf>
    <xf numFmtId="0" fontId="2" fillId="7" borderId="6" xfId="0" applyFont="1" applyFill="1" applyBorder="1" applyAlignment="1">
      <alignment vertical="center"/>
    </xf>
    <xf numFmtId="0" fontId="2" fillId="7" borderId="4" xfId="0" applyFont="1" applyFill="1" applyBorder="1" applyAlignment="1">
      <alignment horizontal="left" vertical="center"/>
    </xf>
    <xf numFmtId="0" fontId="2" fillId="7" borderId="3" xfId="0" applyFont="1" applyFill="1" applyBorder="1" applyAlignment="1">
      <alignment horizontal="left" vertical="center"/>
    </xf>
    <xf numFmtId="0" fontId="35" fillId="0" borderId="5" xfId="0" applyFont="1" applyFill="1" applyBorder="1" applyAlignment="1">
      <alignment vertical="center"/>
    </xf>
    <xf numFmtId="0" fontId="35" fillId="6" borderId="5" xfId="0" applyFont="1" applyFill="1" applyBorder="1" applyAlignment="1">
      <alignment vertical="center"/>
    </xf>
    <xf numFmtId="0" fontId="35" fillId="0" borderId="0" xfId="0" applyFont="1" applyFill="1" applyBorder="1"/>
    <xf numFmtId="0" fontId="35" fillId="6" borderId="0" xfId="0" applyFont="1" applyFill="1" applyBorder="1" applyAlignment="1">
      <alignment horizontal="left" vertical="center"/>
    </xf>
    <xf numFmtId="0" fontId="35" fillId="0" borderId="0" xfId="0" applyFont="1" applyFill="1" applyBorder="1" applyAlignment="1">
      <alignment horizontal="left" vertical="center"/>
    </xf>
    <xf numFmtId="0" fontId="35" fillId="6" borderId="0" xfId="0" applyFont="1" applyFill="1" applyBorder="1"/>
    <xf numFmtId="0" fontId="35" fillId="7" borderId="13" xfId="0" applyFont="1" applyFill="1" applyBorder="1"/>
    <xf numFmtId="0" fontId="10" fillId="6" borderId="5" xfId="0" applyFont="1" applyFill="1" applyBorder="1" applyAlignment="1">
      <alignment horizontal="center"/>
    </xf>
    <xf numFmtId="0" fontId="10" fillId="6" borderId="6" xfId="0" applyFont="1" applyFill="1" applyBorder="1" applyAlignment="1">
      <alignment horizontal="center"/>
    </xf>
    <xf numFmtId="0" fontId="10" fillId="7" borderId="5" xfId="0" applyFont="1" applyFill="1" applyBorder="1" applyAlignment="1">
      <alignment horizontal="center"/>
    </xf>
    <xf numFmtId="0" fontId="10" fillId="7" borderId="6" xfId="0" applyFont="1" applyFill="1" applyBorder="1" applyAlignment="1">
      <alignment horizontal="center"/>
    </xf>
    <xf numFmtId="0" fontId="10" fillId="4" borderId="5" xfId="0" applyFont="1" applyFill="1" applyBorder="1" applyAlignment="1">
      <alignment horizontal="center"/>
    </xf>
    <xf numFmtId="0" fontId="0" fillId="6" borderId="0" xfId="0" applyFont="1" applyFill="1" applyAlignment="1">
      <alignment horizontal="center" vertical="center" wrapText="1"/>
    </xf>
    <xf numFmtId="0" fontId="10" fillId="7" borderId="31" xfId="1" applyFont="1" applyFill="1" applyBorder="1"/>
    <xf numFmtId="0" fontId="23" fillId="9" borderId="28" xfId="0" applyFont="1" applyFill="1" applyBorder="1" applyAlignment="1">
      <alignment horizontal="center" vertical="center"/>
    </xf>
    <xf numFmtId="0" fontId="23" fillId="9" borderId="22" xfId="0" applyFont="1" applyFill="1" applyBorder="1" applyAlignment="1">
      <alignment horizontal="center" vertical="center"/>
    </xf>
    <xf numFmtId="0" fontId="23" fillId="9" borderId="0" xfId="0" applyFont="1" applyFill="1" applyAlignment="1">
      <alignment horizontal="center" vertical="center" wrapText="1"/>
    </xf>
    <xf numFmtId="0" fontId="0" fillId="16" borderId="5" xfId="0" applyFont="1" applyFill="1" applyBorder="1" applyAlignment="1">
      <alignment horizontal="center" vertical="center"/>
    </xf>
    <xf numFmtId="0" fontId="10" fillId="7" borderId="3" xfId="1" applyFont="1" applyFill="1" applyBorder="1" applyAlignment="1">
      <alignment vertical="center"/>
    </xf>
    <xf numFmtId="0" fontId="10" fillId="7" borderId="6" xfId="1" applyFont="1" applyFill="1" applyBorder="1" applyAlignment="1">
      <alignment vertical="center"/>
    </xf>
    <xf numFmtId="0" fontId="2" fillId="4" borderId="5" xfId="0" applyFont="1" applyFill="1" applyBorder="1" applyAlignment="1">
      <alignment vertical="center"/>
    </xf>
    <xf numFmtId="0" fontId="2" fillId="4" borderId="35" xfId="0" applyFont="1" applyFill="1" applyBorder="1" applyAlignment="1">
      <alignment vertical="center"/>
    </xf>
    <xf numFmtId="0" fontId="2" fillId="4" borderId="34" xfId="0" applyFont="1" applyFill="1" applyBorder="1" applyAlignment="1">
      <alignment vertical="center"/>
    </xf>
    <xf numFmtId="0" fontId="2" fillId="4" borderId="50" xfId="0" applyFont="1" applyFill="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xf>
    <xf numFmtId="0" fontId="2" fillId="4" borderId="3" xfId="0" applyFont="1" applyFill="1" applyBorder="1" applyAlignment="1">
      <alignment vertical="center"/>
    </xf>
    <xf numFmtId="0" fontId="2" fillId="4" borderId="40" xfId="0" applyFont="1" applyFill="1" applyBorder="1" applyAlignment="1">
      <alignment horizontal="right" vertical="center"/>
    </xf>
    <xf numFmtId="0" fontId="2" fillId="0" borderId="29" xfId="0" applyFont="1" applyBorder="1" applyAlignment="1">
      <alignment horizontal="right" vertical="center"/>
    </xf>
    <xf numFmtId="0" fontId="2" fillId="6" borderId="6" xfId="0" applyFont="1" applyFill="1" applyBorder="1"/>
    <xf numFmtId="0" fontId="21" fillId="7" borderId="5" xfId="0" applyFont="1" applyFill="1" applyBorder="1" applyAlignment="1">
      <alignment horizontal="left" vertical="center"/>
    </xf>
    <xf numFmtId="0" fontId="10" fillId="7" borderId="6" xfId="0" applyFont="1" applyFill="1" applyBorder="1" applyAlignment="1">
      <alignment horizontal="left" vertical="center"/>
    </xf>
    <xf numFmtId="0" fontId="29" fillId="7" borderId="5" xfId="0" applyFont="1" applyFill="1" applyBorder="1" applyAlignment="1">
      <alignment horizontal="left" vertical="center"/>
    </xf>
    <xf numFmtId="0" fontId="33" fillId="7" borderId="6" xfId="0" applyFont="1" applyFill="1" applyBorder="1" applyAlignment="1">
      <alignment horizontal="right"/>
    </xf>
    <xf numFmtId="0" fontId="2" fillId="6" borderId="10" xfId="0" applyFont="1" applyFill="1" applyBorder="1"/>
    <xf numFmtId="0" fontId="2" fillId="6" borderId="0" xfId="0" applyFont="1" applyFill="1" applyBorder="1" applyAlignment="1">
      <alignment horizontal="right"/>
    </xf>
    <xf numFmtId="0" fontId="34" fillId="6" borderId="3" xfId="0" applyFont="1" applyFill="1" applyBorder="1" applyAlignment="1">
      <alignment horizontal="right"/>
    </xf>
    <xf numFmtId="0" fontId="34" fillId="6" borderId="5" xfId="0" applyFont="1" applyFill="1" applyBorder="1" applyAlignment="1">
      <alignment horizontal="right"/>
    </xf>
    <xf numFmtId="0" fontId="34" fillId="6" borderId="6" xfId="0" applyFont="1" applyFill="1" applyBorder="1" applyAlignment="1">
      <alignment horizontal="right"/>
    </xf>
    <xf numFmtId="0" fontId="34" fillId="6" borderId="11" xfId="0" applyFont="1" applyFill="1" applyBorder="1" applyAlignment="1">
      <alignment horizontal="right"/>
    </xf>
    <xf numFmtId="0" fontId="34" fillId="6" borderId="37" xfId="0" applyFont="1" applyFill="1" applyBorder="1" applyAlignment="1">
      <alignment horizontal="right"/>
    </xf>
    <xf numFmtId="0" fontId="34" fillId="6" borderId="36" xfId="0" applyFont="1" applyFill="1" applyBorder="1" applyAlignment="1">
      <alignment horizontal="right"/>
    </xf>
    <xf numFmtId="0" fontId="5" fillId="6" borderId="38" xfId="1" applyFont="1" applyFill="1" applyBorder="1"/>
    <xf numFmtId="0" fontId="20" fillId="6" borderId="37" xfId="1" applyFont="1" applyFill="1" applyBorder="1" applyAlignment="1">
      <alignment horizontal="center" vertical="center"/>
    </xf>
    <xf numFmtId="0" fontId="20" fillId="6" borderId="36" xfId="1" applyFont="1" applyFill="1" applyBorder="1" applyAlignment="1">
      <alignment horizontal="center" vertical="center"/>
    </xf>
    <xf numFmtId="0" fontId="33" fillId="7" borderId="16" xfId="0" applyFont="1" applyFill="1" applyBorder="1" applyAlignment="1">
      <alignment horizontal="right"/>
    </xf>
    <xf numFmtId="0" fontId="33" fillId="7" borderId="31" xfId="0" applyFont="1" applyFill="1" applyBorder="1" applyAlignment="1">
      <alignment horizontal="right"/>
    </xf>
    <xf numFmtId="0" fontId="10" fillId="7" borderId="5" xfId="0" applyFont="1" applyFill="1" applyBorder="1" applyAlignment="1">
      <alignment horizontal="center" vertical="center"/>
    </xf>
    <xf numFmtId="0" fontId="10" fillId="7" borderId="16" xfId="1" applyFont="1" applyFill="1" applyBorder="1"/>
    <xf numFmtId="0" fontId="2" fillId="6"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0" fillId="6" borderId="39" xfId="1" applyFont="1" applyFill="1" applyBorder="1" applyAlignment="1">
      <alignment horizontal="center" vertical="center"/>
    </xf>
    <xf numFmtId="0" fontId="0" fillId="6" borderId="4" xfId="0" applyFill="1" applyBorder="1" applyAlignment="1">
      <alignment horizontal="center" vertical="center" wrapText="1"/>
    </xf>
    <xf numFmtId="0" fontId="0" fillId="6" borderId="27" xfId="0" applyFill="1"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9" fillId="6" borderId="5" xfId="1" applyFont="1" applyFill="1" applyBorder="1" applyAlignment="1">
      <alignment horizontal="center" vertical="center"/>
    </xf>
    <xf numFmtId="0" fontId="9" fillId="6" borderId="37" xfId="1" applyFont="1" applyFill="1" applyBorder="1" applyAlignment="1">
      <alignment horizontal="center" vertical="center"/>
    </xf>
    <xf numFmtId="0" fontId="9" fillId="4" borderId="50" xfId="1" applyFont="1" applyFill="1" applyBorder="1" applyAlignment="1">
      <alignment horizontal="center" vertical="center"/>
    </xf>
    <xf numFmtId="0" fontId="9" fillId="4" borderId="6" xfId="1" applyFont="1" applyFill="1" applyBorder="1" applyAlignment="1">
      <alignment horizontal="center" vertical="center"/>
    </xf>
    <xf numFmtId="0" fontId="10" fillId="7" borderId="5" xfId="0" applyFont="1" applyFill="1" applyBorder="1" applyAlignment="1">
      <alignment horizontal="left" vertical="center"/>
    </xf>
    <xf numFmtId="0" fontId="10" fillId="7" borderId="16" xfId="0" applyFont="1" applyFill="1" applyBorder="1" applyAlignment="1">
      <alignment horizontal="left" vertical="center"/>
    </xf>
    <xf numFmtId="0" fontId="10" fillId="7" borderId="31" xfId="0" applyFont="1" applyFill="1" applyBorder="1" applyAlignment="1">
      <alignment horizontal="left" vertical="center"/>
    </xf>
    <xf numFmtId="0" fontId="2" fillId="6" borderId="4" xfId="0" applyFont="1" applyFill="1" applyBorder="1" applyAlignment="1">
      <alignment vertical="center"/>
    </xf>
    <xf numFmtId="0" fontId="2" fillId="6" borderId="3" xfId="0" applyFont="1" applyFill="1" applyBorder="1" applyAlignment="1">
      <alignment vertical="center"/>
    </xf>
    <xf numFmtId="0" fontId="2" fillId="6" borderId="6" xfId="0" applyFont="1" applyFill="1" applyBorder="1" applyAlignment="1">
      <alignment vertical="center"/>
    </xf>
    <xf numFmtId="0" fontId="2" fillId="4" borderId="6" xfId="0" applyFont="1" applyFill="1" applyBorder="1" applyAlignment="1">
      <alignment vertical="center"/>
    </xf>
    <xf numFmtId="0" fontId="2" fillId="6" borderId="3" xfId="0" applyFont="1" applyFill="1" applyBorder="1" applyAlignment="1">
      <alignment horizontal="right" vertical="center"/>
    </xf>
    <xf numFmtId="0" fontId="2" fillId="4" borderId="2" xfId="0" applyFont="1" applyFill="1" applyBorder="1" applyAlignment="1">
      <alignment horizontal="right" vertical="center"/>
    </xf>
    <xf numFmtId="0" fontId="2" fillId="4" borderId="8" xfId="0" applyFont="1" applyFill="1" applyBorder="1" applyAlignment="1">
      <alignment vertical="center"/>
    </xf>
    <xf numFmtId="0" fontId="2" fillId="4" borderId="12" xfId="0" applyFont="1" applyFill="1" applyBorder="1" applyAlignment="1">
      <alignment vertical="center"/>
    </xf>
    <xf numFmtId="0" fontId="2" fillId="6" borderId="5" xfId="0" applyFont="1" applyFill="1" applyBorder="1" applyAlignment="1">
      <alignment horizontal="right" vertical="center"/>
    </xf>
    <xf numFmtId="0" fontId="2" fillId="7" borderId="5" xfId="0" applyFont="1" applyFill="1" applyBorder="1" applyAlignment="1">
      <alignment vertical="center"/>
    </xf>
    <xf numFmtId="0" fontId="33" fillId="6" borderId="42" xfId="0" applyFont="1" applyFill="1" applyBorder="1" applyAlignment="1">
      <alignment horizontal="right"/>
    </xf>
    <xf numFmtId="0" fontId="33" fillId="6" borderId="41" xfId="0" applyFont="1" applyFill="1" applyBorder="1" applyAlignment="1">
      <alignment horizontal="right"/>
    </xf>
    <xf numFmtId="0" fontId="36" fillId="4" borderId="3" xfId="0" applyFont="1" applyFill="1" applyBorder="1" applyAlignment="1">
      <alignment horizontal="right"/>
    </xf>
    <xf numFmtId="0" fontId="36" fillId="4" borderId="34" xfId="0" applyFont="1" applyFill="1" applyBorder="1" applyAlignment="1">
      <alignment horizontal="right"/>
    </xf>
    <xf numFmtId="0" fontId="36" fillId="4" borderId="5" xfId="0" applyFont="1" applyFill="1" applyBorder="1" applyAlignment="1">
      <alignment horizontal="right"/>
    </xf>
    <xf numFmtId="0" fontId="36" fillId="4" borderId="35" xfId="0" applyFont="1" applyFill="1" applyBorder="1" applyAlignment="1">
      <alignment horizontal="right"/>
    </xf>
    <xf numFmtId="0" fontId="36" fillId="4" borderId="6" xfId="0" applyFont="1" applyFill="1" applyBorder="1" applyAlignment="1">
      <alignment horizontal="right"/>
    </xf>
    <xf numFmtId="0" fontId="34" fillId="7" borderId="29" xfId="0" applyFont="1" applyFill="1" applyBorder="1" applyAlignment="1">
      <alignment horizontal="right"/>
    </xf>
    <xf numFmtId="0" fontId="2" fillId="0" borderId="30" xfId="0" applyFont="1" applyBorder="1" applyAlignment="1">
      <alignment horizontal="right"/>
    </xf>
    <xf numFmtId="0" fontId="2" fillId="6" borderId="37" xfId="0" applyFont="1" applyFill="1" applyBorder="1" applyAlignment="1">
      <alignment horizontal="right" vertical="center"/>
    </xf>
    <xf numFmtId="0" fontId="2" fillId="6" borderId="41" xfId="0" applyFont="1" applyFill="1" applyBorder="1" applyAlignment="1">
      <alignment horizontal="right" vertical="center"/>
    </xf>
    <xf numFmtId="0" fontId="2" fillId="4" borderId="50" xfId="0" applyFont="1" applyFill="1" applyBorder="1" applyAlignment="1">
      <alignment horizontal="right" vertical="center"/>
    </xf>
    <xf numFmtId="0" fontId="2" fillId="6" borderId="36" xfId="0" applyFont="1" applyFill="1" applyBorder="1" applyAlignment="1">
      <alignment horizontal="right" vertical="center"/>
    </xf>
    <xf numFmtId="0" fontId="2" fillId="0" borderId="29" xfId="0" applyFont="1" applyBorder="1" applyAlignment="1">
      <alignment horizontal="left" vertical="center"/>
    </xf>
    <xf numFmtId="0" fontId="2" fillId="0" borderId="27" xfId="0" applyFont="1" applyBorder="1"/>
    <xf numFmtId="0" fontId="2" fillId="0" borderId="6" xfId="0" applyFont="1" applyBorder="1"/>
    <xf numFmtId="0" fontId="23" fillId="17" borderId="65" xfId="0" applyFont="1" applyFill="1" applyBorder="1" applyAlignment="1">
      <alignment horizontal="center" vertical="center"/>
    </xf>
    <xf numFmtId="0" fontId="23" fillId="17" borderId="65" xfId="0" applyFont="1" applyFill="1" applyBorder="1" applyAlignment="1">
      <alignment horizontal="center" vertical="center" wrapText="1"/>
    </xf>
    <xf numFmtId="0" fontId="2" fillId="6" borderId="6" xfId="0" applyFont="1" applyFill="1" applyBorder="1" applyAlignment="1">
      <alignment horizontal="right" vertical="center"/>
    </xf>
    <xf numFmtId="0" fontId="2" fillId="16" borderId="4" xfId="0" applyFont="1" applyFill="1" applyBorder="1" applyAlignment="1">
      <alignment horizontal="center" vertical="center"/>
    </xf>
    <xf numFmtId="0" fontId="0" fillId="16" borderId="27" xfId="0" applyFill="1" applyBorder="1" applyAlignment="1">
      <alignment horizontal="center"/>
    </xf>
    <xf numFmtId="0" fontId="2" fillId="3" borderId="4" xfId="0" applyFont="1" applyFill="1" applyBorder="1" applyAlignment="1">
      <alignment horizontal="center" vertical="center"/>
    </xf>
    <xf numFmtId="0" fontId="20" fillId="7" borderId="16" xfId="1" applyFont="1" applyFill="1" applyBorder="1" applyAlignment="1">
      <alignment horizontal="center" vertical="center"/>
    </xf>
    <xf numFmtId="0" fontId="20" fillId="4" borderId="40" xfId="1" applyFont="1" applyFill="1" applyBorder="1" applyAlignment="1">
      <alignment horizontal="center" vertical="center"/>
    </xf>
    <xf numFmtId="0" fontId="0" fillId="6" borderId="36" xfId="0" applyFont="1" applyFill="1" applyBorder="1" applyAlignment="1">
      <alignment horizontal="left" vertical="center"/>
    </xf>
    <xf numFmtId="0" fontId="0" fillId="6" borderId="41" xfId="0" applyFont="1" applyFill="1" applyBorder="1" applyAlignment="1">
      <alignment horizontal="left" vertical="center"/>
    </xf>
    <xf numFmtId="0" fontId="0" fillId="7" borderId="31" xfId="0" applyFont="1" applyFill="1" applyBorder="1" applyAlignment="1">
      <alignment horizontal="left" vertical="center" wrapText="1"/>
    </xf>
    <xf numFmtId="0" fontId="0" fillId="7" borderId="30" xfId="0" applyFont="1" applyFill="1" applyBorder="1" applyAlignment="1">
      <alignment horizontal="left" vertical="center" wrapText="1"/>
    </xf>
    <xf numFmtId="0" fontId="37" fillId="4" borderId="35" xfId="1" applyFont="1" applyFill="1" applyBorder="1" applyAlignment="1">
      <alignment horizontal="center" vertical="center"/>
    </xf>
    <xf numFmtId="0" fontId="37" fillId="4" borderId="8" xfId="1" applyFont="1" applyFill="1" applyBorder="1" applyAlignment="1">
      <alignment horizontal="center" vertical="center"/>
    </xf>
    <xf numFmtId="0" fontId="37" fillId="6" borderId="5" xfId="1" applyFont="1" applyFill="1" applyBorder="1" applyAlignment="1">
      <alignment horizontal="center" vertical="center"/>
    </xf>
    <xf numFmtId="0" fontId="37" fillId="4" borderId="5" xfId="1" applyFont="1" applyFill="1" applyBorder="1" applyAlignment="1">
      <alignment horizontal="center" vertical="center"/>
    </xf>
    <xf numFmtId="0" fontId="37" fillId="4" borderId="35" xfId="0" applyFont="1" applyFill="1" applyBorder="1" applyAlignment="1">
      <alignment horizontal="center"/>
    </xf>
    <xf numFmtId="0" fontId="37" fillId="4" borderId="5" xfId="0" applyFont="1" applyFill="1" applyBorder="1" applyAlignment="1">
      <alignment horizontal="center"/>
    </xf>
    <xf numFmtId="0" fontId="37" fillId="4" borderId="6" xfId="0" applyFont="1" applyFill="1" applyBorder="1" applyAlignment="1">
      <alignment horizontal="center"/>
    </xf>
    <xf numFmtId="0" fontId="2" fillId="7" borderId="0" xfId="0" applyFont="1" applyFill="1"/>
    <xf numFmtId="0" fontId="2" fillId="6" borderId="3" xfId="0" applyFont="1" applyFill="1" applyBorder="1" applyAlignment="1">
      <alignment horizontal="left"/>
    </xf>
    <xf numFmtId="0" fontId="2" fillId="6" borderId="6" xfId="0" applyFont="1" applyFill="1" applyBorder="1" applyAlignment="1">
      <alignment horizontal="right"/>
    </xf>
    <xf numFmtId="0" fontId="2" fillId="4" borderId="40" xfId="0" applyFont="1" applyFill="1" applyBorder="1" applyAlignment="1">
      <alignment horizontal="right"/>
    </xf>
    <xf numFmtId="0" fontId="0" fillId="7" borderId="5" xfId="0" applyFill="1" applyBorder="1"/>
    <xf numFmtId="0" fontId="38" fillId="7" borderId="4" xfId="0" applyFont="1" applyFill="1" applyBorder="1" applyAlignment="1">
      <alignment horizontal="left" vertical="center" wrapText="1"/>
    </xf>
    <xf numFmtId="0" fontId="0" fillId="7" borderId="5" xfId="0" applyFont="1" applyFill="1" applyBorder="1" applyAlignment="1">
      <alignment horizontal="center" vertical="center"/>
    </xf>
    <xf numFmtId="0" fontId="2" fillId="7" borderId="8" xfId="0" applyFont="1" applyFill="1" applyBorder="1" applyAlignment="1">
      <alignment horizontal="right"/>
    </xf>
    <xf numFmtId="0" fontId="37" fillId="7" borderId="5" xfId="0" applyFont="1" applyFill="1" applyBorder="1" applyAlignment="1">
      <alignment horizontal="center"/>
    </xf>
    <xf numFmtId="0" fontId="37" fillId="7" borderId="5" xfId="1" applyFont="1" applyFill="1" applyBorder="1" applyAlignment="1">
      <alignment horizontal="center" vertical="center" wrapText="1"/>
    </xf>
    <xf numFmtId="0" fontId="10" fillId="7" borderId="4" xfId="1" applyFont="1" applyFill="1" applyBorder="1"/>
    <xf numFmtId="0" fontId="0" fillId="6" borderId="5" xfId="0" applyFont="1" applyFill="1" applyBorder="1" applyAlignment="1">
      <alignment horizontal="center"/>
    </xf>
    <xf numFmtId="0" fontId="20" fillId="6" borderId="5" xfId="0" applyFont="1" applyFill="1" applyBorder="1" applyAlignment="1">
      <alignment horizontal="center"/>
    </xf>
    <xf numFmtId="0" fontId="2" fillId="6" borderId="5" xfId="0" applyFont="1" applyFill="1" applyBorder="1" applyAlignment="1">
      <alignment horizontal="left"/>
    </xf>
    <xf numFmtId="0" fontId="5" fillId="6" borderId="6" xfId="1" applyFill="1" applyBorder="1" applyAlignment="1">
      <alignment horizontal="left" vertical="top"/>
    </xf>
    <xf numFmtId="0" fontId="5" fillId="6" borderId="5" xfId="1" applyFill="1" applyBorder="1"/>
    <xf numFmtId="0" fontId="0" fillId="6" borderId="3" xfId="0" applyFill="1" applyBorder="1" applyAlignment="1">
      <alignment vertical="center" wrapText="1"/>
    </xf>
    <xf numFmtId="0" fontId="10" fillId="7" borderId="15" xfId="0" applyFont="1" applyFill="1" applyBorder="1" applyAlignment="1">
      <alignment horizontal="center"/>
    </xf>
    <xf numFmtId="0" fontId="0" fillId="7" borderId="16" xfId="0" applyFill="1" applyBorder="1" applyAlignment="1">
      <alignment horizontal="center" vertical="center"/>
    </xf>
    <xf numFmtId="0" fontId="10" fillId="7" borderId="31" xfId="1" applyFont="1" applyFill="1" applyBorder="1" applyAlignment="1">
      <alignment horizontal="center" vertical="center" wrapText="1"/>
    </xf>
    <xf numFmtId="0" fontId="29" fillId="6" borderId="38" xfId="0" applyFont="1" applyFill="1" applyBorder="1"/>
    <xf numFmtId="0" fontId="0" fillId="6" borderId="36" xfId="0" applyFont="1" applyFill="1" applyBorder="1" applyAlignment="1">
      <alignment horizontal="center" vertical="center"/>
    </xf>
    <xf numFmtId="0" fontId="0" fillId="6" borderId="39" xfId="0" applyFont="1" applyFill="1" applyBorder="1" applyAlignment="1">
      <alignment horizontal="center" vertical="center"/>
    </xf>
    <xf numFmtId="0" fontId="0" fillId="6" borderId="36" xfId="0" applyFont="1" applyFill="1" applyBorder="1" applyAlignment="1">
      <alignment horizontal="center"/>
    </xf>
    <xf numFmtId="0" fontId="20" fillId="6" borderId="36" xfId="0" applyFont="1" applyFill="1" applyBorder="1" applyAlignment="1">
      <alignment horizontal="center"/>
    </xf>
    <xf numFmtId="0" fontId="2" fillId="6" borderId="39" xfId="0" applyFont="1" applyFill="1" applyBorder="1" applyAlignment="1">
      <alignment horizontal="right"/>
    </xf>
    <xf numFmtId="0" fontId="0" fillId="6" borderId="41" xfId="0" applyFill="1" applyBorder="1"/>
    <xf numFmtId="0" fontId="2" fillId="7" borderId="45" xfId="0" applyFont="1" applyFill="1" applyBorder="1" applyAlignment="1">
      <alignment horizontal="right"/>
    </xf>
    <xf numFmtId="0" fontId="2" fillId="7" borderId="68" xfId="0" applyFont="1" applyFill="1" applyBorder="1" applyAlignment="1">
      <alignment horizontal="right"/>
    </xf>
    <xf numFmtId="0" fontId="10" fillId="4" borderId="40" xfId="0" applyFont="1" applyFill="1" applyBorder="1" applyAlignment="1">
      <alignment horizontal="center"/>
    </xf>
    <xf numFmtId="0" fontId="10" fillId="7" borderId="29" xfId="1" applyFont="1" applyFill="1" applyBorder="1"/>
    <xf numFmtId="0" fontId="0" fillId="3" borderId="3" xfId="0" applyFill="1" applyBorder="1" applyAlignment="1">
      <alignment vertical="center"/>
    </xf>
    <xf numFmtId="0" fontId="0" fillId="7" borderId="0" xfId="0" applyFill="1" applyBorder="1"/>
    <xf numFmtId="0" fontId="0" fillId="7" borderId="37" xfId="0" applyFill="1" applyBorder="1"/>
    <xf numFmtId="0" fontId="0" fillId="4" borderId="5" xfId="0" applyFont="1" applyFill="1" applyBorder="1" applyAlignment="1">
      <alignment horizontal="left" vertical="center"/>
    </xf>
    <xf numFmtId="0" fontId="21" fillId="7" borderId="8" xfId="0" applyFont="1" applyFill="1" applyBorder="1" applyAlignment="1">
      <alignment horizontal="left" vertical="center"/>
    </xf>
    <xf numFmtId="0" fontId="0" fillId="13" borderId="71" xfId="0" applyFill="1" applyBorder="1" applyAlignment="1">
      <alignment horizontal="center" vertical="center" wrapText="1"/>
    </xf>
    <xf numFmtId="0" fontId="39" fillId="18" borderId="8" xfId="0" applyFont="1" applyFill="1" applyBorder="1"/>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wrapText="1"/>
    </xf>
    <xf numFmtId="0" fontId="0" fillId="0" borderId="1" xfId="0" applyBorder="1" applyAlignment="1">
      <alignment horizontal="center" vertical="center"/>
    </xf>
    <xf numFmtId="0" fontId="39" fillId="18" borderId="4" xfId="0" applyFont="1" applyFill="1" applyBorder="1"/>
    <xf numFmtId="0" fontId="2" fillId="11" borderId="72" xfId="0" applyFont="1" applyFill="1" applyBorder="1" applyAlignment="1">
      <alignment horizontal="left" vertical="center"/>
    </xf>
    <xf numFmtId="0" fontId="0" fillId="0" borderId="1" xfId="0" applyBorder="1" applyAlignment="1">
      <alignment horizontal="center" vertical="center" wrapText="1"/>
    </xf>
    <xf numFmtId="0" fontId="2" fillId="11" borderId="58" xfId="0" applyFont="1" applyFill="1" applyBorder="1" applyAlignment="1">
      <alignment horizontal="left" vertical="center"/>
    </xf>
    <xf numFmtId="0" fontId="40" fillId="12" borderId="54" xfId="0" applyFont="1" applyFill="1" applyBorder="1" applyAlignment="1">
      <alignment horizontal="right" vertical="center"/>
    </xf>
    <xf numFmtId="0" fontId="40" fillId="0" borderId="0" xfId="0" applyFont="1" applyAlignment="1">
      <alignment horizontal="center" vertical="center"/>
    </xf>
    <xf numFmtId="0" fontId="40" fillId="0" borderId="7" xfId="0" applyFont="1" applyBorder="1" applyAlignment="1">
      <alignment horizontal="center" vertical="center"/>
    </xf>
    <xf numFmtId="0" fontId="40" fillId="12" borderId="58" xfId="0" applyFont="1" applyFill="1" applyBorder="1" applyAlignment="1">
      <alignment horizontal="right" vertical="center"/>
    </xf>
    <xf numFmtId="0" fontId="40" fillId="0" borderId="13" xfId="0" applyFont="1" applyBorder="1" applyAlignment="1">
      <alignment horizontal="center" vertical="center"/>
    </xf>
    <xf numFmtId="0" fontId="40" fillId="0" borderId="11" xfId="0" applyFont="1" applyBorder="1" applyAlignment="1">
      <alignment horizontal="center" vertical="center"/>
    </xf>
    <xf numFmtId="0" fontId="1" fillId="0" borderId="2" xfId="0" applyFont="1" applyBorder="1" applyAlignment="1">
      <alignment horizontal="right"/>
    </xf>
    <xf numFmtId="0" fontId="1" fillId="0" borderId="6" xfId="0" applyFont="1" applyBorder="1" applyAlignment="1">
      <alignment horizontal="right"/>
    </xf>
    <xf numFmtId="0" fontId="4" fillId="0" borderId="31" xfId="0" applyFont="1" applyBorder="1"/>
    <xf numFmtId="0" fontId="4" fillId="0" borderId="15" xfId="0" applyFont="1" applyBorder="1"/>
    <xf numFmtId="49" fontId="2" fillId="0" borderId="0" xfId="0" applyNumberFormat="1" applyFont="1"/>
    <xf numFmtId="0" fontId="41" fillId="0" borderId="0" xfId="0" applyFont="1"/>
    <xf numFmtId="0" fontId="43" fillId="0" borderId="0" xfId="0" applyFont="1"/>
    <xf numFmtId="49" fontId="44" fillId="0" borderId="0" xfId="1" applyNumberFormat="1" applyFont="1"/>
    <xf numFmtId="49" fontId="10" fillId="0" borderId="0" xfId="1" applyNumberFormat="1" applyFont="1"/>
    <xf numFmtId="0" fontId="0" fillId="7" borderId="16" xfId="0" applyFont="1" applyFill="1" applyBorder="1" applyAlignment="1">
      <alignment horizontal="left" vertical="center" wrapText="1"/>
    </xf>
    <xf numFmtId="0" fontId="2" fillId="7" borderId="62" xfId="0" applyFont="1" applyFill="1" applyBorder="1" applyAlignment="1">
      <alignment horizontal="right" vertical="center"/>
    </xf>
    <xf numFmtId="0" fontId="2" fillId="7" borderId="45" xfId="0" applyFont="1" applyFill="1" applyBorder="1" applyAlignment="1">
      <alignment horizontal="right" vertical="center"/>
    </xf>
    <xf numFmtId="0" fontId="2" fillId="7" borderId="68" xfId="0" applyFont="1" applyFill="1" applyBorder="1" applyAlignment="1">
      <alignment horizontal="right" vertical="center"/>
    </xf>
    <xf numFmtId="0" fontId="0" fillId="0" borderId="30" xfId="0" applyFont="1" applyFill="1" applyBorder="1" applyAlignment="1">
      <alignment horizontal="left" vertical="center"/>
    </xf>
    <xf numFmtId="0" fontId="0" fillId="6" borderId="5" xfId="0" applyFill="1" applyBorder="1" applyAlignment="1">
      <alignment vertical="center" wrapText="1"/>
    </xf>
    <xf numFmtId="0" fontId="2" fillId="6" borderId="8" xfId="0" applyFont="1" applyFill="1" applyBorder="1" applyAlignment="1">
      <alignment horizontal="left" vertical="center"/>
    </xf>
    <xf numFmtId="0" fontId="0" fillId="6" borderId="5" xfId="0" applyFill="1" applyBorder="1" applyAlignment="1">
      <alignment horizontal="left" vertical="center" wrapText="1"/>
    </xf>
    <xf numFmtId="0" fontId="4" fillId="0" borderId="75" xfId="0" applyFont="1" applyBorder="1"/>
    <xf numFmtId="0" fontId="4" fillId="0" borderId="15" xfId="0" applyFont="1" applyBorder="1" applyAlignment="1">
      <alignment horizontal="right"/>
    </xf>
    <xf numFmtId="0" fontId="9" fillId="6" borderId="5" xfId="0" applyFont="1" applyFill="1" applyBorder="1" applyAlignment="1">
      <alignment horizontal="left" vertical="center" wrapText="1"/>
    </xf>
    <xf numFmtId="0" fontId="9" fillId="7" borderId="16" xfId="0" applyFont="1" applyFill="1" applyBorder="1" applyAlignment="1">
      <alignment horizontal="left" vertical="center" wrapText="1"/>
    </xf>
    <xf numFmtId="0" fontId="0" fillId="0" borderId="31" xfId="0" applyFill="1" applyBorder="1" applyAlignment="1">
      <alignment horizontal="left" vertical="center"/>
    </xf>
    <xf numFmtId="0" fontId="2" fillId="4" borderId="70" xfId="0" applyFont="1" applyFill="1" applyBorder="1" applyAlignment="1">
      <alignment horizontal="right" vertical="center"/>
    </xf>
    <xf numFmtId="0" fontId="2" fillId="4" borderId="8" xfId="0" applyFont="1" applyFill="1" applyBorder="1" applyAlignment="1">
      <alignment horizontal="right" vertical="center"/>
    </xf>
    <xf numFmtId="0" fontId="2" fillId="4" borderId="69" xfId="0" applyFont="1" applyFill="1" applyBorder="1" applyAlignment="1">
      <alignment horizontal="right" vertical="center"/>
    </xf>
    <xf numFmtId="0" fontId="2" fillId="6" borderId="46" xfId="0" applyFont="1" applyFill="1" applyBorder="1" applyAlignment="1">
      <alignment horizontal="right" vertical="center"/>
    </xf>
    <xf numFmtId="0" fontId="2" fillId="4" borderId="35" xfId="0" applyFont="1" applyFill="1" applyBorder="1" applyAlignment="1">
      <alignment horizontal="right" vertical="center"/>
    </xf>
    <xf numFmtId="0" fontId="2" fillId="0" borderId="16" xfId="0" applyFont="1" applyFill="1" applyBorder="1" applyAlignment="1">
      <alignment horizontal="right" vertical="center"/>
    </xf>
    <xf numFmtId="0" fontId="2" fillId="7" borderId="8" xfId="0" applyFont="1" applyFill="1" applyBorder="1" applyAlignment="1">
      <alignment horizontal="right" vertical="center"/>
    </xf>
    <xf numFmtId="0" fontId="2" fillId="6" borderId="42" xfId="0" applyFont="1" applyFill="1" applyBorder="1" applyAlignment="1">
      <alignment horizontal="right" vertical="center"/>
    </xf>
    <xf numFmtId="0" fontId="2" fillId="0" borderId="73" xfId="0" applyFont="1" applyFill="1" applyBorder="1" applyAlignment="1">
      <alignment horizontal="right" vertical="center"/>
    </xf>
    <xf numFmtId="0" fontId="2" fillId="0" borderId="45" xfId="0" applyFont="1" applyFill="1" applyBorder="1" applyAlignment="1">
      <alignment horizontal="right" vertical="center"/>
    </xf>
    <xf numFmtId="0" fontId="2" fillId="0" borderId="12" xfId="0" applyFont="1" applyFill="1" applyBorder="1" applyAlignment="1">
      <alignment horizontal="right" vertical="center"/>
    </xf>
    <xf numFmtId="0" fontId="4" fillId="6" borderId="38" xfId="0" applyFont="1" applyFill="1" applyBorder="1" applyAlignment="1">
      <alignment horizontal="left" vertical="center" wrapText="1"/>
    </xf>
    <xf numFmtId="0" fontId="4" fillId="6" borderId="39" xfId="0" applyFont="1" applyFill="1" applyBorder="1" applyAlignment="1">
      <alignment horizontal="left" vertical="center" wrapText="1"/>
    </xf>
    <xf numFmtId="0" fontId="2" fillId="7" borderId="1" xfId="0" applyFont="1" applyFill="1" applyBorder="1" applyAlignment="1">
      <alignment horizontal="left" vertical="center"/>
    </xf>
    <xf numFmtId="0" fontId="9" fillId="7" borderId="5" xfId="0" applyFont="1" applyFill="1" applyBorder="1" applyAlignment="1">
      <alignment horizontal="left" vertical="center"/>
    </xf>
    <xf numFmtId="0" fontId="0" fillId="6" borderId="41" xfId="0" applyFill="1" applyBorder="1" applyAlignment="1">
      <alignment horizontal="center" vertical="center"/>
    </xf>
    <xf numFmtId="0" fontId="0" fillId="6" borderId="10" xfId="0" applyFont="1" applyFill="1" applyBorder="1" applyAlignment="1">
      <alignment horizontal="left" vertical="center"/>
    </xf>
    <xf numFmtId="0" fontId="0" fillId="6" borderId="32" xfId="0" applyFont="1" applyFill="1" applyBorder="1" applyAlignment="1">
      <alignment horizontal="left" vertical="center"/>
    </xf>
    <xf numFmtId="0" fontId="0" fillId="6" borderId="7" xfId="0" applyFill="1" applyBorder="1" applyAlignment="1">
      <alignment horizontal="left" vertical="center"/>
    </xf>
    <xf numFmtId="0" fontId="2" fillId="6" borderId="3" xfId="0" applyFont="1" applyFill="1" applyBorder="1" applyAlignment="1">
      <alignment horizontal="left" vertical="center" wrapText="1"/>
    </xf>
    <xf numFmtId="0" fontId="2" fillId="6" borderId="39" xfId="0" applyFont="1" applyFill="1" applyBorder="1" applyAlignment="1">
      <alignment horizontal="right" vertical="center"/>
    </xf>
    <xf numFmtId="0" fontId="2" fillId="6" borderId="36" xfId="0" applyFont="1" applyFill="1" applyBorder="1" applyAlignment="1">
      <alignment horizontal="left" vertical="center"/>
    </xf>
    <xf numFmtId="0" fontId="0" fillId="6" borderId="38" xfId="0" applyFill="1" applyBorder="1" applyAlignment="1">
      <alignment horizontal="left" vertical="center"/>
    </xf>
    <xf numFmtId="0" fontId="10" fillId="6" borderId="5" xfId="0" applyFont="1" applyFill="1" applyBorder="1" applyAlignment="1">
      <alignment horizontal="left" vertical="center"/>
    </xf>
    <xf numFmtId="0" fontId="0" fillId="6" borderId="36" xfId="0" applyFill="1" applyBorder="1" applyAlignment="1">
      <alignment horizontal="left" vertical="center"/>
    </xf>
    <xf numFmtId="0" fontId="0" fillId="6" borderId="37" xfId="0" applyFill="1" applyBorder="1" applyAlignment="1">
      <alignment horizontal="left" vertical="center"/>
    </xf>
    <xf numFmtId="0" fontId="2" fillId="0" borderId="3" xfId="0" applyFont="1" applyFill="1" applyBorder="1" applyAlignment="1">
      <alignment horizontal="left" vertical="center"/>
    </xf>
    <xf numFmtId="0" fontId="0" fillId="0" borderId="3" xfId="0" applyFill="1" applyBorder="1" applyAlignment="1">
      <alignment horizontal="left" vertical="center"/>
    </xf>
    <xf numFmtId="0" fontId="2" fillId="0" borderId="6" xfId="0" applyFont="1" applyFill="1" applyBorder="1" applyAlignment="1">
      <alignment horizontal="left" vertical="center"/>
    </xf>
    <xf numFmtId="0" fontId="5" fillId="7" borderId="4" xfId="1" applyFill="1" applyBorder="1" applyAlignment="1">
      <alignment horizontal="left" vertical="center" wrapText="1"/>
    </xf>
    <xf numFmtId="0" fontId="10" fillId="7" borderId="4" xfId="0" applyFont="1" applyFill="1" applyBorder="1" applyAlignment="1">
      <alignment horizontal="center" vertical="center"/>
    </xf>
    <xf numFmtId="0" fontId="29" fillId="7" borderId="2" xfId="0" applyFont="1" applyFill="1" applyBorder="1" applyAlignment="1">
      <alignment horizontal="left" vertical="center"/>
    </xf>
    <xf numFmtId="0" fontId="5" fillId="7" borderId="3" xfId="1" applyFill="1" applyBorder="1" applyAlignment="1">
      <alignment horizontal="left" vertical="center" wrapText="1"/>
    </xf>
    <xf numFmtId="0" fontId="2" fillId="6" borderId="0" xfId="0" applyFont="1" applyFill="1" applyBorder="1" applyAlignment="1">
      <alignment horizontal="right" vertical="center"/>
    </xf>
    <xf numFmtId="0" fontId="2" fillId="6" borderId="5" xfId="0" applyFont="1" applyFill="1" applyBorder="1" applyAlignment="1">
      <alignment horizontal="left" vertical="top"/>
    </xf>
    <xf numFmtId="0" fontId="5" fillId="6" borderId="0" xfId="1" applyFill="1" applyBorder="1" applyAlignment="1">
      <alignment horizontal="left" vertical="center" wrapText="1"/>
    </xf>
    <xf numFmtId="0" fontId="2" fillId="0" borderId="8" xfId="0" applyFont="1" applyFill="1" applyBorder="1" applyAlignment="1">
      <alignment horizontal="right" vertical="center"/>
    </xf>
    <xf numFmtId="0" fontId="0" fillId="0" borderId="5" xfId="0" applyFont="1" applyFill="1" applyBorder="1" applyAlignment="1">
      <alignment horizontal="center" vertical="center"/>
    </xf>
    <xf numFmtId="0" fontId="2" fillId="0" borderId="29" xfId="0" applyFont="1" applyFill="1" applyBorder="1" applyAlignment="1">
      <alignment horizontal="left" vertical="center"/>
    </xf>
    <xf numFmtId="0" fontId="2" fillId="0" borderId="31" xfId="0" applyFont="1" applyFill="1" applyBorder="1" applyAlignment="1">
      <alignment horizontal="right" vertical="center"/>
    </xf>
    <xf numFmtId="0" fontId="2" fillId="0" borderId="15" xfId="0" applyFont="1" applyFill="1" applyBorder="1" applyAlignment="1">
      <alignment horizontal="right" vertical="center"/>
    </xf>
    <xf numFmtId="0" fontId="0" fillId="0" borderId="15" xfId="0" applyFont="1" applyFill="1" applyBorder="1" applyAlignment="1">
      <alignment horizontal="center" vertical="center"/>
    </xf>
    <xf numFmtId="0" fontId="0" fillId="0" borderId="31" xfId="0" applyFont="1" applyFill="1" applyBorder="1" applyAlignment="1">
      <alignment horizontal="center" vertical="center"/>
    </xf>
    <xf numFmtId="0" fontId="0" fillId="0" borderId="31" xfId="0" applyFont="1" applyFill="1" applyBorder="1" applyAlignment="1">
      <alignment horizontal="left" vertical="center"/>
    </xf>
    <xf numFmtId="0" fontId="0" fillId="0" borderId="29" xfId="0" applyFont="1" applyFill="1" applyBorder="1" applyAlignment="1">
      <alignment horizontal="left" vertical="center"/>
    </xf>
    <xf numFmtId="0" fontId="10" fillId="6" borderId="7" xfId="0" applyFont="1" applyFill="1" applyBorder="1" applyAlignment="1">
      <alignment horizontal="left" vertical="center"/>
    </xf>
    <xf numFmtId="0" fontId="2" fillId="6" borderId="38" xfId="0" applyFont="1" applyFill="1" applyBorder="1"/>
    <xf numFmtId="0" fontId="2" fillId="7" borderId="5" xfId="0" applyFont="1" applyFill="1" applyBorder="1" applyAlignment="1">
      <alignment horizontal="right" vertical="center" wrapText="1"/>
    </xf>
    <xf numFmtId="0" fontId="29" fillId="7" borderId="8" xfId="0" applyFont="1" applyFill="1" applyBorder="1" applyAlignment="1">
      <alignment horizontal="left" vertical="center"/>
    </xf>
    <xf numFmtId="0" fontId="5" fillId="7" borderId="2" xfId="1" applyFill="1" applyBorder="1" applyAlignment="1">
      <alignment horizontal="left" vertical="center"/>
    </xf>
    <xf numFmtId="0" fontId="2" fillId="7" borderId="7" xfId="0" applyFont="1" applyFill="1" applyBorder="1" applyAlignment="1">
      <alignment horizontal="right"/>
    </xf>
    <xf numFmtId="0" fontId="37" fillId="7" borderId="5" xfId="1" applyFont="1" applyFill="1" applyBorder="1" applyAlignment="1">
      <alignment horizontal="center" vertical="center"/>
    </xf>
    <xf numFmtId="0" fontId="37" fillId="7" borderId="6" xfId="1" applyFont="1" applyFill="1" applyBorder="1" applyAlignment="1">
      <alignment horizontal="center" vertical="center"/>
    </xf>
    <xf numFmtId="0" fontId="37" fillId="7" borderId="31" xfId="1" applyFont="1" applyFill="1" applyBorder="1" applyAlignment="1">
      <alignment horizontal="center" vertical="center"/>
    </xf>
    <xf numFmtId="0" fontId="2" fillId="7" borderId="29" xfId="0" applyFont="1" applyFill="1" applyBorder="1" applyAlignment="1">
      <alignment horizontal="left"/>
    </xf>
    <xf numFmtId="0" fontId="2" fillId="7" borderId="11" xfId="0" applyFont="1" applyFill="1" applyBorder="1" applyAlignment="1">
      <alignment horizontal="right"/>
    </xf>
    <xf numFmtId="0" fontId="10" fillId="7" borderId="16" xfId="1" applyFont="1" applyFill="1" applyBorder="1" applyAlignment="1">
      <alignment horizontal="center" vertical="center" wrapText="1"/>
    </xf>
    <xf numFmtId="0" fontId="0" fillId="6" borderId="37" xfId="0" applyFont="1" applyFill="1" applyBorder="1" applyAlignment="1">
      <alignment horizontal="center"/>
    </xf>
    <xf numFmtId="0" fontId="2" fillId="6" borderId="38" xfId="0" applyFont="1" applyFill="1" applyBorder="1" applyAlignment="1">
      <alignment horizontal="left"/>
    </xf>
    <xf numFmtId="0" fontId="0" fillId="3" borderId="12" xfId="0" applyFill="1" applyBorder="1" applyAlignment="1">
      <alignment horizontal="center" vertical="center"/>
    </xf>
    <xf numFmtId="0" fontId="10" fillId="4" borderId="6" xfId="0" applyFont="1" applyFill="1" applyBorder="1" applyAlignment="1">
      <alignment horizontal="center"/>
    </xf>
    <xf numFmtId="0" fontId="29" fillId="6" borderId="8" xfId="0" applyFont="1" applyFill="1" applyBorder="1" applyAlignment="1">
      <alignment horizontal="right"/>
    </xf>
    <xf numFmtId="0" fontId="5" fillId="4" borderId="5" xfId="1" applyFill="1" applyBorder="1" applyAlignment="1">
      <alignment horizontal="left"/>
    </xf>
    <xf numFmtId="0" fontId="5" fillId="6" borderId="5" xfId="1" applyFill="1" applyBorder="1" applyAlignment="1">
      <alignment horizontal="left"/>
    </xf>
    <xf numFmtId="0" fontId="2" fillId="4" borderId="51" xfId="0" applyFont="1" applyFill="1" applyBorder="1" applyAlignment="1">
      <alignment horizontal="right"/>
    </xf>
    <xf numFmtId="0" fontId="0" fillId="4" borderId="35" xfId="0" applyFont="1" applyFill="1" applyBorder="1" applyAlignment="1">
      <alignment horizontal="center"/>
    </xf>
    <xf numFmtId="0" fontId="5" fillId="4" borderId="7" xfId="1" applyFill="1" applyBorder="1" applyAlignment="1">
      <alignment horizontal="left"/>
    </xf>
    <xf numFmtId="0" fontId="0" fillId="4" borderId="63" xfId="0" applyFont="1" applyFill="1" applyBorder="1" applyAlignment="1">
      <alignment horizontal="center"/>
    </xf>
    <xf numFmtId="0" fontId="0" fillId="4" borderId="7" xfId="0" applyFont="1" applyFill="1" applyBorder="1" applyAlignment="1">
      <alignment horizontal="center"/>
    </xf>
    <xf numFmtId="0" fontId="20" fillId="4" borderId="7" xfId="0" applyFont="1" applyFill="1" applyBorder="1" applyAlignment="1">
      <alignment horizontal="center"/>
    </xf>
    <xf numFmtId="0" fontId="0" fillId="3" borderId="5" xfId="0" applyFill="1" applyBorder="1" applyAlignment="1">
      <alignment vertical="center"/>
    </xf>
    <xf numFmtId="0" fontId="0" fillId="3" borderId="6" xfId="0" applyFill="1" applyBorder="1" applyAlignment="1">
      <alignment vertical="center"/>
    </xf>
    <xf numFmtId="0" fontId="2" fillId="4" borderId="34" xfId="0" applyFont="1" applyFill="1" applyBorder="1" applyAlignment="1">
      <alignment horizontal="right"/>
    </xf>
    <xf numFmtId="0" fontId="5" fillId="4" borderId="51" xfId="1" applyFill="1" applyBorder="1" applyAlignment="1">
      <alignment horizontal="left" vertical="center"/>
    </xf>
    <xf numFmtId="0" fontId="0" fillId="7" borderId="29" xfId="0" applyFill="1" applyBorder="1" applyAlignment="1">
      <alignment horizontal="center" vertical="center" wrapText="1"/>
    </xf>
    <xf numFmtId="0" fontId="0" fillId="3" borderId="79" xfId="0" applyFill="1" applyBorder="1" applyAlignment="1">
      <alignment horizontal="center" vertical="center"/>
    </xf>
    <xf numFmtId="0" fontId="5" fillId="7" borderId="3" xfId="1" applyFill="1" applyBorder="1" applyAlignment="1">
      <alignment horizontal="left" vertical="center"/>
    </xf>
    <xf numFmtId="0" fontId="5" fillId="4" borderId="3" xfId="1" applyFill="1" applyBorder="1" applyAlignment="1">
      <alignment horizontal="left" vertical="center"/>
    </xf>
    <xf numFmtId="0" fontId="5" fillId="7" borderId="5" xfId="1" applyFill="1" applyBorder="1" applyAlignment="1">
      <alignment horizontal="left" vertical="center"/>
    </xf>
    <xf numFmtId="0" fontId="0" fillId="16" borderId="4" xfId="0" applyFill="1" applyBorder="1" applyAlignment="1">
      <alignment vertical="center"/>
    </xf>
    <xf numFmtId="0" fontId="0" fillId="3" borderId="4" xfId="0" applyFill="1" applyBorder="1" applyAlignment="1">
      <alignment vertical="center"/>
    </xf>
    <xf numFmtId="0" fontId="0" fillId="7" borderId="16" xfId="0" applyFill="1" applyBorder="1" applyAlignment="1">
      <alignment horizontal="left" vertical="center"/>
    </xf>
    <xf numFmtId="0" fontId="2" fillId="7" borderId="1" xfId="0" applyFont="1" applyFill="1" applyBorder="1"/>
    <xf numFmtId="0" fontId="2" fillId="7" borderId="0" xfId="0" applyFont="1" applyFill="1" applyBorder="1" applyAlignment="1">
      <alignment horizontal="right" vertical="center"/>
    </xf>
    <xf numFmtId="0" fontId="2" fillId="7" borderId="13" xfId="0" applyFont="1" applyFill="1" applyBorder="1" applyAlignment="1">
      <alignment horizontal="right" vertical="center"/>
    </xf>
    <xf numFmtId="0" fontId="5" fillId="7" borderId="5" xfId="1" applyFill="1" applyBorder="1"/>
    <xf numFmtId="0" fontId="2" fillId="0" borderId="0" xfId="0" applyFont="1" applyAlignment="1">
      <alignment horizontal="right"/>
    </xf>
    <xf numFmtId="0" fontId="5" fillId="4" borderId="3" xfId="1" applyFill="1" applyBorder="1"/>
    <xf numFmtId="0" fontId="0" fillId="4" borderId="50" xfId="0" applyFill="1" applyBorder="1" applyAlignment="1">
      <alignment horizontal="center" vertical="center"/>
    </xf>
    <xf numFmtId="0" fontId="5" fillId="4" borderId="51" xfId="1" applyFill="1" applyBorder="1"/>
    <xf numFmtId="0" fontId="2" fillId="4" borderId="50" xfId="0" applyFont="1" applyFill="1" applyBorder="1" applyAlignment="1">
      <alignment horizontal="right"/>
    </xf>
    <xf numFmtId="0" fontId="0" fillId="6" borderId="39" xfId="0" applyFont="1" applyFill="1" applyBorder="1" applyAlignment="1">
      <alignment horizontal="center"/>
    </xf>
    <xf numFmtId="0" fontId="5" fillId="6" borderId="38" xfId="1" applyFill="1" applyBorder="1" applyAlignment="1">
      <alignment horizontal="left" vertical="center"/>
    </xf>
    <xf numFmtId="0" fontId="5" fillId="7" borderId="3" xfId="1" applyFill="1" applyBorder="1" applyAlignment="1">
      <alignment horizontal="left"/>
    </xf>
    <xf numFmtId="0" fontId="5" fillId="6" borderId="3" xfId="1" applyFill="1" applyBorder="1" applyAlignment="1">
      <alignment horizontal="left"/>
    </xf>
    <xf numFmtId="0" fontId="10" fillId="7" borderId="30" xfId="1" applyFont="1" applyFill="1" applyBorder="1" applyAlignment="1">
      <alignment horizontal="center" vertical="center" wrapText="1"/>
    </xf>
    <xf numFmtId="0" fontId="5" fillId="4" borderId="3" xfId="1" applyFill="1" applyBorder="1" applyAlignment="1">
      <alignment horizontal="left"/>
    </xf>
    <xf numFmtId="0" fontId="5" fillId="0" borderId="29" xfId="1" applyBorder="1" applyAlignment="1">
      <alignment horizontal="left"/>
    </xf>
    <xf numFmtId="0" fontId="37" fillId="6" borderId="5" xfId="0" applyFont="1" applyFill="1" applyBorder="1" applyAlignment="1">
      <alignment horizontal="center"/>
    </xf>
    <xf numFmtId="0" fontId="37" fillId="6" borderId="36" xfId="0" applyFont="1" applyFill="1" applyBorder="1" applyAlignment="1">
      <alignment horizontal="center"/>
    </xf>
    <xf numFmtId="0" fontId="28" fillId="6" borderId="3" xfId="1" applyFont="1" applyFill="1" applyBorder="1"/>
    <xf numFmtId="0" fontId="28" fillId="6" borderId="37" xfId="1" applyFont="1" applyFill="1" applyBorder="1"/>
    <xf numFmtId="0" fontId="28" fillId="6" borderId="36" xfId="1" applyFont="1" applyFill="1" applyBorder="1"/>
    <xf numFmtId="0" fontId="28" fillId="6" borderId="5" xfId="1" applyFont="1" applyFill="1" applyBorder="1"/>
    <xf numFmtId="0" fontId="28" fillId="6" borderId="41" xfId="1" applyFont="1" applyFill="1" applyBorder="1"/>
    <xf numFmtId="0" fontId="2" fillId="7" borderId="6" xfId="0" applyFont="1" applyFill="1" applyBorder="1" applyAlignment="1">
      <alignment horizontal="right" vertical="center"/>
    </xf>
    <xf numFmtId="0" fontId="28" fillId="7" borderId="3" xfId="1" applyFont="1" applyFill="1" applyBorder="1"/>
    <xf numFmtId="0" fontId="28" fillId="7" borderId="5" xfId="1" applyFont="1" applyFill="1" applyBorder="1" applyAlignment="1">
      <alignment horizontal="center" vertical="center"/>
    </xf>
    <xf numFmtId="0" fontId="28" fillId="7" borderId="6" xfId="1" applyFont="1" applyFill="1" applyBorder="1" applyAlignment="1">
      <alignment horizontal="center" vertical="center"/>
    </xf>
    <xf numFmtId="0" fontId="28" fillId="4" borderId="5" xfId="1" applyFont="1" applyFill="1" applyBorder="1" applyAlignment="1">
      <alignment horizontal="center" vertical="center"/>
    </xf>
    <xf numFmtId="0" fontId="28" fillId="4" borderId="6" xfId="1" applyFont="1" applyFill="1" applyBorder="1" applyAlignment="1">
      <alignment horizontal="center" vertical="center"/>
    </xf>
    <xf numFmtId="0" fontId="28" fillId="7" borderId="3" xfId="1" applyFont="1" applyFill="1" applyBorder="1" applyAlignment="1">
      <alignment horizontal="left" vertical="center"/>
    </xf>
    <xf numFmtId="0" fontId="37" fillId="6" borderId="6" xfId="0" applyFont="1" applyFill="1" applyBorder="1" applyAlignment="1">
      <alignment horizontal="center" vertical="center"/>
    </xf>
    <xf numFmtId="0" fontId="37" fillId="7" borderId="6" xfId="0" applyFont="1" applyFill="1" applyBorder="1" applyAlignment="1">
      <alignment horizontal="center"/>
    </xf>
    <xf numFmtId="0" fontId="37" fillId="7" borderId="6" xfId="0" applyFont="1" applyFill="1" applyBorder="1" applyAlignment="1">
      <alignment horizontal="left" vertical="center" wrapText="1"/>
    </xf>
    <xf numFmtId="0" fontId="37" fillId="7" borderId="5" xfId="0" applyFont="1" applyFill="1" applyBorder="1" applyAlignment="1">
      <alignment horizontal="center" vertical="center"/>
    </xf>
    <xf numFmtId="0" fontId="37" fillId="6" borderId="6" xfId="0" applyFont="1" applyFill="1" applyBorder="1" applyAlignment="1">
      <alignment horizontal="center"/>
    </xf>
    <xf numFmtId="0" fontId="37" fillId="4" borderId="7" xfId="0" applyFont="1" applyFill="1" applyBorder="1" applyAlignment="1">
      <alignment horizontal="center"/>
    </xf>
    <xf numFmtId="0" fontId="37" fillId="4" borderId="11" xfId="0" applyFont="1" applyFill="1" applyBorder="1" applyAlignment="1">
      <alignment horizontal="center"/>
    </xf>
    <xf numFmtId="0" fontId="37" fillId="6" borderId="41" xfId="1" applyFont="1" applyFill="1" applyBorder="1" applyAlignment="1">
      <alignment horizontal="center" vertical="center"/>
    </xf>
    <xf numFmtId="0" fontId="37" fillId="7" borderId="16" xfId="1" applyFont="1" applyFill="1" applyBorder="1" applyAlignment="1">
      <alignment horizontal="center" vertical="center"/>
    </xf>
    <xf numFmtId="0" fontId="37" fillId="7" borderId="30" xfId="1" applyFont="1" applyFill="1" applyBorder="1" applyAlignment="1">
      <alignment horizontal="center" vertical="center"/>
    </xf>
    <xf numFmtId="0" fontId="37" fillId="4" borderId="6" xfId="1" applyFont="1" applyFill="1" applyBorder="1" applyAlignment="1">
      <alignment horizontal="center" vertical="center"/>
    </xf>
    <xf numFmtId="0" fontId="0" fillId="6" borderId="6" xfId="0" applyFill="1" applyBorder="1"/>
    <xf numFmtId="0" fontId="2" fillId="7" borderId="7" xfId="0" applyFont="1" applyFill="1" applyBorder="1" applyAlignment="1">
      <alignment horizontal="left" vertical="center"/>
    </xf>
    <xf numFmtId="0" fontId="2" fillId="6" borderId="7" xfId="0" applyFont="1" applyFill="1" applyBorder="1" applyAlignment="1">
      <alignment horizontal="right" vertical="center"/>
    </xf>
    <xf numFmtId="0" fontId="2" fillId="6" borderId="11" xfId="0" applyFont="1" applyFill="1" applyBorder="1" applyAlignment="1">
      <alignment horizontal="right" vertical="center"/>
    </xf>
    <xf numFmtId="0" fontId="0" fillId="0" borderId="4" xfId="0" applyFill="1" applyBorder="1" applyAlignment="1">
      <alignment vertical="center" wrapText="1"/>
    </xf>
    <xf numFmtId="0" fontId="29" fillId="6" borderId="3" xfId="0" applyFont="1" applyFill="1" applyBorder="1" applyAlignment="1">
      <alignment horizontal="left"/>
    </xf>
    <xf numFmtId="0" fontId="2" fillId="7" borderId="10" xfId="0" applyFont="1" applyFill="1" applyBorder="1" applyAlignment="1">
      <alignment horizontal="left" vertical="center"/>
    </xf>
    <xf numFmtId="0" fontId="2" fillId="6" borderId="5" xfId="0" applyFont="1" applyFill="1" applyBorder="1"/>
    <xf numFmtId="0" fontId="0" fillId="6" borderId="38" xfId="0" applyFill="1" applyBorder="1"/>
    <xf numFmtId="0" fontId="35" fillId="6" borderId="36" xfId="0" applyFont="1" applyFill="1" applyBorder="1" applyAlignment="1">
      <alignment horizontal="right"/>
    </xf>
    <xf numFmtId="0" fontId="35" fillId="6" borderId="36" xfId="0" applyFont="1" applyFill="1" applyBorder="1" applyAlignment="1">
      <alignment horizontal="right" vertical="center"/>
    </xf>
    <xf numFmtId="0" fontId="35" fillId="6" borderId="37" xfId="0" applyFont="1" applyFill="1" applyBorder="1" applyAlignment="1">
      <alignment horizontal="right" vertical="center"/>
    </xf>
    <xf numFmtId="0" fontId="35" fillId="6" borderId="5" xfId="0" applyFont="1" applyFill="1" applyBorder="1" applyAlignment="1">
      <alignment horizontal="right"/>
    </xf>
    <xf numFmtId="0" fontId="2" fillId="0" borderId="16" xfId="0" applyFont="1" applyFill="1" applyBorder="1" applyAlignment="1">
      <alignment horizontal="left" vertical="center"/>
    </xf>
    <xf numFmtId="0" fontId="2" fillId="0" borderId="31" xfId="0" applyFont="1" applyFill="1" applyBorder="1" applyAlignment="1">
      <alignment horizontal="left" vertical="center"/>
    </xf>
    <xf numFmtId="0" fontId="0" fillId="0" borderId="30" xfId="0" applyFill="1" applyBorder="1" applyAlignment="1">
      <alignment horizontal="left" vertical="center"/>
    </xf>
    <xf numFmtId="0" fontId="0" fillId="16" borderId="80" xfId="0" applyFill="1" applyBorder="1" applyAlignment="1">
      <alignment horizontal="center" vertical="center"/>
    </xf>
    <xf numFmtId="0" fontId="0" fillId="16" borderId="81" xfId="0" applyFill="1" applyBorder="1" applyAlignment="1">
      <alignment horizontal="center" vertical="center"/>
    </xf>
    <xf numFmtId="0" fontId="5" fillId="6" borderId="36" xfId="1" applyFill="1" applyBorder="1"/>
    <xf numFmtId="0" fontId="5" fillId="6" borderId="37" xfId="1" applyFill="1" applyBorder="1"/>
    <xf numFmtId="0" fontId="5" fillId="6" borderId="39" xfId="1" applyFill="1" applyBorder="1"/>
    <xf numFmtId="0" fontId="5" fillId="6" borderId="41" xfId="1" applyFill="1" applyBorder="1"/>
    <xf numFmtId="0" fontId="5" fillId="6" borderId="36" xfId="1" applyFill="1" applyBorder="1" applyAlignment="1">
      <alignment horizontal="left" vertical="center"/>
    </xf>
    <xf numFmtId="0" fontId="5" fillId="6" borderId="5" xfId="1" applyFill="1" applyBorder="1" applyAlignment="1">
      <alignment horizontal="left" vertical="center"/>
    </xf>
    <xf numFmtId="0" fontId="5" fillId="6" borderId="37" xfId="1" applyFill="1" applyBorder="1" applyAlignment="1">
      <alignment horizontal="left" vertical="center"/>
    </xf>
    <xf numFmtId="0" fontId="5" fillId="6" borderId="41" xfId="1" applyFill="1" applyBorder="1" applyAlignment="1">
      <alignment horizontal="left" vertical="center"/>
    </xf>
    <xf numFmtId="0" fontId="37" fillId="6" borderId="5" xfId="0" applyFont="1" applyFill="1" applyBorder="1" applyAlignment="1">
      <alignment horizontal="center" vertical="center"/>
    </xf>
    <xf numFmtId="0" fontId="48" fillId="3" borderId="4" xfId="0" applyFont="1" applyFill="1" applyBorder="1" applyAlignment="1">
      <alignment horizontal="center" vertical="center"/>
    </xf>
    <xf numFmtId="0" fontId="0" fillId="6" borderId="10" xfId="0" applyFill="1" applyBorder="1"/>
    <xf numFmtId="0" fontId="0" fillId="2" borderId="82" xfId="0" applyFill="1" applyBorder="1" applyAlignment="1">
      <alignment horizontal="center" vertical="center"/>
    </xf>
    <xf numFmtId="0" fontId="49" fillId="2" borderId="83" xfId="0" applyFont="1" applyFill="1" applyBorder="1" applyAlignment="1">
      <alignment horizontal="center" vertical="center"/>
    </xf>
    <xf numFmtId="0" fontId="49" fillId="2" borderId="9" xfId="0" applyFont="1" applyFill="1" applyBorder="1" applyAlignment="1">
      <alignment horizontal="center" vertical="center"/>
    </xf>
    <xf numFmtId="0" fontId="49" fillId="2" borderId="82" xfId="0" applyFont="1" applyFill="1" applyBorder="1" applyAlignment="1">
      <alignment horizontal="center" vertical="center"/>
    </xf>
    <xf numFmtId="0" fontId="50" fillId="7" borderId="1" xfId="0" applyFont="1" applyFill="1" applyBorder="1"/>
    <xf numFmtId="0" fontId="0" fillId="7" borderId="10" xfId="0" applyFill="1" applyBorder="1"/>
    <xf numFmtId="0" fontId="0" fillId="4" borderId="5" xfId="0" applyFill="1" applyBorder="1" applyAlignment="1">
      <alignment horizontal="right"/>
    </xf>
    <xf numFmtId="0" fontId="40" fillId="4" borderId="0" xfId="0" applyFont="1" applyFill="1" applyAlignment="1">
      <alignment horizontal="center" vertical="center"/>
    </xf>
    <xf numFmtId="0" fontId="0" fillId="7" borderId="7" xfId="0" applyFill="1" applyBorder="1"/>
    <xf numFmtId="0" fontId="0" fillId="7" borderId="5" xfId="0" applyFill="1" applyBorder="1" applyAlignment="1">
      <alignment horizontal="right"/>
    </xf>
    <xf numFmtId="0" fontId="40" fillId="7" borderId="0" xfId="0" applyFont="1" applyFill="1" applyAlignment="1">
      <alignment horizontal="center" vertical="center"/>
    </xf>
    <xf numFmtId="0" fontId="51" fillId="7" borderId="5" xfId="0" applyFont="1" applyFill="1" applyBorder="1" applyAlignment="1">
      <alignment horizontal="right"/>
    </xf>
    <xf numFmtId="0" fontId="9" fillId="4" borderId="5" xfId="0" applyFont="1" applyFill="1" applyBorder="1" applyAlignment="1">
      <alignment horizontal="right"/>
    </xf>
    <xf numFmtId="0" fontId="51" fillId="4" borderId="5" xfId="0" applyFont="1" applyFill="1" applyBorder="1" applyAlignment="1">
      <alignment horizontal="right"/>
    </xf>
    <xf numFmtId="0" fontId="50" fillId="6" borderId="3" xfId="0" applyFont="1" applyFill="1" applyBorder="1"/>
    <xf numFmtId="0" fontId="40" fillId="4" borderId="5" xfId="0" applyFont="1" applyFill="1" applyBorder="1" applyAlignment="1">
      <alignment horizontal="center" vertical="center"/>
    </xf>
    <xf numFmtId="0" fontId="0" fillId="6" borderId="5" xfId="0" applyFill="1" applyBorder="1" applyAlignment="1">
      <alignment horizontal="right"/>
    </xf>
    <xf numFmtId="0" fontId="40" fillId="6" borderId="5" xfId="0" applyFont="1" applyFill="1" applyBorder="1" applyAlignment="1">
      <alignment horizontal="center" vertical="center"/>
    </xf>
    <xf numFmtId="0" fontId="51" fillId="6" borderId="5" xfId="0" applyFont="1" applyFill="1" applyBorder="1" applyAlignment="1">
      <alignment horizontal="right"/>
    </xf>
    <xf numFmtId="0" fontId="50" fillId="7" borderId="3" xfId="0" applyFont="1" applyFill="1" applyBorder="1"/>
    <xf numFmtId="0" fontId="40" fillId="7" borderId="5" xfId="0" applyFont="1" applyFill="1" applyBorder="1" applyAlignment="1">
      <alignment horizontal="center" vertical="center"/>
    </xf>
    <xf numFmtId="0" fontId="25" fillId="4" borderId="5" xfId="0" applyFont="1" applyFill="1" applyBorder="1" applyAlignment="1">
      <alignment horizontal="center" vertical="center"/>
    </xf>
    <xf numFmtId="0" fontId="51" fillId="4" borderId="6" xfId="0" applyFont="1" applyFill="1" applyBorder="1" applyAlignment="1">
      <alignment horizontal="right"/>
    </xf>
    <xf numFmtId="0" fontId="40" fillId="4" borderId="6" xfId="0" applyFont="1" applyFill="1" applyBorder="1" applyAlignment="1">
      <alignment horizontal="center" vertical="center"/>
    </xf>
    <xf numFmtId="0" fontId="0" fillId="7" borderId="11" xfId="0" applyFill="1" applyBorder="1"/>
    <xf numFmtId="0" fontId="50" fillId="6" borderId="1" xfId="0" applyFont="1" applyFill="1" applyBorder="1"/>
    <xf numFmtId="0" fontId="0" fillId="6" borderId="7" xfId="0" applyFill="1" applyBorder="1"/>
    <xf numFmtId="0" fontId="25" fillId="6" borderId="0" xfId="0" applyFont="1" applyFill="1" applyAlignment="1">
      <alignment horizontal="center" vertical="center"/>
    </xf>
    <xf numFmtId="0" fontId="40" fillId="6" borderId="0" xfId="0" applyFont="1" applyFill="1" applyAlignment="1">
      <alignment horizontal="center" vertical="center"/>
    </xf>
    <xf numFmtId="0" fontId="40" fillId="4" borderId="13" xfId="0" applyFont="1" applyFill="1" applyBorder="1" applyAlignment="1">
      <alignment horizontal="center" vertical="center"/>
    </xf>
    <xf numFmtId="0" fontId="0" fillId="6" borderId="11" xfId="0" applyFill="1" applyBorder="1"/>
    <xf numFmtId="0" fontId="25" fillId="7" borderId="5" xfId="0" applyFont="1" applyFill="1" applyBorder="1" applyAlignment="1">
      <alignment horizontal="center" vertical="center"/>
    </xf>
    <xf numFmtId="0" fontId="51" fillId="0" borderId="0" xfId="0" applyFont="1" applyAlignment="1">
      <alignment horizontal="right"/>
    </xf>
    <xf numFmtId="0" fontId="9" fillId="7" borderId="5" xfId="0" applyFont="1" applyFill="1" applyBorder="1" applyAlignment="1">
      <alignment horizontal="right"/>
    </xf>
    <xf numFmtId="0" fontId="51" fillId="7" borderId="6" xfId="0" applyFont="1" applyFill="1" applyBorder="1" applyAlignment="1">
      <alignment horizontal="right"/>
    </xf>
    <xf numFmtId="0" fontId="40" fillId="7" borderId="6" xfId="0" applyFont="1" applyFill="1" applyBorder="1" applyAlignment="1">
      <alignment horizontal="center" vertical="center"/>
    </xf>
    <xf numFmtId="0" fontId="0" fillId="6" borderId="1" xfId="0" applyFill="1" applyBorder="1"/>
    <xf numFmtId="0" fontId="0" fillId="4" borderId="7" xfId="0" applyFill="1" applyBorder="1" applyAlignment="1">
      <alignment horizontal="right"/>
    </xf>
    <xf numFmtId="0" fontId="0" fillId="6" borderId="7" xfId="0" applyFill="1" applyBorder="1" applyAlignment="1">
      <alignment horizontal="right"/>
    </xf>
    <xf numFmtId="0" fontId="25" fillId="4" borderId="0" xfId="0" applyFont="1" applyFill="1" applyAlignment="1">
      <alignment horizontal="center" vertical="center"/>
    </xf>
    <xf numFmtId="0" fontId="51" fillId="6" borderId="0" xfId="0" applyFont="1" applyFill="1" applyAlignment="1">
      <alignment horizontal="right"/>
    </xf>
    <xf numFmtId="0" fontId="51" fillId="6" borderId="7" xfId="0" applyFont="1" applyFill="1" applyBorder="1" applyAlignment="1">
      <alignment horizontal="right"/>
    </xf>
    <xf numFmtId="0" fontId="51" fillId="4" borderId="11" xfId="0" applyFont="1" applyFill="1" applyBorder="1" applyAlignment="1">
      <alignment horizontal="right"/>
    </xf>
    <xf numFmtId="0" fontId="0" fillId="7" borderId="4" xfId="0" applyFill="1" applyBorder="1" applyAlignment="1">
      <alignment vertical="center"/>
    </xf>
    <xf numFmtId="0" fontId="0" fillId="7" borderId="3" xfId="0" applyFill="1" applyBorder="1" applyAlignment="1">
      <alignment vertical="center"/>
    </xf>
    <xf numFmtId="0" fontId="52" fillId="0" borderId="0" xfId="0" applyFont="1"/>
    <xf numFmtId="0" fontId="4" fillId="7" borderId="75" xfId="0" applyFont="1" applyFill="1" applyBorder="1"/>
    <xf numFmtId="0" fontId="0" fillId="4" borderId="0" xfId="0" applyFill="1" applyAlignment="1">
      <alignment horizontal="right"/>
    </xf>
    <xf numFmtId="0" fontId="40" fillId="6" borderId="5" xfId="0" applyNumberFormat="1" applyFont="1" applyFill="1" applyBorder="1" applyAlignment="1">
      <alignment horizontal="center" vertical="center"/>
    </xf>
    <xf numFmtId="0" fontId="40" fillId="4" borderId="0" xfId="0" applyNumberFormat="1" applyFont="1" applyFill="1" applyAlignment="1">
      <alignment horizontal="center" vertical="center"/>
    </xf>
    <xf numFmtId="0" fontId="5" fillId="6" borderId="1" xfId="1" applyFill="1" applyBorder="1"/>
    <xf numFmtId="0" fontId="47" fillId="6" borderId="27" xfId="0" applyFont="1" applyFill="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4" fillId="0" borderId="8" xfId="0" applyFont="1" applyBorder="1" applyAlignment="1">
      <alignment vertical="center" wrapText="1"/>
    </xf>
    <xf numFmtId="0" fontId="47" fillId="6" borderId="4" xfId="0" applyFont="1" applyFill="1" applyBorder="1" applyAlignment="1">
      <alignment vertical="center" wrapText="1"/>
    </xf>
    <xf numFmtId="0" fontId="4" fillId="0" borderId="12" xfId="0" applyFont="1" applyBorder="1" applyAlignment="1">
      <alignment vertical="center" wrapText="1"/>
    </xf>
    <xf numFmtId="0" fontId="45" fillId="7" borderId="6" xfId="0" applyFont="1" applyFill="1" applyBorder="1" applyAlignment="1">
      <alignment vertical="center" wrapText="1"/>
    </xf>
    <xf numFmtId="49" fontId="4" fillId="0" borderId="0" xfId="0" applyNumberFormat="1" applyFont="1" applyAlignment="1">
      <alignment horizontal="left" vertical="center" wrapText="1"/>
    </xf>
    <xf numFmtId="49" fontId="4" fillId="0" borderId="0" xfId="0" applyNumberFormat="1" applyFont="1" applyAlignment="1">
      <alignment vertical="center" wrapText="1"/>
    </xf>
    <xf numFmtId="0" fontId="0" fillId="15" borderId="0" xfId="0" applyFill="1"/>
    <xf numFmtId="0" fontId="4" fillId="3" borderId="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8"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3" xfId="0" applyFont="1" applyFill="1" applyBorder="1"/>
    <xf numFmtId="0" fontId="4" fillId="3" borderId="0" xfId="0" applyFont="1" applyFill="1" applyBorder="1" applyAlignment="1">
      <alignment horizontal="left"/>
    </xf>
    <xf numFmtId="0" fontId="4" fillId="3" borderId="6" xfId="0" applyFont="1" applyFill="1" applyBorder="1"/>
    <xf numFmtId="0" fontId="4" fillId="3" borderId="7" xfId="0" applyFont="1" applyFill="1" applyBorder="1" applyAlignment="1">
      <alignment horizontal="left"/>
    </xf>
    <xf numFmtId="0" fontId="4" fillId="0" borderId="74" xfId="0" applyFont="1" applyBorder="1"/>
    <xf numFmtId="0" fontId="4" fillId="7" borderId="74" xfId="0" applyFont="1" applyFill="1" applyBorder="1"/>
    <xf numFmtId="0" fontId="4" fillId="3" borderId="4" xfId="0" applyFont="1" applyFill="1" applyBorder="1" applyAlignment="1">
      <alignment horizontal="center" vertical="center"/>
    </xf>
    <xf numFmtId="0" fontId="4" fillId="15" borderId="4" xfId="0" applyFont="1" applyFill="1" applyBorder="1" applyAlignment="1">
      <alignment horizontal="center" vertical="center"/>
    </xf>
    <xf numFmtId="0" fontId="4" fillId="3" borderId="4" xfId="0" applyNumberFormat="1" applyFont="1" applyFill="1" applyBorder="1" applyAlignment="1">
      <alignment horizontal="center" vertical="center"/>
    </xf>
    <xf numFmtId="0" fontId="4" fillId="3" borderId="5" xfId="0" applyFont="1" applyFill="1" applyBorder="1"/>
    <xf numFmtId="0" fontId="4" fillId="3" borderId="79" xfId="0" applyFont="1" applyFill="1" applyBorder="1"/>
    <xf numFmtId="0" fontId="4" fillId="0" borderId="45" xfId="0" applyFont="1" applyBorder="1"/>
    <xf numFmtId="0" fontId="4" fillId="3" borderId="84" xfId="0" applyFont="1" applyFill="1" applyBorder="1"/>
    <xf numFmtId="0" fontId="4" fillId="0" borderId="12" xfId="0" applyFont="1" applyBorder="1"/>
    <xf numFmtId="0" fontId="4" fillId="3" borderId="11" xfId="0" applyFont="1" applyFill="1" applyBorder="1" applyAlignment="1">
      <alignment horizontal="left"/>
    </xf>
    <xf numFmtId="0" fontId="47" fillId="6" borderId="2" xfId="0" applyFont="1" applyFill="1" applyBorder="1"/>
    <xf numFmtId="0" fontId="47" fillId="6" borderId="4" xfId="0" applyFont="1" applyFill="1" applyBorder="1" applyAlignment="1">
      <alignment horizontal="center" vertical="center"/>
    </xf>
    <xf numFmtId="0" fontId="47" fillId="6" borderId="10" xfId="0" applyFont="1" applyFill="1" applyBorder="1" applyAlignment="1">
      <alignment horizontal="center" vertical="center"/>
    </xf>
    <xf numFmtId="0" fontId="4" fillId="0" borderId="6" xfId="0" applyFont="1" applyBorder="1"/>
    <xf numFmtId="0" fontId="4" fillId="0" borderId="73" xfId="0" applyFont="1" applyBorder="1"/>
    <xf numFmtId="0" fontId="0" fillId="0" borderId="0" xfId="0" applyFill="1"/>
    <xf numFmtId="0" fontId="0" fillId="0" borderId="0" xfId="0" applyFont="1"/>
    <xf numFmtId="0" fontId="47" fillId="0" borderId="0" xfId="0" applyFont="1"/>
    <xf numFmtId="0" fontId="4" fillId="3" borderId="5" xfId="0" applyFont="1" applyFill="1" applyBorder="1" applyAlignment="1">
      <alignment horizontal="left"/>
    </xf>
    <xf numFmtId="0" fontId="4" fillId="3" borderId="6" xfId="0" applyFont="1" applyFill="1" applyBorder="1" applyAlignment="1">
      <alignment horizontal="left"/>
    </xf>
    <xf numFmtId="0" fontId="57" fillId="19" borderId="86" xfId="2" applyFont="1"/>
    <xf numFmtId="0" fontId="56" fillId="0" borderId="87" xfId="2" applyFill="1" applyBorder="1" applyAlignment="1">
      <alignment horizontal="right" vertical="top"/>
    </xf>
    <xf numFmtId="0" fontId="56" fillId="0" borderId="88" xfId="2" applyFill="1" applyBorder="1" applyAlignment="1">
      <alignment horizontal="right" vertical="top"/>
    </xf>
    <xf numFmtId="0" fontId="56" fillId="0" borderId="89" xfId="2" applyFill="1" applyBorder="1" applyAlignment="1">
      <alignment horizontal="right" vertical="top"/>
    </xf>
    <xf numFmtId="0" fontId="56" fillId="0" borderId="90" xfId="2" applyFill="1" applyBorder="1" applyAlignment="1">
      <alignment horizontal="right" vertical="top"/>
    </xf>
    <xf numFmtId="0" fontId="58" fillId="19" borderId="86" xfId="2" applyFont="1" applyAlignment="1">
      <alignment horizontal="center" vertical="center" wrapText="1"/>
    </xf>
    <xf numFmtId="0" fontId="58" fillId="19" borderId="86" xfId="2" applyFont="1" applyAlignment="1">
      <alignment horizontal="center" vertical="center"/>
    </xf>
    <xf numFmtId="0" fontId="4" fillId="0" borderId="68" xfId="0" applyFont="1" applyBorder="1"/>
    <xf numFmtId="0" fontId="4" fillId="0" borderId="91" xfId="0" applyFont="1" applyBorder="1"/>
    <xf numFmtId="0" fontId="4" fillId="0" borderId="92" xfId="0" applyFont="1" applyBorder="1"/>
    <xf numFmtId="0" fontId="4" fillId="0" borderId="93" xfId="0" applyFont="1" applyBorder="1"/>
    <xf numFmtId="0" fontId="4" fillId="0" borderId="95" xfId="0" applyFont="1" applyBorder="1"/>
    <xf numFmtId="0" fontId="4" fillId="0" borderId="44" xfId="0" applyFont="1" applyBorder="1"/>
    <xf numFmtId="0" fontId="4" fillId="0" borderId="96" xfId="0" applyFont="1" applyBorder="1"/>
    <xf numFmtId="0" fontId="4" fillId="0" borderId="97" xfId="0" applyFont="1" applyBorder="1"/>
    <xf numFmtId="0" fontId="4" fillId="0" borderId="98" xfId="0" applyFont="1" applyBorder="1"/>
    <xf numFmtId="0" fontId="4" fillId="0" borderId="99" xfId="0" applyFont="1" applyBorder="1"/>
    <xf numFmtId="0" fontId="4" fillId="0" borderId="101" xfId="0" applyFont="1" applyBorder="1"/>
    <xf numFmtId="0" fontId="4" fillId="0" borderId="102" xfId="0" applyFont="1" applyBorder="1"/>
    <xf numFmtId="0" fontId="4" fillId="0" borderId="100" xfId="0" applyFont="1" applyBorder="1" applyAlignment="1">
      <alignment horizontal="center" vertical="center" wrapText="1"/>
    </xf>
    <xf numFmtId="0" fontId="4" fillId="0" borderId="97" xfId="0" applyFont="1" applyBorder="1" applyAlignment="1">
      <alignment horizontal="center" vertical="center" wrapText="1"/>
    </xf>
    <xf numFmtId="49" fontId="4" fillId="0" borderId="93" xfId="0" applyNumberFormat="1" applyFont="1" applyBorder="1"/>
    <xf numFmtId="0" fontId="47" fillId="0" borderId="62" xfId="0" applyFont="1" applyBorder="1"/>
    <xf numFmtId="0" fontId="4" fillId="0" borderId="103" xfId="0" applyFont="1" applyBorder="1"/>
    <xf numFmtId="0" fontId="47" fillId="0" borderId="103" xfId="0" applyFont="1" applyBorder="1"/>
    <xf numFmtId="0" fontId="4" fillId="0" borderId="62" xfId="0" applyFont="1" applyBorder="1"/>
    <xf numFmtId="0" fontId="4" fillId="0" borderId="104" xfId="0" applyFont="1" applyBorder="1"/>
    <xf numFmtId="0" fontId="4" fillId="0" borderId="105" xfId="0" applyFont="1" applyBorder="1"/>
    <xf numFmtId="0" fontId="45" fillId="7" borderId="16" xfId="0" applyFont="1" applyFill="1" applyBorder="1" applyAlignment="1">
      <alignment vertical="center" wrapText="1"/>
    </xf>
    <xf numFmtId="0" fontId="45" fillId="7" borderId="31" xfId="0" applyFont="1" applyFill="1" applyBorder="1" applyAlignment="1">
      <alignment vertical="center" wrapText="1"/>
    </xf>
    <xf numFmtId="0" fontId="4" fillId="0" borderId="30" xfId="0" applyFont="1" applyBorder="1"/>
    <xf numFmtId="0" fontId="4" fillId="0" borderId="31" xfId="0" applyFont="1" applyBorder="1" applyAlignment="1">
      <alignment vertical="center" wrapText="1"/>
    </xf>
    <xf numFmtId="0" fontId="4" fillId="0" borderId="106" xfId="0" applyFont="1" applyBorder="1"/>
    <xf numFmtId="0" fontId="4" fillId="0" borderId="16" xfId="0" applyFont="1" applyBorder="1" applyAlignment="1">
      <alignment vertical="center" wrapText="1"/>
    </xf>
    <xf numFmtId="0" fontId="4" fillId="0" borderId="30" xfId="0" applyFont="1" applyBorder="1" applyAlignment="1">
      <alignment vertical="center" wrapText="1"/>
    </xf>
    <xf numFmtId="0" fontId="4" fillId="0" borderId="29" xfId="0" applyFont="1" applyBorder="1" applyAlignment="1">
      <alignment vertical="center" wrapText="1"/>
    </xf>
    <xf numFmtId="0" fontId="45" fillId="7" borderId="3" xfId="0" applyFont="1" applyFill="1" applyBorder="1" applyAlignment="1">
      <alignment vertical="center" wrapText="1"/>
    </xf>
    <xf numFmtId="0" fontId="4" fillId="0" borderId="109" xfId="0" applyFont="1" applyBorder="1"/>
    <xf numFmtId="0" fontId="45" fillId="4" borderId="31" xfId="1" applyFont="1" applyFill="1" applyBorder="1" applyAlignment="1">
      <alignment horizontal="right" vertical="center" wrapText="1"/>
    </xf>
    <xf numFmtId="0" fontId="4" fillId="4" borderId="31" xfId="0" applyFont="1" applyFill="1" applyBorder="1" applyAlignment="1">
      <alignment horizontal="right" vertical="center" wrapText="1"/>
    </xf>
    <xf numFmtId="0" fontId="4" fillId="4" borderId="15" xfId="0" applyFont="1" applyFill="1" applyBorder="1" applyAlignment="1">
      <alignment horizontal="right"/>
    </xf>
    <xf numFmtId="0" fontId="4" fillId="4" borderId="31" xfId="0" applyFont="1" applyFill="1" applyBorder="1" applyAlignment="1">
      <alignment horizontal="right"/>
    </xf>
    <xf numFmtId="0" fontId="47" fillId="6" borderId="4" xfId="0" applyFont="1" applyFill="1" applyBorder="1"/>
    <xf numFmtId="0" fontId="47" fillId="0" borderId="29" xfId="0" applyFont="1" applyBorder="1"/>
    <xf numFmtId="0" fontId="59" fillId="0" borderId="31" xfId="0" applyFont="1" applyBorder="1" applyAlignment="1">
      <alignment horizontal="right" vertical="center" wrapText="1"/>
    </xf>
    <xf numFmtId="0" fontId="47" fillId="6" borderId="76" xfId="0" applyFont="1" applyFill="1" applyBorder="1" applyAlignment="1">
      <alignment horizontal="center" vertical="center"/>
    </xf>
    <xf numFmtId="0" fontId="4" fillId="4" borderId="31" xfId="0" applyFont="1" applyFill="1" applyBorder="1" applyAlignment="1">
      <alignment horizontal="right" vertical="center"/>
    </xf>
    <xf numFmtId="0" fontId="46" fillId="4" borderId="31" xfId="1" applyFont="1" applyFill="1" applyBorder="1" applyAlignment="1">
      <alignment horizontal="right" vertical="center"/>
    </xf>
    <xf numFmtId="0" fontId="59" fillId="0" borderId="29" xfId="0" applyFont="1" applyBorder="1" applyAlignment="1">
      <alignment horizontal="right" vertical="center"/>
    </xf>
    <xf numFmtId="0" fontId="59" fillId="0" borderId="31" xfId="0" applyFont="1" applyBorder="1" applyAlignment="1">
      <alignment horizontal="right" vertical="center"/>
    </xf>
    <xf numFmtId="0" fontId="59" fillId="0" borderId="15" xfId="0" applyFont="1" applyBorder="1" applyAlignment="1">
      <alignment horizontal="right" vertical="center"/>
    </xf>
    <xf numFmtId="0" fontId="59" fillId="0" borderId="31" xfId="0" applyFont="1" applyFill="1" applyBorder="1" applyAlignment="1">
      <alignment horizontal="right" vertical="center"/>
    </xf>
    <xf numFmtId="0" fontId="4" fillId="7" borderId="0" xfId="0" applyFont="1" applyFill="1" applyAlignment="1"/>
    <xf numFmtId="0" fontId="4" fillId="7" borderId="110" xfId="0" applyFont="1" applyFill="1" applyBorder="1" applyAlignment="1"/>
    <xf numFmtId="0" fontId="4" fillId="0" borderId="111" xfId="0" applyFont="1" applyBorder="1" applyAlignment="1"/>
    <xf numFmtId="0" fontId="4" fillId="0" borderId="0" xfId="0" applyFont="1" applyAlignment="1"/>
    <xf numFmtId="0" fontId="45" fillId="4" borderId="31" xfId="0" applyFont="1" applyFill="1" applyBorder="1" applyAlignment="1">
      <alignment horizontal="right" vertical="center"/>
    </xf>
    <xf numFmtId="0" fontId="45" fillId="4" borderId="12" xfId="0" applyFont="1" applyFill="1" applyBorder="1" applyAlignment="1">
      <alignment horizontal="right" vertical="center"/>
    </xf>
    <xf numFmtId="0" fontId="60" fillId="0" borderId="0" xfId="0" applyFont="1" applyFill="1" applyBorder="1" applyAlignment="1">
      <alignment horizontal="center" vertical="center" wrapText="1"/>
    </xf>
    <xf numFmtId="0" fontId="4" fillId="0" borderId="0" xfId="0" applyFont="1" applyFill="1"/>
    <xf numFmtId="0" fontId="4" fillId="0" borderId="94" xfId="0" applyFont="1" applyFill="1" applyBorder="1"/>
    <xf numFmtId="0" fontId="47" fillId="0" borderId="45" xfId="0" applyFont="1" applyBorder="1"/>
    <xf numFmtId="0" fontId="47" fillId="4" borderId="45" xfId="0" applyFont="1" applyFill="1" applyBorder="1"/>
    <xf numFmtId="0" fontId="47" fillId="0" borderId="12" xfId="0" applyFont="1" applyFill="1" applyBorder="1"/>
    <xf numFmtId="0" fontId="47" fillId="6" borderId="10" xfId="0" applyFont="1" applyFill="1" applyBorder="1"/>
    <xf numFmtId="0" fontId="47" fillId="6" borderId="66" xfId="0" applyFont="1" applyFill="1" applyBorder="1" applyAlignment="1">
      <alignment horizontal="center"/>
    </xf>
    <xf numFmtId="0" fontId="4" fillId="0" borderId="67" xfId="0" applyFont="1" applyBorder="1"/>
    <xf numFmtId="0" fontId="4" fillId="0" borderId="112" xfId="0" applyFont="1" applyBorder="1"/>
    <xf numFmtId="0" fontId="4" fillId="0" borderId="16" xfId="0" applyFont="1" applyBorder="1"/>
    <xf numFmtId="0" fontId="4" fillId="0" borderId="101" xfId="0" applyFont="1" applyFill="1" applyBorder="1"/>
    <xf numFmtId="0" fontId="4" fillId="0" borderId="65" xfId="0" applyFont="1" applyFill="1" applyBorder="1"/>
    <xf numFmtId="0" fontId="4" fillId="0" borderId="105" xfId="0" applyFont="1" applyFill="1" applyBorder="1" applyAlignment="1">
      <alignment horizontal="right" vertical="center" wrapText="1"/>
    </xf>
    <xf numFmtId="0" fontId="4" fillId="0" borderId="108" xfId="0" applyFont="1" applyBorder="1"/>
    <xf numFmtId="0" fontId="4" fillId="0" borderId="114" xfId="0" applyFont="1" applyBorder="1"/>
    <xf numFmtId="0" fontId="4" fillId="0" borderId="115" xfId="0" applyFont="1" applyBorder="1"/>
    <xf numFmtId="0" fontId="4" fillId="0" borderId="64" xfId="0" applyFont="1" applyBorder="1"/>
    <xf numFmtId="0" fontId="4" fillId="0" borderId="43" xfId="0" applyFont="1" applyBorder="1"/>
    <xf numFmtId="0" fontId="4" fillId="0" borderId="45" xfId="0" applyFont="1" applyBorder="1" applyAlignment="1"/>
    <xf numFmtId="0" fontId="4" fillId="0" borderId="43" xfId="0" applyFont="1" applyBorder="1" applyAlignment="1"/>
    <xf numFmtId="0" fontId="4" fillId="0" borderId="101" xfId="0" applyFont="1" applyBorder="1" applyAlignment="1"/>
    <xf numFmtId="0" fontId="4" fillId="0" borderId="67" xfId="0" applyFont="1" applyBorder="1" applyAlignment="1"/>
    <xf numFmtId="0" fontId="4" fillId="0" borderId="65" xfId="0" applyFont="1" applyBorder="1" applyAlignment="1"/>
    <xf numFmtId="0" fontId="4" fillId="0" borderId="113" xfId="0" applyFont="1" applyBorder="1" applyAlignment="1"/>
    <xf numFmtId="0" fontId="4" fillId="0" borderId="5" xfId="0" applyFont="1" applyBorder="1"/>
    <xf numFmtId="0" fontId="4" fillId="0" borderId="4" xfId="0" applyFont="1" applyBorder="1" applyAlignment="1">
      <alignment vertical="center" wrapText="1"/>
    </xf>
    <xf numFmtId="0" fontId="58" fillId="19" borderId="4" xfId="2" applyFont="1" applyBorder="1" applyAlignment="1">
      <alignment horizontal="center" vertical="center"/>
    </xf>
    <xf numFmtId="0" fontId="4" fillId="3" borderId="4" xfId="0" applyNumberFormat="1" applyFont="1" applyFill="1" applyBorder="1" applyAlignment="1">
      <alignment horizontal="center" vertical="center" wrapText="1"/>
    </xf>
    <xf numFmtId="0" fontId="58" fillId="19" borderId="116" xfId="2" applyFont="1" applyBorder="1" applyAlignment="1">
      <alignment horizontal="center" vertical="center"/>
    </xf>
    <xf numFmtId="0" fontId="58" fillId="19" borderId="27" xfId="2" applyFont="1" applyBorder="1" applyAlignment="1">
      <alignment horizontal="center" vertical="center" wrapText="1"/>
    </xf>
    <xf numFmtId="0" fontId="58" fillId="3" borderId="117" xfId="2" applyFont="1" applyFill="1" applyBorder="1" applyAlignment="1">
      <alignment horizontal="center" vertical="center" wrapText="1"/>
    </xf>
    <xf numFmtId="0" fontId="59" fillId="4" borderId="29" xfId="0" applyFont="1" applyFill="1" applyBorder="1" applyAlignment="1">
      <alignment horizontal="right" vertical="center" wrapText="1"/>
    </xf>
    <xf numFmtId="0" fontId="46" fillId="0" borderId="5" xfId="1" applyFont="1" applyBorder="1" applyAlignment="1">
      <alignment horizontal="right" vertical="center" wrapText="1"/>
    </xf>
    <xf numFmtId="0" fontId="4" fillId="4" borderId="5" xfId="0" applyFont="1" applyFill="1" applyBorder="1" applyAlignment="1">
      <alignment horizontal="right" vertical="center" wrapText="1"/>
    </xf>
    <xf numFmtId="0" fontId="4" fillId="4" borderId="6" xfId="0" applyFont="1" applyFill="1" applyBorder="1" applyAlignment="1">
      <alignment horizontal="right" vertical="center" wrapText="1"/>
    </xf>
    <xf numFmtId="0" fontId="47" fillId="6" borderId="2" xfId="0" applyFont="1" applyFill="1" applyBorder="1" applyAlignment="1">
      <alignment horizontal="center"/>
    </xf>
    <xf numFmtId="0" fontId="47" fillId="0" borderId="118" xfId="0" applyFont="1" applyFill="1" applyBorder="1"/>
    <xf numFmtId="0" fontId="4" fillId="0" borderId="0" xfId="0" applyFont="1" applyFill="1" applyBorder="1"/>
    <xf numFmtId="0" fontId="47" fillId="6" borderId="1" xfId="0" applyFont="1" applyFill="1" applyBorder="1"/>
    <xf numFmtId="0" fontId="4" fillId="7" borderId="0" xfId="0" applyFont="1" applyFill="1"/>
    <xf numFmtId="0" fontId="4" fillId="0" borderId="119" xfId="0" applyFont="1" applyBorder="1"/>
    <xf numFmtId="0" fontId="4" fillId="0" borderId="120" xfId="0" applyFont="1" applyBorder="1"/>
    <xf numFmtId="0" fontId="4" fillId="0" borderId="121" xfId="0" applyFont="1" applyBorder="1"/>
    <xf numFmtId="0" fontId="47" fillId="6" borderId="19" xfId="0" applyFont="1" applyFill="1" applyBorder="1" applyAlignment="1">
      <alignment horizontal="right" vertical="center"/>
    </xf>
    <xf numFmtId="0" fontId="47" fillId="6" borderId="26" xfId="0" applyFont="1" applyFill="1" applyBorder="1" applyAlignment="1">
      <alignment horizontal="right" vertical="center"/>
    </xf>
    <xf numFmtId="0" fontId="47" fillId="6" borderId="4" xfId="0" applyFont="1" applyFill="1" applyBorder="1" applyAlignment="1">
      <alignment horizontal="right" vertical="center"/>
    </xf>
    <xf numFmtId="0" fontId="4" fillId="7" borderId="15" xfId="0" applyFont="1" applyFill="1" applyBorder="1" applyAlignment="1">
      <alignment horizontal="right"/>
    </xf>
    <xf numFmtId="0" fontId="4" fillId="0" borderId="15" xfId="0" applyFont="1" applyFill="1" applyBorder="1" applyAlignment="1">
      <alignment horizontal="right"/>
    </xf>
    <xf numFmtId="0" fontId="4" fillId="0" borderId="31" xfId="0" applyFont="1" applyFill="1" applyBorder="1" applyAlignment="1">
      <alignment horizontal="right"/>
    </xf>
    <xf numFmtId="0" fontId="4" fillId="4" borderId="12" xfId="0" applyFont="1" applyFill="1" applyBorder="1" applyAlignment="1">
      <alignment horizontal="right"/>
    </xf>
    <xf numFmtId="0" fontId="47" fillId="6" borderId="26" xfId="0" applyFont="1" applyFill="1" applyBorder="1"/>
    <xf numFmtId="0" fontId="46" fillId="16" borderId="4" xfId="1" applyFont="1" applyFill="1" applyBorder="1" applyAlignment="1">
      <alignment horizontal="left"/>
    </xf>
    <xf numFmtId="0" fontId="55" fillId="16" borderId="4" xfId="0" applyFont="1" applyFill="1" applyBorder="1" applyAlignment="1">
      <alignment horizontal="left"/>
    </xf>
    <xf numFmtId="0" fontId="58" fillId="19" borderId="117" xfId="2" applyNumberFormat="1" applyFont="1" applyBorder="1" applyAlignment="1">
      <alignment horizontal="center" vertical="center" wrapText="1"/>
    </xf>
    <xf numFmtId="0" fontId="46" fillId="19" borderId="116" xfId="1" applyFont="1" applyFill="1" applyBorder="1" applyAlignment="1">
      <alignment horizontal="center" vertical="center"/>
    </xf>
    <xf numFmtId="0" fontId="0" fillId="0" borderId="5" xfId="0" applyFill="1" applyBorder="1" applyAlignment="1">
      <alignment horizontal="right"/>
    </xf>
    <xf numFmtId="0" fontId="40" fillId="0" borderId="5" xfId="0" applyFont="1" applyFill="1" applyBorder="1" applyAlignment="1">
      <alignment horizontal="center" vertical="center"/>
    </xf>
    <xf numFmtId="0" fontId="9" fillId="0" borderId="5" xfId="0" applyFont="1" applyFill="1" applyBorder="1" applyAlignment="1">
      <alignment horizontal="right"/>
    </xf>
    <xf numFmtId="0" fontId="25" fillId="0" borderId="5" xfId="0" applyFont="1" applyFill="1" applyBorder="1" applyAlignment="1">
      <alignment horizontal="center" vertical="center"/>
    </xf>
    <xf numFmtId="0" fontId="40" fillId="4" borderId="5" xfId="0" applyNumberFormat="1" applyFont="1" applyFill="1" applyBorder="1" applyAlignment="1">
      <alignment horizontal="center" vertical="center"/>
    </xf>
    <xf numFmtId="0" fontId="51" fillId="6" borderId="6" xfId="0" applyFont="1" applyFill="1" applyBorder="1" applyAlignment="1">
      <alignment horizontal="right"/>
    </xf>
    <xf numFmtId="0" fontId="40" fillId="6" borderId="13" xfId="0" applyFont="1" applyFill="1" applyBorder="1" applyAlignment="1">
      <alignment horizontal="center" vertical="center"/>
    </xf>
    <xf numFmtId="0" fontId="51" fillId="0" borderId="5" xfId="0" applyFont="1" applyFill="1" applyBorder="1" applyAlignment="1">
      <alignment horizontal="right"/>
    </xf>
    <xf numFmtId="0" fontId="51" fillId="4" borderId="0" xfId="0" applyFont="1" applyFill="1" applyAlignment="1">
      <alignment horizontal="right"/>
    </xf>
    <xf numFmtId="0" fontId="51" fillId="4" borderId="7" xfId="0" applyFont="1" applyFill="1" applyBorder="1" applyAlignment="1">
      <alignment horizontal="right"/>
    </xf>
    <xf numFmtId="0" fontId="0" fillId="7" borderId="7" xfId="0" applyFill="1" applyBorder="1" applyAlignment="1">
      <alignment horizontal="left"/>
    </xf>
    <xf numFmtId="0" fontId="40" fillId="6" borderId="0" xfId="0" applyNumberFormat="1" applyFont="1" applyFill="1" applyAlignment="1">
      <alignment horizontal="center" vertical="center"/>
    </xf>
    <xf numFmtId="0" fontId="40" fillId="0" borderId="5" xfId="0" applyNumberFormat="1" applyFont="1" applyFill="1" applyBorder="1" applyAlignment="1">
      <alignment horizontal="center" vertical="center"/>
    </xf>
    <xf numFmtId="1" fontId="58" fillId="3" borderId="117" xfId="2" applyNumberFormat="1" applyFont="1" applyFill="1" applyBorder="1" applyAlignment="1">
      <alignment horizontal="center" vertical="center" wrapText="1"/>
    </xf>
    <xf numFmtId="0" fontId="40" fillId="15" borderId="0" xfId="0" applyFont="1" applyFill="1" applyAlignment="1">
      <alignment horizontal="center" vertical="center"/>
    </xf>
    <xf numFmtId="0" fontId="62" fillId="0" borderId="0" xfId="0" applyFont="1" applyAlignment="1">
      <alignment horizontal="left" vertical="center" wrapText="1" indent="1"/>
    </xf>
    <xf numFmtId="0" fontId="9" fillId="7" borderId="3" xfId="0" applyFont="1" applyFill="1" applyBorder="1" applyAlignment="1">
      <alignment vertical="center"/>
    </xf>
    <xf numFmtId="0" fontId="5" fillId="7" borderId="7" xfId="1" applyFill="1" applyBorder="1"/>
    <xf numFmtId="0" fontId="5" fillId="6" borderId="7" xfId="1" applyFill="1" applyBorder="1"/>
    <xf numFmtId="0" fontId="4" fillId="7" borderId="0" xfId="0" applyFont="1" applyFill="1" applyBorder="1" applyAlignment="1"/>
    <xf numFmtId="0" fontId="4" fillId="7" borderId="122" xfId="0" applyFont="1" applyFill="1" applyBorder="1" applyAlignment="1"/>
    <xf numFmtId="0" fontId="4" fillId="7" borderId="94" xfId="0" applyFont="1" applyFill="1" applyBorder="1" applyAlignment="1"/>
    <xf numFmtId="0" fontId="4" fillId="7" borderId="114" xfId="0" applyFont="1" applyFill="1" applyBorder="1" applyAlignment="1"/>
    <xf numFmtId="0" fontId="4" fillId="7" borderId="99" xfId="0" applyFont="1" applyFill="1" applyBorder="1" applyAlignment="1"/>
    <xf numFmtId="0" fontId="4" fillId="7" borderId="124" xfId="0" applyFont="1" applyFill="1" applyBorder="1" applyAlignment="1"/>
    <xf numFmtId="0" fontId="4" fillId="7" borderId="123" xfId="0" applyFont="1" applyFill="1" applyBorder="1" applyAlignment="1"/>
    <xf numFmtId="0" fontId="4" fillId="6" borderId="0" xfId="0" applyFont="1" applyFill="1" applyAlignment="1">
      <alignment horizontal="center" vertical="center"/>
    </xf>
    <xf numFmtId="0" fontId="63" fillId="7" borderId="0" xfId="0" applyFont="1" applyFill="1" applyBorder="1" applyAlignment="1"/>
    <xf numFmtId="0" fontId="46" fillId="19" borderId="4" xfId="1" applyFont="1" applyFill="1" applyBorder="1" applyAlignment="1">
      <alignment horizontal="center" vertical="center" wrapText="1"/>
    </xf>
    <xf numFmtId="0" fontId="64" fillId="0" borderId="31" xfId="0" applyFont="1" applyBorder="1"/>
    <xf numFmtId="0" fontId="64" fillId="0" borderId="5" xfId="0" applyFont="1" applyBorder="1"/>
    <xf numFmtId="0" fontId="64" fillId="0" borderId="16" xfId="0" applyFont="1" applyBorder="1"/>
    <xf numFmtId="0" fontId="47" fillId="4" borderId="0" xfId="0" applyFont="1" applyFill="1" applyAlignment="1"/>
    <xf numFmtId="0" fontId="47" fillId="4" borderId="98" xfId="0" applyFont="1" applyFill="1" applyBorder="1" applyAlignment="1"/>
    <xf numFmtId="0" fontId="47" fillId="4" borderId="0" xfId="0" applyFont="1" applyFill="1" applyBorder="1" applyAlignment="1"/>
    <xf numFmtId="0" fontId="4" fillId="7" borderId="60" xfId="0" applyFont="1" applyFill="1" applyBorder="1"/>
    <xf numFmtId="0" fontId="4" fillId="7" borderId="31" xfId="0" applyFont="1" applyFill="1" applyBorder="1"/>
    <xf numFmtId="0" fontId="4" fillId="7" borderId="6" xfId="0" applyFont="1" applyFill="1" applyBorder="1"/>
    <xf numFmtId="0" fontId="64" fillId="7" borderId="31" xfId="0" applyFont="1" applyFill="1" applyBorder="1"/>
    <xf numFmtId="0" fontId="10" fillId="0" borderId="3" xfId="1" applyFont="1" applyFill="1" applyBorder="1"/>
    <xf numFmtId="0" fontId="55" fillId="16" borderId="4" xfId="0" applyFont="1" applyFill="1" applyBorder="1" applyAlignment="1">
      <alignment horizontal="left" wrapText="1"/>
    </xf>
    <xf numFmtId="0" fontId="46" fillId="21" borderId="4" xfId="1" applyFont="1" applyFill="1" applyBorder="1" applyAlignment="1">
      <alignment horizontal="left"/>
    </xf>
    <xf numFmtId="0" fontId="4" fillId="22" borderId="18" xfId="0" applyFont="1" applyFill="1" applyBorder="1" applyAlignment="1">
      <alignment horizontal="left" vertical="center" wrapText="1"/>
    </xf>
    <xf numFmtId="0" fontId="4" fillId="22" borderId="0" xfId="0" applyFont="1" applyFill="1" applyBorder="1" applyAlignment="1">
      <alignment horizontal="left" vertical="center" wrapText="1"/>
    </xf>
    <xf numFmtId="0" fontId="4" fillId="22" borderId="0" xfId="0" applyFont="1" applyFill="1" applyBorder="1" applyAlignment="1">
      <alignment horizontal="left"/>
    </xf>
    <xf numFmtId="0" fontId="4" fillId="22" borderId="3" xfId="0" applyFont="1" applyFill="1" applyBorder="1"/>
    <xf numFmtId="0" fontId="4" fillId="22" borderId="5" xfId="0" applyFont="1" applyFill="1" applyBorder="1"/>
    <xf numFmtId="0" fontId="4" fillId="22" borderId="6" xfId="0" applyFont="1" applyFill="1" applyBorder="1"/>
    <xf numFmtId="0" fontId="4" fillId="22" borderId="7" xfId="0" applyFont="1" applyFill="1" applyBorder="1" applyAlignment="1">
      <alignment horizontal="left"/>
    </xf>
    <xf numFmtId="0" fontId="4" fillId="22" borderId="11" xfId="0" applyFont="1" applyFill="1" applyBorder="1" applyAlignment="1">
      <alignment horizontal="left"/>
    </xf>
    <xf numFmtId="0" fontId="4" fillId="22" borderId="79" xfId="0" applyFont="1" applyFill="1" applyBorder="1"/>
    <xf numFmtId="0" fontId="4" fillId="22" borderId="84" xfId="0" applyFont="1" applyFill="1" applyBorder="1"/>
    <xf numFmtId="0" fontId="4" fillId="22" borderId="85" xfId="0" applyFont="1" applyFill="1" applyBorder="1"/>
    <xf numFmtId="0" fontId="4" fillId="22" borderId="4" xfId="0" applyFont="1" applyFill="1" applyBorder="1" applyAlignment="1">
      <alignment horizontal="center" vertical="center"/>
    </xf>
    <xf numFmtId="0" fontId="4" fillId="22" borderId="38" xfId="0" applyFont="1" applyFill="1" applyBorder="1"/>
    <xf numFmtId="0" fontId="4" fillId="22" borderId="36" xfId="0" applyFont="1" applyFill="1" applyBorder="1"/>
    <xf numFmtId="0" fontId="4" fillId="22" borderId="41" xfId="0" applyFont="1" applyFill="1" applyBorder="1"/>
    <xf numFmtId="0" fontId="55" fillId="21" borderId="4" xfId="0" applyFont="1" applyFill="1" applyBorder="1" applyAlignment="1">
      <alignment horizontal="left"/>
    </xf>
    <xf numFmtId="0" fontId="4" fillId="22" borderId="4" xfId="0" applyFont="1" applyFill="1" applyBorder="1"/>
    <xf numFmtId="49" fontId="58" fillId="3" borderId="116" xfId="2" applyNumberFormat="1" applyFont="1" applyFill="1" applyBorder="1" applyAlignment="1">
      <alignment horizontal="center" vertical="center"/>
    </xf>
    <xf numFmtId="0" fontId="1" fillId="0" borderId="4" xfId="0" applyFont="1" applyBorder="1" applyAlignment="1">
      <alignment horizontal="center" vertical="center"/>
    </xf>
    <xf numFmtId="49" fontId="1" fillId="0" borderId="4" xfId="0" applyNumberFormat="1" applyFont="1" applyBorder="1" applyAlignment="1">
      <alignment horizontal="center" vertical="center"/>
    </xf>
    <xf numFmtId="0" fontId="1" fillId="0" borderId="27" xfId="0" applyFont="1" applyBorder="1" applyAlignment="1">
      <alignment horizontal="center" vertical="center"/>
    </xf>
    <xf numFmtId="0" fontId="0" fillId="0" borderId="4" xfId="0"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16" borderId="5" xfId="0" applyFill="1" applyBorder="1" applyAlignment="1">
      <alignment horizontal="center" vertical="center"/>
    </xf>
    <xf numFmtId="0" fontId="0" fillId="16" borderId="6" xfId="0" applyFill="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3" xfId="0" applyFill="1" applyBorder="1" applyAlignment="1">
      <alignment horizontal="left" vertical="center"/>
    </xf>
    <xf numFmtId="0" fontId="0" fillId="7" borderId="5" xfId="0" applyFill="1" applyBorder="1" applyAlignment="1">
      <alignment horizontal="left" vertical="center"/>
    </xf>
    <xf numFmtId="0" fontId="0" fillId="7" borderId="6" xfId="0" applyFill="1" applyBorder="1" applyAlignment="1">
      <alignment horizontal="left" vertical="center"/>
    </xf>
    <xf numFmtId="0" fontId="0" fillId="16" borderId="23" xfId="0" applyFill="1" applyBorder="1" applyAlignment="1">
      <alignment horizontal="center" vertical="center"/>
    </xf>
    <xf numFmtId="0" fontId="0" fillId="3" borderId="23" xfId="0" applyFill="1" applyBorder="1" applyAlignment="1">
      <alignment horizontal="center" vertical="center"/>
    </xf>
    <xf numFmtId="0" fontId="0" fillId="0" borderId="5" xfId="0" applyFill="1" applyBorder="1" applyAlignment="1">
      <alignment horizontal="center" vertical="center"/>
    </xf>
    <xf numFmtId="0" fontId="0" fillId="6" borderId="3" xfId="0" applyFill="1" applyBorder="1" applyAlignment="1">
      <alignment horizontal="center" vertical="center" wrapText="1"/>
    </xf>
    <xf numFmtId="0" fontId="0" fillId="6" borderId="6"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6" borderId="5"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0" fillId="7" borderId="3" xfId="0" applyFill="1" applyBorder="1" applyAlignment="1">
      <alignment horizontal="center" vertical="center" wrapText="1"/>
    </xf>
    <xf numFmtId="0" fontId="0" fillId="0" borderId="10" xfId="0" applyBorder="1" applyAlignment="1">
      <alignment horizontal="center" vertical="center" wrapText="1"/>
    </xf>
    <xf numFmtId="0" fontId="0" fillId="7" borderId="7"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xf numFmtId="49" fontId="0" fillId="15" borderId="0" xfId="0" applyNumberFormat="1" applyFill="1"/>
    <xf numFmtId="0" fontId="0" fillId="4" borderId="3" xfId="0" applyFill="1" applyBorder="1" applyAlignment="1">
      <alignment vertical="center"/>
    </xf>
    <xf numFmtId="0" fontId="10" fillId="4" borderId="3" xfId="1" applyFont="1" applyFill="1" applyBorder="1"/>
    <xf numFmtId="0" fontId="0" fillId="4" borderId="50" xfId="0" applyFill="1" applyBorder="1" applyAlignment="1">
      <alignment horizontal="right" vertical="center"/>
    </xf>
    <xf numFmtId="0" fontId="0" fillId="4" borderId="35" xfId="0" applyFill="1" applyBorder="1" applyAlignment="1">
      <alignment horizontal="right" vertical="center"/>
    </xf>
    <xf numFmtId="0" fontId="0" fillId="4" borderId="5" xfId="0" applyFill="1" applyBorder="1" applyAlignment="1">
      <alignment horizontal="right" vertical="center"/>
    </xf>
    <xf numFmtId="0" fontId="0" fillId="4" borderId="34" xfId="0" applyFill="1" applyBorder="1" applyAlignment="1">
      <alignment horizontal="right" vertical="center"/>
    </xf>
    <xf numFmtId="0" fontId="10" fillId="4" borderId="50" xfId="1" applyFont="1" applyFill="1" applyBorder="1"/>
    <xf numFmtId="0" fontId="10" fillId="4" borderId="35" xfId="1" applyFont="1" applyFill="1" applyBorder="1"/>
    <xf numFmtId="0" fontId="0" fillId="7" borderId="30" xfId="0" applyFill="1" applyBorder="1" applyAlignment="1">
      <alignment vertical="center"/>
    </xf>
    <xf numFmtId="0" fontId="10" fillId="0" borderId="16" xfId="1" applyFont="1" applyFill="1" applyBorder="1"/>
    <xf numFmtId="0" fontId="10" fillId="0" borderId="5" xfId="1" applyFont="1" applyFill="1" applyBorder="1"/>
    <xf numFmtId="0" fontId="10" fillId="0" borderId="31" xfId="1" applyFont="1" applyFill="1" applyBorder="1"/>
    <xf numFmtId="0" fontId="0" fillId="4" borderId="3" xfId="0" applyFill="1" applyBorder="1" applyAlignment="1">
      <alignment horizontal="center" vertical="center"/>
    </xf>
    <xf numFmtId="0" fontId="0" fillId="4" borderId="50" xfId="0" applyFill="1" applyBorder="1" applyAlignment="1">
      <alignment vertical="center"/>
    </xf>
    <xf numFmtId="0" fontId="0" fillId="4" borderId="35" xfId="0" applyFill="1" applyBorder="1" applyAlignment="1">
      <alignment vertical="center"/>
    </xf>
    <xf numFmtId="0" fontId="0" fillId="4" borderId="5" xfId="0" applyFill="1" applyBorder="1" applyAlignment="1">
      <alignment vertical="center"/>
    </xf>
    <xf numFmtId="0" fontId="0" fillId="4" borderId="34" xfId="0" applyFill="1" applyBorder="1" applyAlignment="1">
      <alignment vertical="center"/>
    </xf>
    <xf numFmtId="0" fontId="10" fillId="15" borderId="5" xfId="1" applyFont="1" applyFill="1" applyBorder="1"/>
    <xf numFmtId="0" fontId="10" fillId="4" borderId="51" xfId="1" applyFont="1" applyFill="1" applyBorder="1"/>
    <xf numFmtId="0" fontId="10" fillId="15" borderId="34" xfId="1" applyFont="1" applyFill="1" applyBorder="1"/>
    <xf numFmtId="0" fontId="10" fillId="15" borderId="35" xfId="1" applyFont="1" applyFill="1" applyBorder="1"/>
    <xf numFmtId="0" fontId="61" fillId="4" borderId="5" xfId="1" applyFont="1" applyFill="1" applyBorder="1" applyAlignment="1">
      <alignment horizontal="center" vertical="center"/>
    </xf>
    <xf numFmtId="0" fontId="61" fillId="4" borderId="34" xfId="1" applyFont="1" applyFill="1" applyBorder="1" applyAlignment="1">
      <alignment horizontal="center" vertical="center"/>
    </xf>
    <xf numFmtId="1" fontId="61" fillId="4" borderId="34" xfId="1" applyNumberFormat="1" applyFont="1" applyFill="1" applyBorder="1" applyAlignment="1">
      <alignment horizontal="center" vertical="center"/>
    </xf>
    <xf numFmtId="0" fontId="61" fillId="4" borderId="35" xfId="1" applyFont="1" applyFill="1" applyBorder="1" applyAlignment="1">
      <alignment horizontal="center" vertical="center"/>
    </xf>
    <xf numFmtId="0" fontId="10" fillId="4" borderId="50" xfId="1" applyFont="1" applyFill="1" applyBorder="1" applyAlignment="1">
      <alignment horizontal="left" vertical="center"/>
    </xf>
    <xf numFmtId="0" fontId="10" fillId="4" borderId="5" xfId="1" applyFont="1" applyFill="1" applyBorder="1" applyAlignment="1">
      <alignment horizontal="left" vertical="center"/>
    </xf>
    <xf numFmtId="0" fontId="0" fillId="4" borderId="34" xfId="0" applyFont="1" applyFill="1" applyBorder="1" applyAlignment="1">
      <alignment horizontal="right" vertical="center"/>
    </xf>
    <xf numFmtId="0" fontId="0" fillId="4" borderId="6" xfId="0" applyFill="1" applyBorder="1" applyAlignment="1">
      <alignment vertical="center"/>
    </xf>
    <xf numFmtId="0" fontId="0" fillId="6" borderId="5" xfId="0" applyFill="1" applyBorder="1" applyAlignment="1">
      <alignment vertical="center"/>
    </xf>
    <xf numFmtId="0" fontId="61" fillId="6" borderId="5" xfId="1" applyFont="1" applyFill="1" applyBorder="1" applyAlignment="1">
      <alignment horizontal="center" vertical="center"/>
    </xf>
    <xf numFmtId="0" fontId="0" fillId="6" borderId="37" xfId="0" applyFont="1" applyFill="1" applyBorder="1" applyAlignment="1">
      <alignment horizontal="right" vertical="center"/>
    </xf>
    <xf numFmtId="0" fontId="0" fillId="6" borderId="41" xfId="0" applyFont="1" applyFill="1" applyBorder="1" applyAlignment="1">
      <alignment horizontal="right" vertical="center"/>
    </xf>
    <xf numFmtId="0" fontId="61" fillId="6" borderId="36" xfId="1" applyFont="1" applyFill="1" applyBorder="1" applyAlignment="1">
      <alignment horizontal="center" vertical="center"/>
    </xf>
    <xf numFmtId="0" fontId="61" fillId="6" borderId="6" xfId="1" applyFont="1" applyFill="1" applyBorder="1" applyAlignment="1">
      <alignment horizontal="center" vertical="center"/>
    </xf>
    <xf numFmtId="0" fontId="0" fillId="6" borderId="5" xfId="0" applyFill="1" applyBorder="1" applyAlignment="1">
      <alignment horizontal="right" vertical="center"/>
    </xf>
    <xf numFmtId="0" fontId="0" fillId="6" borderId="37" xfId="0" applyFill="1" applyBorder="1" applyAlignment="1">
      <alignment horizontal="right" vertical="center"/>
    </xf>
    <xf numFmtId="0" fontId="0" fillId="6" borderId="36" xfId="0" applyFill="1" applyBorder="1" applyAlignment="1">
      <alignment horizontal="right" vertical="center"/>
    </xf>
    <xf numFmtId="0" fontId="61" fillId="6" borderId="37" xfId="1" applyFont="1" applyFill="1" applyBorder="1" applyAlignment="1">
      <alignment horizontal="center" vertical="center"/>
    </xf>
    <xf numFmtId="0" fontId="61" fillId="4" borderId="5" xfId="1" applyFont="1" applyFill="1" applyBorder="1" applyAlignment="1">
      <alignment horizontal="center"/>
    </xf>
    <xf numFmtId="0" fontId="61" fillId="4" borderId="35" xfId="1" applyFont="1" applyFill="1" applyBorder="1" applyAlignment="1">
      <alignment horizontal="center"/>
    </xf>
    <xf numFmtId="0" fontId="61" fillId="4" borderId="34" xfId="1" applyFont="1" applyFill="1" applyBorder="1" applyAlignment="1">
      <alignment horizontal="center"/>
    </xf>
    <xf numFmtId="0" fontId="0" fillId="7" borderId="3"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66" fillId="4" borderId="51" xfId="1" applyFont="1" applyFill="1" applyBorder="1"/>
    <xf numFmtId="0" fontId="10" fillId="6" borderId="6" xfId="1" applyFont="1" applyFill="1" applyBorder="1" applyAlignment="1">
      <alignment horizontal="left" vertical="center"/>
    </xf>
    <xf numFmtId="0" fontId="67" fillId="6" borderId="38" xfId="1" applyFont="1" applyFill="1" applyBorder="1"/>
    <xf numFmtId="0" fontId="2" fillId="6" borderId="3" xfId="0" applyFont="1" applyFill="1" applyBorder="1" applyAlignment="1">
      <alignment horizontal="left" vertical="center"/>
    </xf>
    <xf numFmtId="0" fontId="66" fillId="4" borderId="35" xfId="1" applyFont="1" applyFill="1" applyBorder="1"/>
    <xf numFmtId="0" fontId="0" fillId="7" borderId="5" xfId="0" applyFill="1" applyBorder="1" applyAlignment="1">
      <alignment horizontal="right" vertical="center"/>
    </xf>
    <xf numFmtId="0" fontId="0" fillId="7" borderId="29" xfId="0" applyFill="1" applyBorder="1" applyAlignment="1">
      <alignment vertical="center"/>
    </xf>
    <xf numFmtId="0" fontId="0" fillId="7" borderId="31" xfId="0" applyFill="1" applyBorder="1" applyAlignment="1">
      <alignment horizontal="right" vertical="center"/>
    </xf>
    <xf numFmtId="0" fontId="66" fillId="7" borderId="31" xfId="1" applyFont="1" applyFill="1" applyBorder="1"/>
    <xf numFmtId="0" fontId="10" fillId="7" borderId="5" xfId="1" applyFont="1" applyFill="1" applyBorder="1" applyProtection="1"/>
    <xf numFmtId="0"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5" fillId="0" borderId="4" xfId="1" applyBorder="1" applyAlignment="1">
      <alignment horizontal="center" vertical="center"/>
    </xf>
    <xf numFmtId="0" fontId="0" fillId="0" borderId="4" xfId="0" applyBorder="1" applyAlignment="1">
      <alignment horizontal="center" vertical="center"/>
    </xf>
    <xf numFmtId="0" fontId="1" fillId="0" borderId="4" xfId="0" applyFont="1" applyBorder="1" applyAlignment="1">
      <alignment horizontal="center" vertical="center"/>
    </xf>
    <xf numFmtId="0" fontId="5" fillId="0" borderId="26" xfId="1" applyBorder="1" applyAlignment="1">
      <alignment horizontal="center" vertical="center"/>
    </xf>
    <xf numFmtId="0" fontId="1" fillId="0" borderId="52" xfId="0" applyFont="1" applyBorder="1" applyAlignment="1">
      <alignment horizontal="center" vertical="center"/>
    </xf>
    <xf numFmtId="0" fontId="1" fillId="0" borderId="27" xfId="0" applyFont="1" applyBorder="1" applyAlignment="1">
      <alignment horizontal="center" vertical="center"/>
    </xf>
    <xf numFmtId="0" fontId="5" fillId="0" borderId="26" xfId="1" applyBorder="1" applyAlignment="1">
      <alignment horizontal="left" vertical="center"/>
    </xf>
    <xf numFmtId="0" fontId="1" fillId="0" borderId="52" xfId="0" applyFont="1" applyBorder="1" applyAlignment="1">
      <alignment horizontal="left" vertical="center"/>
    </xf>
    <xf numFmtId="0" fontId="1" fillId="0" borderId="27" xfId="0" applyFont="1" applyBorder="1" applyAlignment="1">
      <alignment horizontal="left" vertical="center"/>
    </xf>
    <xf numFmtId="0" fontId="56" fillId="19" borderId="86" xfId="2" applyAlignment="1">
      <alignment horizontal="left" vertical="center"/>
    </xf>
    <xf numFmtId="0" fontId="23" fillId="8" borderId="17" xfId="0" applyFont="1" applyFill="1" applyBorder="1" applyAlignment="1">
      <alignment horizontal="center"/>
    </xf>
    <xf numFmtId="0" fontId="23" fillId="8" borderId="0" xfId="0" applyFont="1" applyFill="1" applyAlignment="1">
      <alignment horizontal="center"/>
    </xf>
    <xf numFmtId="0" fontId="5" fillId="0" borderId="52" xfId="1" applyBorder="1" applyAlignment="1">
      <alignment horizontal="center" vertical="center"/>
    </xf>
    <xf numFmtId="0" fontId="5" fillId="0" borderId="27" xfId="1" applyBorder="1" applyAlignment="1">
      <alignment horizontal="center" vertical="center"/>
    </xf>
    <xf numFmtId="0" fontId="56" fillId="19" borderId="86" xfId="2" applyAlignment="1">
      <alignment horizontal="center" vertical="center"/>
    </xf>
    <xf numFmtId="1" fontId="56" fillId="19" borderId="86" xfId="2" applyNumberFormat="1" applyAlignment="1">
      <alignment horizontal="center" vertical="center"/>
    </xf>
    <xf numFmtId="0" fontId="60" fillId="21" borderId="26" xfId="0" applyFont="1" applyFill="1" applyBorder="1" applyAlignment="1">
      <alignment horizontal="center" vertical="center"/>
    </xf>
    <xf numFmtId="0" fontId="60" fillId="21" borderId="52" xfId="0" applyFont="1" applyFill="1" applyBorder="1" applyAlignment="1">
      <alignment horizontal="center" vertical="center"/>
    </xf>
    <xf numFmtId="0" fontId="60" fillId="21" borderId="27" xfId="0" applyFont="1" applyFill="1" applyBorder="1" applyAlignment="1">
      <alignment horizontal="center" vertical="center"/>
    </xf>
    <xf numFmtId="0" fontId="65" fillId="21" borderId="26" xfId="0" applyFont="1" applyFill="1" applyBorder="1" applyAlignment="1">
      <alignment horizontal="center"/>
    </xf>
    <xf numFmtId="0" fontId="65" fillId="21" borderId="52" xfId="0" applyFont="1" applyFill="1" applyBorder="1" applyAlignment="1">
      <alignment horizontal="center"/>
    </xf>
    <xf numFmtId="0" fontId="65" fillId="21" borderId="27"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0" xfId="0" applyFont="1" applyFill="1" applyAlignment="1">
      <alignment horizontal="center"/>
    </xf>
    <xf numFmtId="0" fontId="4" fillId="0" borderId="107" xfId="0" applyFont="1" applyBorder="1" applyAlignment="1">
      <alignment horizontal="center"/>
    </xf>
    <xf numFmtId="0" fontId="4" fillId="0" borderId="0" xfId="0" applyFont="1" applyBorder="1" applyAlignment="1">
      <alignment horizontal="center"/>
    </xf>
    <xf numFmtId="0" fontId="4" fillId="0" borderId="99" xfId="0" applyFont="1" applyBorder="1" applyAlignment="1">
      <alignment horizontal="center"/>
    </xf>
    <xf numFmtId="0" fontId="60" fillId="20" borderId="8" xfId="0" applyFont="1" applyFill="1" applyBorder="1" applyAlignment="1">
      <alignment horizontal="center" vertical="center" wrapText="1"/>
    </xf>
    <xf numFmtId="0" fontId="60" fillId="20" borderId="0" xfId="0" applyFont="1" applyFill="1" applyBorder="1" applyAlignment="1">
      <alignment horizontal="center" vertical="center" wrapText="1"/>
    </xf>
    <xf numFmtId="0" fontId="60" fillId="20" borderId="0" xfId="0" applyFont="1" applyFill="1" applyAlignment="1">
      <alignment horizontal="center" vertical="center"/>
    </xf>
    <xf numFmtId="0" fontId="4" fillId="0" borderId="68" xfId="0" applyFont="1" applyBorder="1" applyAlignment="1">
      <alignment horizontal="center"/>
    </xf>
    <xf numFmtId="0" fontId="4" fillId="0" borderId="94" xfId="0" applyFont="1" applyBorder="1" applyAlignment="1">
      <alignment horizontal="center"/>
    </xf>
    <xf numFmtId="0" fontId="4" fillId="0" borderId="8" xfId="0" applyFont="1" applyBorder="1" applyAlignment="1">
      <alignment horizontal="center"/>
    </xf>
    <xf numFmtId="0" fontId="4" fillId="0" borderId="91" xfId="0" applyFont="1" applyBorder="1" applyAlignment="1">
      <alignment horizont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16" borderId="3" xfId="0" applyFill="1" applyBorder="1" applyAlignment="1">
      <alignment horizontal="center" vertical="center"/>
    </xf>
    <xf numFmtId="0" fontId="0" fillId="16" borderId="5" xfId="0" applyFill="1" applyBorder="1" applyAlignment="1">
      <alignment horizontal="center" vertical="center"/>
    </xf>
    <xf numFmtId="0" fontId="0" fillId="16" borderId="6"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3" xfId="0" applyFill="1" applyBorder="1" applyAlignment="1">
      <alignment horizontal="left" vertical="center"/>
    </xf>
    <xf numFmtId="0" fontId="0" fillId="4" borderId="6" xfId="0" applyFill="1" applyBorder="1" applyAlignment="1">
      <alignment horizontal="left" vertical="center"/>
    </xf>
    <xf numFmtId="0" fontId="0" fillId="7" borderId="3" xfId="0" applyFill="1" applyBorder="1" applyAlignment="1">
      <alignment horizontal="left" vertical="center"/>
    </xf>
    <xf numFmtId="0" fontId="0" fillId="7" borderId="5" xfId="0" applyFill="1" applyBorder="1" applyAlignment="1">
      <alignment horizontal="left" vertical="center"/>
    </xf>
    <xf numFmtId="0" fontId="0" fillId="7" borderId="6" xfId="0" applyFill="1" applyBorder="1" applyAlignment="1">
      <alignment horizontal="left"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16" borderId="25" xfId="0" applyFill="1" applyBorder="1" applyAlignment="1">
      <alignment horizontal="center" vertical="center"/>
    </xf>
    <xf numFmtId="0" fontId="0" fillId="0" borderId="6" xfId="0" applyFill="1" applyBorder="1" applyAlignment="1">
      <alignment horizontal="center" vertical="center"/>
    </xf>
    <xf numFmtId="0" fontId="0" fillId="3" borderId="24" xfId="0" applyFill="1" applyBorder="1" applyAlignment="1">
      <alignment horizontal="center" vertical="center"/>
    </xf>
    <xf numFmtId="0" fontId="0" fillId="16" borderId="23" xfId="0" applyFill="1" applyBorder="1" applyAlignment="1">
      <alignment horizontal="center" vertical="center"/>
    </xf>
    <xf numFmtId="0" fontId="2" fillId="6" borderId="2" xfId="0" applyFont="1" applyFill="1" applyBorder="1" applyAlignment="1">
      <alignment horizontal="left" vertical="top"/>
    </xf>
    <xf numFmtId="0" fontId="2" fillId="6" borderId="8" xfId="0" applyFont="1" applyFill="1" applyBorder="1" applyAlignment="1">
      <alignment horizontal="left" vertical="top"/>
    </xf>
    <xf numFmtId="0" fontId="0" fillId="16" borderId="24" xfId="0" applyFill="1" applyBorder="1" applyAlignment="1">
      <alignment horizontal="center" vertical="center"/>
    </xf>
    <xf numFmtId="0" fontId="2" fillId="6" borderId="1" xfId="0" applyFont="1" applyFill="1" applyBorder="1" applyAlignment="1">
      <alignment horizontal="left" vertical="top"/>
    </xf>
    <xf numFmtId="0" fontId="2" fillId="6" borderId="0" xfId="0" applyFont="1" applyFill="1" applyBorder="1" applyAlignment="1">
      <alignment horizontal="left" vertical="top"/>
    </xf>
    <xf numFmtId="0" fontId="2" fillId="6" borderId="13" xfId="0" applyFont="1" applyFill="1" applyBorder="1" applyAlignment="1">
      <alignment horizontal="left" vertical="top"/>
    </xf>
    <xf numFmtId="0" fontId="2" fillId="7" borderId="2" xfId="0" applyFont="1" applyFill="1" applyBorder="1" applyAlignment="1">
      <alignment horizontal="left" vertical="top"/>
    </xf>
    <xf numFmtId="0" fontId="2" fillId="7" borderId="8" xfId="0" applyFont="1" applyFill="1" applyBorder="1" applyAlignment="1">
      <alignment horizontal="left" vertical="top"/>
    </xf>
    <xf numFmtId="0" fontId="2" fillId="7" borderId="12" xfId="0" applyFont="1" applyFill="1" applyBorder="1" applyAlignment="1">
      <alignment horizontal="left" vertical="top"/>
    </xf>
    <xf numFmtId="0" fontId="0" fillId="6" borderId="10" xfId="0" applyFill="1" applyBorder="1" applyAlignment="1">
      <alignment horizontal="center" vertical="center"/>
    </xf>
    <xf numFmtId="0" fontId="0" fillId="6" borderId="7" xfId="0" applyFill="1" applyBorder="1" applyAlignment="1">
      <alignment horizontal="center" vertical="center"/>
    </xf>
    <xf numFmtId="0" fontId="0" fillId="6" borderId="0" xfId="0" applyFill="1" applyBorder="1" applyAlignment="1">
      <alignment horizontal="center" vertical="center"/>
    </xf>
    <xf numFmtId="0" fontId="0" fillId="7" borderId="10" xfId="0" applyFill="1" applyBorder="1" applyAlignment="1">
      <alignment horizontal="center" vertical="center"/>
    </xf>
    <xf numFmtId="0" fontId="0" fillId="7" borderId="7" xfId="0" applyFill="1" applyBorder="1" applyAlignment="1">
      <alignment horizontal="center" vertical="center"/>
    </xf>
    <xf numFmtId="0" fontId="0" fillId="7" borderId="11" xfId="0" applyFill="1" applyBorder="1" applyAlignment="1">
      <alignment horizontal="center" vertical="center"/>
    </xf>
    <xf numFmtId="0" fontId="0" fillId="16" borderId="78" xfId="0" applyFill="1" applyBorder="1" applyAlignment="1">
      <alignment horizontal="center" vertical="center"/>
    </xf>
    <xf numFmtId="0" fontId="0" fillId="6" borderId="1" xfId="0" applyFill="1" applyBorder="1" applyAlignment="1">
      <alignment horizontal="center" vertical="center"/>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6" borderId="3"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6" borderId="10" xfId="0" applyFill="1" applyBorder="1" applyAlignment="1">
      <alignment horizontal="center" vertical="center" wrapText="1"/>
    </xf>
    <xf numFmtId="0" fontId="0" fillId="6"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3" xfId="0" applyFill="1" applyBorder="1" applyAlignment="1">
      <alignment horizontal="center" vertical="center" wrapText="1"/>
    </xf>
    <xf numFmtId="0" fontId="0" fillId="6" borderId="3" xfId="0" applyFont="1" applyFill="1" applyBorder="1" applyAlignment="1">
      <alignment horizontal="center" vertical="center"/>
    </xf>
    <xf numFmtId="0" fontId="0"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0" fillId="6" borderId="3" xfId="0" applyFont="1" applyFill="1" applyBorder="1" applyAlignment="1">
      <alignment horizontal="center" vertical="center" wrapText="1"/>
    </xf>
    <xf numFmtId="0" fontId="0" fillId="6" borderId="5"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0" fillId="7" borderId="16" xfId="0" applyFill="1" applyBorder="1" applyAlignment="1">
      <alignment horizontal="center" vertical="center" wrapText="1"/>
    </xf>
    <xf numFmtId="0" fontId="0" fillId="3" borderId="77" xfId="0"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3"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6" borderId="11"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3" borderId="11" xfId="0" applyFill="1" applyBorder="1" applyAlignment="1">
      <alignment horizontal="center" vertical="center"/>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xf numFmtId="0" fontId="0" fillId="7" borderId="3"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64" fillId="7" borderId="29" xfId="0" applyFont="1" applyFill="1" applyBorder="1" applyAlignment="1">
      <alignment wrapText="1"/>
    </xf>
  </cellXfs>
  <cellStyles count="3">
    <cellStyle name="Hyperlink" xfId="1" builtinId="8"/>
    <cellStyle name="Input" xfId="2" builtinId="20"/>
    <cellStyle name="Normal" xfId="0" builtinId="0"/>
  </cellStyles>
  <dxfs count="4">
    <dxf>
      <fill>
        <patternFill>
          <bgColor rgb="FFFFFF00"/>
        </patternFill>
      </fill>
    </dxf>
    <dxf>
      <fill>
        <patternFill>
          <bgColor theme="5" tint="0.79998168889431442"/>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lanview.sharepoint.com/sites/E1BuildCutover/Shared%20Documents/Customer%20Builds/1_FolderTemplate/18/NewLogo_Upgrade_v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Po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file:///\\sgcvmdfs01\SaaS%20Customer%20Key%20Files" TargetMode="External"/><Relationship Id="rId2" Type="http://schemas.openxmlformats.org/officeDocument/2006/relationships/hyperlink" Target="https://www.site24x7.com/app/client" TargetMode="External"/><Relationship Id="rId1" Type="http://schemas.openxmlformats.org/officeDocument/2006/relationships/hyperlink" Target="https://jenkins.us.planview.world/job/deploy_sql_cu_pipe/" TargetMode="External"/><Relationship Id="rId5" Type="http://schemas.openxmlformats.org/officeDocument/2006/relationships/printerSettings" Target="../printerSettings/printerSettings9.bin"/><Relationship Id="rId4" Type="http://schemas.openxmlformats.org/officeDocument/2006/relationships/hyperlink" Target="https://control.akamai.com/apps/fast-purg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file:///\\sgcvmdfs01\SaaS%20Customer%20Key%20Files" TargetMode="External"/><Relationship Id="rId3" Type="http://schemas.openxmlformats.org/officeDocument/2006/relationships/hyperlink" Target="https://jenkins.planviewcloud.net/job/e1_upgrade_pipe/" TargetMode="External"/><Relationship Id="rId7" Type="http://schemas.openxmlformats.org/officeDocument/2006/relationships/hyperlink" Target="https://www.site24x7.com/app/client" TargetMode="External"/><Relationship Id="rId2" Type="http://schemas.openxmlformats.org/officeDocument/2006/relationships/hyperlink" Target="https://jenkins.planviewcloud.net/job/e1_upgrade_pipe/build?delay=0sec" TargetMode="External"/><Relationship Id="rId1" Type="http://schemas.openxmlformats.org/officeDocument/2006/relationships/hyperlink" Target="https://jenkins.planviewcloud.net/job/create_ami_pipe/build?delay=0sec" TargetMode="External"/><Relationship Id="rId6" Type="http://schemas.openxmlformats.org/officeDocument/2006/relationships/hyperlink" Target="https://jenkins.planviewcloud.net/job/trx_update_pipe/build?delay=0sec" TargetMode="External"/><Relationship Id="rId5" Type="http://schemas.openxmlformats.org/officeDocument/2006/relationships/hyperlink" Target="https://jenkins.planviewcloud.net/job/e1_uppdate_pipe/build?delay=0sec" TargetMode="External"/><Relationship Id="rId10" Type="http://schemas.openxmlformats.org/officeDocument/2006/relationships/printerSettings" Target="../printerSettings/printerSettings10.bin"/><Relationship Id="rId4" Type="http://schemas.openxmlformats.org/officeDocument/2006/relationships/hyperlink" Target="https://control.akamai.com/apps/fast-purge/" TargetMode="External"/><Relationship Id="rId9" Type="http://schemas.openxmlformats.org/officeDocument/2006/relationships/hyperlink" Target="https://jenkins.planviewcloud.net/job/ctm_upgrade_pipe/build?delay=0sec"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site24x7.com/app/client" TargetMode="External"/><Relationship Id="rId7" Type="http://schemas.openxmlformats.org/officeDocument/2006/relationships/comments" Target="../comments2.xml"/><Relationship Id="rId2" Type="http://schemas.openxmlformats.org/officeDocument/2006/relationships/hyperlink" Target="https://control.akamai.com/apps/fast-purge/" TargetMode="External"/><Relationship Id="rId1" Type="http://schemas.openxmlformats.org/officeDocument/2006/relationships/hyperlink" Target="file:///\\techservices\Cutover\ImportConfig.bat" TargetMode="External"/><Relationship Id="rId6" Type="http://schemas.openxmlformats.org/officeDocument/2006/relationships/vmlDrawing" Target="../drawings/vmlDrawing2.vml"/><Relationship Id="rId5" Type="http://schemas.openxmlformats.org/officeDocument/2006/relationships/printerSettings" Target="../printerSettings/printerSettings12.bin"/><Relationship Id="rId4" Type="http://schemas.openxmlformats.org/officeDocument/2006/relationships/hyperlink" Target="https://planview.lightning.force.com/lightning/r/Case/5001M00001Zu5wsQAB/view"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jenkins.us.planview.world/job/ctm_upgrade_pipe/build?delay=0sec" TargetMode="External"/><Relationship Id="rId13" Type="http://schemas.openxmlformats.org/officeDocument/2006/relationships/printerSettings" Target="../printerSettings/printerSettings13.bin"/><Relationship Id="rId3" Type="http://schemas.openxmlformats.org/officeDocument/2006/relationships/hyperlink" Target="https://pbirsfarm03au.pvcloud.com/reportserver" TargetMode="External"/><Relationship Id="rId7" Type="http://schemas.openxmlformats.org/officeDocument/2006/relationships/hyperlink" Target="https://jenkins.eu.planview.world/job/e1_upgrade_pipe/build?delay=0sec" TargetMode="External"/><Relationship Id="rId12" Type="http://schemas.openxmlformats.org/officeDocument/2006/relationships/hyperlink" Target="https://jenkins.planviewcloud.net/job/manage_reports_pipe/build?delay=0sec" TargetMode="External"/><Relationship Id="rId2" Type="http://schemas.openxmlformats.org/officeDocument/2006/relationships/hyperlink" Target="https://eureportfarm03.pvcloud.com/ReportServer" TargetMode="External"/><Relationship Id="rId1" Type="http://schemas.openxmlformats.org/officeDocument/2006/relationships/hyperlink" Target="https://usreportfarm03.pvcloud.com/ReportServer" TargetMode="External"/><Relationship Id="rId6" Type="http://schemas.openxmlformats.org/officeDocument/2006/relationships/hyperlink" Target="https://jenkins.us.planview.world/job/e1_upgrade_pipe/build?delay=0sec" TargetMode="External"/><Relationship Id="rId11" Type="http://schemas.openxmlformats.org/officeDocument/2006/relationships/hyperlink" Target="https://jenkins.eu.planview.world/job/manage_reports_pipe/build?delay=0sec" TargetMode="External"/><Relationship Id="rId5" Type="http://schemas.openxmlformats.org/officeDocument/2006/relationships/hyperlink" Target="file:///\\filegateway02\e1-prod-%3cDC%3e-content-shared\%3cCustDNS%3e.pvcloud.com" TargetMode="External"/><Relationship Id="rId10" Type="http://schemas.openxmlformats.org/officeDocument/2006/relationships/hyperlink" Target="https://jenkins.us.planview.world/job/manage_reports_pipe/build?delay=0sec" TargetMode="External"/><Relationship Id="rId4" Type="http://schemas.openxmlformats.org/officeDocument/2006/relationships/hyperlink" Target="https://pbirsfarm01fr.pvcloud.com/reportserver" TargetMode="External"/><Relationship Id="rId9" Type="http://schemas.openxmlformats.org/officeDocument/2006/relationships/hyperlink" Target="https://jenkins.eu.planview.world/job/ctm_upgrade_pipe/build?delay=0sec"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ustinbeveragecompany.pvcloud.com/" TargetMode="External"/><Relationship Id="rId7" Type="http://schemas.openxmlformats.org/officeDocument/2006/relationships/vmlDrawing" Target="../drawings/vmlDrawing1.vml"/><Relationship Id="rId2" Type="http://schemas.openxmlformats.org/officeDocument/2006/relationships/hyperlink" Target="https://austinbeveragecompany2.pvcloud.com/planview" TargetMode="External"/><Relationship Id="rId1" Type="http://schemas.openxmlformats.org/officeDocument/2006/relationships/hyperlink" Target="file:///\\sgcvmdfs01\SaaS%20Customer%20Key%20Files" TargetMode="External"/><Relationship Id="rId6" Type="http://schemas.openxmlformats.org/officeDocument/2006/relationships/printerSettings" Target="../printerSettings/printerSettings2.bin"/><Relationship Id="rId5" Type="http://schemas.openxmlformats.org/officeDocument/2006/relationships/hyperlink" Target="https://hostingreports.planview.world/SCCMWindows/SCCMWindowReport.html" TargetMode="External"/><Relationship Id="rId4" Type="http://schemas.openxmlformats.org/officeDocument/2006/relationships/hyperlink" Target="https://austinbeveragecompany.pvclou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enkins.us.planview.world/job/deploy_prm_adapter/build?delay=0sec" TargetMode="External"/><Relationship Id="rId1" Type="http://schemas.openxmlformats.org/officeDocument/2006/relationships/hyperlink" Target="https://jenkins.us.planview.world/job/deploy_prm_adapter/build?delay=0sec"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planview.leankit.com/board/751178783Drag%20or%20right%20click%20LK%20card%20Move%20to%20Lane%20-%3e%20PRM%20+%20CTM%20under%20Pre-Prod%20and%20Sandbox%20in%20the%20Build%20Team%20In%20Progress%20column.%20%20Assign%20card%20to%20yourself." TargetMode="External"/><Relationship Id="rId1" Type="http://schemas.openxmlformats.org/officeDocument/2006/relationships/hyperlink" Target="https://planview.leankit.com/board/751178783Drag%20or%20right%20click%20LK%20card%20Move%20to%20Lane%20-%3e%20Testing%20-%3e%20Sandbox%20-%3e%2017%20Testing%20and%20assign%20to%20UM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file:///\\sgcvmdfs01\SaaS%20Customer%20Key%20Files" TargetMode="External"/><Relationship Id="rId2" Type="http://schemas.openxmlformats.org/officeDocument/2006/relationships/hyperlink" Target="https://control.akamai.com/apps/fast-purge/" TargetMode="External"/><Relationship Id="rId1" Type="http://schemas.openxmlformats.org/officeDocument/2006/relationships/hyperlink" Target="https://jenkins.us.planview.world/job/deploy_sql_cu_pipe/" TargetMode="External"/><Relationship Id="rId5" Type="http://schemas.openxmlformats.org/officeDocument/2006/relationships/printerSettings" Target="../printerSettings/printerSettings6.bin"/><Relationship Id="rId4" Type="http://schemas.openxmlformats.org/officeDocument/2006/relationships/hyperlink" Target="https://planview.lightning.force.com/lightning"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jenkins.planviewcloud.net/job/e1_upgrade_pipe/" TargetMode="External"/><Relationship Id="rId7" Type="http://schemas.openxmlformats.org/officeDocument/2006/relationships/hyperlink" Target="https://jenkins.planviewcloud.net/job/trx_update_pipe/build?delay=0sec" TargetMode="External"/><Relationship Id="rId2" Type="http://schemas.openxmlformats.org/officeDocument/2006/relationships/hyperlink" Target="https://jenkins.planviewcloud.net/job/e1_upgrade_pipe/build?delay=0sec" TargetMode="External"/><Relationship Id="rId1" Type="http://schemas.openxmlformats.org/officeDocument/2006/relationships/hyperlink" Target="https://jenkins.planviewcloud.net/job/create_ami_pipe/build?delay=0sec" TargetMode="External"/><Relationship Id="rId6" Type="http://schemas.openxmlformats.org/officeDocument/2006/relationships/hyperlink" Target="https://jenkins.planviewcloud.net/job/e1_update_pipe/build?delay=0sec" TargetMode="External"/><Relationship Id="rId5" Type="http://schemas.openxmlformats.org/officeDocument/2006/relationships/hyperlink" Target="https://control.akamai.com/apps/fast-purge/" TargetMode="External"/><Relationship Id="rId4" Type="http://schemas.openxmlformats.org/officeDocument/2006/relationships/hyperlink" Target="https://jenkins.planviewcloud.net/job/ctm_upgrade_pipe/build?delay=0s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8"/>
  <sheetViews>
    <sheetView zoomScaleNormal="100" workbookViewId="0">
      <selection activeCell="B6" sqref="B6:D6"/>
    </sheetView>
  </sheetViews>
  <sheetFormatPr defaultRowHeight="15"/>
  <cols>
    <col min="1" max="1" width="42.85546875" customWidth="1"/>
    <col min="2" max="2" width="25.5703125" customWidth="1"/>
    <col min="3" max="3" width="26.140625" customWidth="1"/>
    <col min="4" max="4" width="33.140625" bestFit="1" customWidth="1"/>
    <col min="5" max="5" width="30.7109375" bestFit="1" customWidth="1"/>
    <col min="6" max="6" width="44.7109375" customWidth="1"/>
    <col min="7" max="7" width="90.28515625" customWidth="1"/>
    <col min="8" max="8" width="35.7109375" customWidth="1"/>
    <col min="9" max="9" width="46.85546875" customWidth="1"/>
    <col min="10" max="10" width="25.42578125" customWidth="1"/>
    <col min="11" max="11" width="26" customWidth="1"/>
    <col min="12" max="12" width="25.28515625" customWidth="1"/>
  </cols>
  <sheetData>
    <row r="1" spans="1:7" ht="18">
      <c r="A1" s="115" t="s">
        <v>0</v>
      </c>
      <c r="B1" s="1027"/>
      <c r="C1" s="1028"/>
      <c r="D1" s="1029"/>
    </row>
    <row r="2" spans="1:7" ht="18.75">
      <c r="A2" s="115" t="s">
        <v>1</v>
      </c>
      <c r="B2" s="1027"/>
      <c r="C2" s="1028"/>
      <c r="D2" s="1029"/>
      <c r="G2" s="116"/>
    </row>
    <row r="3" spans="1:7" ht="18.75">
      <c r="A3" s="115" t="s">
        <v>2</v>
      </c>
      <c r="B3" s="1027"/>
      <c r="C3" s="1036"/>
      <c r="D3" s="1037"/>
      <c r="G3" s="116"/>
    </row>
    <row r="4" spans="1:7" ht="18.75">
      <c r="A4" s="115" t="s">
        <v>3</v>
      </c>
      <c r="B4" s="1027"/>
      <c r="C4" s="1036"/>
      <c r="D4" s="1037"/>
      <c r="G4" s="116"/>
    </row>
    <row r="5" spans="1:7" ht="18">
      <c r="A5" s="115" t="s">
        <v>4</v>
      </c>
      <c r="B5" s="1030"/>
      <c r="C5" s="1031"/>
      <c r="D5" s="1032"/>
    </row>
    <row r="6" spans="1:7" ht="18">
      <c r="A6" s="115" t="s">
        <v>5</v>
      </c>
      <c r="B6" s="1033"/>
      <c r="C6" s="1033"/>
      <c r="D6" s="1033"/>
    </row>
    <row r="7" spans="1:7">
      <c r="B7" s="753" t="s">
        <v>6</v>
      </c>
    </row>
    <row r="8" spans="1:7" ht="18">
      <c r="A8" s="117" t="s">
        <v>7</v>
      </c>
      <c r="B8" s="1034" t="s">
        <v>8</v>
      </c>
      <c r="C8" s="1035"/>
    </row>
    <row r="9" spans="1:7">
      <c r="A9" s="754" t="s">
        <v>9</v>
      </c>
      <c r="B9" s="1038"/>
      <c r="C9" s="1038"/>
      <c r="D9" s="119"/>
    </row>
    <row r="10" spans="1:7">
      <c r="A10" s="755" t="s">
        <v>10</v>
      </c>
      <c r="B10" s="1038"/>
      <c r="C10" s="1038"/>
      <c r="D10" s="119"/>
    </row>
    <row r="11" spans="1:7">
      <c r="A11" s="756" t="s">
        <v>11</v>
      </c>
      <c r="B11" s="1038"/>
      <c r="C11" s="1038"/>
      <c r="D11" s="119"/>
    </row>
    <row r="12" spans="1:7">
      <c r="A12" s="755" t="s">
        <v>12</v>
      </c>
      <c r="B12" s="1039"/>
      <c r="C12" s="1039"/>
      <c r="D12" s="119"/>
    </row>
    <row r="13" spans="1:7">
      <c r="A13" s="757" t="s">
        <v>13</v>
      </c>
      <c r="B13" s="1038"/>
      <c r="C13" s="1038"/>
      <c r="D13" s="119"/>
    </row>
    <row r="14" spans="1:7">
      <c r="A14" s="755" t="s">
        <v>14</v>
      </c>
      <c r="B14" s="1038"/>
      <c r="C14" s="1038"/>
      <c r="D14" s="119"/>
    </row>
    <row r="15" spans="1:7">
      <c r="A15" s="755" t="s">
        <v>15</v>
      </c>
      <c r="B15" s="1038"/>
      <c r="C15" s="1038"/>
      <c r="D15" s="119"/>
    </row>
    <row r="16" spans="1:7">
      <c r="A16" s="118" t="s">
        <v>16</v>
      </c>
      <c r="B16" s="1026"/>
      <c r="C16" s="1026"/>
      <c r="D16" s="119"/>
    </row>
    <row r="17" spans="1:4">
      <c r="A17" s="118" t="s">
        <v>17</v>
      </c>
      <c r="B17" s="1023"/>
      <c r="C17" s="1023"/>
      <c r="D17" s="119"/>
    </row>
    <row r="18" spans="1:4">
      <c r="A18" s="118" t="s">
        <v>18</v>
      </c>
      <c r="B18" s="1023"/>
      <c r="C18" s="1023"/>
      <c r="D18" s="119"/>
    </row>
    <row r="19" spans="1:4">
      <c r="A19" s="118" t="s">
        <v>19</v>
      </c>
      <c r="B19" s="1022"/>
      <c r="C19" s="1022"/>
      <c r="D19" s="119"/>
    </row>
    <row r="20" spans="1:4">
      <c r="A20" s="118" t="s">
        <v>20</v>
      </c>
      <c r="B20" s="1026"/>
      <c r="C20" s="1026"/>
      <c r="D20" s="119"/>
    </row>
    <row r="21" spans="1:4">
      <c r="A21" s="118" t="s">
        <v>21</v>
      </c>
      <c r="B21" s="1026"/>
      <c r="C21" s="1026"/>
      <c r="D21" s="119"/>
    </row>
    <row r="22" spans="1:4">
      <c r="A22" s="118" t="s">
        <v>23</v>
      </c>
      <c r="B22" s="1026"/>
      <c r="C22" s="1026"/>
      <c r="D22" s="119"/>
    </row>
    <row r="23" spans="1:4" ht="12" customHeight="1">
      <c r="A23" s="118" t="s">
        <v>24</v>
      </c>
      <c r="B23" s="1026"/>
      <c r="C23" s="1026"/>
      <c r="D23" s="119"/>
    </row>
    <row r="24" spans="1:4">
      <c r="A24" s="120" t="s">
        <v>25</v>
      </c>
      <c r="B24" s="1026"/>
      <c r="C24" s="1026"/>
      <c r="D24" s="119"/>
    </row>
    <row r="25" spans="1:4">
      <c r="A25" s="121" t="s">
        <v>26</v>
      </c>
      <c r="B25" s="1026"/>
      <c r="C25" s="1026"/>
      <c r="D25" s="122"/>
    </row>
    <row r="27" spans="1:4" ht="18">
      <c r="A27" s="123" t="s">
        <v>27</v>
      </c>
      <c r="B27" s="124" t="s">
        <v>28</v>
      </c>
      <c r="C27" s="124" t="s">
        <v>29</v>
      </c>
    </row>
    <row r="28" spans="1:4" ht="15" customHeight="1">
      <c r="A28" s="125" t="s">
        <v>30</v>
      </c>
      <c r="B28" s="927"/>
      <c r="C28" s="927"/>
    </row>
    <row r="29" spans="1:4">
      <c r="A29" s="125" t="s">
        <v>31</v>
      </c>
      <c r="B29" s="927"/>
      <c r="C29" s="927"/>
    </row>
    <row r="30" spans="1:4">
      <c r="A30" s="125" t="s">
        <v>32</v>
      </c>
      <c r="B30" s="927"/>
      <c r="C30" s="927"/>
    </row>
    <row r="31" spans="1:4">
      <c r="A31" s="125" t="s">
        <v>33</v>
      </c>
      <c r="B31" s="927"/>
      <c r="C31" s="927"/>
    </row>
    <row r="32" spans="1:4">
      <c r="A32" s="125" t="s">
        <v>34</v>
      </c>
      <c r="B32" s="927"/>
      <c r="C32" s="927" t="s">
        <v>35</v>
      </c>
    </row>
    <row r="33" spans="1:4">
      <c r="A33" s="125" t="s">
        <v>36</v>
      </c>
      <c r="B33" s="928"/>
      <c r="C33" s="928"/>
    </row>
    <row r="34" spans="1:4">
      <c r="A34" s="125" t="s">
        <v>37</v>
      </c>
      <c r="B34" s="927"/>
      <c r="C34" s="927"/>
      <c r="D34" s="126" t="s">
        <v>38</v>
      </c>
    </row>
    <row r="35" spans="1:4">
      <c r="A35" s="125" t="s">
        <v>39</v>
      </c>
      <c r="B35" s="927"/>
      <c r="C35" s="927"/>
    </row>
    <row r="36" spans="1:4">
      <c r="A36" s="125" t="s">
        <v>41</v>
      </c>
      <c r="B36" s="927"/>
      <c r="C36" s="927"/>
      <c r="D36" s="126" t="s">
        <v>38</v>
      </c>
    </row>
    <row r="37" spans="1:4">
      <c r="A37" s="125" t="s">
        <v>42</v>
      </c>
      <c r="B37" s="927"/>
      <c r="C37" s="927"/>
    </row>
    <row r="38" spans="1:4">
      <c r="A38" s="125" t="s">
        <v>43</v>
      </c>
      <c r="B38" s="927"/>
      <c r="C38" s="927"/>
    </row>
    <row r="39" spans="1:4">
      <c r="A39" s="125" t="s">
        <v>44</v>
      </c>
      <c r="B39" s="927"/>
      <c r="C39" s="927"/>
    </row>
    <row r="40" spans="1:4">
      <c r="A40" s="127" t="s">
        <v>45</v>
      </c>
      <c r="B40" s="929"/>
      <c r="C40" s="927"/>
    </row>
    <row r="41" spans="1:4">
      <c r="A41" s="128" t="s">
        <v>46</v>
      </c>
      <c r="B41" s="129"/>
      <c r="C41" s="927"/>
    </row>
    <row r="42" spans="1:4">
      <c r="A42" s="130" t="s">
        <v>47</v>
      </c>
      <c r="B42" s="131"/>
      <c r="C42" s="131"/>
    </row>
    <row r="44" spans="1:4" ht="18">
      <c r="A44" s="132" t="s">
        <v>48</v>
      </c>
      <c r="B44" s="124" t="s">
        <v>49</v>
      </c>
      <c r="C44" s="124" t="s">
        <v>50</v>
      </c>
    </row>
    <row r="45" spans="1:4">
      <c r="A45" s="489" t="s">
        <v>51</v>
      </c>
      <c r="B45" s="927"/>
      <c r="C45" s="927"/>
    </row>
    <row r="46" spans="1:4">
      <c r="A46" s="133" t="s">
        <v>52</v>
      </c>
      <c r="B46" s="927"/>
      <c r="C46" s="927"/>
    </row>
    <row r="47" spans="1:4">
      <c r="A47" s="133" t="s">
        <v>53</v>
      </c>
      <c r="B47" s="927"/>
      <c r="C47" s="927"/>
    </row>
    <row r="48" spans="1:4">
      <c r="A48" s="133" t="s">
        <v>54</v>
      </c>
      <c r="B48" s="927"/>
      <c r="C48" s="927"/>
    </row>
    <row r="49" spans="1:11">
      <c r="A49" s="127" t="s">
        <v>55</v>
      </c>
      <c r="B49" s="109"/>
      <c r="C49" s="930"/>
    </row>
    <row r="50" spans="1:11">
      <c r="A50" s="490" t="s">
        <v>56</v>
      </c>
      <c r="B50" s="930"/>
      <c r="C50" s="930"/>
    </row>
    <row r="52" spans="1:11" ht="18">
      <c r="A52" s="132" t="s">
        <v>57</v>
      </c>
      <c r="B52" s="1024"/>
      <c r="C52" s="1025"/>
      <c r="D52" s="1025"/>
    </row>
    <row r="54" spans="1:11" ht="18">
      <c r="A54" s="115" t="s">
        <v>58</v>
      </c>
      <c r="B54" s="134"/>
      <c r="C54" s="134"/>
      <c r="D54" s="134"/>
      <c r="E54" s="134"/>
      <c r="F54" s="134"/>
      <c r="G54" s="134"/>
      <c r="H54" s="134"/>
      <c r="I54" s="134"/>
      <c r="J54" s="134"/>
      <c r="K54" s="134"/>
    </row>
    <row r="55" spans="1:11" ht="18">
      <c r="A55" s="135"/>
      <c r="B55" s="136" t="s">
        <v>59</v>
      </c>
      <c r="C55" s="137" t="s">
        <v>60</v>
      </c>
      <c r="D55" s="136" t="s">
        <v>61</v>
      </c>
      <c r="E55" s="136" t="s">
        <v>62</v>
      </c>
      <c r="F55" s="136" t="s">
        <v>63</v>
      </c>
      <c r="G55" s="136" t="s">
        <v>64</v>
      </c>
      <c r="H55" s="136" t="s">
        <v>65</v>
      </c>
      <c r="I55" s="136" t="s">
        <v>66</v>
      </c>
      <c r="J55" s="136" t="s">
        <v>67</v>
      </c>
      <c r="K55" s="136" t="s">
        <v>68</v>
      </c>
    </row>
    <row r="56" spans="1:11" ht="15.75">
      <c r="A56" s="138" t="s">
        <v>69</v>
      </c>
      <c r="B56" s="7"/>
      <c r="C56" s="7"/>
      <c r="D56" s="7"/>
      <c r="E56" s="7"/>
      <c r="F56" s="7"/>
      <c r="G56" s="7"/>
      <c r="H56" s="7"/>
      <c r="I56" s="7"/>
      <c r="J56" s="7"/>
      <c r="K56" s="7"/>
    </row>
    <row r="57" spans="1:11">
      <c r="A57" s="139" t="s">
        <v>70</v>
      </c>
      <c r="B57" s="140"/>
      <c r="C57" s="140"/>
      <c r="D57" s="140"/>
      <c r="E57" s="140"/>
      <c r="F57" s="140"/>
      <c r="G57" s="473"/>
      <c r="H57" s="140"/>
      <c r="I57" s="140"/>
      <c r="J57" s="140"/>
      <c r="K57" s="140"/>
    </row>
    <row r="58" spans="1:11">
      <c r="A58" s="139" t="s">
        <v>71</v>
      </c>
      <c r="B58" s="7"/>
      <c r="C58" s="7"/>
      <c r="D58" s="7"/>
      <c r="E58" s="7"/>
      <c r="F58" s="7"/>
      <c r="G58" s="384"/>
      <c r="H58" s="384"/>
      <c r="I58" s="7"/>
      <c r="J58" s="7"/>
      <c r="K58" s="7"/>
    </row>
    <row r="59" spans="1:11">
      <c r="A59" s="139" t="s">
        <v>72</v>
      </c>
      <c r="B59" s="7"/>
      <c r="C59" s="7"/>
      <c r="D59" s="7"/>
      <c r="E59" s="384"/>
      <c r="F59" s="7"/>
      <c r="G59" s="384"/>
      <c r="H59" s="7"/>
      <c r="I59" s="7"/>
      <c r="J59" s="7"/>
      <c r="K59" s="7"/>
    </row>
    <row r="60" spans="1:11">
      <c r="A60" s="139" t="s">
        <v>73</v>
      </c>
      <c r="B60" s="7"/>
      <c r="C60" s="7"/>
      <c r="D60" s="7"/>
      <c r="E60" s="384"/>
      <c r="F60" s="141"/>
      <c r="G60" s="384"/>
      <c r="H60" s="7"/>
      <c r="I60" s="7"/>
      <c r="J60" s="7"/>
      <c r="K60" s="7"/>
    </row>
    <row r="61" spans="1:11">
      <c r="A61" s="139" t="s">
        <v>74</v>
      </c>
      <c r="B61" s="7"/>
      <c r="C61" s="7"/>
      <c r="D61" s="7"/>
      <c r="E61" s="384"/>
      <c r="F61" s="7"/>
      <c r="G61" s="384"/>
      <c r="H61" s="7"/>
      <c r="I61" s="7"/>
      <c r="J61" s="7"/>
      <c r="K61" s="7"/>
    </row>
    <row r="62" spans="1:11">
      <c r="A62" s="139" t="s">
        <v>75</v>
      </c>
      <c r="B62" s="7"/>
      <c r="C62" s="7"/>
      <c r="D62" s="7"/>
      <c r="E62" s="384"/>
      <c r="F62" s="7"/>
      <c r="G62" s="384"/>
      <c r="H62" s="7"/>
      <c r="I62" s="7"/>
      <c r="J62" s="7"/>
      <c r="K62" s="7"/>
    </row>
    <row r="63" spans="1:11" ht="18">
      <c r="A63" s="142" t="s">
        <v>76</v>
      </c>
      <c r="B63" s="7"/>
      <c r="C63" s="7"/>
      <c r="D63" s="7"/>
      <c r="E63" s="7"/>
      <c r="F63" s="7"/>
      <c r="G63" s="7"/>
      <c r="H63" s="7"/>
      <c r="I63" s="7"/>
      <c r="J63" s="7"/>
      <c r="K63" s="7"/>
    </row>
    <row r="64" spans="1:11">
      <c r="A64" s="143"/>
      <c r="B64" s="7"/>
      <c r="C64" s="7"/>
      <c r="D64" s="7"/>
      <c r="E64" s="7"/>
      <c r="F64" s="7"/>
      <c r="G64" s="384"/>
      <c r="H64" s="7"/>
      <c r="I64" s="7"/>
      <c r="J64" s="7"/>
      <c r="K64" s="7"/>
    </row>
    <row r="65" spans="1:11">
      <c r="A65" s="143"/>
      <c r="B65" s="7"/>
      <c r="C65" s="7"/>
      <c r="D65" s="7"/>
      <c r="E65" s="7"/>
      <c r="F65" s="7"/>
      <c r="G65" s="7"/>
      <c r="H65" s="7"/>
      <c r="I65" s="7"/>
      <c r="J65" s="7"/>
      <c r="K65" s="7"/>
    </row>
    <row r="66" spans="1:11">
      <c r="A66" s="143"/>
      <c r="B66" s="7"/>
      <c r="C66" s="7"/>
      <c r="D66" s="7"/>
      <c r="E66" s="7"/>
      <c r="F66" s="7"/>
      <c r="G66" s="7"/>
      <c r="H66" s="7"/>
      <c r="I66" s="7"/>
      <c r="J66" s="7"/>
      <c r="K66" s="7"/>
    </row>
    <row r="67" spans="1:11">
      <c r="A67" s="143"/>
      <c r="B67" s="7"/>
      <c r="C67" s="7"/>
      <c r="D67" s="7"/>
      <c r="E67" s="7"/>
      <c r="F67" s="7"/>
      <c r="G67" s="7"/>
      <c r="H67" s="7"/>
      <c r="I67" s="7"/>
      <c r="J67" s="7"/>
      <c r="K67" s="7"/>
    </row>
    <row r="68" spans="1:11">
      <c r="A68" s="143"/>
      <c r="B68" s="7"/>
      <c r="C68" s="7"/>
      <c r="D68" s="7"/>
      <c r="E68" s="7"/>
      <c r="F68" s="7"/>
      <c r="G68" s="7"/>
      <c r="H68" s="7"/>
      <c r="I68" s="7"/>
      <c r="J68" s="7"/>
      <c r="K68" s="7"/>
    </row>
    <row r="69" spans="1:11">
      <c r="A69" s="143"/>
      <c r="B69" s="7"/>
      <c r="C69" s="7"/>
      <c r="D69" s="7"/>
      <c r="E69" s="7"/>
      <c r="F69" s="7"/>
      <c r="G69" s="7"/>
      <c r="H69" s="7"/>
      <c r="I69" s="7"/>
      <c r="J69" s="7"/>
      <c r="K69" s="7"/>
    </row>
    <row r="70" spans="1:11">
      <c r="A70" s="143"/>
      <c r="B70" s="7"/>
      <c r="C70" s="7"/>
      <c r="D70" s="7"/>
      <c r="E70" s="7"/>
      <c r="F70" s="7"/>
      <c r="G70" s="7"/>
      <c r="H70" s="7"/>
      <c r="I70" s="7"/>
      <c r="J70" s="7"/>
      <c r="K70" s="7"/>
    </row>
    <row r="71" spans="1:11">
      <c r="A71" s="143"/>
      <c r="B71" s="7"/>
      <c r="C71" s="7"/>
      <c r="D71" s="7"/>
      <c r="E71" s="7"/>
      <c r="F71" s="7"/>
      <c r="G71" s="7"/>
      <c r="H71" s="7"/>
      <c r="I71" s="7"/>
      <c r="J71" s="7"/>
      <c r="K71" s="7"/>
    </row>
    <row r="72" spans="1:11">
      <c r="A72" s="143"/>
      <c r="B72" s="7"/>
      <c r="C72" s="7"/>
      <c r="D72" s="7"/>
      <c r="E72" s="7"/>
      <c r="F72" s="7"/>
      <c r="G72" s="7"/>
      <c r="H72" s="7"/>
      <c r="I72" s="7"/>
      <c r="J72" s="7"/>
      <c r="K72" s="7"/>
    </row>
    <row r="73" spans="1:11">
      <c r="A73" s="143"/>
      <c r="B73" s="7"/>
      <c r="C73" s="7"/>
      <c r="D73" s="7"/>
      <c r="E73" s="7"/>
      <c r="F73" s="7"/>
      <c r="G73" s="7"/>
      <c r="H73" s="7"/>
      <c r="I73" s="7"/>
      <c r="J73" s="7"/>
      <c r="K73" s="7"/>
    </row>
    <row r="74" spans="1:11">
      <c r="A74" s="144"/>
      <c r="B74" s="7"/>
      <c r="C74" s="7"/>
      <c r="D74" s="7"/>
      <c r="E74" s="7"/>
      <c r="F74" s="7"/>
      <c r="G74" s="32"/>
      <c r="H74" s="7"/>
      <c r="I74" s="7"/>
      <c r="J74" s="7"/>
      <c r="K74" s="7"/>
    </row>
    <row r="75" spans="1:11" ht="18">
      <c r="A75" s="135"/>
      <c r="B75" s="136" t="s">
        <v>59</v>
      </c>
      <c r="C75" s="136" t="s">
        <v>60</v>
      </c>
      <c r="D75" s="136" t="s">
        <v>61</v>
      </c>
      <c r="E75" s="136" t="s">
        <v>62</v>
      </c>
      <c r="F75" s="136" t="s">
        <v>63</v>
      </c>
      <c r="G75" s="136" t="s">
        <v>64</v>
      </c>
      <c r="H75" s="136" t="s">
        <v>65</v>
      </c>
      <c r="I75" s="136" t="s">
        <v>66</v>
      </c>
      <c r="J75" s="136" t="s">
        <v>67</v>
      </c>
      <c r="K75" s="136" t="s">
        <v>68</v>
      </c>
    </row>
    <row r="76" spans="1:11" ht="15.75">
      <c r="A76" s="138" t="s">
        <v>77</v>
      </c>
      <c r="B76" s="7"/>
      <c r="C76" s="7"/>
      <c r="D76" s="7"/>
      <c r="E76" s="7"/>
      <c r="F76" s="7"/>
      <c r="G76" s="7"/>
      <c r="H76" s="7"/>
      <c r="I76" s="7"/>
      <c r="J76" s="7"/>
      <c r="K76" s="7"/>
    </row>
    <row r="77" spans="1:11">
      <c r="A77" s="139" t="s">
        <v>70</v>
      </c>
      <c r="B77" s="140"/>
      <c r="C77" s="140"/>
      <c r="D77" s="140"/>
      <c r="E77" s="140"/>
      <c r="F77" s="140"/>
      <c r="G77" s="473"/>
      <c r="H77" s="140"/>
      <c r="I77" s="140"/>
      <c r="J77" s="140"/>
      <c r="K77" s="140"/>
    </row>
    <row r="78" spans="1:11">
      <c r="A78" s="139" t="s">
        <v>71</v>
      </c>
      <c r="B78" s="7"/>
      <c r="C78" s="7"/>
      <c r="D78" s="7"/>
      <c r="E78" s="7"/>
      <c r="F78" s="7"/>
      <c r="G78" s="384"/>
      <c r="H78" s="384"/>
      <c r="I78" s="7"/>
      <c r="J78" s="7"/>
      <c r="K78" s="7"/>
    </row>
    <row r="79" spans="1:11">
      <c r="A79" s="139" t="s">
        <v>72</v>
      </c>
      <c r="B79" s="7"/>
      <c r="C79" s="7"/>
      <c r="D79" s="7"/>
      <c r="E79" s="384"/>
      <c r="F79" s="7"/>
      <c r="G79" s="384"/>
      <c r="H79" s="7"/>
      <c r="I79" s="7"/>
      <c r="J79" s="7"/>
      <c r="K79" s="7"/>
    </row>
    <row r="80" spans="1:11">
      <c r="A80" s="139" t="s">
        <v>73</v>
      </c>
      <c r="B80" s="7"/>
      <c r="C80" s="7"/>
      <c r="D80" s="7"/>
      <c r="E80" s="384"/>
      <c r="F80" s="7"/>
      <c r="G80" s="384"/>
      <c r="H80" s="7"/>
      <c r="I80" s="7"/>
      <c r="J80" s="7"/>
      <c r="K80" s="7"/>
    </row>
    <row r="81" spans="1:24">
      <c r="A81" s="139" t="s">
        <v>74</v>
      </c>
      <c r="B81" s="7"/>
      <c r="C81" s="7"/>
      <c r="D81" s="7"/>
      <c r="E81" s="7"/>
      <c r="F81" s="7"/>
      <c r="G81" s="384"/>
      <c r="H81" s="7"/>
      <c r="I81" s="7"/>
      <c r="J81" s="7"/>
      <c r="K81" s="7"/>
    </row>
    <row r="82" spans="1:24">
      <c r="A82" s="139" t="s">
        <v>75</v>
      </c>
      <c r="B82" s="7"/>
      <c r="C82" s="7"/>
      <c r="D82" s="7"/>
      <c r="E82" s="384"/>
      <c r="F82" s="7"/>
      <c r="G82" s="384"/>
      <c r="H82" s="7"/>
      <c r="I82" s="7"/>
      <c r="J82" s="7"/>
      <c r="K82" s="7"/>
    </row>
    <row r="83" spans="1:24" ht="18">
      <c r="A83" s="145" t="s">
        <v>78</v>
      </c>
      <c r="B83" s="7"/>
      <c r="C83" s="7"/>
      <c r="D83" s="7"/>
      <c r="E83" s="7"/>
      <c r="F83" s="7"/>
      <c r="G83" s="7"/>
      <c r="H83" s="7"/>
      <c r="I83" s="7"/>
      <c r="J83" s="7"/>
      <c r="K83" s="7"/>
    </row>
    <row r="84" spans="1:24">
      <c r="A84" s="143"/>
      <c r="B84" s="7"/>
      <c r="C84" s="7"/>
      <c r="D84" s="7"/>
      <c r="E84" s="7"/>
      <c r="F84" s="7"/>
      <c r="G84" s="384"/>
      <c r="H84" s="7"/>
      <c r="I84" s="7"/>
      <c r="J84" s="7"/>
      <c r="K84" s="7"/>
    </row>
    <row r="85" spans="1:24">
      <c r="A85" s="143"/>
      <c r="B85" s="7"/>
      <c r="C85" s="7"/>
      <c r="D85" s="7"/>
      <c r="E85" s="7"/>
      <c r="F85" s="7"/>
      <c r="G85" s="7"/>
      <c r="H85" s="7"/>
      <c r="I85" s="7"/>
      <c r="J85" s="7"/>
      <c r="K85" s="7"/>
    </row>
    <row r="86" spans="1:24">
      <c r="A86" s="143"/>
      <c r="B86" s="7"/>
      <c r="C86" s="7"/>
      <c r="D86" s="7"/>
      <c r="E86" s="7"/>
      <c r="F86" s="7"/>
      <c r="G86" s="7"/>
      <c r="H86" s="7"/>
      <c r="I86" s="7"/>
      <c r="J86" s="7"/>
      <c r="K86" s="7"/>
    </row>
    <row r="87" spans="1:24">
      <c r="A87" s="143"/>
      <c r="B87" s="7"/>
      <c r="C87" s="7"/>
      <c r="D87" s="7"/>
      <c r="E87" s="7"/>
      <c r="F87" s="7"/>
      <c r="G87" s="7"/>
      <c r="H87" s="7"/>
      <c r="I87" s="7"/>
      <c r="J87" s="7"/>
      <c r="K87" s="7"/>
    </row>
    <row r="88" spans="1:24">
      <c r="A88" s="143"/>
      <c r="B88" s="7"/>
      <c r="C88" s="7"/>
      <c r="D88" s="7"/>
      <c r="E88" s="7"/>
      <c r="F88" s="7"/>
      <c r="G88" s="7"/>
      <c r="H88" s="7"/>
      <c r="I88" s="7"/>
      <c r="J88" s="7"/>
      <c r="K88" s="7"/>
    </row>
    <row r="89" spans="1:24">
      <c r="A89" s="143"/>
      <c r="B89" s="7"/>
      <c r="C89" s="7"/>
      <c r="D89" s="7"/>
      <c r="E89" s="7"/>
      <c r="F89" s="7"/>
      <c r="G89" s="7"/>
      <c r="H89" s="7"/>
      <c r="I89" s="7"/>
      <c r="J89" s="7"/>
      <c r="K89" s="7"/>
    </row>
    <row r="90" spans="1:24">
      <c r="A90" s="143"/>
      <c r="B90" s="7"/>
      <c r="C90" s="7"/>
      <c r="D90" s="7"/>
      <c r="E90" s="7"/>
      <c r="F90" s="7"/>
      <c r="G90" s="7"/>
      <c r="H90" s="7"/>
      <c r="I90" s="7"/>
      <c r="J90" s="7"/>
      <c r="K90" s="7"/>
    </row>
    <row r="91" spans="1:24">
      <c r="A91" s="143"/>
      <c r="B91" s="7"/>
      <c r="C91" s="7"/>
      <c r="D91" s="7"/>
      <c r="E91" s="7"/>
      <c r="F91" s="7"/>
      <c r="G91" s="7"/>
      <c r="H91" s="7"/>
      <c r="I91" s="7"/>
      <c r="J91" s="7"/>
      <c r="K91" s="7"/>
    </row>
    <row r="92" spans="1:24">
      <c r="A92" s="143"/>
      <c r="B92" s="7"/>
      <c r="C92" s="7"/>
      <c r="D92" s="7"/>
      <c r="E92" s="7"/>
      <c r="F92" s="7"/>
      <c r="G92" s="7"/>
      <c r="H92" s="7"/>
      <c r="I92" s="7"/>
      <c r="J92" s="7"/>
      <c r="K92" s="7"/>
    </row>
    <row r="93" spans="1:24">
      <c r="A93" s="143"/>
      <c r="B93" s="7"/>
      <c r="C93" s="7"/>
      <c r="D93" s="7"/>
      <c r="E93" s="7"/>
      <c r="F93" s="7"/>
      <c r="G93" s="7"/>
      <c r="H93" s="7"/>
      <c r="I93" s="7"/>
      <c r="J93" s="7"/>
      <c r="K93" s="7"/>
    </row>
    <row r="94" spans="1:24">
      <c r="A94" s="146"/>
      <c r="B94" s="147"/>
      <c r="C94" s="148"/>
      <c r="D94" s="148"/>
      <c r="E94" s="148"/>
      <c r="F94" s="32"/>
      <c r="G94" s="32"/>
      <c r="H94" s="32"/>
      <c r="I94" s="32"/>
      <c r="J94" s="32"/>
      <c r="K94" s="32"/>
    </row>
    <row r="96" spans="1:24" ht="18">
      <c r="A96" s="479" t="s">
        <v>79</v>
      </c>
      <c r="B96" s="474"/>
      <c r="C96" s="474"/>
      <c r="D96" s="474"/>
      <c r="E96" s="474"/>
      <c r="F96" s="474"/>
      <c r="G96" s="474"/>
      <c r="H96" s="474"/>
      <c r="I96" s="474"/>
      <c r="J96" s="474"/>
      <c r="K96" s="474"/>
      <c r="L96" s="474"/>
      <c r="M96" s="474"/>
      <c r="N96" s="474"/>
      <c r="O96" s="474"/>
      <c r="P96" s="474"/>
      <c r="Q96" s="474"/>
      <c r="R96" s="474"/>
      <c r="S96" s="474"/>
      <c r="T96" s="474"/>
      <c r="U96" s="474"/>
      <c r="V96" s="474"/>
      <c r="W96" s="474"/>
      <c r="X96" s="474"/>
    </row>
    <row r="97" spans="1:24" ht="29.25" customHeight="1">
      <c r="A97" s="480" t="s">
        <v>28</v>
      </c>
      <c r="B97" s="481"/>
      <c r="C97" s="481"/>
      <c r="D97" s="481"/>
      <c r="E97" s="481"/>
      <c r="F97" s="481"/>
      <c r="G97" s="481"/>
      <c r="H97" s="481"/>
      <c r="I97" s="481"/>
      <c r="J97" s="481"/>
      <c r="K97" s="481"/>
      <c r="L97" s="481"/>
      <c r="M97" s="481"/>
      <c r="N97" s="481"/>
      <c r="O97" s="481"/>
      <c r="P97" s="481"/>
      <c r="Q97" s="481"/>
      <c r="R97" s="481"/>
      <c r="S97" s="481"/>
      <c r="T97" s="481"/>
      <c r="U97" s="481"/>
      <c r="V97" s="481"/>
      <c r="W97" s="481"/>
      <c r="X97" s="959"/>
    </row>
    <row r="98" spans="1:24" ht="33.75" customHeight="1">
      <c r="A98" s="482" t="s">
        <v>29</v>
      </c>
      <c r="B98" s="148"/>
      <c r="C98" s="148"/>
      <c r="D98" s="148"/>
      <c r="E98" s="148"/>
      <c r="F98" s="148"/>
      <c r="G98" s="148"/>
      <c r="H98" s="148"/>
      <c r="I98" s="148"/>
      <c r="J98" s="148"/>
      <c r="K98" s="148"/>
      <c r="L98" s="148"/>
      <c r="M98" s="148"/>
      <c r="N98" s="148"/>
      <c r="O98" s="148"/>
      <c r="P98" s="148"/>
      <c r="Q98" s="148"/>
      <c r="R98" s="148"/>
      <c r="S98" s="148"/>
      <c r="T98" s="148"/>
      <c r="U98" s="148"/>
      <c r="V98" s="148"/>
      <c r="W98" s="148"/>
      <c r="X98" s="477"/>
    </row>
    <row r="100" spans="1:24" ht="18">
      <c r="A100" s="479" t="s">
        <v>80</v>
      </c>
      <c r="B100" s="474"/>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row>
    <row r="101" spans="1:24" ht="33.75" customHeight="1">
      <c r="A101" s="480" t="s">
        <v>28</v>
      </c>
      <c r="B101" s="481"/>
      <c r="C101" s="481"/>
      <c r="D101" s="481"/>
      <c r="E101" s="481"/>
      <c r="F101" s="481"/>
      <c r="G101" s="481"/>
      <c r="H101" s="481"/>
      <c r="I101" s="481"/>
      <c r="J101" s="481"/>
      <c r="K101" s="481"/>
      <c r="L101" s="481"/>
      <c r="M101" s="481"/>
      <c r="N101" s="481"/>
      <c r="O101" s="481"/>
      <c r="P101" s="481"/>
      <c r="Q101" s="481"/>
      <c r="R101" s="481"/>
      <c r="S101" s="481"/>
      <c r="T101" s="481"/>
      <c r="U101" s="481"/>
      <c r="V101" s="481"/>
      <c r="W101" s="481"/>
      <c r="X101" s="959"/>
    </row>
    <row r="102" spans="1:24" ht="33.75" customHeight="1">
      <c r="A102" s="482" t="s">
        <v>29</v>
      </c>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477"/>
    </row>
    <row r="104" spans="1:24" ht="18">
      <c r="A104" s="479" t="s">
        <v>81</v>
      </c>
      <c r="B104" s="474"/>
      <c r="C104" s="474"/>
      <c r="D104" s="474"/>
      <c r="E104" s="474"/>
      <c r="F104" s="474"/>
      <c r="G104" s="474"/>
      <c r="H104" s="474"/>
      <c r="I104" s="474"/>
      <c r="J104" s="474"/>
      <c r="K104" s="474"/>
      <c r="L104" s="474"/>
      <c r="M104" s="474"/>
      <c r="N104" s="474"/>
      <c r="O104" s="474"/>
      <c r="P104" s="474"/>
      <c r="Q104" s="474"/>
      <c r="R104" s="474"/>
      <c r="S104" s="474"/>
      <c r="T104" s="474"/>
      <c r="U104" s="474"/>
      <c r="V104" s="474"/>
      <c r="W104" s="474"/>
      <c r="X104" s="474"/>
    </row>
    <row r="105" spans="1:24" ht="30.75" customHeight="1">
      <c r="A105" s="480" t="s">
        <v>28</v>
      </c>
      <c r="B105" s="478"/>
      <c r="C105" s="478"/>
      <c r="D105" s="478"/>
      <c r="E105" s="478"/>
      <c r="F105" s="478"/>
      <c r="G105" s="478"/>
      <c r="H105" s="478"/>
      <c r="I105" s="478"/>
      <c r="J105" s="478"/>
      <c r="K105" s="478"/>
      <c r="L105" s="478"/>
      <c r="M105" s="478"/>
      <c r="N105" s="478"/>
      <c r="O105" s="478"/>
      <c r="P105" s="478"/>
      <c r="Q105" s="478"/>
      <c r="R105" s="478"/>
      <c r="S105" s="478"/>
      <c r="T105" s="478"/>
      <c r="U105" s="478"/>
      <c r="V105" s="478"/>
      <c r="W105" s="478"/>
      <c r="X105" s="475"/>
    </row>
    <row r="106" spans="1:24" ht="29.25" customHeight="1">
      <c r="A106" s="483" t="s">
        <v>82</v>
      </c>
      <c r="B106" s="484"/>
      <c r="C106" s="484"/>
      <c r="D106" s="484"/>
      <c r="E106" s="484"/>
      <c r="F106" s="484"/>
      <c r="G106" s="484"/>
      <c r="H106" s="484"/>
      <c r="I106" s="484"/>
      <c r="J106" s="484"/>
      <c r="K106" s="484"/>
      <c r="L106" s="484"/>
      <c r="M106" s="484"/>
      <c r="N106" s="484"/>
      <c r="O106" s="484"/>
      <c r="P106" s="484"/>
      <c r="Q106" s="484"/>
      <c r="R106" s="484"/>
      <c r="S106" s="484"/>
      <c r="T106" s="484"/>
      <c r="U106" s="484"/>
      <c r="V106" s="484"/>
      <c r="W106" s="484"/>
      <c r="X106" s="485"/>
    </row>
    <row r="107" spans="1:24" ht="31.5" customHeight="1">
      <c r="A107" s="480" t="s">
        <v>29</v>
      </c>
      <c r="B107" s="7"/>
      <c r="C107" s="7"/>
      <c r="D107" s="7"/>
      <c r="E107" s="7"/>
      <c r="F107" s="7"/>
      <c r="G107" s="7"/>
      <c r="H107" s="7"/>
      <c r="I107" s="7"/>
      <c r="J107" s="7"/>
      <c r="K107" s="7"/>
      <c r="L107" s="7"/>
      <c r="M107" s="7"/>
      <c r="N107" s="7"/>
      <c r="O107" s="7"/>
      <c r="P107" s="7"/>
      <c r="Q107" s="7"/>
      <c r="R107" s="7"/>
      <c r="S107" s="7"/>
      <c r="T107" s="7"/>
      <c r="U107" s="7"/>
      <c r="V107" s="7"/>
      <c r="W107" s="7"/>
      <c r="X107" s="476"/>
    </row>
    <row r="108" spans="1:24" ht="26.25" customHeight="1">
      <c r="A108" s="486" t="s">
        <v>82</v>
      </c>
      <c r="B108" s="487"/>
      <c r="C108" s="487"/>
      <c r="D108" s="487"/>
      <c r="E108" s="487"/>
      <c r="F108" s="487"/>
      <c r="G108" s="487"/>
      <c r="H108" s="487"/>
      <c r="I108" s="487"/>
      <c r="J108" s="487"/>
      <c r="K108" s="487"/>
      <c r="L108" s="487"/>
      <c r="M108" s="487"/>
      <c r="N108" s="487"/>
      <c r="O108" s="487"/>
      <c r="P108" s="487"/>
      <c r="Q108" s="487"/>
      <c r="R108" s="487"/>
      <c r="S108" s="487"/>
      <c r="T108" s="487"/>
      <c r="U108" s="487"/>
      <c r="V108" s="487"/>
      <c r="W108" s="487"/>
      <c r="X108" s="488"/>
    </row>
  </sheetData>
  <mergeCells count="25">
    <mergeCell ref="B9:C9"/>
    <mergeCell ref="B10:C10"/>
    <mergeCell ref="B11:C11"/>
    <mergeCell ref="B16:C16"/>
    <mergeCell ref="B17:C17"/>
    <mergeCell ref="B12:C12"/>
    <mergeCell ref="B13:C13"/>
    <mergeCell ref="B14:C14"/>
    <mergeCell ref="B15:C15"/>
    <mergeCell ref="B1:D1"/>
    <mergeCell ref="B2:D2"/>
    <mergeCell ref="B5:D5"/>
    <mergeCell ref="B6:D6"/>
    <mergeCell ref="B8:C8"/>
    <mergeCell ref="B3:D3"/>
    <mergeCell ref="B4:D4"/>
    <mergeCell ref="B19:C19"/>
    <mergeCell ref="B18:C18"/>
    <mergeCell ref="B52:D52"/>
    <mergeCell ref="B20:C20"/>
    <mergeCell ref="B21:C21"/>
    <mergeCell ref="B22:C22"/>
    <mergeCell ref="B23:C23"/>
    <mergeCell ref="B24:C24"/>
    <mergeCell ref="B25:C25"/>
  </mergeCells>
  <phoneticPr fontId="45" type="noConversion"/>
  <dataValidations xWindow="529" yWindow="494" count="2">
    <dataValidation allowBlank="1" showInputMessage="1" showErrorMessage="1" promptTitle="Alias only" prompt="Netbios alias. No HTTPS or pvcloud.com." sqref="B9:B10 B16:B25"/>
    <dataValidation allowBlank="1" showInputMessage="1" showErrorMessage="1" promptTitle="Values" prompt="sg - US_x000a_fr - AWS Frankfurt_x000a_ln - EU_x000a_au - AWS Sydney" sqref="B11:C11"/>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1"/>
  <sheetViews>
    <sheetView workbookViewId="0">
      <selection activeCell="C10" sqref="C10"/>
    </sheetView>
  </sheetViews>
  <sheetFormatPr defaultRowHeight="15"/>
  <cols>
    <col min="2" max="2" width="59" style="1" bestFit="1" customWidth="1"/>
    <col min="3" max="3" width="129.140625" customWidth="1"/>
    <col min="4" max="4" width="13.85546875" bestFit="1" customWidth="1"/>
    <col min="5" max="5" width="45.42578125" bestFit="1" customWidth="1"/>
  </cols>
  <sheetData>
    <row r="1" spans="1:6" ht="38.25">
      <c r="A1" s="257"/>
      <c r="B1" s="242" t="s">
        <v>111</v>
      </c>
      <c r="C1" s="242" t="s">
        <v>114</v>
      </c>
      <c r="D1" s="259" t="s">
        <v>235</v>
      </c>
      <c r="E1" s="242" t="s">
        <v>236</v>
      </c>
    </row>
    <row r="2" spans="1:6">
      <c r="A2" s="947">
        <v>1</v>
      </c>
      <c r="B2" s="329" t="s">
        <v>174</v>
      </c>
      <c r="C2" s="44" t="str">
        <f>('Build Data'!I8)&amp;"/login/body.asp?manual=Y"</f>
        <v>/login/body.asp?manual=Y</v>
      </c>
      <c r="D2" s="947"/>
      <c r="E2" s="258"/>
      <c r="F2">
        <f>('Build Data'!F11)</f>
        <v>0</v>
      </c>
    </row>
    <row r="3" spans="1:6">
      <c r="A3" s="932">
        <v>2</v>
      </c>
      <c r="B3" s="330" t="s">
        <v>237</v>
      </c>
      <c r="C3" s="43" t="str">
        <f>_xlfn.CONCAT(AutoPop!M112,'Build Data'!F4,AutoPop!N112)</f>
        <v>Start-Process "chrome.exe" "https://.pvcloud.com/planview/diag/version.aspx"</v>
      </c>
      <c r="D3" s="932"/>
      <c r="E3" s="105"/>
    </row>
    <row r="4" spans="1:6">
      <c r="A4" s="947">
        <v>3</v>
      </c>
      <c r="B4" s="331" t="s">
        <v>176</v>
      </c>
      <c r="C4" s="42" t="str">
        <f>_xlfn.CONCAT(AutoPop!M112,'Build Data'!F4,AutoPop!N113)</f>
        <v>Start-Process "chrome.exe" "https://.pvcloud.com/odataservice/OdataService.svc"</v>
      </c>
      <c r="D4" s="947"/>
      <c r="E4" s="41"/>
    </row>
    <row r="5" spans="1:6">
      <c r="A5" s="932">
        <v>4</v>
      </c>
      <c r="B5" s="332" t="s">
        <v>177</v>
      </c>
      <c r="C5" s="37" t="str">
        <f>_xlfn.CONCAT(AutoPop!M112,'Build Data'!F4,AutoPop!N114)</f>
        <v>Start-Process "chrome.exe" "https://.pvcloud.com/planview/Progressing/ProgressInteractively.aspx"</v>
      </c>
      <c r="D5" s="932"/>
      <c r="E5" s="36"/>
    </row>
    <row r="6" spans="1:6">
      <c r="A6" s="947">
        <v>5</v>
      </c>
      <c r="B6" s="333" t="s">
        <v>178</v>
      </c>
      <c r="C6" s="41" t="str">
        <f>_xlfn.CONCAT(AutoPop!M112,'Build Data'!F4,AutoPop!N115)</f>
        <v>Start-Process "chrome.exe" "https://.pvcloud.com/planview/AdminApplication/AdministerOLAPConnStrings.aspx"</v>
      </c>
      <c r="D6" s="947"/>
      <c r="E6" s="41"/>
    </row>
    <row r="7" spans="1:6">
      <c r="A7" s="932">
        <v>6</v>
      </c>
      <c r="B7" s="334" t="s">
        <v>179</v>
      </c>
      <c r="C7" s="36" t="e">
        <f>_xlfn.CONCAT(AutoPop!M112,'Build Data'!F4,AutoPop!#REF!)</f>
        <v>#REF!</v>
      </c>
      <c r="D7" s="932"/>
      <c r="E7" s="36"/>
    </row>
    <row r="8" spans="1:6">
      <c r="A8" s="947">
        <v>7</v>
      </c>
      <c r="B8" s="333" t="s">
        <v>181</v>
      </c>
      <c r="C8" s="42" t="str">
        <f>_xlfn.CONCAT(AutoPop!M112,'Build Data'!F4,AutoPop!N118)</f>
        <v>Start-Process "chrome.exe" "https://.pvcloud.com/planview/AdminApplication/AdminServices.aspx"</v>
      </c>
      <c r="D8" s="947"/>
      <c r="E8" s="41"/>
    </row>
    <row r="9" spans="1:6">
      <c r="A9" s="932">
        <v>8</v>
      </c>
      <c r="B9" s="332" t="s">
        <v>238</v>
      </c>
      <c r="C9" s="37" t="s">
        <v>239</v>
      </c>
      <c r="D9" s="932"/>
      <c r="E9" s="36"/>
    </row>
    <row r="10" spans="1:6">
      <c r="A10" s="938">
        <v>9</v>
      </c>
      <c r="B10" s="335" t="s">
        <v>183</v>
      </c>
      <c r="C10" s="74" t="str">
        <f>_xlfn.CONCAT(AutoPop!M112,'Build Data'!F4,AutoPop!N120)</f>
        <v>Start-Process "chrome.exe" "https://.pvcloud.com/ng/ctm/"</v>
      </c>
      <c r="D10" s="938"/>
      <c r="E10" s="74"/>
    </row>
    <row r="11" spans="1:6">
      <c r="D11" s="7"/>
    </row>
  </sheetData>
  <conditionalFormatting sqref="D11">
    <cfRule type="iconSet" priority="177">
      <iconSet iconSet="3Symbols" showValue="0">
        <cfvo type="percent" val="0"/>
        <cfvo type="percent" val="33"/>
        <cfvo type="percent" val="67"/>
      </iconSet>
    </cfRule>
    <cfRule type="iconSet" priority="178">
      <iconSet iconSet="3Symbols">
        <cfvo type="percent" val="0"/>
        <cfvo type="percent" val="0"/>
        <cfvo type="percent" val="2"/>
      </iconSet>
    </cfRule>
    <cfRule type="iconSet" priority="179">
      <iconSet iconSet="3Symbols2">
        <cfvo type="percent" val="0"/>
        <cfvo type="percent" val="33"/>
        <cfvo type="percent" val="67"/>
      </iconSet>
    </cfRule>
  </conditionalFormatting>
  <conditionalFormatting sqref="D4">
    <cfRule type="iconSet" priority="48">
      <iconSet iconSet="3Symbols2" showValue="0">
        <cfvo type="percent" val="0"/>
        <cfvo type="num" val="1"/>
        <cfvo type="num" val="2"/>
      </iconSet>
    </cfRule>
    <cfRule type="iconSet" priority="66">
      <iconSet iconSet="3Symbols" showValue="0">
        <cfvo type="percent" val="0"/>
        <cfvo type="num" val="1"/>
        <cfvo type="num" val="2"/>
      </iconSet>
    </cfRule>
    <cfRule type="iconSet" priority="67">
      <iconSet iconSet="3Symbols">
        <cfvo type="percent" val="0"/>
        <cfvo type="num" val="1"/>
        <cfvo type="num" val="2"/>
      </iconSet>
    </cfRule>
  </conditionalFormatting>
  <conditionalFormatting sqref="D5:D6">
    <cfRule type="iconSet" priority="47">
      <iconSet iconSet="3Symbols2" showValue="0">
        <cfvo type="percent" val="0"/>
        <cfvo type="num" val="1"/>
        <cfvo type="num" val="2"/>
      </iconSet>
    </cfRule>
    <cfRule type="iconSet" priority="68">
      <iconSet iconSet="3Symbols" showValue="0">
        <cfvo type="percent" val="0"/>
        <cfvo type="num" val="1"/>
        <cfvo type="num" val="2"/>
      </iconSet>
    </cfRule>
  </conditionalFormatting>
  <conditionalFormatting sqref="D3">
    <cfRule type="iconSet" priority="51">
      <iconSet iconSet="3Symbols" showValue="0">
        <cfvo type="percent" val="0"/>
        <cfvo type="percent" val="33"/>
        <cfvo type="percent" val="67"/>
      </iconSet>
    </cfRule>
    <cfRule type="iconSet" priority="52">
      <iconSet iconSet="3Symbols">
        <cfvo type="percent" val="0"/>
        <cfvo type="percent" val="0"/>
        <cfvo type="percent" val="2"/>
      </iconSet>
    </cfRule>
    <cfRule type="iconSet" priority="53">
      <iconSet iconSet="3Symbols2">
        <cfvo type="percent" val="0"/>
        <cfvo type="percent" val="33"/>
        <cfvo type="percent" val="67"/>
      </iconSet>
    </cfRule>
  </conditionalFormatting>
  <conditionalFormatting sqref="D3">
    <cfRule type="iconSet" priority="1">
      <iconSet iconSet="3Symbols" showValue="0">
        <cfvo type="percent" val="0"/>
        <cfvo type="num" val="1"/>
        <cfvo type="num" val="2"/>
      </iconSet>
    </cfRule>
    <cfRule type="iconSet" priority="50">
      <iconSet iconSet="3Symbols2" showValue="0">
        <cfvo type="percent" val="0"/>
        <cfvo type="num" val="1"/>
        <cfvo type="num" val="2"/>
      </iconSet>
    </cfRule>
    <cfRule type="iconSet" priority="54">
      <iconSet iconSet="3Symbols" showValue="0">
        <cfvo type="percent" val="0"/>
        <cfvo type="num" val="1"/>
        <cfvo type="num" val="2"/>
      </iconSet>
    </cfRule>
    <cfRule type="iconSet" priority="55">
      <iconSet iconSet="3Symbols">
        <cfvo type="percent" val="0"/>
        <cfvo type="num" val="1"/>
        <cfvo type="num" val="2"/>
      </iconSet>
    </cfRule>
  </conditionalFormatting>
  <conditionalFormatting sqref="D7">
    <cfRule type="iconSet" priority="42">
      <iconSet iconSet="3Symbols2" showValue="0">
        <cfvo type="percent" val="0"/>
        <cfvo type="num" val="1"/>
        <cfvo type="num" val="2"/>
      </iconSet>
    </cfRule>
    <cfRule type="iconSet" priority="43">
      <iconSet iconSet="3Symbols" showValue="0">
        <cfvo type="percent" val="0"/>
        <cfvo type="num" val="1"/>
        <cfvo type="num" val="2"/>
      </iconSet>
    </cfRule>
    <cfRule type="iconSet" priority="44">
      <iconSet iconSet="3Symbols">
        <cfvo type="percent" val="0"/>
        <cfvo type="num" val="1"/>
        <cfvo type="num" val="2"/>
      </iconSet>
    </cfRule>
  </conditionalFormatting>
  <conditionalFormatting sqref="D8:D9">
    <cfRule type="iconSet" priority="40">
      <iconSet iconSet="3Symbols2" showValue="0">
        <cfvo type="percent" val="0"/>
        <cfvo type="num" val="1"/>
        <cfvo type="num" val="2"/>
      </iconSet>
    </cfRule>
    <cfRule type="iconSet" priority="41">
      <iconSet iconSet="3Symbols" showValue="0">
        <cfvo type="percent" val="0"/>
        <cfvo type="num" val="1"/>
        <cfvo type="num" val="2"/>
      </iconSet>
    </cfRule>
  </conditionalFormatting>
  <conditionalFormatting sqref="D10">
    <cfRule type="iconSet" priority="32">
      <iconSet iconSet="3Symbols" showValue="0">
        <cfvo type="percent" val="0"/>
        <cfvo type="num" val="1"/>
        <cfvo type="num" val="2"/>
      </iconSet>
    </cfRule>
    <cfRule type="iconSet" priority="36">
      <iconSet iconSet="3Symbols2" showValue="0">
        <cfvo type="percent" val="0"/>
        <cfvo type="num" val="1"/>
        <cfvo type="num" val="2"/>
      </iconSet>
    </cfRule>
    <cfRule type="iconSet" priority="37">
      <iconSet iconSet="3Symbols" showValue="0">
        <cfvo type="percent" val="0"/>
        <cfvo type="num" val="1"/>
        <cfvo type="num" val="2"/>
      </iconSet>
    </cfRule>
    <cfRule type="iconSet" priority="38">
      <iconSet iconSet="3Symbols">
        <cfvo type="percent" val="0"/>
        <cfvo type="num" val="1"/>
        <cfvo type="num" val="2"/>
      </iconSet>
    </cfRule>
  </conditionalFormatting>
  <conditionalFormatting sqref="D7">
    <cfRule type="iconSet" priority="20">
      <iconSet iconSet="3Symbols" showValue="0">
        <cfvo type="percent" val="0"/>
        <cfvo type="num" val="1"/>
        <cfvo type="num" val="2"/>
      </iconSet>
    </cfRule>
    <cfRule type="iconSet" priority="21">
      <iconSet iconSet="3Symbols2" showValue="0">
        <cfvo type="percent" val="0"/>
        <cfvo type="num" val="1"/>
        <cfvo type="num" val="2"/>
      </iconSet>
    </cfRule>
    <cfRule type="iconSet" priority="22">
      <iconSet iconSet="3Symbols" showValue="0">
        <cfvo type="percent" val="0"/>
        <cfvo type="num" val="1"/>
        <cfvo type="num" val="2"/>
      </iconSet>
    </cfRule>
    <cfRule type="iconSet" priority="23">
      <iconSet iconSet="3Symbols">
        <cfvo type="percent" val="0"/>
        <cfvo type="num" val="1"/>
        <cfvo type="num" val="2"/>
      </iconSet>
    </cfRule>
  </conditionalFormatting>
  <conditionalFormatting sqref="D4">
    <cfRule type="iconSet" priority="12">
      <iconSet iconSet="3Symbols" showValue="0">
        <cfvo type="percent" val="0"/>
        <cfvo type="num" val="1"/>
        <cfvo type="num" val="2"/>
      </iconSet>
    </cfRule>
    <cfRule type="iconSet" priority="13">
      <iconSet iconSet="3Symbols2" showValue="0">
        <cfvo type="percent" val="0"/>
        <cfvo type="num" val="1"/>
        <cfvo type="num" val="2"/>
      </iconSet>
    </cfRule>
    <cfRule type="iconSet" priority="14">
      <iconSet iconSet="3Symbols" showValue="0">
        <cfvo type="percent" val="0"/>
        <cfvo type="num" val="1"/>
        <cfvo type="num" val="2"/>
      </iconSet>
    </cfRule>
    <cfRule type="iconSet" priority="15">
      <iconSet iconSet="3Symbols">
        <cfvo type="percent" val="0"/>
        <cfvo type="num" val="1"/>
        <cfvo type="num" val="2"/>
      </iconSet>
    </cfRule>
  </conditionalFormatting>
  <conditionalFormatting sqref="D8:D9">
    <cfRule type="iconSet" priority="9">
      <iconSet iconSet="3Symbols" showValue="0">
        <cfvo type="percent" val="0"/>
        <cfvo type="num" val="1"/>
        <cfvo type="num" val="2"/>
      </iconSet>
    </cfRule>
    <cfRule type="iconSet" priority="10">
      <iconSet iconSet="3Symbols2" showValue="0">
        <cfvo type="percent" val="0"/>
        <cfvo type="num" val="1"/>
        <cfvo type="num" val="2"/>
      </iconSet>
    </cfRule>
  </conditionalFormatting>
  <conditionalFormatting sqref="D5:D6">
    <cfRule type="iconSet" priority="3">
      <iconSet iconSet="3Symbols" showValue="0">
        <cfvo type="percent" val="0"/>
        <cfvo type="num" val="1"/>
        <cfvo type="num" val="2"/>
      </iconSet>
    </cfRule>
    <cfRule type="iconSet" priority="4">
      <iconSet iconSet="3Symbols2" showValue="0">
        <cfvo type="percent" val="0"/>
        <cfvo type="num" val="1"/>
        <cfvo type="num" val="2"/>
      </iconSet>
    </cfRule>
  </conditionalFormatting>
  <conditionalFormatting sqref="D4:D10">
    <cfRule type="iconSet" priority="971">
      <iconSet iconSet="3Symbols" showValue="0">
        <cfvo type="percent" val="0"/>
        <cfvo type="percent" val="33"/>
        <cfvo type="percent" val="67"/>
      </iconSet>
    </cfRule>
    <cfRule type="iconSet" priority="972">
      <iconSet iconSet="3Symbols">
        <cfvo type="percent" val="0"/>
        <cfvo type="percent" val="0"/>
        <cfvo type="percent" val="2"/>
      </iconSet>
    </cfRule>
    <cfRule type="iconSet" priority="973">
      <iconSet iconSet="3Symbols2">
        <cfvo type="percent" val="0"/>
        <cfvo type="percent" val="33"/>
        <cfvo type="percent" val="67"/>
      </iconSet>
    </cfRule>
  </conditionalFormatting>
  <conditionalFormatting sqref="D2">
    <cfRule type="iconSet" priority="1176">
      <iconSet iconSet="3Symbols" showValue="0">
        <cfvo type="percent" val="0"/>
        <cfvo type="num" val="1"/>
        <cfvo type="num" val="2"/>
      </iconSet>
    </cfRule>
    <cfRule type="iconSet" priority="1177">
      <iconSet iconSet="3Symbols2" showValue="0">
        <cfvo type="percent" val="0"/>
        <cfvo type="num" val="1"/>
        <cfvo type="num" val="2"/>
      </iconSet>
    </cfRule>
    <cfRule type="iconSet" priority="1178">
      <iconSet iconSet="3Symbols" showValue="0">
        <cfvo type="percent" val="0"/>
        <cfvo type="num" val="1"/>
        <cfvo type="num" val="2"/>
      </iconSet>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7"/>
  <sheetViews>
    <sheetView topLeftCell="C103" zoomScale="85" zoomScaleNormal="85" workbookViewId="0">
      <selection activeCell="C157" sqref="C157"/>
    </sheetView>
  </sheetViews>
  <sheetFormatPr defaultRowHeight="15"/>
  <cols>
    <col min="1" max="1" width="9.140625" style="7"/>
    <col min="2" max="2" width="81.7109375" style="1" bestFit="1" customWidth="1"/>
    <col min="3" max="3" width="255.5703125" bestFit="1" customWidth="1"/>
    <col min="4" max="4" width="26" bestFit="1" customWidth="1"/>
    <col min="5" max="5" width="28.7109375" style="235" bestFit="1" customWidth="1"/>
  </cols>
  <sheetData>
    <row r="1" spans="1:5" ht="18">
      <c r="A1" s="260"/>
      <c r="B1" s="343" t="s">
        <v>129</v>
      </c>
      <c r="C1" s="344" t="s">
        <v>114</v>
      </c>
      <c r="D1" s="343" t="s">
        <v>113</v>
      </c>
      <c r="E1" s="345" t="s">
        <v>187</v>
      </c>
    </row>
    <row r="2" spans="1:5">
      <c r="A2" s="930">
        <v>1</v>
      </c>
      <c r="B2" s="52">
        <f>('Build Data'!F21)</f>
        <v>0</v>
      </c>
      <c r="C2" s="33" t="s">
        <v>240</v>
      </c>
      <c r="D2" s="50"/>
      <c r="E2" s="229"/>
    </row>
    <row r="3" spans="1:5">
      <c r="A3" s="66">
        <v>2</v>
      </c>
      <c r="B3" s="964" t="s">
        <v>241</v>
      </c>
      <c r="C3" s="67" t="str">
        <f>('SB Checklist'!C3)</f>
        <v xml:space="preserve">https://planview.lightning.force.com/lightning </v>
      </c>
      <c r="D3" s="346"/>
      <c r="E3" s="341"/>
    </row>
    <row r="4" spans="1:5" ht="15.6" customHeight="1">
      <c r="A4" s="66"/>
      <c r="B4" s="964"/>
      <c r="C4" s="67">
        <f>('SB Checklist'!C4)</f>
        <v>0</v>
      </c>
      <c r="D4" s="346"/>
      <c r="E4" s="341"/>
    </row>
    <row r="5" spans="1:5" ht="75">
      <c r="A5" s="66"/>
      <c r="B5" s="964"/>
      <c r="C5" s="67" t="s">
        <v>242</v>
      </c>
      <c r="D5" s="346"/>
      <c r="E5" s="341"/>
    </row>
    <row r="6" spans="1:5">
      <c r="A6" s="1135">
        <v>3</v>
      </c>
      <c r="B6" s="353" t="s">
        <v>243</v>
      </c>
      <c r="C6" s="181" t="s">
        <v>192</v>
      </c>
      <c r="D6" s="1062"/>
      <c r="E6" s="1132" t="str">
        <f>IF(MasterConfig!B25=TRUE,"PVE Server listed 2 times is planned","")</f>
        <v/>
      </c>
    </row>
    <row r="7" spans="1:5">
      <c r="A7" s="1136"/>
      <c r="B7" s="291" t="s">
        <v>219</v>
      </c>
      <c r="C7" s="342" t="str">
        <f>IF('Build Data'!F13=TRUE,_xlfn.CONCAT(Automation!B12,Automation!C13,'Build Data'!F8,Automation!C51,Automation!D101,Automation!C21,Automation!D3,Automation!C22,Automation!D13,Automation!C28),_xlfn.CONCAT(Automation!B12,Automation!C13,'Build Data'!F8,Automation!C513,Automation!D101,Automation!C21,Automation!D3,Automation!C22,Automation!D13))</f>
        <v xml:space="preserve">New-DDDowntime -CustID Production -Mutelength 5 -Message "Muting environment for In Place Upgrade" </v>
      </c>
      <c r="D7" s="1063"/>
      <c r="E7" s="1133"/>
    </row>
    <row r="8" spans="1:5">
      <c r="A8" s="931">
        <v>4</v>
      </c>
      <c r="B8" s="162" t="s">
        <v>244</v>
      </c>
      <c r="C8" s="35" t="s">
        <v>245</v>
      </c>
      <c r="D8" s="216"/>
      <c r="E8" s="381"/>
    </row>
    <row r="9" spans="1:5">
      <c r="A9" s="1059">
        <v>5</v>
      </c>
      <c r="B9" s="640" t="s">
        <v>246</v>
      </c>
      <c r="C9" s="467"/>
      <c r="D9" s="1062"/>
      <c r="E9" s="1117"/>
    </row>
    <row r="10" spans="1:5">
      <c r="A10" s="1060"/>
      <c r="B10" s="635"/>
      <c r="C10" s="104" t="e">
        <f ca="1">IF('Build Data'!F13=TRUE,_xlfn.CONCAT(Automation!D140,Automation!D71,Automation!H16),_xlfn.CONCAT(Automation!D140,Automation!D71,Automation!H17))</f>
        <v>#NAME?</v>
      </c>
      <c r="D10" s="1063"/>
      <c r="E10" s="1118"/>
    </row>
    <row r="11" spans="1:5">
      <c r="A11" s="1060"/>
      <c r="B11" s="635"/>
      <c r="C11" s="104" t="str">
        <f>_xlfn.CONCAT(Automation!B3,Automation!C23,Automation!D140,Automation!C12,Automation!D16,Automation!C52,Automation!C36,Automation!D17)</f>
        <v>Invoke-Command -ComputerName $SbAll -ScriptBlock {Restart-Computer -Force}</v>
      </c>
      <c r="D11" s="1063"/>
      <c r="E11" s="1118"/>
    </row>
    <row r="12" spans="1:5">
      <c r="A12" s="1060"/>
      <c r="B12" s="635"/>
      <c r="C12" s="104" t="str">
        <f>(Automation!B14) &amp; "300"</f>
        <v>start-sleep 300</v>
      </c>
      <c r="D12" s="1063"/>
      <c r="E12" s="1118"/>
    </row>
    <row r="13" spans="1:5">
      <c r="A13" s="1060"/>
      <c r="B13" s="635"/>
      <c r="C13" s="104" t="e">
        <f ca="1">IF('Build Data'!F13=TRUE,_xlfn.CONCAT(Automation!D142,Automation!D71,Automation!H4),_xlfn.CONCAT(Automation!D142,Automation!D71,Automation!G2))</f>
        <v>#NAME?</v>
      </c>
      <c r="D13" s="1063"/>
      <c r="E13" s="1118"/>
    </row>
    <row r="14" spans="1:5" ht="15.6" customHeight="1">
      <c r="A14" s="1061"/>
      <c r="B14" s="635"/>
      <c r="C14" s="104" t="str">
        <f>_xlfn.CONCAT(Automation!B3,Automation!C23,Automation!D142,Automation!C24,Automation!D16,Automation!C20,Automation!D27,Automation!C4,Automation!D17)</f>
        <v>Invoke-Command -ComputerName $SBWebs -Command  {stop-WebAppPool planview  -Verbose}</v>
      </c>
      <c r="D14" s="1063"/>
      <c r="E14" s="1118"/>
    </row>
    <row r="15" spans="1:5">
      <c r="A15" s="1065">
        <v>6</v>
      </c>
      <c r="B15" s="557" t="s">
        <v>247</v>
      </c>
      <c r="C15" s="642" t="e">
        <f ca="1">IF('Build Data'!F13=TRUE,_xlfn.CONCAT(Automation!B3,Automation!C23,Automation!F41,Automation!D15,Automation!C24,Automation!C45),_xlfn.CONCAT(Automation!B3,Automation!C23,Automation!G21,Automation!D15,Automation!C24,Automation!C45))</f>
        <v>#NAME?</v>
      </c>
      <c r="D15" s="1062"/>
      <c r="E15" s="948"/>
    </row>
    <row r="16" spans="1:5">
      <c r="A16" s="1066"/>
      <c r="B16" s="641"/>
      <c r="C16" s="36" t="str">
        <f>('SB Checklist'!C18)</f>
        <v xml:space="preserve">cd SQLSERVER: </v>
      </c>
      <c r="D16" s="1063"/>
      <c r="E16" s="953"/>
    </row>
    <row r="17" spans="1:5">
      <c r="A17" s="1066"/>
      <c r="B17" s="270"/>
      <c r="C17" s="36" t="str">
        <f>('SB Checklist'!C19)</f>
        <v>CD\</v>
      </c>
      <c r="D17" s="1063"/>
      <c r="E17" s="953"/>
    </row>
    <row r="18" spans="1:5">
      <c r="A18" s="1066"/>
      <c r="B18" s="270"/>
      <c r="C18" s="36" t="e">
        <f ca="1">('SB Checklist'!C20)</f>
        <v>#NAME?</v>
      </c>
      <c r="D18" s="1063"/>
      <c r="E18" s="953"/>
    </row>
    <row r="19" spans="1:5">
      <c r="A19" s="1066"/>
      <c r="B19" s="270"/>
      <c r="C19" s="36" t="str">
        <f>('SB Checklist'!C21)</f>
        <v>(get-item DBBackups.0).start()</v>
      </c>
      <c r="D19" s="1063"/>
      <c r="E19" s="953"/>
    </row>
    <row r="20" spans="1:5">
      <c r="A20" s="1066"/>
      <c r="B20" s="270"/>
      <c r="C20" s="36" t="str">
        <f>('SB Checklist'!C22)</f>
        <v>(get-item DBBackups.0 | FT CurrentRunStatus)</v>
      </c>
      <c r="D20" s="1063"/>
      <c r="E20" s="953"/>
    </row>
    <row r="21" spans="1:5">
      <c r="A21" s="1066"/>
      <c r="B21" s="270"/>
      <c r="C21" s="36" t="str">
        <f>('SB Checklist'!C23)</f>
        <v>F:</v>
      </c>
      <c r="D21" s="1063"/>
      <c r="E21" s="953"/>
    </row>
    <row r="22" spans="1:5">
      <c r="A22" s="1066"/>
      <c r="B22" s="270"/>
      <c r="C22" s="36" t="str">
        <f>('SB Checklist'!C24)</f>
        <v>start-sleep 300</v>
      </c>
      <c r="D22" s="1063"/>
      <c r="E22" s="953"/>
    </row>
    <row r="23" spans="1:5">
      <c r="A23" s="1067"/>
      <c r="B23" s="270"/>
      <c r="C23" s="36" t="e">
        <f ca="1">IF('Build Data'!F13=TRUE,_xlfn.CONCAT(Automation!B3,Automation!C23,Automation!F41,Automation!D15,Automation!C24,Automation!C45),_xlfn.CONCAT(Automation!B3,Automation!C23,Automation!G21,Automation!D15,Automation!C24,Automation!C45))</f>
        <v>#NAME?</v>
      </c>
      <c r="D23" s="1064"/>
      <c r="E23" s="949"/>
    </row>
    <row r="24" spans="1:5">
      <c r="A24" s="1059">
        <v>7</v>
      </c>
      <c r="B24" s="593" t="s">
        <v>199</v>
      </c>
      <c r="C24" s="96"/>
      <c r="D24" s="468"/>
      <c r="E24" s="958"/>
    </row>
    <row r="25" spans="1:5">
      <c r="A25" s="1060"/>
      <c r="B25" s="594"/>
      <c r="C25" s="596" t="str">
        <f>('SB Checklist'!C28)</f>
        <v/>
      </c>
      <c r="D25" s="581"/>
      <c r="E25" s="954"/>
    </row>
    <row r="26" spans="1:5">
      <c r="A26" s="1060"/>
      <c r="B26" s="594" t="str">
        <f>IF('Build Data'!F13=TRUE,"TARGET_SERVER_NAME",IF('Build Data'!F13=FALSE,"VM_GUEST_NAME",""))</f>
        <v>VM_GUEST_NAME</v>
      </c>
      <c r="C26" s="937" t="str">
        <f>IF('Build Data'!I5&lt;&gt;"",'Build Data'!I5,"")</f>
        <v/>
      </c>
      <c r="D26" s="581"/>
      <c r="E26" s="954"/>
    </row>
    <row r="27" spans="1:5">
      <c r="A27" s="1060"/>
      <c r="B27" s="594" t="str">
        <f>IF('Build Data'!F13=TRUE,"AMI_TYPE",IF('Build Data'!F13=FALSE,"SNAPSHOT_NAME",""))</f>
        <v>SNAPSHOT_NAME</v>
      </c>
      <c r="C27" s="937" t="str">
        <f>IF('Build Data'!F13&lt;&gt;"","Pre_e1r17_PRD_Upgrade","")</f>
        <v/>
      </c>
      <c r="D27" s="581"/>
      <c r="E27" s="954"/>
    </row>
    <row r="28" spans="1:5">
      <c r="A28" s="1060"/>
      <c r="B28" s="594" t="str">
        <f>IF('Build Data'!F13=TRUE,"NODE_LABEL",IF('Build Data'!F13=FALSE,"",""))</f>
        <v/>
      </c>
      <c r="C28" s="937" t="str">
        <f>IF(AND('Build Data'!F13=TRUE,'Build Data'!F7="au"),Automation!F76,IF(AND('Build Data'!F13=TRUE,'Build Data'!F7="fr"),Automation!F77,""))</f>
        <v/>
      </c>
      <c r="D28" s="581"/>
      <c r="E28" s="954"/>
    </row>
    <row r="29" spans="1:5">
      <c r="A29" s="1060"/>
      <c r="B29" s="594"/>
      <c r="C29" s="596" t="str">
        <f>('SB Checklist'!C32)</f>
        <v/>
      </c>
      <c r="D29" s="581"/>
      <c r="E29" s="954"/>
    </row>
    <row r="30" spans="1:5">
      <c r="A30" s="1060"/>
      <c r="B30" s="594" t="str">
        <f>IF('Build Data'!F13=TRUE,"TARGET_SERVER_NAME",IF('Build Data'!F13=FALSE,"VM_GUEST_NAME",""))</f>
        <v>VM_GUEST_NAME</v>
      </c>
      <c r="C30" s="937" t="str">
        <f>IF('Build Data'!I6&lt;&gt;"",'Build Data'!I6,"")</f>
        <v/>
      </c>
      <c r="D30" s="581"/>
      <c r="E30" s="954"/>
    </row>
    <row r="31" spans="1:5">
      <c r="A31" s="1060"/>
      <c r="B31" s="594" t="str">
        <f>IF('Build Data'!F13=TRUE,"AMI_TYPE",IF('Build Data'!F13=FALSE,"SNAPSHOT_NAME",""))</f>
        <v>SNAPSHOT_NAME</v>
      </c>
      <c r="C31" s="937" t="str">
        <f>IF('Build Data'!F13&lt;&gt;"","Pre_e1r17_PRD_Upgrade","")</f>
        <v/>
      </c>
      <c r="D31" s="581"/>
      <c r="E31" s="954"/>
    </row>
    <row r="32" spans="1:5">
      <c r="A32" s="1060"/>
      <c r="B32" s="594" t="str">
        <f>IF('Build Data'!F13=TRUE,"NODE_LABEL",IF('Build Data'!F13=FALSE,"",""))</f>
        <v/>
      </c>
      <c r="C32" s="937" t="str">
        <f>IF(AND('Build Data'!F13=TRUE,'Build Data'!F7="au"),Automation!F76,IF(AND('Build Data'!F13=TRUE,'Build Data'!F7="fr"),Automation!F77,""))</f>
        <v/>
      </c>
      <c r="D32" s="581"/>
      <c r="E32" s="954"/>
    </row>
    <row r="33" spans="1:5">
      <c r="A33" s="1060"/>
      <c r="B33" s="594"/>
      <c r="C33" s="596" t="str">
        <f>('SB Checklist'!C36)</f>
        <v/>
      </c>
      <c r="D33" s="581"/>
      <c r="E33" s="954"/>
    </row>
    <row r="34" spans="1:5">
      <c r="A34" s="1060"/>
      <c r="B34" s="594" t="str">
        <f>IF('Build Data'!F13=TRUE,"TARGET_SERVER_NAME",IF('Build Data'!F13=FALSE,"VM_GUEST_NAME",""))</f>
        <v>VM_GUEST_NAME</v>
      </c>
      <c r="C34" s="937" t="str">
        <f>IF('Build Data'!I3&lt;&gt;"",'Build Data'!I3,"")</f>
        <v/>
      </c>
      <c r="D34" s="581"/>
      <c r="E34" s="954"/>
    </row>
    <row r="35" spans="1:5">
      <c r="A35" s="1060"/>
      <c r="B35" s="594" t="str">
        <f>IF('Build Data'!F13=TRUE,"AMI_TYPE",IF('Build Data'!F13=FALSE,"SNAPSHOT_NAME",""))</f>
        <v>SNAPSHOT_NAME</v>
      </c>
      <c r="C35" s="937" t="str">
        <f>IF('Build Data'!F13&lt;&gt;"","Pre_e1r17_PRD_Upgrade","")</f>
        <v/>
      </c>
      <c r="D35" s="581"/>
      <c r="E35" s="954"/>
    </row>
    <row r="36" spans="1:5">
      <c r="A36" s="1060"/>
      <c r="B36" s="594" t="str">
        <f>IF('Build Data'!F13=TRUE,"NODE_LABEL",IF('Build Data'!F13=FALSE,"",""))</f>
        <v/>
      </c>
      <c r="C36" s="937" t="str">
        <f>IF(AND('Build Data'!F13=TRUE,'Build Data'!F7="au"),Automation!F76,IF(AND('Build Data'!F13=TRUE,'Build Data'!F7="fr"),Automation!F77,""))</f>
        <v/>
      </c>
      <c r="D36" s="581"/>
      <c r="E36" s="954"/>
    </row>
    <row r="37" spans="1:5">
      <c r="A37" s="1060"/>
      <c r="B37" s="594"/>
      <c r="C37" s="596" t="str">
        <f>('SB Checklist'!C40)</f>
        <v/>
      </c>
      <c r="D37" s="581"/>
      <c r="E37" s="954"/>
    </row>
    <row r="38" spans="1:5">
      <c r="A38" s="1060"/>
      <c r="B38" s="594" t="str">
        <f>IF('Build Data'!F13=TRUE,"TARGET_SERVER_NAME",IF('Build Data'!F13=FALSE,"VM_GUEST_NAME",""))</f>
        <v>VM_GUEST_NAME</v>
      </c>
      <c r="C38" s="937" t="str">
        <f>IF('Build Data'!I4&lt;&gt;"",'Build Data'!I4,"")</f>
        <v/>
      </c>
      <c r="D38" s="581"/>
      <c r="E38" s="954"/>
    </row>
    <row r="39" spans="1:5">
      <c r="A39" s="1060"/>
      <c r="B39" s="594" t="str">
        <f>IF('Build Data'!F13=TRUE,"AMI_TYPE",IF('Build Data'!F13=FALSE,"SNAPSHOT_NAME",""))</f>
        <v>SNAPSHOT_NAME</v>
      </c>
      <c r="C39" s="937" t="str">
        <f>IF('Build Data'!F13&lt;&gt;"","Pre_e1r17_PRD_Upgrade","")</f>
        <v/>
      </c>
      <c r="D39" s="581"/>
      <c r="E39" s="954"/>
    </row>
    <row r="40" spans="1:5">
      <c r="A40" s="1060"/>
      <c r="B40" s="594" t="str">
        <f>IF('Build Data'!F13=TRUE,"NODE_LABEL",IF('Build Data'!F13=FALSE,"",""))</f>
        <v/>
      </c>
      <c r="C40" s="937" t="str">
        <f>IF(AND('Build Data'!F13=TRUE,'Build Data'!F7="au"),Automation!F76,IF(AND('Build Data'!F13=TRUE,'Build Data'!F7="fr"),Automation!F77,""))</f>
        <v/>
      </c>
      <c r="D40" s="581"/>
      <c r="E40" s="954"/>
    </row>
    <row r="41" spans="1:5">
      <c r="A41" s="1060"/>
      <c r="B41" s="594"/>
      <c r="C41" s="596" t="str">
        <f>('SB Checklist'!C44)</f>
        <v/>
      </c>
      <c r="D41" s="581"/>
      <c r="E41" s="954"/>
    </row>
    <row r="42" spans="1:5">
      <c r="A42" s="1060"/>
      <c r="B42" s="594" t="str">
        <f>IF('Build Data'!F13=TRUE,"No SAS Server",IF('Build Data'!F13=FALSE,"VM_GUEST_NAME",""))</f>
        <v>VM_GUEST_NAME</v>
      </c>
      <c r="C42" s="937" t="str">
        <f>IF('Build Data'!F13=TRUE,"",IF('Build Data'!I13&lt;&gt;"",'Build Data'!I7,""))</f>
        <v/>
      </c>
      <c r="D42" s="581"/>
      <c r="E42" s="954"/>
    </row>
    <row r="43" spans="1:5">
      <c r="A43" s="1060"/>
      <c r="B43" s="594" t="str">
        <f>IF('Build Data'!F13=TRUE,"",IF('Build Data'!F13=FALSE,"SNAPSHOT_NAME",""))</f>
        <v>SNAPSHOT_NAME</v>
      </c>
      <c r="C43" s="937" t="str">
        <f>IF('Build Data'!F13=TRUE,"",IF('Build Data'!F13&lt;&gt;"","Pre_e1r17_PRD_Alignment",""))</f>
        <v/>
      </c>
      <c r="D43" s="581"/>
      <c r="E43" s="954"/>
    </row>
    <row r="44" spans="1:5">
      <c r="A44" s="1060"/>
      <c r="B44" s="594"/>
      <c r="C44" s="441"/>
      <c r="D44" s="581"/>
      <c r="E44" s="954"/>
    </row>
    <row r="45" spans="1:5">
      <c r="A45" s="1060"/>
      <c r="B45" s="594"/>
      <c r="C45" s="596" t="str">
        <f>IF('Build Data'!J4="","",IF('Build Data'!F13=TRUE,"https://jenkins.planviewcloud.net/job/create_ami_pipe/build?delay=0sec",IF('Build Data'!F7="ln","https://jenkins.eu.planview.world/job/vmguest_create_snapshot/build?delay=0sec",IF('Build Data'!F7="sg","https://jenkins.us.planview.world/job/vmguest_create_snapshot/build?delay=0sec",""))))</f>
        <v/>
      </c>
      <c r="D45" s="581"/>
      <c r="E45" s="954"/>
    </row>
    <row r="46" spans="1:5">
      <c r="A46" s="1060"/>
      <c r="B46" s="594" t="str">
        <f>IF('Build Data'!J4="","No Additional Web Servers",IF('Build Data'!F13=TRUE,"TARGET_SERVER_NAME",IF('Build Data'!F13=FALSE,"VM_GUEST_NAME","")))</f>
        <v>No Additional Web Servers</v>
      </c>
      <c r="C46" s="937" t="str">
        <f>IF(C45&lt;&gt;"",'Build Data'!J4,"")</f>
        <v/>
      </c>
      <c r="D46" s="581"/>
      <c r="E46" s="954"/>
    </row>
    <row r="47" spans="1:5">
      <c r="A47" s="1060"/>
      <c r="B47" s="594" t="str">
        <f>IF('Build Data'!J4="","",IF('Build Data'!F13=TRUE,"AMI_TYPE",IF('Build Data'!F13=FALSE,"SNAPSHOT_NAME","")))</f>
        <v/>
      </c>
      <c r="C47" s="937" t="str">
        <f>IF(C45&lt;&gt;"","Pre_e1r17_PRD_Upgrade","")</f>
        <v/>
      </c>
      <c r="D47" s="581"/>
      <c r="E47" s="954"/>
    </row>
    <row r="48" spans="1:5">
      <c r="A48" s="1060"/>
      <c r="B48" s="594" t="str">
        <f>IF('Build Data'!J4="","",IF('Build Data'!F13=TRUE,"NODE_LABEL",IF('Build Data'!F13=FALSE,"","")))</f>
        <v/>
      </c>
      <c r="C48" s="937" t="str">
        <f>IF(AND('Build Data'!F13=TRUE,'Build Data'!F7="au",C45&lt;&gt;""),Automation!F76,IF(AND('Build Data'!F13=TRUE,'Build Data'!F7="fr",C45&lt;&gt;""),Automation!F77,""))</f>
        <v/>
      </c>
      <c r="D48" s="581"/>
      <c r="E48" s="954"/>
    </row>
    <row r="49" spans="1:5">
      <c r="A49" s="1060"/>
      <c r="B49" s="594"/>
      <c r="C49" s="596" t="str">
        <f>IF('Build Data'!J5="","",IF('Build Data'!F13=TRUE,"https://jenkins.planviewcloud.net/job/create_ami_pipe/build?delay=0sec",IF('Build Data'!F7="ln","https://jenkins.eu.planview.world/job/vmguest_create_snapshot/build?delay=0sec",IF('Build Data'!F7="sg","https://jenkins.us.planview.world/job/vmguest_create_snapshot/build?delay=0sec",""))))</f>
        <v/>
      </c>
      <c r="D49" s="581"/>
      <c r="E49" s="954"/>
    </row>
    <row r="50" spans="1:5">
      <c r="A50" s="1060"/>
      <c r="B50" s="594" t="str">
        <f>IF('Build Data'!J5="","No Additional Web Servers",IF('Build Data'!F13=TRUE,"TARGET_SERVER_NAME",IF('Build Data'!F13=FALSE,"VM_GUEST_NAME","")))</f>
        <v>No Additional Web Servers</v>
      </c>
      <c r="C50" s="937" t="str">
        <f>IF(C49&lt;&gt;"",'Build Data'!J5,"")</f>
        <v/>
      </c>
      <c r="D50" s="581"/>
      <c r="E50" s="954"/>
    </row>
    <row r="51" spans="1:5">
      <c r="A51" s="1060"/>
      <c r="B51" s="594" t="str">
        <f>IF('Build Data'!J5="","",IF('Build Data'!F13=TRUE,"AMI_TYPE",IF('Build Data'!F13=FALSE,"SNAPSHOT_NAME","")))</f>
        <v/>
      </c>
      <c r="C51" s="937" t="str">
        <f>IF(C49&lt;&gt;"","Pre_e1r17_PRD_Upgrade","")</f>
        <v/>
      </c>
      <c r="D51" s="581"/>
      <c r="E51" s="954"/>
    </row>
    <row r="52" spans="1:5">
      <c r="A52" s="1060"/>
      <c r="B52" s="594" t="str">
        <f>IF('Build Data'!J5="","",IF('Build Data'!F13=TRUE,"NODE_LABEL",IF('Build Data'!F13=FALSE,"","")))</f>
        <v/>
      </c>
      <c r="C52" s="937" t="str">
        <f>IF(AND('Build Data'!F13=TRUE,'Build Data'!F7="au",C49&lt;&gt;""),Automation!F76,IF(AND('Build Data'!F13=TRUE,'Build Data'!F7="fr",C49&lt;&gt;""),Automation!F77,""))</f>
        <v/>
      </c>
      <c r="D52" s="581"/>
      <c r="E52" s="954"/>
    </row>
    <row r="53" spans="1:5">
      <c r="A53" s="1060"/>
      <c r="B53" s="594"/>
      <c r="C53" s="596" t="str">
        <f>IF('Build Data'!J6="","",IF('Build Data'!F13=TRUE,"https://jenkins.planviewcloud.net/job/create_ami_pipe/build?delay=0sec",IF('Build Data'!F7="ln","https://jenkins.eu.planview.world/job/vmguest_create_snapshot/build?delay=0sec",IF('Build Data'!F7="sg","https://jenkins.us.planview.world/job/vmguest_create_snapshot/build?delay=0sec",""))))</f>
        <v/>
      </c>
      <c r="D53" s="581"/>
      <c r="E53" s="954"/>
    </row>
    <row r="54" spans="1:5">
      <c r="A54" s="1060"/>
      <c r="B54" s="594" t="str">
        <f>IF('Build Data'!J6="","No Additional Web Servers",IF('Build Data'!F13=TRUE,"TARGET_SERVER_NAME",IF('Build Data'!F13=FALSE,"VM_GUEST_NAME","")))</f>
        <v>No Additional Web Servers</v>
      </c>
      <c r="C54" s="937" t="str">
        <f>IF(C53&lt;&gt;"",'Build Data'!J6,"")</f>
        <v/>
      </c>
      <c r="D54" s="581"/>
      <c r="E54" s="954"/>
    </row>
    <row r="55" spans="1:5">
      <c r="A55" s="1060"/>
      <c r="B55" s="594" t="str">
        <f>IF('Build Data'!J6="","",IF('Build Data'!F13=TRUE,"AMI_TYPE",IF('Build Data'!F13=FALSE,"SNAPSHOT_NAME","")))</f>
        <v/>
      </c>
      <c r="C55" s="937" t="str">
        <f>IF(C53&lt;&gt;"","Pre_e1r17_PRD_Upgrade","")</f>
        <v/>
      </c>
      <c r="D55" s="581"/>
      <c r="E55" s="954"/>
    </row>
    <row r="56" spans="1:5">
      <c r="A56" s="1060"/>
      <c r="B56" s="594" t="str">
        <f>IF('Build Data'!J6="","",IF('Build Data'!F13=TRUE,"NODE_LABEL",IF('Build Data'!F13=FALSE,"","")))</f>
        <v/>
      </c>
      <c r="C56" s="937" t="str">
        <f>IF(AND('Build Data'!F13=TRUE,'Build Data'!F7="au",C53&lt;&gt;""),Automation!F76,IF(AND('Build Data'!F13=TRUE,'Build Data'!F7="fr",C53&lt;&gt;""),Automation!F77,""))</f>
        <v/>
      </c>
      <c r="D56" s="581"/>
      <c r="E56" s="954"/>
    </row>
    <row r="57" spans="1:5">
      <c r="A57" s="1060"/>
      <c r="B57" s="594"/>
      <c r="C57" s="596" t="str">
        <f>IF('Build Data'!J7="","",IF('Build Data'!F13=TRUE,"https://jenkins.planviewcloud.net/job/create_ami_pipe/build?delay=0sec",IF('Build Data'!F7="ln","https://jenkins.eu.planview.world/job/vmguest_create_snapshot/build?delay=0sec",IF('Build Data'!F7="sg","https://jenkins.us.planview.world/job/vmguest_create_snapshot/build?delay=0sec",""))))</f>
        <v/>
      </c>
      <c r="D57" s="581"/>
      <c r="E57" s="954"/>
    </row>
    <row r="58" spans="1:5">
      <c r="A58" s="1060"/>
      <c r="B58" s="594" t="str">
        <f>IF('Build Data'!J7="","No Additional Web Servers",IF('Build Data'!F13=TRUE,"TARGET_SERVER_NAME",IF('Build Data'!F13=FALSE,"VM_GUEST_NAME","")))</f>
        <v>No Additional Web Servers</v>
      </c>
      <c r="C58" s="937" t="str">
        <f>IF(C57&lt;&gt;"",'Build Data'!J7,"")</f>
        <v/>
      </c>
      <c r="D58" s="581"/>
      <c r="E58" s="954"/>
    </row>
    <row r="59" spans="1:5">
      <c r="A59" s="1060"/>
      <c r="B59" s="594" t="str">
        <f>IF('Build Data'!J7="","",IF('Build Data'!F13=TRUE,"AMI_TYPE",IF('Build Data'!F13=FALSE,"SNAPSHOT_NAME","")))</f>
        <v/>
      </c>
      <c r="C59" s="937" t="str">
        <f>IF(C57&lt;&gt;"","Pre_e1r17_PRD_Alignment","")</f>
        <v/>
      </c>
      <c r="D59" s="581"/>
      <c r="E59" s="954"/>
    </row>
    <row r="60" spans="1:5">
      <c r="A60" s="1061"/>
      <c r="B60" s="595" t="str">
        <f>IF('Build Data'!J7="","",IF('Build Data'!F13=TRUE,"NODE_LABEL",IF('Build Data'!F13=FALSE,"","")))</f>
        <v/>
      </c>
      <c r="C60" s="938" t="str">
        <f>IF(AND('Build Data'!F13=TRUE,'Build Data'!F7="au",C57&lt;&gt;""),Automation!F76,IF(AND('Build Data'!F13=TRUE,'Build Data'!F7="fr",C57&lt;&gt;""),Automation!F77,""))</f>
        <v/>
      </c>
      <c r="D60" s="582"/>
      <c r="E60" s="955"/>
    </row>
    <row r="61" spans="1:5">
      <c r="A61" s="1065">
        <v>8</v>
      </c>
      <c r="B61" s="279" t="s">
        <v>200</v>
      </c>
      <c r="C61" s="84" t="str">
        <f>IF('Build Data'!I5="","",IF('Build Data'!F13=TRUE,"https://jenkins.planviewcloud.net/job/deploy_sql_cu_pipe/build?delay=0sec",IF('Build Data'!F7="ln","https://jenkins.eu.planview.world/job/vmguest_create_snapshot/build?delay=0sec",IF('Build Data'!F7="sg","https://jenkins.us.planview.world/job/vmguest_create_snapshot/build?delay=0sec",""))))</f>
        <v/>
      </c>
      <c r="D61" s="1068"/>
      <c r="E61" s="1110"/>
    </row>
    <row r="62" spans="1:5">
      <c r="A62" s="1066"/>
      <c r="B62" s="281" t="s">
        <v>118</v>
      </c>
      <c r="C62" s="458" t="str">
        <f>('Build Data'!I5)</f>
        <v/>
      </c>
      <c r="D62" s="1069"/>
      <c r="E62" s="1111"/>
    </row>
    <row r="63" spans="1:5">
      <c r="A63" s="1066"/>
      <c r="B63" s="281" t="s">
        <v>201</v>
      </c>
      <c r="C63" s="459">
        <v>19</v>
      </c>
      <c r="D63" s="1069"/>
      <c r="E63" s="1111"/>
    </row>
    <row r="64" spans="1:5">
      <c r="A64" s="1067"/>
      <c r="B64" s="403" t="s">
        <v>202</v>
      </c>
      <c r="C64" s="957" t="str">
        <f>_xlfn.CONCAT('Build Data'!I5)</f>
        <v/>
      </c>
      <c r="D64" s="1070"/>
      <c r="E64" s="1112"/>
    </row>
    <row r="65" spans="1:5" ht="30">
      <c r="A65" s="960">
        <v>9</v>
      </c>
      <c r="B65" s="472" t="str">
        <f>IF('Build Data'!B77="Yes", "Uninstall Open Suite","Skip this step, no Open Suite")</f>
        <v>Skip this step, no Open Suite</v>
      </c>
      <c r="C65" s="442" t="str">
        <f>IF('Build Data'!B77="Yes",'Build Data'!I4,"")</f>
        <v/>
      </c>
      <c r="D65" s="50">
        <f>IF(B65="Skip this step, no Open Suite",1,"")</f>
        <v>1</v>
      </c>
      <c r="E65" s="954" t="str">
        <f>IF(B65="Skip this step, no Open Suite","Automated Complete
No Open Suite","")</f>
        <v>Automated Complete
No Open Suite</v>
      </c>
    </row>
    <row r="66" spans="1:5">
      <c r="A66" s="1065">
        <v>10</v>
      </c>
      <c r="B66" s="457" t="s">
        <v>203</v>
      </c>
      <c r="C66" s="81" t="str">
        <f>IF('Build Data'!I6="","",IF('Build Data'!F13=TRUE,"https://jenkins.planviewcloud.net/job/ctm_upgrade_pipe/build?delay=0sec",IF('Build Data'!F7="ln","https://jenkins.eu.planview.world/job/ctm_upgrade_pipe/build?delay=0sec",IF('Build Data'!F7="sg","https://jenkins.us.planview.world/job/ctm_upgrade_pipe/build?delay=0sec",""))))</f>
        <v/>
      </c>
      <c r="D66" s="1068"/>
      <c r="E66" s="1110"/>
    </row>
    <row r="67" spans="1:5">
      <c r="A67" s="1066"/>
      <c r="B67" s="271" t="s">
        <v>118</v>
      </c>
      <c r="C67" s="458" t="str">
        <f>('Build Data'!I6)</f>
        <v/>
      </c>
      <c r="D67" s="1069"/>
      <c r="E67" s="1111"/>
    </row>
    <row r="68" spans="1:5">
      <c r="A68" s="1066"/>
      <c r="B68" s="281" t="s">
        <v>120</v>
      </c>
      <c r="C68" s="173" t="str">
        <f>('Build Data'!F3)</f>
        <v/>
      </c>
      <c r="D68" s="1069"/>
      <c r="E68" s="1111"/>
    </row>
    <row r="69" spans="1:5">
      <c r="A69" s="1066"/>
      <c r="B69" s="280" t="s">
        <v>122</v>
      </c>
      <c r="C69" s="173">
        <f>('Build Data'!F8)</f>
        <v>0</v>
      </c>
      <c r="D69" s="1069"/>
      <c r="E69" s="1111"/>
    </row>
    <row r="70" spans="1:5">
      <c r="A70" s="1067"/>
      <c r="B70" s="316" t="s">
        <v>204</v>
      </c>
      <c r="C70" s="173" t="str">
        <f>LOWER("TRUE")</f>
        <v>true</v>
      </c>
      <c r="D70" s="1070"/>
      <c r="E70" s="1112"/>
    </row>
    <row r="71" spans="1:5">
      <c r="A71" s="1103">
        <v>11</v>
      </c>
      <c r="B71" s="156" t="s">
        <v>248</v>
      </c>
      <c r="C71" s="181" t="str">
        <f>IF('Build Data'!I3="","",IF('Build Data'!F13=TRUE,"https://jenkins.planviewcloud.net/job/e1_upgrade_pipe/build?delay=0sec",IF('Build Data'!F7="ln","https://jenkins.eu.planview.world/job/e1_upgrade_pipe/build?delay=0sec",IF('Build Data'!F7="sg","https://jenkins.us.planview.world/job/e1_upgrade_pipe/build?delay=0sec",""))))</f>
        <v/>
      </c>
      <c r="D71" s="1062"/>
      <c r="E71" s="1117"/>
    </row>
    <row r="72" spans="1:5">
      <c r="A72" s="1104"/>
      <c r="B72" s="276" t="s">
        <v>118</v>
      </c>
      <c r="C72" s="182" t="str">
        <f>('Build Data'!I4)</f>
        <v/>
      </c>
      <c r="D72" s="1063"/>
      <c r="E72" s="1118"/>
    </row>
    <row r="73" spans="1:5">
      <c r="A73" s="1104"/>
      <c r="B73" s="276" t="s">
        <v>122</v>
      </c>
      <c r="C73" s="443">
        <f>('Build Data'!F8)</f>
        <v>0</v>
      </c>
      <c r="D73" s="1063"/>
      <c r="E73" s="1118"/>
    </row>
    <row r="74" spans="1:5">
      <c r="A74" s="1104"/>
      <c r="B74" s="276" t="s">
        <v>120</v>
      </c>
      <c r="C74" s="443" t="str">
        <f>('Build Data'!F3)</f>
        <v/>
      </c>
      <c r="D74" s="1063"/>
      <c r="E74" s="1118"/>
    </row>
    <row r="75" spans="1:5">
      <c r="A75" s="1105"/>
      <c r="B75" s="276" t="s">
        <v>204</v>
      </c>
      <c r="C75" s="177" t="str">
        <f>(C70)</f>
        <v>true</v>
      </c>
      <c r="D75" s="1064"/>
      <c r="E75" s="1119"/>
    </row>
    <row r="76" spans="1:5">
      <c r="A76" s="1100">
        <v>12</v>
      </c>
      <c r="B76" s="438" t="str">
        <f>IF(MasterConfig!B25="Yes","Server is PVE","Run Jenkins job to upgrade the following additional servers; Web(s)")</f>
        <v>Run Jenkins job to upgrade the following additional servers; Web(s)</v>
      </c>
      <c r="C76" s="81" t="str">
        <f>IF(MasterConfig!B25="Yes","", C71)</f>
        <v/>
      </c>
      <c r="D76" s="1068" t="str">
        <f>IF(B76="Server is PVE",1,"")</f>
        <v/>
      </c>
      <c r="E76" s="1110" t="str">
        <f>IF(B76="Server is PVE","Automated Complete 
Server is PVE","")</f>
        <v/>
      </c>
    </row>
    <row r="77" spans="1:5">
      <c r="A77" s="1101"/>
      <c r="B77" s="280" t="str">
        <f>IF(MasterConfig!B25="Yes","","TARGET_SERVER_NAME")</f>
        <v>TARGET_SERVER_NAME</v>
      </c>
      <c r="C77" s="448" t="str">
        <f>IF(MasterConfig!B25="Yes","",'Build Data'!I3)</f>
        <v/>
      </c>
      <c r="D77" s="1069"/>
      <c r="E77" s="1111"/>
    </row>
    <row r="78" spans="1:5">
      <c r="A78" s="1101"/>
      <c r="B78" s="280" t="str">
        <f>IF(MasterConfig!B25="Yes","","CUSTOMER_CODE")</f>
        <v>CUSTOMER_CODE</v>
      </c>
      <c r="C78" s="448">
        <f>IF(MasterConfig!B25="Yes","",'Build Data'!F8)</f>
        <v>0</v>
      </c>
      <c r="D78" s="1069"/>
      <c r="E78" s="1111"/>
    </row>
    <row r="79" spans="1:5">
      <c r="A79" s="1101"/>
      <c r="B79" s="280" t="str">
        <f>IF(MasterConfig!B25="Yes","","DNS_HOST_NAME")</f>
        <v>DNS_HOST_NAME</v>
      </c>
      <c r="C79" s="448" t="str">
        <f>IF(MasterConfig!B25="Yes","",'Build Data'!F3)</f>
        <v/>
      </c>
      <c r="D79" s="1069"/>
      <c r="E79" s="1111"/>
    </row>
    <row r="80" spans="1:5">
      <c r="A80" s="1101"/>
      <c r="B80" s="316" t="str">
        <f>IF(MasterConfig!B25="Yes","","SKIP_SNAPS")</f>
        <v>SKIP_SNAPS</v>
      </c>
      <c r="C80" s="174" t="str">
        <f>IF(MasterConfig!B25="Yes","",(C70))</f>
        <v>true</v>
      </c>
      <c r="D80" s="1070"/>
      <c r="E80" s="1112"/>
    </row>
    <row r="81" spans="1:5">
      <c r="A81" s="1101"/>
      <c r="B81" s="274"/>
      <c r="C81" s="584" t="str">
        <f>IF(B82="Target_Server_Name",C76,"")</f>
        <v/>
      </c>
      <c r="D81" s="1062">
        <f>IF(B82="No Additional Web Servers",1,"")</f>
        <v>1</v>
      </c>
      <c r="E81" s="1123" t="str">
        <f>IF(B82="No Additional Web Servers","Automated Complete 
No additional web servers","")</f>
        <v>Automated Complete 
No additional web servers</v>
      </c>
    </row>
    <row r="82" spans="1:5">
      <c r="A82" s="1101"/>
      <c r="B82" s="284" t="str">
        <f>IF('Build Data'!J4="","No Additional Web Servers","TARGET_SERVER_NAME")</f>
        <v>No Additional Web Servers</v>
      </c>
      <c r="C82" s="175" t="str">
        <f>IF('Build Data'!J4="","",'Build Data'!J4)</f>
        <v/>
      </c>
      <c r="D82" s="1063"/>
      <c r="E82" s="1121"/>
    </row>
    <row r="83" spans="1:5">
      <c r="A83" s="1101"/>
      <c r="B83" s="274" t="str">
        <f>IF('Build Data'!J4="","","CUSTOMER_CODE")</f>
        <v/>
      </c>
      <c r="C83" s="175" t="str">
        <f>IF('Build Data'!J4="","",'Build Data'!F8)</f>
        <v/>
      </c>
      <c r="D83" s="1063"/>
      <c r="E83" s="1121"/>
    </row>
    <row r="84" spans="1:5">
      <c r="A84" s="1101"/>
      <c r="B84" s="274" t="str">
        <f>IF('Build Data'!J4="","","DNS_HOST_NAME")</f>
        <v/>
      </c>
      <c r="C84" s="175" t="str">
        <f>IF('Build Data'!J4="","",'Build Data'!F3)</f>
        <v/>
      </c>
      <c r="D84" s="1063"/>
      <c r="E84" s="1121"/>
    </row>
    <row r="85" spans="1:5">
      <c r="A85" s="1101"/>
      <c r="B85" s="274" t="str">
        <f>IF('Build Data'!J4="","","SQL_SERVER_NAME")</f>
        <v/>
      </c>
      <c r="C85" s="435" t="str">
        <f>IF('Build Data'!J4="","",'Build Data'!I5)</f>
        <v/>
      </c>
      <c r="D85" s="1063"/>
      <c r="E85" s="1121"/>
    </row>
    <row r="86" spans="1:5">
      <c r="A86" s="1101"/>
      <c r="B86" s="274" t="str">
        <f>IF('Build Data'!J4="","","SAS_SERVER_NAME")</f>
        <v/>
      </c>
      <c r="C86" s="435" t="str">
        <f>IF('Build Data'!J4="","",IF('Build Data'!F13=TRUE,'Build Data'!I5,'Build Data'!I7))</f>
        <v/>
      </c>
      <c r="D86" s="1063"/>
      <c r="E86" s="1121"/>
    </row>
    <row r="87" spans="1:5">
      <c r="A87" s="1101"/>
      <c r="B87" s="275" t="str">
        <f>IF('Build Data'!J4="","","SKIP_SNAPS")</f>
        <v/>
      </c>
      <c r="C87" s="571" t="str">
        <f>IF('Build Data'!J4="","",C75)</f>
        <v/>
      </c>
      <c r="D87" s="1064"/>
      <c r="E87" s="1122"/>
    </row>
    <row r="88" spans="1:5">
      <c r="A88" s="1101"/>
      <c r="B88" s="271"/>
      <c r="C88" s="603" t="str">
        <f>IF(B89="Target_Server_Name",C76,"")</f>
        <v/>
      </c>
      <c r="D88" s="1068">
        <f>IF(B89="No Additional Web Servers",1,"")</f>
        <v>1</v>
      </c>
      <c r="E88" s="1110" t="str">
        <f>IF(B89="No Additional Web Servers","Automated Complete 
No additional web servers","")</f>
        <v>Automated Complete 
No additional web servers</v>
      </c>
    </row>
    <row r="89" spans="1:5">
      <c r="A89" s="1101"/>
      <c r="B89" s="281" t="str">
        <f>IF('Build Data'!J5="","No Additional Web Servers","TARGET_SERVER_NAME")</f>
        <v>No Additional Web Servers</v>
      </c>
      <c r="C89" s="602" t="str">
        <f>IF('Build Data'!J5="","",'Build Data'!J5)</f>
        <v/>
      </c>
      <c r="D89" s="1069"/>
      <c r="E89" s="1111"/>
    </row>
    <row r="90" spans="1:5">
      <c r="A90" s="1101"/>
      <c r="B90" s="281" t="str">
        <f>IF('Build Data'!J5="","","CUSTOMER_CODE")</f>
        <v/>
      </c>
      <c r="C90" s="448" t="str">
        <f>IF('Build Data'!J5="","",'Build Data'!F8)</f>
        <v/>
      </c>
      <c r="D90" s="1069"/>
      <c r="E90" s="1111"/>
    </row>
    <row r="91" spans="1:5">
      <c r="A91" s="1101"/>
      <c r="B91" s="281" t="str">
        <f>IF('Build Data'!J5="","","DNS_HOST_NAME")</f>
        <v/>
      </c>
      <c r="C91" s="460" t="str">
        <f>IF('Build Data'!J5="","",'Build Data'!F3)</f>
        <v/>
      </c>
      <c r="D91" s="1069"/>
      <c r="E91" s="1111"/>
    </row>
    <row r="92" spans="1:5">
      <c r="A92" s="1101"/>
      <c r="B92" s="281" t="str">
        <f>IF('Build Data'!J5="","","SQL_SERVER_NAME")</f>
        <v/>
      </c>
      <c r="C92" s="610" t="str">
        <f>IF('Build Data'!J5="","",'Build Data'!I5)</f>
        <v/>
      </c>
      <c r="D92" s="1069"/>
      <c r="E92" s="1111"/>
    </row>
    <row r="93" spans="1:5">
      <c r="A93" s="1101"/>
      <c r="B93" s="271" t="str">
        <f>IF('Build Data'!J5="","","SQL_SERVER_NAME")</f>
        <v/>
      </c>
      <c r="C93" s="609" t="str">
        <f>IF('Build Data'!J5="","",IF('Build Data'!F13=TRUE,'Build Data'!I5,'Build Data'!I7))</f>
        <v/>
      </c>
      <c r="D93" s="1069"/>
      <c r="E93" s="1111"/>
    </row>
    <row r="94" spans="1:5">
      <c r="A94" s="1101"/>
      <c r="B94" s="439" t="str">
        <f>IF('Build Data'!J5="","","SKIP_SNAPS")</f>
        <v/>
      </c>
      <c r="C94" s="526" t="str">
        <f>IF('Build Data'!J5="","",C75)</f>
        <v/>
      </c>
      <c r="D94" s="1070"/>
      <c r="E94" s="1112"/>
    </row>
    <row r="95" spans="1:5">
      <c r="A95" s="1101"/>
      <c r="B95" s="575"/>
      <c r="C95" s="600" t="str">
        <f>IF(B96="Target_Server_Name",C76,"")</f>
        <v/>
      </c>
      <c r="D95" s="1062">
        <f>IF(B96="No Additional Web Servers",1,"")</f>
        <v>1</v>
      </c>
      <c r="E95" s="1123" t="str">
        <f>IF(B96="No Additional Web Servers","Automated Complete 
No additional web servers","")</f>
        <v>Automated Complete 
No additional web servers</v>
      </c>
    </row>
    <row r="96" spans="1:5">
      <c r="A96" s="1101"/>
      <c r="B96" s="274" t="str">
        <f>IF('Build Data'!J6="","No Additional Web Servers","TARGET_SERVER_NAME")</f>
        <v>No Additional Web Servers</v>
      </c>
      <c r="C96" s="175" t="str">
        <f>IF('Build Data'!J6="","",'Build Data'!J6)</f>
        <v/>
      </c>
      <c r="D96" s="1063"/>
      <c r="E96" s="1121"/>
    </row>
    <row r="97" spans="1:5">
      <c r="A97" s="1101"/>
      <c r="B97" s="274" t="str">
        <f>IF('Build Data'!J6="","","CUSTOMER_CODE")</f>
        <v/>
      </c>
      <c r="C97" s="175" t="str">
        <f>IF('Build Data'!J6="","",'Build Data'!F8)</f>
        <v/>
      </c>
      <c r="D97" s="1063"/>
      <c r="E97" s="1121"/>
    </row>
    <row r="98" spans="1:5">
      <c r="A98" s="1101"/>
      <c r="B98" s="274" t="str">
        <f>IF('Build Data'!J6="","","DNS_HOST_NAME")</f>
        <v/>
      </c>
      <c r="C98" s="175" t="str">
        <f>IF('Build Data'!J6="","",'Build Data'!F3)</f>
        <v/>
      </c>
      <c r="D98" s="1063"/>
      <c r="E98" s="1121"/>
    </row>
    <row r="99" spans="1:5">
      <c r="A99" s="1101"/>
      <c r="B99" s="274" t="str">
        <f>IF('Build Data'!J6="","","SQL_SERVER_NAME")</f>
        <v/>
      </c>
      <c r="C99" s="435" t="str">
        <f>IF('Build Data'!J6="","",'Build Data'!I5)</f>
        <v/>
      </c>
      <c r="D99" s="1063"/>
      <c r="E99" s="1121"/>
    </row>
    <row r="100" spans="1:5">
      <c r="A100" s="1101"/>
      <c r="B100" s="274" t="str">
        <f>IF('Build Data'!J6="","","SAS_SERVER_NAME")</f>
        <v/>
      </c>
      <c r="C100" s="435" t="str">
        <f>IF('Build Data'!J6="","",IF('Build Data'!F13=TRUE,'Build Data'!I5,'Build Data'!I7))</f>
        <v/>
      </c>
      <c r="D100" s="1063"/>
      <c r="E100" s="1121"/>
    </row>
    <row r="101" spans="1:5">
      <c r="A101" s="1101"/>
      <c r="B101" s="601" t="str">
        <f>IF('Build Data'!J6="","","SKIP_SNAPS")</f>
        <v/>
      </c>
      <c r="C101" s="599" t="str">
        <f>IF('Build Data'!J6="","",C75)</f>
        <v/>
      </c>
      <c r="D101" s="1064"/>
      <c r="E101" s="1122"/>
    </row>
    <row r="102" spans="1:5">
      <c r="A102" s="1101"/>
      <c r="B102" s="557"/>
      <c r="C102" s="81" t="str">
        <f>IF(B103="Target_Server_Name",C76,"")</f>
        <v/>
      </c>
      <c r="D102" s="1068">
        <f>IF(B103="No Additional Web Servers",1,"")</f>
        <v>1</v>
      </c>
      <c r="E102" s="1110" t="str">
        <f>IF(B103="No Additional Web Servers","Automated Complete 
No additional web servers","")</f>
        <v>Automated Complete 
No additional web servers</v>
      </c>
    </row>
    <row r="103" spans="1:5">
      <c r="A103" s="1101"/>
      <c r="B103" s="271" t="str">
        <f>IF('Build Data'!J7="","No Additional Web Servers","TARGET_SERVER_NAME")</f>
        <v>No Additional Web Servers</v>
      </c>
      <c r="C103" s="568" t="str">
        <f>IF('Build Data'!J7="","",'Build Data'!J7)</f>
        <v/>
      </c>
      <c r="D103" s="1069"/>
      <c r="E103" s="1111"/>
    </row>
    <row r="104" spans="1:5">
      <c r="A104" s="1101"/>
      <c r="B104" s="281" t="str">
        <f>IF('Build Data'!J7="","","CUSTOMER_CODE")</f>
        <v/>
      </c>
      <c r="C104" s="448" t="str">
        <f>IF('Build Data'!J7="","",'Build Data'!F8)</f>
        <v/>
      </c>
      <c r="D104" s="1069"/>
      <c r="E104" s="1111"/>
    </row>
    <row r="105" spans="1:5">
      <c r="A105" s="1101"/>
      <c r="B105" s="271" t="str">
        <f>IF('Build Data'!J7="","","DNS_HOST_NAME")</f>
        <v/>
      </c>
      <c r="C105" s="448" t="str">
        <f>IF('Build Data'!J7="","",'Build Data'!F3)</f>
        <v/>
      </c>
      <c r="D105" s="1069"/>
      <c r="E105" s="1111"/>
    </row>
    <row r="106" spans="1:5">
      <c r="A106" s="1101"/>
      <c r="B106" s="281" t="str">
        <f>IF('Build Data'!J7="","","SQL_SERVER_NAME")</f>
        <v/>
      </c>
      <c r="C106" s="609" t="str">
        <f>IF('Build Data'!J7="","",'Build Data'!I5)</f>
        <v/>
      </c>
      <c r="D106" s="1069"/>
      <c r="E106" s="1111"/>
    </row>
    <row r="107" spans="1:5">
      <c r="A107" s="1101"/>
      <c r="B107" s="271" t="str">
        <f>IF('Build Data'!J7="","","SAS_SERVER_NAME")</f>
        <v/>
      </c>
      <c r="C107" s="609" t="str">
        <f>IF('Build Data'!J7="","",IF('Build Data'!F13=TRUE,'Build Data'!I5,'Build Data'!I5))</f>
        <v/>
      </c>
      <c r="D107" s="1069"/>
      <c r="E107" s="1111"/>
    </row>
    <row r="108" spans="1:5">
      <c r="A108" s="1141"/>
      <c r="B108" s="420" t="str">
        <f>IF('Build Data'!J7="","","SKIP_SNAPS")</f>
        <v/>
      </c>
      <c r="C108" s="933" t="str">
        <f>IF('Build Data'!J7="","",C75)</f>
        <v/>
      </c>
      <c r="D108" s="1070"/>
      <c r="E108" s="1112"/>
    </row>
    <row r="109" spans="1:5">
      <c r="A109" s="1059">
        <v>13</v>
      </c>
      <c r="B109" s="282" t="s">
        <v>207</v>
      </c>
      <c r="C109" s="604" t="str">
        <f>IF('Build Data'!F7="ln","https://jenkins.eu.planview.world/job/trx_update_pipe/build?delay=0sec", "https://jenkins.us.planview.world/job/trx_update_pipe/build?delay=0sec")</f>
        <v>https://jenkins.us.planview.world/job/trx_update_pipe/build?delay=0sec</v>
      </c>
      <c r="D109" s="1062"/>
      <c r="E109" s="1117"/>
    </row>
    <row r="110" spans="1:5">
      <c r="A110" s="1060"/>
      <c r="B110" s="278" t="s">
        <v>208</v>
      </c>
      <c r="C110" s="338">
        <f>('Build Data'!B10)</f>
        <v>0</v>
      </c>
      <c r="D110" s="1063"/>
      <c r="E110" s="1118"/>
    </row>
    <row r="111" spans="1:5">
      <c r="A111" s="1060"/>
      <c r="B111" s="278" t="s">
        <v>118</v>
      </c>
      <c r="C111" s="338" t="str">
        <f>('Build Data'!I6)</f>
        <v/>
      </c>
      <c r="D111" s="1063"/>
      <c r="E111" s="1118"/>
    </row>
    <row r="112" spans="1:5">
      <c r="A112" s="1060"/>
      <c r="B112" s="278" t="s">
        <v>123</v>
      </c>
      <c r="C112" s="338">
        <f>('Build Data'!F9)</f>
        <v>0</v>
      </c>
      <c r="D112" s="1063"/>
      <c r="E112" s="1118"/>
    </row>
    <row r="113" spans="1:5">
      <c r="A113" s="1061"/>
      <c r="B113" s="283" t="s">
        <v>249</v>
      </c>
      <c r="C113" s="339" t="str">
        <f>('Build Data'!I6)</f>
        <v/>
      </c>
      <c r="D113" s="1064"/>
      <c r="E113" s="1119"/>
    </row>
    <row r="114" spans="1:5">
      <c r="A114" s="1101">
        <v>14</v>
      </c>
      <c r="B114" s="450" t="s">
        <v>209</v>
      </c>
      <c r="C114" s="605" t="str">
        <f>IF('Build Data'!I3="","",IF('Build Data'!F13=TRUE,"https://jenkins.planviewcloud.net/job/e1_update_pipe/build?delay=0sec",IF('Build Data'!F7="ln","https://jenkins.eu.planview.world/job/e1_update_pipe/build?delay=0sec",IF('Build Data'!F7="sg","https://jenkins.us.planview.world/job/e1_update_pipe/build?delay=0sec",""))))</f>
        <v/>
      </c>
      <c r="D114" s="1068"/>
      <c r="E114" s="1110"/>
    </row>
    <row r="115" spans="1:5">
      <c r="A115" s="1101"/>
      <c r="B115" s="280" t="s">
        <v>208</v>
      </c>
      <c r="C115" s="336">
        <f>('Build Data'!B10)</f>
        <v>0</v>
      </c>
      <c r="D115" s="1069"/>
      <c r="E115" s="1111"/>
    </row>
    <row r="116" spans="1:5">
      <c r="A116" s="1101"/>
      <c r="B116" s="271" t="s">
        <v>118</v>
      </c>
      <c r="C116" s="336" t="str">
        <f>('Build Data'!I4)</f>
        <v/>
      </c>
      <c r="D116" s="1069"/>
      <c r="E116" s="1111"/>
    </row>
    <row r="117" spans="1:5">
      <c r="A117" s="1101"/>
      <c r="B117" s="462" t="s">
        <v>122</v>
      </c>
      <c r="C117" s="336">
        <f>('Build Data'!F8)</f>
        <v>0</v>
      </c>
      <c r="D117" s="1069"/>
      <c r="E117" s="1111"/>
    </row>
    <row r="118" spans="1:5">
      <c r="A118" s="1101"/>
      <c r="B118" s="271" t="s">
        <v>120</v>
      </c>
      <c r="C118" s="336" t="str">
        <f>('Build Data'!F3)</f>
        <v/>
      </c>
      <c r="D118" s="1069"/>
      <c r="E118" s="1111"/>
    </row>
    <row r="119" spans="1:5">
      <c r="A119" s="1101"/>
      <c r="B119" s="439" t="s">
        <v>204</v>
      </c>
      <c r="C119" s="337" t="str">
        <f>C75</f>
        <v>true</v>
      </c>
      <c r="D119" s="1070"/>
      <c r="E119" s="1112"/>
    </row>
    <row r="120" spans="1:5">
      <c r="A120" s="1059">
        <v>15</v>
      </c>
      <c r="B120" s="282" t="str">
        <f>IF(MasterConfig!B25="Yes","Server is PVE","Run Jenkins job to upgrade the following additional servers; Web(s)")</f>
        <v>Run Jenkins job to upgrade the following additional servers; Web(s)</v>
      </c>
      <c r="C120" s="604" t="str">
        <f>IF(MasterConfig!B25="Yes","", C114)</f>
        <v/>
      </c>
      <c r="D120" s="1062" t="str">
        <f>IF(B120="Server is PVE",1,"")</f>
        <v/>
      </c>
      <c r="E120" s="1117" t="b">
        <f>IF(B120="Server is PVE","Automated Complete 
Server is PVE")</f>
        <v>0</v>
      </c>
    </row>
    <row r="121" spans="1:5">
      <c r="A121" s="1060"/>
      <c r="B121" s="276" t="str">
        <f>IF(MasterConfig!B25="Yes","","UPDATE_VERSION")</f>
        <v>UPDATE_VERSION</v>
      </c>
      <c r="C121" s="338">
        <f>IF(MasterConfig!B25="Yes","",'Build Data'!B10)</f>
        <v>0</v>
      </c>
      <c r="D121" s="1063"/>
      <c r="E121" s="1118"/>
    </row>
    <row r="122" spans="1:5">
      <c r="A122" s="1060"/>
      <c r="B122" s="276" t="str">
        <f>IF(MasterConfig!B25="Yes","","TARGET_SERVER_NAME")</f>
        <v>TARGET_SERVER_NAME</v>
      </c>
      <c r="C122" s="338" t="str">
        <f>IF(MasterConfig!B25="Yes","",'Build Data'!I3)</f>
        <v/>
      </c>
      <c r="D122" s="1063"/>
      <c r="E122" s="1118"/>
    </row>
    <row r="123" spans="1:5">
      <c r="A123" s="1060"/>
      <c r="B123" s="276" t="str">
        <f>IF(MasterConfig!B25="Yes","","CUSTOMER_CODE")</f>
        <v>CUSTOMER_CODE</v>
      </c>
      <c r="C123" s="338">
        <f>IF(MasterConfig!B25="Yes","",'Build Data'!F8)</f>
        <v>0</v>
      </c>
      <c r="D123" s="1063"/>
      <c r="E123" s="1118"/>
    </row>
    <row r="124" spans="1:5">
      <c r="A124" s="1060"/>
      <c r="B124" s="276" t="str">
        <f>IF(MasterConfig!B25="Yes","","DNS_HOST_NAME")</f>
        <v>DNS_HOST_NAME</v>
      </c>
      <c r="C124" s="338" t="str">
        <f>IF(MasterConfig!B25="Yes","",'Build Data'!F3)</f>
        <v/>
      </c>
      <c r="D124" s="1063"/>
      <c r="E124" s="1118"/>
    </row>
    <row r="125" spans="1:5">
      <c r="A125" s="1060"/>
      <c r="B125" s="269" t="str">
        <f>IF(MasterConfig!B25="Yes","","SKIP_SNAPS")</f>
        <v>SKIP_SNAPS</v>
      </c>
      <c r="C125" s="339" t="str">
        <f>IF(MasterConfig!B25="Yes","",C75)</f>
        <v>true</v>
      </c>
      <c r="D125" s="1064"/>
      <c r="E125" s="1119"/>
    </row>
    <row r="126" spans="1:5">
      <c r="A126" s="1060"/>
      <c r="B126" s="273"/>
      <c r="C126" s="607" t="str">
        <f>IF(B127="Update_Version",C114,"")</f>
        <v/>
      </c>
      <c r="D126" s="1068">
        <f>IF(B127="No Additional Web Servers",1,"")</f>
        <v>1</v>
      </c>
      <c r="E126" s="1123" t="str">
        <f>IF(B127="No Additional Web Servers","Automated Complete 
No additional web servers","")</f>
        <v>Automated Complete 
No additional web servers</v>
      </c>
    </row>
    <row r="127" spans="1:5">
      <c r="A127" s="1060"/>
      <c r="B127" s="274" t="str">
        <f>IF('Build Data'!J4="","No Additional Web Servers","UPDATE_VERSION")</f>
        <v>No Additional Web Servers</v>
      </c>
      <c r="C127" s="340" t="str">
        <f>IF('Build Data'!J4="","",'Build Data'!B10)</f>
        <v/>
      </c>
      <c r="D127" s="1069"/>
      <c r="E127" s="1121"/>
    </row>
    <row r="128" spans="1:5">
      <c r="A128" s="1060"/>
      <c r="B128" s="274" t="str">
        <f>IF('Build Data'!J4="","","TARGET_SERVER_NAME")</f>
        <v/>
      </c>
      <c r="C128" s="340" t="str">
        <f>IF('Build Data'!J4="","",'Build Data'!J4)</f>
        <v/>
      </c>
      <c r="D128" s="1069"/>
      <c r="E128" s="1121"/>
    </row>
    <row r="129" spans="1:5">
      <c r="A129" s="1060"/>
      <c r="B129" s="274" t="str">
        <f>IF('Build Data'!J4="","","CUSTOMER_CODE")</f>
        <v/>
      </c>
      <c r="C129" s="340" t="str">
        <f>IF('Build Data'!J4="","",'Build Data'!F8)</f>
        <v/>
      </c>
      <c r="D129" s="1069"/>
      <c r="E129" s="1121"/>
    </row>
    <row r="130" spans="1:5">
      <c r="A130" s="1060"/>
      <c r="B130" s="274" t="str">
        <f>IF('Build Data'!J4="","","DNS_HOST_NAME")</f>
        <v/>
      </c>
      <c r="C130" s="466" t="str">
        <f>IF('Build Data'!J4="","",'Build Data'!F3)</f>
        <v/>
      </c>
      <c r="D130" s="1069"/>
      <c r="E130" s="1121"/>
    </row>
    <row r="131" spans="1:5">
      <c r="A131" s="1060"/>
      <c r="B131" s="284" t="str">
        <f>IF('Build Data'!J4="","","SQL_SERVER_NAME")</f>
        <v/>
      </c>
      <c r="C131" s="435" t="str">
        <f>IF('Build Data'!J4="","",'Build Data'!I5)</f>
        <v/>
      </c>
      <c r="D131" s="1069"/>
      <c r="E131" s="1121"/>
    </row>
    <row r="132" spans="1:5">
      <c r="A132" s="1060"/>
      <c r="B132" s="274" t="str">
        <f>IF('Build Data'!J4="","","SAS_SERVER_NAME")</f>
        <v/>
      </c>
      <c r="C132" s="435" t="str">
        <f>IF('Build Data'!J4="","",IF('Build Data'!F13=TRUE,'Build Data'!I5,'Build Data'!I7))</f>
        <v/>
      </c>
      <c r="D132" s="1069"/>
      <c r="E132" s="1121"/>
    </row>
    <row r="133" spans="1:5">
      <c r="A133" s="1060"/>
      <c r="B133" s="274" t="str">
        <f>IF('Build Data'!J4="","","SKIP_SNAPS")</f>
        <v/>
      </c>
      <c r="C133" s="571" t="str">
        <f>IF('Build Data'!J4="","",C75)</f>
        <v/>
      </c>
      <c r="D133" s="1070"/>
      <c r="E133" s="1122"/>
    </row>
    <row r="134" spans="1:5">
      <c r="A134" s="1060"/>
      <c r="B134" s="277"/>
      <c r="C134" s="608" t="str">
        <f>IF(B135="Update_Version",C114,"")</f>
        <v/>
      </c>
      <c r="D134" s="1062">
        <f>IF(B135="No Additional Web Servers",1,"")</f>
        <v>1</v>
      </c>
      <c r="E134" s="1117" t="str">
        <f>IF(B135="No Additional Web Servers","Automated Complete 
No additional web servers","")</f>
        <v>Automated Complete 
No additional web servers</v>
      </c>
    </row>
    <row r="135" spans="1:5">
      <c r="A135" s="1060"/>
      <c r="B135" s="276" t="str">
        <f>IF('Build Data'!J5="","No Additional Web Servers","UPDATE_VERSION")</f>
        <v>No Additional Web Servers</v>
      </c>
      <c r="C135" s="338" t="str">
        <f>IF('Build Data'!J5="","",'Build Data'!B10)</f>
        <v/>
      </c>
      <c r="D135" s="1063"/>
      <c r="E135" s="1118"/>
    </row>
    <row r="136" spans="1:5">
      <c r="A136" s="1060"/>
      <c r="B136" s="276" t="str">
        <f>IF('Build Data'!J5="","","TARGET_SERVER_NAME")</f>
        <v/>
      </c>
      <c r="C136" s="338" t="str">
        <f>IF('Build Data'!J5="","",'Build Data'!J5)</f>
        <v/>
      </c>
      <c r="D136" s="1063"/>
      <c r="E136" s="1118"/>
    </row>
    <row r="137" spans="1:5">
      <c r="A137" s="1060"/>
      <c r="B137" s="276" t="str">
        <f>IF('Build Data'!J5="","","CUSTOMER_CODE")</f>
        <v/>
      </c>
      <c r="C137" s="338" t="str">
        <f>IF('Build Data'!J5="","",'Build Data'!F8)</f>
        <v/>
      </c>
      <c r="D137" s="1063"/>
      <c r="E137" s="1118"/>
    </row>
    <row r="138" spans="1:5">
      <c r="A138" s="1060"/>
      <c r="B138" s="276" t="str">
        <f>IF('Build Data'!J5="","","DNS_HOST_NAME")</f>
        <v/>
      </c>
      <c r="C138" s="454" t="str">
        <f>IF('Build Data'!J5="","",'Build Data'!F3)</f>
        <v/>
      </c>
      <c r="D138" s="1063"/>
      <c r="E138" s="1118"/>
    </row>
    <row r="139" spans="1:5">
      <c r="A139" s="1060"/>
      <c r="B139" s="278" t="str">
        <f>IF('Build Data'!J5="","","SQL_SERVER_NAME")</f>
        <v/>
      </c>
      <c r="C139" s="445" t="str">
        <f>IF('Build Data'!J5="","",'Build Data'!I5)</f>
        <v/>
      </c>
      <c r="D139" s="1063"/>
      <c r="E139" s="1118"/>
    </row>
    <row r="140" spans="1:5">
      <c r="A140" s="1060"/>
      <c r="B140" s="276" t="str">
        <f>IF('Build Data'!J5="","","SAS_SERVER_NAME")</f>
        <v/>
      </c>
      <c r="C140" s="445" t="str">
        <f>IF('Build Data'!J5="","",IF('Build Data'!F13=TRUE,'Build Data'!I5,'Build Data'!I7))</f>
        <v/>
      </c>
      <c r="D140" s="1063"/>
      <c r="E140" s="1118"/>
    </row>
    <row r="141" spans="1:5">
      <c r="A141" s="1060"/>
      <c r="B141" s="276" t="str">
        <f>IF('Build Data'!J5="","","SKIP_SNAPS")</f>
        <v/>
      </c>
      <c r="C141" s="338" t="str">
        <f>IF('Build Data'!J5="","",C75)</f>
        <v/>
      </c>
      <c r="D141" s="1064"/>
      <c r="E141" s="1119"/>
    </row>
    <row r="142" spans="1:5">
      <c r="A142" s="1060"/>
      <c r="B142" s="273"/>
      <c r="C142" s="607" t="str">
        <f>IF(B143="Update_Version",C114,"")</f>
        <v/>
      </c>
      <c r="D142" s="1068">
        <f>IF(B143="No Additional Web Servers",1,"")</f>
        <v>1</v>
      </c>
      <c r="E142" s="1123" t="str">
        <f>IF(B143="No Additional Web Servers","Automated Complete 
No additional web servers","")</f>
        <v>Automated Complete 
No additional web servers</v>
      </c>
    </row>
    <row r="143" spans="1:5">
      <c r="A143" s="1060"/>
      <c r="B143" s="274" t="str">
        <f>IF('Build Data'!J6="","No Additional Web Servers","UPDATE_VERSION")</f>
        <v>No Additional Web Servers</v>
      </c>
      <c r="C143" s="340" t="str">
        <f>IF('Build Data'!J6="","",'Build Data'!B10)</f>
        <v/>
      </c>
      <c r="D143" s="1069"/>
      <c r="E143" s="1121"/>
    </row>
    <row r="144" spans="1:5">
      <c r="A144" s="1060"/>
      <c r="B144" s="274" t="str">
        <f>IF('Build Data'!J6="","","TARGET_SERVER_NAME")</f>
        <v/>
      </c>
      <c r="C144" s="340" t="str">
        <f>IF('Build Data'!J6="","",'Build Data'!J6)</f>
        <v/>
      </c>
      <c r="D144" s="1069"/>
      <c r="E144" s="1121"/>
    </row>
    <row r="145" spans="1:5">
      <c r="A145" s="1060"/>
      <c r="B145" s="274" t="str">
        <f>IF('Build Data'!J6="","","CUSTOMER_CODE")</f>
        <v/>
      </c>
      <c r="C145" s="340" t="str">
        <f>IF('Build Data'!J6="","",'Build Data'!F8)</f>
        <v/>
      </c>
      <c r="D145" s="1069"/>
      <c r="E145" s="1121"/>
    </row>
    <row r="146" spans="1:5">
      <c r="A146" s="1060"/>
      <c r="B146" s="440" t="str">
        <f>IF('Build Data'!J6="","","DNS_HOST_NAME")</f>
        <v/>
      </c>
      <c r="C146" s="340" t="str">
        <f>IF('Build Data'!J6="","",'Build Data'!F3)</f>
        <v/>
      </c>
      <c r="D146" s="1069"/>
      <c r="E146" s="1121"/>
    </row>
    <row r="147" spans="1:5">
      <c r="A147" s="1060"/>
      <c r="B147" s="274" t="str">
        <f>IF('Build Data'!J6="","","SQL_SERVER_NAME")</f>
        <v/>
      </c>
      <c r="C147" s="434" t="str">
        <f>IF('Build Data'!J6="","",'Build Data'!I5)</f>
        <v/>
      </c>
      <c r="D147" s="1069"/>
      <c r="E147" s="1121"/>
    </row>
    <row r="148" spans="1:5">
      <c r="A148" s="1060"/>
      <c r="B148" s="274" t="str">
        <f>IF('Build Data'!J6="","","SAS_SERVER_NAME")</f>
        <v/>
      </c>
      <c r="C148" s="435" t="str">
        <f>IF('Build Data'!J6="","",IF('Build Data'!F13=TRUE,'Build Data'!I5,'Build Data'!I7))</f>
        <v/>
      </c>
      <c r="D148" s="1069"/>
      <c r="E148" s="1121"/>
    </row>
    <row r="149" spans="1:5">
      <c r="A149" s="1060"/>
      <c r="B149" s="275" t="str">
        <f>IF('Build Data'!J6="","","SKIP_SNAPS")</f>
        <v/>
      </c>
      <c r="C149" s="571" t="str">
        <f>IF('Build Data'!J6="","",C75)</f>
        <v/>
      </c>
      <c r="D149" s="1070"/>
      <c r="E149" s="1122"/>
    </row>
    <row r="150" spans="1:5">
      <c r="A150" s="1060"/>
      <c r="B150" s="444"/>
      <c r="C150" s="604" t="str">
        <f>IF(B151="Update_Version",C114,"")</f>
        <v/>
      </c>
      <c r="D150" s="1142">
        <f>IF(B151="No Additional Web Servers",1,"")</f>
        <v>1</v>
      </c>
      <c r="E150" s="1117" t="str">
        <f>IF(B151="No Additional Web Servers","Automated Complete 
No additional web servers","")</f>
        <v>Automated Complete 
No additional web servers</v>
      </c>
    </row>
    <row r="151" spans="1:5">
      <c r="A151" s="1060"/>
      <c r="B151" s="444" t="str">
        <f>IF('Build Data'!J7="","No Additional Web Servers","UPDATE_VERSION")</f>
        <v>No Additional Web Servers</v>
      </c>
      <c r="C151" s="338" t="str">
        <f>IF('Build Data'!J7="","",'Build Data'!B10)</f>
        <v/>
      </c>
      <c r="D151" s="1143"/>
      <c r="E151" s="1118"/>
    </row>
    <row r="152" spans="1:5">
      <c r="A152" s="1060"/>
      <c r="B152" s="464" t="str">
        <f>IF('Build Data'!J7="","","TARGET_SERVER_NAME")</f>
        <v/>
      </c>
      <c r="C152" s="455" t="str">
        <f>IF('Build Data'!J7="","",'Build Data'!J7)</f>
        <v/>
      </c>
      <c r="D152" s="1143"/>
      <c r="E152" s="1118"/>
    </row>
    <row r="153" spans="1:5">
      <c r="A153" s="1060"/>
      <c r="B153" s="444" t="str">
        <f>IF('Build Data'!J7="","","CUSTOMER_CODE")</f>
        <v/>
      </c>
      <c r="C153" s="456" t="str">
        <f>IF('Build Data'!J7="","",'Build Data'!F8)</f>
        <v/>
      </c>
      <c r="D153" s="1143"/>
      <c r="E153" s="1118"/>
    </row>
    <row r="154" spans="1:5">
      <c r="A154" s="1060"/>
      <c r="B154" s="465" t="str">
        <f>IF('Build Data'!J7="","","DNS_HOST_NAME")</f>
        <v/>
      </c>
      <c r="C154" s="456" t="str">
        <f>IF('Build Data'!J7="","",'Build Data'!F3)</f>
        <v/>
      </c>
      <c r="D154" s="1143"/>
      <c r="E154" s="1118"/>
    </row>
    <row r="155" spans="1:5">
      <c r="A155" s="1060"/>
      <c r="B155" s="444" t="str">
        <f>IF('Build Data'!J7="","","SQL_SERVER_NAME")</f>
        <v/>
      </c>
      <c r="C155" s="446" t="str">
        <f>IF('Build Data'!J7="","",'Build Data'!I5)</f>
        <v/>
      </c>
      <c r="D155" s="1143"/>
      <c r="E155" s="1118"/>
    </row>
    <row r="156" spans="1:5">
      <c r="A156" s="1060"/>
      <c r="B156" s="444" t="str">
        <f>IF('Build Data'!J7="","","SAS_SERVER_NAME")</f>
        <v/>
      </c>
      <c r="C156" s="446" t="str">
        <f>IF('Build Data'!J7="","",IF('Build Data'!F13=TRUE,'Build Data'!I5,'Build Data'!I7))</f>
        <v/>
      </c>
      <c r="D156" s="1143"/>
      <c r="E156" s="1118"/>
    </row>
    <row r="157" spans="1:5">
      <c r="A157" s="1061"/>
      <c r="B157" s="444" t="str">
        <f>IF('Build Data'!J7="","","SKIP_SNAPS")</f>
        <v/>
      </c>
      <c r="C157" s="606" t="str">
        <f>IF('Build Data'!J7="","",C75)</f>
        <v/>
      </c>
      <c r="D157" s="1144"/>
      <c r="E157" s="1119"/>
    </row>
    <row r="158" spans="1:5">
      <c r="A158" s="215">
        <v>16</v>
      </c>
      <c r="B158" s="162" t="s">
        <v>210</v>
      </c>
      <c r="C158" s="451" t="s">
        <v>211</v>
      </c>
      <c r="D158" s="216"/>
      <c r="E158" s="230"/>
    </row>
    <row r="159" spans="1:5">
      <c r="A159" s="936">
        <v>17</v>
      </c>
      <c r="B159" s="327" t="s">
        <v>212</v>
      </c>
      <c r="C159" s="70" t="s">
        <v>213</v>
      </c>
      <c r="D159" s="50"/>
      <c r="E159" s="231"/>
    </row>
    <row r="160" spans="1:5">
      <c r="A160" s="1065">
        <v>18</v>
      </c>
      <c r="B160" s="964" t="s">
        <v>142</v>
      </c>
      <c r="C160" s="452"/>
      <c r="D160" s="1068"/>
      <c r="E160" s="1110"/>
    </row>
    <row r="161" spans="1:5">
      <c r="A161" s="1066"/>
      <c r="B161" s="411" t="str">
        <f>('SB Alignment'!B175)</f>
        <v>Validate ADM 01</v>
      </c>
      <c r="C161" s="452" t="str">
        <f>(MasterConfig!B1)&amp;"/login/body.asp?manual=Y"</f>
        <v>/login/body.asp?manual=Y</v>
      </c>
      <c r="D161" s="1069"/>
      <c r="E161" s="1111"/>
    </row>
    <row r="162" spans="1:5">
      <c r="A162" s="1066"/>
      <c r="B162" s="411" t="str">
        <f>('SB Alignment'!B176)</f>
        <v>Validate Versions using following URLs</v>
      </c>
      <c r="C162" s="452" t="str">
        <f>_xlfn.CONCAT(AutoPop!M112,'Build Data'!F3,AutoPop!N112)</f>
        <v>Start-Process "chrome.exe" "https://.pvcloud.com/planview/diag/version.aspx"</v>
      </c>
      <c r="D162" s="1069"/>
      <c r="E162" s="1111"/>
    </row>
    <row r="163" spans="1:5">
      <c r="A163" s="1066"/>
      <c r="B163" s="411" t="str">
        <f>('SB Alignment'!B177)</f>
        <v>Test odata with following URLs</v>
      </c>
      <c r="C163" s="452" t="str">
        <f>_xlfn.CONCAT(AutoPop!M112,'Build Data'!F3,AutoPop!N113)</f>
        <v>Start-Process "chrome.exe" "https://.pvcloud.com/odataservice/OdataService.svc"</v>
      </c>
      <c r="D163" s="1069"/>
      <c r="E163" s="1111"/>
    </row>
    <row r="164" spans="1:5">
      <c r="A164" s="1066"/>
      <c r="B164" s="411" t="str">
        <f>('SB Alignment'!B178)</f>
        <v>Test Progression Engine</v>
      </c>
      <c r="C164" s="452" t="str">
        <f>_xlfn.CONCAT(AutoPop!M112,'Build Data'!F3,AutoPop!N114)</f>
        <v>Start-Process "chrome.exe" "https://.pvcloud.com/planview/Progressing/ProgressInteractively.aspx"</v>
      </c>
      <c r="D164" s="1069"/>
      <c r="E164" s="1111"/>
    </row>
    <row r="165" spans="1:5">
      <c r="A165" s="1066"/>
      <c r="B165" s="414" t="str">
        <f>('SB Alignment'!B179)</f>
        <v>Administration &gt; Reporting &gt; Model Management</v>
      </c>
      <c r="C165" s="452" t="str">
        <f>_xlfn.CONCAT(AutoPop!M112,'Build Data'!F3,AutoPop!N115)</f>
        <v>Start-Process "chrome.exe" "https://.pvcloud.com/planview/AdminApplication/AdministerOLAPConnStrings.aspx"</v>
      </c>
      <c r="D165" s="1069"/>
      <c r="E165" s="1111"/>
    </row>
    <row r="166" spans="1:5">
      <c r="A166" s="1066"/>
      <c r="B166" s="636" t="str">
        <f>('SB Alignment'!B180)</f>
        <v>Administration &gt; System Configuration &gt; Database Management</v>
      </c>
      <c r="C166" s="452" t="str">
        <f>_xlfn.CONCAT(AutoPop!M112,'Build Data'!F3,AutoPop!N116)</f>
        <v>Start-Process "chrome.exe" "https://.pvcloud.com/planview/AdminDatabase/Databases.aspx"</v>
      </c>
      <c r="D166" s="1069"/>
      <c r="E166" s="1111"/>
    </row>
    <row r="167" spans="1:5">
      <c r="A167" s="1066"/>
      <c r="B167" s="414" t="str">
        <f>('SB Alignment'!B181)</f>
        <v>Administration &gt; Reporting &gt; DataSet Management</v>
      </c>
      <c r="C167" s="452" t="str">
        <f>_xlfn.CONCAT(AutoPop!M112,'Build Data'!F4,AutoPop!N117)</f>
        <v>Start-Process "chrome.exe" "https://.pvcloud.com/planview/AdminApplication/AdministerDataset.aspx"</v>
      </c>
      <c r="D167" s="1069"/>
      <c r="E167" s="1111"/>
    </row>
    <row r="168" spans="1:5">
      <c r="A168" s="1066"/>
      <c r="B168" s="411" t="str">
        <f>('SB Alignment'!B182)</f>
        <v>Test Access Manager and Validate TESE is functioning properly</v>
      </c>
      <c r="C168" s="452" t="str">
        <f>_xlfn.CONCAT(AutoPop!M112,'Build Data'!F4,AutoPop!N118)</f>
        <v>Start-Process "chrome.exe" "https://.pvcloud.com/planview/AdminApplication/AdminServices.aspx"</v>
      </c>
      <c r="D168" s="1069"/>
      <c r="E168" s="1111"/>
    </row>
    <row r="169" spans="1:5">
      <c r="A169" s="1066"/>
      <c r="B169" s="414" t="str">
        <f>('SB Alignment'!B183)</f>
        <v>Content Search</v>
      </c>
      <c r="C169" s="452" t="str">
        <f>_xlfn.CONCAT(AutoPop!M112,'Build Data'!F4,AutoPop!N119)</f>
        <v>Start-Process "chrome.exe" "https://.pvcloud.com/planview/AdminApplication/createcontentsearchindex.asp?step=1"</v>
      </c>
      <c r="D169" s="1069"/>
      <c r="E169" s="1111"/>
    </row>
    <row r="170" spans="1:5">
      <c r="A170" s="1066"/>
      <c r="B170" s="636" t="str">
        <f>('SB Alignment'!B184)</f>
        <v>Validate CTM site launches successfully from PRM</v>
      </c>
      <c r="C170" s="452" t="str">
        <f>_xlfn.CONCAT(AutoPop!M112,'Build Data'!F4,AutoPop!N120)</f>
        <v>Start-Process "chrome.exe" "https://.pvcloud.com/ng/ctm/"</v>
      </c>
      <c r="D170" s="1069"/>
      <c r="E170" s="1111"/>
    </row>
    <row r="171" spans="1:5">
      <c r="A171" s="1066"/>
      <c r="B171" s="411" t="str">
        <f>('SB Alignment'!B185)</f>
        <v>PRM Health Check</v>
      </c>
      <c r="C171" s="452" t="str">
        <f>_xlfn.CONCAT(AutoPop!M112,'Build Data'!F4,AutoPop!N121)</f>
        <v>Start-Process "chrome.exe" "https://.pvcloud.com/planview/diag/health.aspx"</v>
      </c>
      <c r="D171" s="1069"/>
      <c r="E171" s="1111"/>
    </row>
    <row r="172" spans="1:5">
      <c r="A172" s="1066"/>
      <c r="B172" s="411" t="str">
        <f>('SB Alignment'!B186)</f>
        <v>CTM Health Check</v>
      </c>
      <c r="C172" s="452" t="str">
        <f>_xlfn.CONCAT(AutoPop!M113,'Build Data'!I6,AutoPop!N122)</f>
        <v>Start-Process "chrome.exe" "http:///health"</v>
      </c>
      <c r="D172" s="1069"/>
      <c r="E172" s="1111"/>
    </row>
    <row r="173" spans="1:5">
      <c r="A173" s="1066"/>
      <c r="B173" s="414" t="str">
        <f>('SB Alignment'!B187)</f>
        <v>CTM Health Check</v>
      </c>
      <c r="C173" s="452" t="str">
        <f>_xlfn.CONCAT(AutoPop!M113,'Build Data'!I6,AutoPop!N123)</f>
        <v>Start-Process "chrome.exe" "http:///uaa/health"</v>
      </c>
      <c r="D173" s="1069"/>
      <c r="E173" s="1111"/>
    </row>
    <row r="174" spans="1:5">
      <c r="A174" s="1067"/>
      <c r="B174" s="637" t="str">
        <f>('SB Alignment'!B188)</f>
        <v>CTM Health Check</v>
      </c>
      <c r="C174" s="452" t="str">
        <f>_xlfn.CONCAT(AutoPop!M113,'Build Data'!I6,AutoPop!N124)</f>
        <v>Start-Process "chrome.exe" "http:///tip/do/health"</v>
      </c>
      <c r="D174" s="1070"/>
      <c r="E174" s="1112"/>
    </row>
    <row r="175" spans="1:5">
      <c r="A175" s="68">
        <v>19</v>
      </c>
      <c r="B175" s="286" t="s">
        <v>155</v>
      </c>
      <c r="C175" s="447" t="s">
        <v>214</v>
      </c>
      <c r="D175" s="50"/>
      <c r="E175" s="638"/>
    </row>
    <row r="176" spans="1:5">
      <c r="A176" s="1065">
        <v>20</v>
      </c>
      <c r="B176" s="639" t="s">
        <v>215</v>
      </c>
      <c r="C176" s="76" t="s">
        <v>216</v>
      </c>
      <c r="D176" s="1068"/>
      <c r="E176" s="1110"/>
    </row>
    <row r="177" spans="1:5">
      <c r="A177" s="1067"/>
      <c r="B177" s="290"/>
      <c r="C177" s="463" t="str">
        <f>_xlfn.CONCAT("@here ",('Build Data'!I2)&amp;"/login/body.asp?manual=Y is ready for smoke testing")</f>
        <v>@here /login/body.asp?manual=Y is ready for smoke testing</v>
      </c>
      <c r="D177" s="1070"/>
      <c r="E177" s="1112"/>
    </row>
  </sheetData>
  <mergeCells count="52">
    <mergeCell ref="A176:A177"/>
    <mergeCell ref="D176:D177"/>
    <mergeCell ref="D134:D141"/>
    <mergeCell ref="D126:D133"/>
    <mergeCell ref="D142:D149"/>
    <mergeCell ref="E176:E177"/>
    <mergeCell ref="A160:A174"/>
    <mergeCell ref="E160:E174"/>
    <mergeCell ref="D160:D174"/>
    <mergeCell ref="E71:E75"/>
    <mergeCell ref="E81:E87"/>
    <mergeCell ref="E88:E94"/>
    <mergeCell ref="E95:E101"/>
    <mergeCell ref="E102:E108"/>
    <mergeCell ref="A109:A113"/>
    <mergeCell ref="A114:A119"/>
    <mergeCell ref="D120:D125"/>
    <mergeCell ref="D109:D113"/>
    <mergeCell ref="D71:D75"/>
    <mergeCell ref="A120:A157"/>
    <mergeCell ref="D150:D157"/>
    <mergeCell ref="A6:A7"/>
    <mergeCell ref="D6:D7"/>
    <mergeCell ref="E6:E7"/>
    <mergeCell ref="D76:D80"/>
    <mergeCell ref="A66:A70"/>
    <mergeCell ref="D66:D70"/>
    <mergeCell ref="E66:E70"/>
    <mergeCell ref="A71:A75"/>
    <mergeCell ref="A9:A14"/>
    <mergeCell ref="D9:D14"/>
    <mergeCell ref="E9:E14"/>
    <mergeCell ref="A15:A23"/>
    <mergeCell ref="A24:A60"/>
    <mergeCell ref="D15:D23"/>
    <mergeCell ref="A76:A108"/>
    <mergeCell ref="D102:D108"/>
    <mergeCell ref="E150:E157"/>
    <mergeCell ref="A61:A64"/>
    <mergeCell ref="D61:D64"/>
    <mergeCell ref="E76:E80"/>
    <mergeCell ref="E61:E64"/>
    <mergeCell ref="E109:E113"/>
    <mergeCell ref="D114:D119"/>
    <mergeCell ref="E120:E125"/>
    <mergeCell ref="E126:E133"/>
    <mergeCell ref="E134:E141"/>
    <mergeCell ref="E142:E149"/>
    <mergeCell ref="E114:E119"/>
    <mergeCell ref="D95:D101"/>
    <mergeCell ref="D88:D94"/>
    <mergeCell ref="D81:D87"/>
  </mergeCells>
  <conditionalFormatting sqref="D71 D6">
    <cfRule type="iconSet" priority="40">
      <iconSet iconSet="3Symbols2" showValue="0">
        <cfvo type="percent" val="0"/>
        <cfvo type="num" val="0"/>
        <cfvo type="num" val="1"/>
      </iconSet>
    </cfRule>
    <cfRule type="iconSet" priority="41">
      <iconSet iconSet="3Symbols2">
        <cfvo type="percent" val="0"/>
        <cfvo type="num" val="0"/>
        <cfvo type="num" val="1"/>
      </iconSet>
    </cfRule>
    <cfRule type="iconSet" priority="42">
      <iconSet showValue="0">
        <cfvo type="percent" val="0"/>
        <cfvo type="percent" val="33"/>
        <cfvo type="percent" val="67"/>
      </iconSet>
    </cfRule>
    <cfRule type="iconSet" priority="43">
      <iconSet iconSet="3Symbols2">
        <cfvo type="percent" val="0"/>
        <cfvo type="num" val="0"/>
        <cfvo type="num" val="1"/>
      </iconSet>
    </cfRule>
  </conditionalFormatting>
  <conditionalFormatting sqref="D76">
    <cfRule type="iconSet" priority="38">
      <iconSet iconSet="3Symbols2" showValue="0">
        <cfvo type="percent" val="0"/>
        <cfvo type="num" val="0"/>
        <cfvo type="num" val="1"/>
      </iconSet>
    </cfRule>
    <cfRule type="iconSet" priority="39">
      <iconSet iconSet="3Symbols2">
        <cfvo type="percent" val="0"/>
        <cfvo type="num" val="0"/>
        <cfvo type="num" val="1"/>
      </iconSet>
    </cfRule>
  </conditionalFormatting>
  <conditionalFormatting sqref="D61">
    <cfRule type="iconSet" priority="32">
      <iconSet iconSet="3Symbols2" showValue="0">
        <cfvo type="percent" val="0"/>
        <cfvo type="num" val="0"/>
        <cfvo type="num" val="1"/>
      </iconSet>
    </cfRule>
  </conditionalFormatting>
  <conditionalFormatting sqref="D65">
    <cfRule type="iconSet" priority="30">
      <iconSet iconSet="3Symbols2" showValue="0">
        <cfvo type="percent" val="0"/>
        <cfvo type="num" val="0"/>
        <cfvo type="num" val="1"/>
      </iconSet>
    </cfRule>
  </conditionalFormatting>
  <conditionalFormatting sqref="D109:D113">
    <cfRule type="iconSet" priority="29">
      <iconSet iconSet="3Symbols2" showValue="0">
        <cfvo type="percent" val="0"/>
        <cfvo type="num" val="0"/>
        <cfvo type="num" val="1"/>
      </iconSet>
    </cfRule>
  </conditionalFormatting>
  <conditionalFormatting sqref="D120:D125">
    <cfRule type="iconSet" priority="28">
      <iconSet iconSet="3Symbols2" showValue="0">
        <cfvo type="percent" val="0"/>
        <cfvo type="num" val="0"/>
        <cfvo type="num" val="1"/>
      </iconSet>
    </cfRule>
  </conditionalFormatting>
  <conditionalFormatting sqref="D134:D135">
    <cfRule type="iconSet" priority="24">
      <iconSet iconSet="3Symbols2" showValue="0">
        <cfvo type="percent" val="0"/>
        <cfvo type="num" val="0"/>
        <cfvo type="num" val="1"/>
      </iconSet>
    </cfRule>
    <cfRule type="iconSet" priority="25">
      <iconSet iconSet="3Symbols2">
        <cfvo type="percent" val="0"/>
        <cfvo type="num" val="0"/>
        <cfvo type="num" val="1"/>
      </iconSet>
    </cfRule>
    <cfRule type="iconSet" priority="26">
      <iconSet showValue="0">
        <cfvo type="percent" val="0"/>
        <cfvo type="percent" val="33"/>
        <cfvo type="percent" val="67"/>
      </iconSet>
    </cfRule>
    <cfRule type="iconSet" priority="27">
      <iconSet iconSet="3Symbols2">
        <cfvo type="percent" val="0"/>
        <cfvo type="num" val="0"/>
        <cfvo type="num" val="1"/>
      </iconSet>
    </cfRule>
  </conditionalFormatting>
  <conditionalFormatting sqref="D150:D151">
    <cfRule type="iconSet" priority="20">
      <iconSet iconSet="3Symbols2" showValue="0">
        <cfvo type="percent" val="0"/>
        <cfvo type="num" val="0"/>
        <cfvo type="num" val="1"/>
      </iconSet>
    </cfRule>
    <cfRule type="iconSet" priority="21">
      <iconSet iconSet="3Symbols2">
        <cfvo type="percent" val="0"/>
        <cfvo type="num" val="0"/>
        <cfvo type="num" val="1"/>
      </iconSet>
    </cfRule>
    <cfRule type="iconSet" priority="22">
      <iconSet showValue="0">
        <cfvo type="percent" val="0"/>
        <cfvo type="percent" val="33"/>
        <cfvo type="percent" val="67"/>
      </iconSet>
    </cfRule>
    <cfRule type="iconSet" priority="23">
      <iconSet iconSet="3Symbols2">
        <cfvo type="percent" val="0"/>
        <cfvo type="num" val="0"/>
        <cfvo type="num" val="1"/>
      </iconSet>
    </cfRule>
  </conditionalFormatting>
  <conditionalFormatting sqref="D175">
    <cfRule type="iconSet" priority="18">
      <iconSet iconSet="3Symbols2" showValue="0">
        <cfvo type="percent" val="0"/>
        <cfvo type="num" val="0"/>
        <cfvo type="num" val="1"/>
      </iconSet>
    </cfRule>
  </conditionalFormatting>
  <conditionalFormatting sqref="D158">
    <cfRule type="iconSet" priority="15">
      <iconSet iconSet="3Symbols2" showValue="0">
        <cfvo type="percent" val="0"/>
        <cfvo type="num" val="0"/>
        <cfvo type="num" val="1"/>
      </iconSet>
    </cfRule>
  </conditionalFormatting>
  <conditionalFormatting sqref="D114:D119">
    <cfRule type="iconSet" priority="14">
      <iconSet iconSet="3Symbols2" showValue="0">
        <cfvo type="percent" val="0"/>
        <cfvo type="num" val="0"/>
        <cfvo type="num" val="1"/>
      </iconSet>
    </cfRule>
  </conditionalFormatting>
  <conditionalFormatting sqref="D66:D70">
    <cfRule type="iconSet" priority="9">
      <iconSet iconSet="3Symbols2" showValue="0">
        <cfvo type="percent" val="0"/>
        <cfvo type="num" val="0"/>
        <cfvo type="num" val="1"/>
      </iconSet>
    </cfRule>
  </conditionalFormatting>
  <conditionalFormatting sqref="D2">
    <cfRule type="iconSet" priority="3">
      <iconSet iconSet="3Symbols2" showValue="0">
        <cfvo type="percent" val="0"/>
        <cfvo type="num" val="0"/>
        <cfvo type="num" val="1"/>
      </iconSet>
    </cfRule>
    <cfRule type="iconSet" priority="4">
      <iconSet iconSet="3Symbols2">
        <cfvo type="percent" val="0"/>
        <cfvo type="num" val="0"/>
        <cfvo type="num" val="1"/>
      </iconSet>
    </cfRule>
    <cfRule type="iconSet" priority="5">
      <iconSet showValue="0">
        <cfvo type="percent" val="0"/>
        <cfvo type="percent" val="33"/>
        <cfvo type="percent" val="67"/>
      </iconSet>
    </cfRule>
    <cfRule type="iconSet" priority="6">
      <iconSet iconSet="3Symbols2">
        <cfvo type="percent" val="0"/>
        <cfvo type="num" val="0"/>
        <cfvo type="num" val="1"/>
      </iconSet>
    </cfRule>
  </conditionalFormatting>
  <conditionalFormatting sqref="D15">
    <cfRule type="iconSet" priority="1141">
      <iconSet iconSet="3Symbols2" showValue="0">
        <cfvo type="percent" val="0"/>
        <cfvo type="num" val="0"/>
        <cfvo type="num" val="1"/>
      </iconSet>
    </cfRule>
  </conditionalFormatting>
  <conditionalFormatting sqref="D126:D127">
    <cfRule type="iconSet" priority="1183">
      <iconSet iconSet="3Symbols2" showValue="0">
        <cfvo type="percent" val="0"/>
        <cfvo type="num" val="0"/>
        <cfvo type="num" val="1"/>
      </iconSet>
    </cfRule>
  </conditionalFormatting>
  <conditionalFormatting sqref="D142:D143">
    <cfRule type="iconSet" priority="1184">
      <iconSet iconSet="3Symbols2" showValue="0">
        <cfvo type="percent" val="0"/>
        <cfvo type="num" val="0"/>
        <cfvo type="num" val="1"/>
      </iconSet>
    </cfRule>
  </conditionalFormatting>
  <conditionalFormatting sqref="D8:D14">
    <cfRule type="iconSet" priority="2">
      <iconSet iconSet="3Symbols2" showValue="0">
        <cfvo type="percent" val="0"/>
        <cfvo type="num" val="0"/>
        <cfvo type="num" val="1"/>
      </iconSet>
    </cfRule>
  </conditionalFormatting>
  <conditionalFormatting sqref="D3:D5">
    <cfRule type="iconSet" priority="1441">
      <iconSet iconSet="3Symbols2" showValue="0">
        <cfvo type="percent" val="0"/>
        <cfvo type="num" val="0"/>
        <cfvo type="num" val="1"/>
      </iconSet>
    </cfRule>
  </conditionalFormatting>
  <conditionalFormatting sqref="D102">
    <cfRule type="iconSet" priority="1442">
      <iconSet iconSet="3Symbols2" showValue="0">
        <cfvo type="percent" val="0"/>
        <cfvo type="num" val="0"/>
        <cfvo type="num" val="1"/>
      </iconSet>
    </cfRule>
  </conditionalFormatting>
  <conditionalFormatting sqref="D95">
    <cfRule type="iconSet" priority="1443">
      <iconSet iconSet="3Symbols2" showValue="0">
        <cfvo type="percent" val="0"/>
        <cfvo type="num" val="0"/>
        <cfvo type="num" val="1"/>
      </iconSet>
    </cfRule>
  </conditionalFormatting>
  <conditionalFormatting sqref="D88">
    <cfRule type="iconSet" priority="1444">
      <iconSet iconSet="3Symbols2" showValue="0">
        <cfvo type="percent" val="0"/>
        <cfvo type="num" val="0"/>
        <cfvo type="num" val="1"/>
      </iconSet>
    </cfRule>
  </conditionalFormatting>
  <conditionalFormatting sqref="D81">
    <cfRule type="iconSet" priority="1445">
      <iconSet iconSet="3Symbols2" showValue="0">
        <cfvo type="percent" val="0"/>
        <cfvo type="num" val="0"/>
        <cfvo type="num" val="1"/>
      </iconSet>
    </cfRule>
  </conditionalFormatting>
  <conditionalFormatting sqref="D159:D160">
    <cfRule type="iconSet" priority="1446">
      <iconSet iconSet="3Symbols2" showValue="0">
        <cfvo type="percent" val="0"/>
        <cfvo type="num" val="0"/>
        <cfvo type="num" val="1"/>
      </iconSet>
    </cfRule>
  </conditionalFormatting>
  <conditionalFormatting sqref="D176:D177">
    <cfRule type="iconSet" priority="1">
      <iconSet iconSet="3Symbols2" showValue="0">
        <cfvo type="percent" val="0"/>
        <cfvo type="num" val="0"/>
        <cfvo type="num" val="1"/>
      </iconSet>
    </cfRule>
  </conditionalFormatting>
  <hyperlinks>
    <hyperlink ref="C61" r:id="rId1" display="https://jenkins.us.planview.world/job/deploy_sql_cu_pipe/"/>
    <hyperlink ref="C8" r:id="rId2" location="/home/monitors"/>
    <hyperlink ref="C158" r:id="rId3"/>
    <hyperlink ref="C159" r:id="rId4" location="/ccu-main"/>
  </hyperlinks>
  <pageMargins left="0.7" right="0.7" top="0.75" bottom="0.75" header="0.3" footer="0.3"/>
  <pageSetup orientation="portrait" r:id="rId5"/>
  <ignoredErrors>
    <ignoredError sqref="C11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82"/>
  <sheetViews>
    <sheetView zoomScale="85" zoomScaleNormal="85" workbookViewId="0">
      <selection activeCell="B3" sqref="B3"/>
    </sheetView>
  </sheetViews>
  <sheetFormatPr defaultRowHeight="15"/>
  <cols>
    <col min="1" max="1" width="8.7109375" style="7"/>
    <col min="2" max="2" width="81.7109375" style="1" bestFit="1" customWidth="1"/>
    <col min="3" max="3" width="115" customWidth="1"/>
    <col min="4" max="4" width="26" bestFit="1" customWidth="1"/>
    <col min="5" max="5" width="28.7109375" style="384" bestFit="1" customWidth="1"/>
  </cols>
  <sheetData>
    <row r="1" spans="1:5" ht="18">
      <c r="A1" s="260"/>
      <c r="B1" s="418" t="s">
        <v>111</v>
      </c>
      <c r="C1" s="418" t="s">
        <v>114</v>
      </c>
      <c r="D1" s="418" t="s">
        <v>113</v>
      </c>
      <c r="E1" s="419" t="s">
        <v>103</v>
      </c>
    </row>
    <row r="2" spans="1:5">
      <c r="A2" s="930">
        <v>1</v>
      </c>
      <c r="B2" s="417">
        <f>('Build Data'!F21)</f>
        <v>0</v>
      </c>
      <c r="C2" s="56" t="s">
        <v>240</v>
      </c>
      <c r="D2" s="941"/>
      <c r="E2" s="962"/>
    </row>
    <row r="3" spans="1:5" ht="90">
      <c r="A3" s="215">
        <v>2</v>
      </c>
      <c r="B3" s="392" t="s">
        <v>217</v>
      </c>
      <c r="C3" s="67" t="s">
        <v>250</v>
      </c>
      <c r="D3" s="216"/>
      <c r="E3" s="381"/>
    </row>
    <row r="4" spans="1:5">
      <c r="A4" s="961">
        <v>3</v>
      </c>
      <c r="B4" s="354" t="s">
        <v>251</v>
      </c>
      <c r="C4" s="110" t="s">
        <v>245</v>
      </c>
      <c r="D4" s="50"/>
      <c r="E4" s="962"/>
    </row>
    <row r="5" spans="1:5">
      <c r="A5" s="1065">
        <v>4</v>
      </c>
      <c r="B5" s="1145" t="s">
        <v>252</v>
      </c>
      <c r="C5" s="76" t="s">
        <v>192</v>
      </c>
      <c r="D5" s="1068"/>
      <c r="E5" s="948"/>
    </row>
    <row r="6" spans="1:5">
      <c r="A6" s="1066"/>
      <c r="B6" s="1146"/>
      <c r="C6" s="79" t="str">
        <f>_xlfn.CONCAT(AutoPop!E119 &amp;'Build Data'!I3&amp; "'," &amp; "'"&amp;'Build Data'!I4&amp; "'," &amp; "'"&amp;'Build Data'!I5&amp; "'," &amp; "'"&amp;'Build Data'!I6&amp; "'" &amp; AutoPop!F119)</f>
        <v>Set-DataDogMaintWin -hosts @('','','','') -End $(get-date).AddHours(4)</v>
      </c>
      <c r="D6" s="1069"/>
      <c r="E6" s="953"/>
    </row>
    <row r="7" spans="1:5">
      <c r="A7" s="1066"/>
      <c r="B7" s="1146"/>
      <c r="C7" s="49" t="str">
        <f>IF('Build Data'!B7=5,_xlfn.CONCAT(AutoPop!E119&amp;'Build Data'!J4&amp;"',"&amp;"'"&amp;'Build Data'!J5&amp;"',"&amp;"'"&amp;'Build Data'!J6&amp;"',"&amp;"'"&amp;'Build Data'!J7&amp;"'"&amp;AutoPop!F119),IF('Build Data'!B7=4,_xlfn.CONCAT(AutoPop!E119&amp;'Build Data'!J4&amp;"',"&amp;"'"&amp;'Build Data'!J5&amp;"',"&amp;"'"&amp;'Build Data'!J6&amp;"'"&amp;AutoPop!F119),IF('Build Data'!B7=3,_xlfn.CONCAT(AutoPop!E119&amp;'Build Data'!J4&amp;"',"&amp;"'"&amp;'Build Data'!J5&amp;"'"&amp;AutoPop!F119),IF('Build Data'!B7=2,_xlfn.CONCAT(AutoPop!E119&amp;'Build Data'!J4&amp;"'"&amp;AutoPop!F119),""))))</f>
        <v/>
      </c>
      <c r="D7" s="1069"/>
      <c r="E7" s="953"/>
    </row>
    <row r="8" spans="1:5">
      <c r="A8" s="1066"/>
      <c r="B8" s="1146"/>
      <c r="C8" s="49"/>
      <c r="D8" s="1069"/>
      <c r="E8" s="953"/>
    </row>
    <row r="9" spans="1:5">
      <c r="A9" s="1067"/>
      <c r="B9" s="1147"/>
      <c r="C9" s="78"/>
      <c r="D9" s="1070"/>
      <c r="E9" s="949"/>
    </row>
    <row r="10" spans="1:5">
      <c r="A10" s="1059">
        <v>5</v>
      </c>
      <c r="B10" s="297" t="s">
        <v>253</v>
      </c>
      <c r="C10" s="347" t="str">
        <f>_xlfn.CONCAT("Restart-Computer -ComputerName ",'Build Data'!I3 &amp; ", ",'Build Data'!I4 &amp; ", ",'Build Data'!I5 &amp; ", ",'Build Data'!I6 &amp;" -force")</f>
        <v>Restart-Computer -ComputerName , , ,  -force</v>
      </c>
      <c r="D10" s="1062"/>
      <c r="E10" s="1132"/>
    </row>
    <row r="11" spans="1:5">
      <c r="A11" s="1061"/>
      <c r="B11" s="326" t="str">
        <f>IF('Build Data'!J4="","","Reboot additional Web Servers")</f>
        <v/>
      </c>
      <c r="C11" s="348" t="str">
        <f>IF('Build Data'!B7=5,_xlfn.CONCAT("Restart-Computer -ComputerName ",'Build Data'!J4&amp;", ",'Build Data'!J5&amp;", ",'Build Data'!J6&amp;", ",'Build Data'!J7&amp;" -force"),IF('Build Data'!B7=4,_xlfn.CONCAT("Restart-Computer -ComputerName ",'Build Data'!J4&amp;", ",'Build Data'!J5&amp;", ",'Build Data'!J6&amp;" -force"),IF('Build Data'!B7=3,_xlfn.CONCAT("Restart-Computer -ComputerName ",'Build Data'!J4&amp;", ",'Build Data'!J5&amp;" -force"),IF('Build Data'!B7=2,_xlfn.CONCAT("Restart-Computer -ComputerName ",'Build Data'!J4&amp;" -force"),""))))</f>
        <v/>
      </c>
      <c r="D11" s="1064"/>
      <c r="E11" s="1134"/>
    </row>
    <row r="12" spans="1:5">
      <c r="A12" s="1065">
        <v>6</v>
      </c>
      <c r="B12" s="393" t="s">
        <v>220</v>
      </c>
      <c r="C12" s="279" t="str">
        <f>_xlfn.CONCAT(AutoPop!B79,AutoPop!C75)</f>
        <v>Enter-PSSession -ComputerName .sydney.planviewcloud.net</v>
      </c>
      <c r="D12" s="1068"/>
      <c r="E12" s="948"/>
    </row>
    <row r="13" spans="1:5">
      <c r="A13" s="1066"/>
      <c r="B13" s="296"/>
      <c r="C13" s="43" t="str">
        <f>_xlfn.CONCAT(AutoPop!B90 &amp; " " &amp; AutoPop!C91 &amp; " " &amp; AutoPop!D90)</f>
        <v>NET Stop PVAccessManager</v>
      </c>
      <c r="D13" s="1069"/>
      <c r="E13" s="953"/>
    </row>
    <row r="14" spans="1:5">
      <c r="A14" s="1066"/>
      <c r="B14" s="296"/>
      <c r="C14" s="217" t="str">
        <f>_xlfn.CONCAT(AutoPop!B90 &amp; " " &amp; AutoPop!C91 &amp; " " &amp; AutoPop!D91)</f>
        <v>NET Stop PlanviewAdminService</v>
      </c>
      <c r="D14" s="1069"/>
      <c r="E14" s="953"/>
    </row>
    <row r="15" spans="1:5">
      <c r="A15" s="1066"/>
      <c r="B15" s="296"/>
      <c r="C15" s="36" t="str">
        <f>_xlfn.CONCAT(AutoPop!B90 &amp; " " &amp; AutoPop!C91 &amp; " " &amp; AutoPop!D92)</f>
        <v>NET Stop PVCalendarServer</v>
      </c>
      <c r="D15" s="1069"/>
      <c r="E15" s="953"/>
    </row>
    <row r="16" spans="1:5">
      <c r="A16" s="1066"/>
      <c r="B16" s="296"/>
      <c r="C16" s="217" t="str">
        <f>_xlfn.CONCAT(AutoPop!B90 &amp; " " &amp; AutoPop!C91 &amp; " " &amp; AutoPop!D93)</f>
        <v>NET Stop "PlanView Content Management Index Manager"</v>
      </c>
      <c r="D16" s="1069"/>
      <c r="E16" s="953"/>
    </row>
    <row r="17" spans="1:8">
      <c r="A17" s="1066"/>
      <c r="B17" s="296"/>
      <c r="C17" s="36" t="str">
        <f>_xlfn.CONCAT(AutoPop!B90 &amp; " " &amp; AutoPop!C91 &amp; " " &amp; AutoPop!D94)</f>
        <v>NET Stop PlanviewEnterpriseScheduler</v>
      </c>
      <c r="D17" s="1069"/>
      <c r="E17" s="953"/>
    </row>
    <row r="18" spans="1:8">
      <c r="A18" s="1066"/>
      <c r="B18" s="296"/>
      <c r="C18" s="43" t="str">
        <f>(AutoPop!D101)</f>
        <v>iisreset /stop</v>
      </c>
      <c r="D18" s="1069"/>
      <c r="E18" s="953"/>
    </row>
    <row r="19" spans="1:8">
      <c r="A19" s="1066"/>
      <c r="B19" s="394"/>
      <c r="C19" s="290" t="s">
        <v>221</v>
      </c>
      <c r="D19" s="1070"/>
      <c r="E19" s="949"/>
    </row>
    <row r="20" spans="1:8">
      <c r="A20" s="1066"/>
      <c r="B20" s="355"/>
      <c r="C20" s="186" t="str">
        <f>_xlfn.CONCAT(AutoPop!B80,AutoPop!C75)</f>
        <v>Enter-PSSession -ComputerName .sydney.planviewcloud.net</v>
      </c>
      <c r="D20" s="1063"/>
      <c r="E20" s="950"/>
    </row>
    <row r="21" spans="1:8">
      <c r="A21" s="1066"/>
      <c r="B21" s="349"/>
      <c r="C21" s="188" t="str">
        <f>_xlfn.CONCAT(AutoPop!B90 &amp; " " &amp; AutoPop!C91 &amp; " " &amp; AutoPop!D95)</f>
        <v>NET Stop PlanviewEnterpriseJobexecution</v>
      </c>
      <c r="D21" s="1063"/>
      <c r="E21" s="951"/>
      <c r="H21" s="7"/>
    </row>
    <row r="22" spans="1:8">
      <c r="A22" s="1066"/>
      <c r="B22" s="349"/>
      <c r="C22" s="189" t="str">
        <f>_xlfn.CONCAT(AutoPop!B90 &amp; " " &amp; AutoPop!C91 &amp; " " &amp; AutoPop!D96)</f>
        <v>NET Stop tesegate</v>
      </c>
      <c r="D22" s="1063"/>
      <c r="E22" s="951"/>
    </row>
    <row r="23" spans="1:8">
      <c r="A23" s="1066"/>
      <c r="B23" s="395"/>
      <c r="C23" s="186" t="s">
        <v>221</v>
      </c>
      <c r="D23" s="1064"/>
      <c r="E23" s="952"/>
    </row>
    <row r="24" spans="1:8">
      <c r="A24" s="1066"/>
      <c r="B24" s="396" t="str">
        <f>IF('Build Data'!J4="","No Additional Web Servers","")</f>
        <v>No Additional Web Servers</v>
      </c>
      <c r="C24" s="279" t="str">
        <f>IF('Build Data'!B7&lt;=1,"",_xlfn.CONCAT(AutoPop!B78,'Build Data'!J4,AutoPop!C75))</f>
        <v>Enter-PSSession -ComputerName .sydney.planviewcloud.net</v>
      </c>
      <c r="D24" s="1068">
        <f>IF(B24="No Additional Web Servers",1,"")</f>
        <v>1</v>
      </c>
      <c r="E24" s="1110" t="str">
        <f>IF(B24="No Additional Web Servers","Automated Complete
no additional web servers","")</f>
        <v>Automated Complete
no additional web servers</v>
      </c>
    </row>
    <row r="25" spans="1:8">
      <c r="A25" s="1066"/>
      <c r="B25" s="296"/>
      <c r="C25" s="205" t="str">
        <f>IF(C24="","",C13)</f>
        <v>NET Stop PVAccessManager</v>
      </c>
      <c r="D25" s="1069"/>
      <c r="E25" s="1111"/>
    </row>
    <row r="26" spans="1:8" ht="14.25" customHeight="1">
      <c r="A26" s="1066"/>
      <c r="B26" s="296"/>
      <c r="C26" s="206" t="str">
        <f>IF(C24="","",C14)</f>
        <v>NET Stop PlanviewAdminService</v>
      </c>
      <c r="D26" s="1069"/>
      <c r="E26" s="1111"/>
    </row>
    <row r="27" spans="1:8" ht="14.25" customHeight="1">
      <c r="A27" s="1066"/>
      <c r="B27" s="296"/>
      <c r="C27" s="204" t="str">
        <f>IF(C24="","",C15)</f>
        <v>NET Stop PVCalendarServer</v>
      </c>
      <c r="D27" s="1069"/>
      <c r="E27" s="1111"/>
    </row>
    <row r="28" spans="1:8" ht="14.25" customHeight="1">
      <c r="A28" s="1066"/>
      <c r="B28" s="296"/>
      <c r="C28" s="206" t="str">
        <f>IF(C24="","",C16)</f>
        <v>NET Stop "PlanView Content Management Index Manager"</v>
      </c>
      <c r="D28" s="1069"/>
      <c r="E28" s="1111"/>
    </row>
    <row r="29" spans="1:8" ht="14.25" customHeight="1">
      <c r="A29" s="1066"/>
      <c r="B29" s="296"/>
      <c r="C29" s="204" t="str">
        <f>IF(C24="","",C17)</f>
        <v>NET Stop PlanviewEnterpriseScheduler</v>
      </c>
      <c r="D29" s="1069"/>
      <c r="E29" s="1111"/>
    </row>
    <row r="30" spans="1:8" ht="14.25" customHeight="1">
      <c r="A30" s="1066"/>
      <c r="B30" s="296"/>
      <c r="C30" s="206" t="str">
        <f t="shared" ref="C30" si="0">IF(C29="","",C18)</f>
        <v>iisreset /stop</v>
      </c>
      <c r="D30" s="1069"/>
      <c r="E30" s="1111"/>
    </row>
    <row r="31" spans="1:8" ht="14.25" customHeight="1">
      <c r="A31" s="1066"/>
      <c r="B31" s="394"/>
      <c r="C31" s="203" t="str">
        <f>IF(C24="","",C19)</f>
        <v>EXIT</v>
      </c>
      <c r="D31" s="1070"/>
      <c r="E31" s="1112"/>
    </row>
    <row r="32" spans="1:8" ht="14.25" customHeight="1">
      <c r="A32" s="1066"/>
      <c r="B32" s="299" t="str">
        <f>IF('Build Data'!J5="","No Additional Web Servers","")</f>
        <v>No Additional Web Servers</v>
      </c>
      <c r="C32" s="218" t="str">
        <f>IF('Build Data'!B7&lt;=2,"",_xlfn.CONCAT(AutoPop!B78,'Build Data'!J5,AutoPop!C75))</f>
        <v>Enter-PSSession -ComputerName .sydney.planviewcloud.net</v>
      </c>
      <c r="D32" s="1062">
        <f>IF(B32="No Additional Web Servers",1,"")</f>
        <v>1</v>
      </c>
      <c r="E32" s="1123" t="str">
        <f>IF(B32="No Additional Web Servers","Automated Complete
no additional web servers","")</f>
        <v>Automated Complete
no additional web servers</v>
      </c>
    </row>
    <row r="33" spans="1:5" ht="14.25" customHeight="1">
      <c r="A33" s="1066"/>
      <c r="B33" s="349"/>
      <c r="C33" s="227" t="str">
        <f>IF(C32="","",C13)</f>
        <v>NET Stop PVAccessManager</v>
      </c>
      <c r="D33" s="1063"/>
      <c r="E33" s="1121"/>
    </row>
    <row r="34" spans="1:5">
      <c r="A34" s="1066"/>
      <c r="B34" s="349"/>
      <c r="C34" s="191" t="str">
        <f>IF(C32="","",C14)</f>
        <v>NET Stop PlanviewAdminService</v>
      </c>
      <c r="D34" s="1063"/>
      <c r="E34" s="1121"/>
    </row>
    <row r="35" spans="1:5">
      <c r="A35" s="1066"/>
      <c r="B35" s="349"/>
      <c r="C35" s="191" t="str">
        <f>IF(C32="","",C15)</f>
        <v>NET Stop PVCalendarServer</v>
      </c>
      <c r="D35" s="1063"/>
      <c r="E35" s="1121"/>
    </row>
    <row r="36" spans="1:5">
      <c r="A36" s="1066"/>
      <c r="B36" s="349"/>
      <c r="C36" s="185" t="str">
        <f>IF(C32="","",C16)</f>
        <v>NET Stop "PlanView Content Management Index Manager"</v>
      </c>
      <c r="D36" s="1063"/>
      <c r="E36" s="1121"/>
    </row>
    <row r="37" spans="1:5">
      <c r="A37" s="1066"/>
      <c r="B37" s="349"/>
      <c r="C37" s="227" t="str">
        <f>IF(C32="","",C17)</f>
        <v>NET Stop PlanviewEnterpriseScheduler</v>
      </c>
      <c r="D37" s="1063"/>
      <c r="E37" s="1121"/>
    </row>
    <row r="38" spans="1:5">
      <c r="A38" s="1066"/>
      <c r="B38" s="349"/>
      <c r="C38" s="227" t="str">
        <f>IF(C32="","",C18)</f>
        <v>iisreset /stop</v>
      </c>
      <c r="D38" s="1063"/>
      <c r="E38" s="1121"/>
    </row>
    <row r="39" spans="1:5">
      <c r="A39" s="1066"/>
      <c r="B39" s="395"/>
      <c r="C39" s="197" t="str">
        <f>IF(C32="","",C19)</f>
        <v>EXIT</v>
      </c>
      <c r="D39" s="1064"/>
      <c r="E39" s="1122"/>
    </row>
    <row r="40" spans="1:5">
      <c r="A40" s="1066"/>
      <c r="B40" s="396" t="str">
        <f>IF('Build Data'!J6="","No Additional Web Servers","")</f>
        <v>No Additional Web Servers</v>
      </c>
      <c r="C40" s="279" t="str">
        <f>IF('Build Data'!B7&lt;=3,"",_xlfn.CONCAT(AutoPop!B78,'Build Data'!J6,AutoPop!C75))</f>
        <v>Enter-PSSession -ComputerName .sydney.planviewcloud.net</v>
      </c>
      <c r="D40" s="1068">
        <f>IF(B40="No Additional Web Servers",1,"")</f>
        <v>1</v>
      </c>
      <c r="E40" s="1110" t="str">
        <f>IF(B40="No Additional Web Servers","Automated Complete
no additional web servers","")</f>
        <v>Automated Complete
no additional web servers</v>
      </c>
    </row>
    <row r="41" spans="1:5">
      <c r="A41" s="1066"/>
      <c r="B41" s="296"/>
      <c r="C41" s="205" t="str">
        <f>IF(C40="","",C13)</f>
        <v>NET Stop PVAccessManager</v>
      </c>
      <c r="D41" s="1069"/>
      <c r="E41" s="1111"/>
    </row>
    <row r="42" spans="1:5">
      <c r="A42" s="1066"/>
      <c r="B42" s="296"/>
      <c r="C42" s="205" t="str">
        <f>IF(C40="","",C14)</f>
        <v>NET Stop PlanviewAdminService</v>
      </c>
      <c r="D42" s="1069"/>
      <c r="E42" s="1111"/>
    </row>
    <row r="43" spans="1:5">
      <c r="A43" s="1066"/>
      <c r="B43" s="296"/>
      <c r="C43" s="206" t="str">
        <f>IF(C40="","",C15)</f>
        <v>NET Stop PVCalendarServer</v>
      </c>
      <c r="D43" s="1069"/>
      <c r="E43" s="1111"/>
    </row>
    <row r="44" spans="1:5">
      <c r="A44" s="1066"/>
      <c r="B44" s="296"/>
      <c r="C44" s="206" t="str">
        <f>IF(C40="","",C16)</f>
        <v>NET Stop "PlanView Content Management Index Manager"</v>
      </c>
      <c r="D44" s="1069"/>
      <c r="E44" s="1111"/>
    </row>
    <row r="45" spans="1:5">
      <c r="A45" s="1066"/>
      <c r="B45" s="296"/>
      <c r="C45" s="204" t="str">
        <f>IF(C40="","",C17)</f>
        <v>NET Stop PlanviewEnterpriseScheduler</v>
      </c>
      <c r="D45" s="1069"/>
      <c r="E45" s="1111"/>
    </row>
    <row r="46" spans="1:5">
      <c r="A46" s="1066"/>
      <c r="B46" s="296"/>
      <c r="C46" s="206" t="str">
        <f>IF(C40="","",C18)</f>
        <v>iisreset /stop</v>
      </c>
      <c r="D46" s="1069"/>
      <c r="E46" s="1111"/>
    </row>
    <row r="47" spans="1:5">
      <c r="A47" s="1066"/>
      <c r="B47" s="394"/>
      <c r="C47" s="358" t="str">
        <f>IF(C40="","",C19)</f>
        <v>EXIT</v>
      </c>
      <c r="D47" s="1070"/>
      <c r="E47" s="1112"/>
    </row>
    <row r="48" spans="1:5">
      <c r="A48" s="1066"/>
      <c r="B48" s="397" t="str">
        <f>IF('Build Data'!J7="","No Additional Web Servers","")</f>
        <v>No Additional Web Servers</v>
      </c>
      <c r="C48" s="220" t="str">
        <f>IF('Build Data'!B7&lt;=4,"",_xlfn.CONCAT(AutoPop!B78,'Build Data'!J7,AutoPop!C75))</f>
        <v>Enter-PSSession -ComputerName .sydney.planviewcloud.net</v>
      </c>
      <c r="D48" s="1062">
        <f>IF(B48="No Additional Web Servers",1,"")</f>
        <v>1</v>
      </c>
      <c r="E48" s="1123" t="str">
        <f>IF(B48="No Additional Web Servers","Automated Complete
no additional web servers","")</f>
        <v>Automated Complete
no additional web servers</v>
      </c>
    </row>
    <row r="49" spans="1:5">
      <c r="A49" s="1066"/>
      <c r="B49" s="398"/>
      <c r="C49" s="190" t="str">
        <f>IF(C48="","",C13)</f>
        <v>NET Stop PVAccessManager</v>
      </c>
      <c r="D49" s="1063"/>
      <c r="E49" s="1121"/>
    </row>
    <row r="50" spans="1:5">
      <c r="A50" s="1066"/>
      <c r="B50" s="398"/>
      <c r="C50" s="189" t="str">
        <f>IF(C48="","",C14)</f>
        <v>NET Stop PlanviewAdminService</v>
      </c>
      <c r="D50" s="1063"/>
      <c r="E50" s="1121"/>
    </row>
    <row r="51" spans="1:5">
      <c r="A51" s="1066"/>
      <c r="B51" s="398"/>
      <c r="C51" s="189" t="str">
        <f>IF(C48="","",C15)</f>
        <v>NET Stop PVCalendarServer</v>
      </c>
      <c r="D51" s="1063"/>
      <c r="E51" s="1121"/>
    </row>
    <row r="52" spans="1:5">
      <c r="A52" s="1066"/>
      <c r="B52" s="398"/>
      <c r="C52" s="189" t="str">
        <f>IF(C48="","",C16)</f>
        <v>NET Stop "PlanView Content Management Index Manager"</v>
      </c>
      <c r="D52" s="1063"/>
      <c r="E52" s="1121"/>
    </row>
    <row r="53" spans="1:5">
      <c r="A53" s="1066"/>
      <c r="B53" s="398"/>
      <c r="C53" s="190" t="str">
        <f>IF(C48="","",C17)</f>
        <v>NET Stop PlanviewEnterpriseScheduler</v>
      </c>
      <c r="D53" s="1063"/>
      <c r="E53" s="1121"/>
    </row>
    <row r="54" spans="1:5">
      <c r="A54" s="1066"/>
      <c r="B54" s="398"/>
      <c r="C54" s="189" t="str">
        <f>IF(C48="","",C18)</f>
        <v>iisreset /stop</v>
      </c>
      <c r="D54" s="1063"/>
      <c r="E54" s="1121"/>
    </row>
    <row r="55" spans="1:5">
      <c r="A55" s="1067"/>
      <c r="B55" s="399"/>
      <c r="C55" s="219" t="str">
        <f>IF(C48="","",C19)</f>
        <v>EXIT</v>
      </c>
      <c r="D55" s="1064"/>
      <c r="E55" s="1122"/>
    </row>
    <row r="56" spans="1:5">
      <c r="A56" s="1059">
        <v>7</v>
      </c>
      <c r="B56" s="361" t="s">
        <v>222</v>
      </c>
      <c r="C56" s="389" t="str">
        <f>(Other!D9)</f>
        <v xml:space="preserve">DECLARE @name VARCHAR(50) -- database name  </v>
      </c>
      <c r="D56" s="1062"/>
      <c r="E56" s="1117"/>
    </row>
    <row r="57" spans="1:5">
      <c r="A57" s="1060"/>
      <c r="B57" s="359"/>
      <c r="C57" s="390" t="str">
        <f>(Other!D10)</f>
        <v xml:space="preserve">DECLARE @path VARCHAR(256) -- path for backup files  </v>
      </c>
      <c r="D57" s="1063"/>
      <c r="E57" s="1118"/>
    </row>
    <row r="58" spans="1:5">
      <c r="A58" s="1060"/>
      <c r="B58" s="359"/>
      <c r="C58" s="390" t="str">
        <f>(Other!D11)</f>
        <v xml:space="preserve">DECLARE @fileName VARCHAR(256) -- filename for backup  </v>
      </c>
      <c r="D58" s="1063"/>
      <c r="E58" s="1118"/>
    </row>
    <row r="59" spans="1:5">
      <c r="A59" s="1060"/>
      <c r="B59" s="359"/>
      <c r="C59" s="391" t="str">
        <f>(Other!D12)</f>
        <v>DECLARE @fileDate VARCHAR(20) -- used for file name</v>
      </c>
      <c r="D59" s="1063"/>
      <c r="E59" s="1118"/>
    </row>
    <row r="60" spans="1:5">
      <c r="A60" s="1060"/>
      <c r="B60" s="359"/>
      <c r="C60" s="390" t="str">
        <f>(Other!D13)</f>
        <v>-- specify database backup directory</v>
      </c>
      <c r="D60" s="1063"/>
      <c r="E60" s="1118"/>
    </row>
    <row r="61" spans="1:5">
      <c r="A61" s="1060"/>
      <c r="B61" s="359"/>
      <c r="C61" s="391" t="str">
        <f>(Other!D14)</f>
        <v xml:space="preserve">SET @path = 'F:\SQLBackup\'  </v>
      </c>
      <c r="D61" s="1063"/>
      <c r="E61" s="1118"/>
    </row>
    <row r="62" spans="1:5">
      <c r="A62" s="1060"/>
      <c r="B62" s="359"/>
      <c r="C62" s="389" t="str">
        <f>(Other!D15)</f>
        <v>-- specify filename format</v>
      </c>
      <c r="D62" s="1063"/>
      <c r="E62" s="1118"/>
    </row>
    <row r="63" spans="1:5">
      <c r="A63" s="1060"/>
      <c r="B63" s="359"/>
      <c r="C63" s="391" t="str">
        <f>(Other!D16)</f>
        <v>SELECT @fileDate = CONVERT(VARCHAR(20),GETDATE(),112) + REPLACE(CONVERT(VARCHAR(20),GETDATE(),108),':','')</v>
      </c>
      <c r="D63" s="1063"/>
      <c r="E63" s="1118"/>
    </row>
    <row r="64" spans="1:5">
      <c r="A64" s="1060"/>
      <c r="B64" s="359"/>
      <c r="C64" s="389" t="str">
        <f>(Other!D17)</f>
        <v xml:space="preserve">DECLARE db_cursor CURSOR READ_ONLY FOR  </v>
      </c>
      <c r="D64" s="1063"/>
      <c r="E64" s="1118"/>
    </row>
    <row r="65" spans="1:5">
      <c r="A65" s="1060"/>
      <c r="B65" s="359"/>
      <c r="C65" s="390" t="str">
        <f>(Other!D18)</f>
        <v>SELECT name</v>
      </c>
      <c r="D65" s="1063"/>
      <c r="E65" s="1118"/>
    </row>
    <row r="66" spans="1:5">
      <c r="A66" s="1060"/>
      <c r="B66" s="359"/>
      <c r="C66" s="391" t="str">
        <f>(Other!D19)</f>
        <v>FROM master.dbo.sysdatabases</v>
      </c>
      <c r="D66" s="1063"/>
      <c r="E66" s="1118"/>
    </row>
    <row r="67" spans="1:5">
      <c r="A67" s="1060"/>
      <c r="B67" s="359"/>
      <c r="C67" s="389" t="str">
        <f>(Other!D20)</f>
        <v xml:space="preserve"> WHERE name NOT IN ('master','model','msdb','tempdb')  -- exclude these databases</v>
      </c>
      <c r="D67" s="1063"/>
      <c r="E67" s="1118"/>
    </row>
    <row r="68" spans="1:5">
      <c r="A68" s="1060"/>
      <c r="B68" s="359"/>
      <c r="C68" s="391" t="str">
        <f>(Other!D21)</f>
        <v xml:space="preserve">OPEN db_cursor   </v>
      </c>
      <c r="D68" s="1063"/>
      <c r="E68" s="1118"/>
    </row>
    <row r="69" spans="1:5">
      <c r="A69" s="1060"/>
      <c r="B69" s="359"/>
      <c r="C69" s="389" t="str">
        <f>(Other!D22)</f>
        <v xml:space="preserve">FETCH NEXT FROM db_cursor INTO @name   </v>
      </c>
      <c r="D69" s="1063"/>
      <c r="E69" s="1118"/>
    </row>
    <row r="70" spans="1:5">
      <c r="A70" s="1060"/>
      <c r="B70" s="359"/>
      <c r="C70" s="391" t="str">
        <f>(Other!D23)</f>
        <v xml:space="preserve">WHILE @@FETCH_STATUS = 0   </v>
      </c>
      <c r="D70" s="1063"/>
      <c r="E70" s="1118"/>
    </row>
    <row r="71" spans="1:5">
      <c r="A71" s="1060"/>
      <c r="B71" s="359"/>
      <c r="C71" s="389" t="str">
        <f>(Other!D24)</f>
        <v xml:space="preserve">BEGIN   </v>
      </c>
      <c r="D71" s="1063"/>
      <c r="E71" s="1118"/>
    </row>
    <row r="72" spans="1:5">
      <c r="A72" s="1060"/>
      <c r="B72" s="359"/>
      <c r="C72" s="390" t="str">
        <f>(Other!D25)</f>
        <v xml:space="preserve">   SET @fileName = @path + @name + '_' + @fileDate + '.BAK'  </v>
      </c>
      <c r="D72" s="1063"/>
      <c r="E72" s="1118"/>
    </row>
    <row r="73" spans="1:5">
      <c r="A73" s="1060"/>
      <c r="B73" s="359"/>
      <c r="C73" s="391" t="str">
        <f>(Other!D26)</f>
        <v xml:space="preserve">   BACKUP DATABASE @name TO DISK = @fileName with compression</v>
      </c>
      <c r="D73" s="1063"/>
      <c r="E73" s="1118"/>
    </row>
    <row r="74" spans="1:5">
      <c r="A74" s="1060"/>
      <c r="B74" s="359"/>
      <c r="C74" s="391" t="str">
        <f>(Other!D27)</f>
        <v xml:space="preserve">   FETCH NEXT FROM db_cursor INTO @name   </v>
      </c>
      <c r="D74" s="1063"/>
      <c r="E74" s="1118"/>
    </row>
    <row r="75" spans="1:5">
      <c r="A75" s="1060"/>
      <c r="B75" s="359"/>
      <c r="C75" s="389" t="str">
        <f>(Other!D28)</f>
        <v xml:space="preserve">END   </v>
      </c>
      <c r="D75" s="1063"/>
      <c r="E75" s="1118"/>
    </row>
    <row r="76" spans="1:5">
      <c r="A76" s="1060"/>
      <c r="B76" s="359"/>
      <c r="C76" s="391" t="str">
        <f>(Other!D29)</f>
        <v xml:space="preserve">CLOSE db_cursor   </v>
      </c>
      <c r="D76" s="1063"/>
      <c r="E76" s="1118"/>
    </row>
    <row r="77" spans="1:5">
      <c r="A77" s="1061"/>
      <c r="B77" s="359"/>
      <c r="C77" s="360" t="str">
        <f>(Other!D30)</f>
        <v>DEALLOCATE db_cursor</v>
      </c>
      <c r="D77" s="1064"/>
      <c r="E77" s="1119"/>
    </row>
    <row r="78" spans="1:5">
      <c r="A78" s="1065">
        <v>8</v>
      </c>
      <c r="B78" s="393" t="s">
        <v>223</v>
      </c>
      <c r="C78" s="81" t="s">
        <v>224</v>
      </c>
      <c r="D78" s="1068"/>
      <c r="E78" s="948"/>
    </row>
    <row r="79" spans="1:5">
      <c r="A79" s="1066"/>
      <c r="B79" s="400" t="s">
        <v>118</v>
      </c>
      <c r="C79" s="86" t="str">
        <f>IF(MasterConfig!B25=TRUE,"",'Build Data'!I3)</f>
        <v/>
      </c>
      <c r="D79" s="1069"/>
      <c r="E79" s="953"/>
    </row>
    <row r="80" spans="1:5">
      <c r="A80" s="1066"/>
      <c r="B80" s="420" t="s">
        <v>205</v>
      </c>
      <c r="C80" s="83" t="str">
        <f>IF(C79="","",C101)</f>
        <v/>
      </c>
      <c r="D80" s="1069"/>
      <c r="E80" s="953"/>
    </row>
    <row r="81" spans="1:5">
      <c r="A81" s="1066"/>
      <c r="B81" s="299" t="s">
        <v>118</v>
      </c>
      <c r="C81" s="97" t="str">
        <f>('Build Data'!I4)</f>
        <v/>
      </c>
      <c r="D81" s="1062"/>
      <c r="E81" s="950"/>
    </row>
    <row r="82" spans="1:5">
      <c r="A82" s="1066"/>
      <c r="B82" s="300" t="s">
        <v>205</v>
      </c>
      <c r="C82" s="192" t="str">
        <f>IF(C21="","",C101)</f>
        <v>prodswarm</v>
      </c>
      <c r="D82" s="1064"/>
      <c r="E82" s="952"/>
    </row>
    <row r="83" spans="1:5">
      <c r="A83" s="1066"/>
      <c r="B83" s="396" t="s">
        <v>118</v>
      </c>
      <c r="C83" s="180" t="str">
        <f>('Build Data'!I5)</f>
        <v/>
      </c>
      <c r="D83" s="1069"/>
      <c r="E83" s="948"/>
    </row>
    <row r="84" spans="1:5">
      <c r="A84" s="1066"/>
      <c r="B84" s="420" t="s">
        <v>205</v>
      </c>
      <c r="C84" s="82" t="str">
        <f>IF(C21="","",C101)</f>
        <v>prodswarm</v>
      </c>
      <c r="D84" s="1069"/>
      <c r="E84" s="949"/>
    </row>
    <row r="85" spans="1:5">
      <c r="A85" s="1066"/>
      <c r="B85" s="299" t="s">
        <v>118</v>
      </c>
      <c r="C85" s="97" t="str">
        <f>('Build Data'!I6)</f>
        <v/>
      </c>
      <c r="D85" s="1062"/>
      <c r="E85" s="950"/>
    </row>
    <row r="86" spans="1:5">
      <c r="A86" s="1066"/>
      <c r="B86" s="300" t="s">
        <v>205</v>
      </c>
      <c r="C86" s="192" t="str">
        <f>IF(C21="","",C101)</f>
        <v>prodswarm</v>
      </c>
      <c r="D86" s="1064"/>
      <c r="E86" s="952"/>
    </row>
    <row r="87" spans="1:5">
      <c r="A87" s="1066"/>
      <c r="B87" s="400" t="str">
        <f>IF('Build Data'!J4="","No Additional Web Servers","TARGET_SERVER_NAME")</f>
        <v>No Additional Web Servers</v>
      </c>
      <c r="C87" s="83" t="str">
        <f>IF('Build Data'!B7&lt;=1,"",'Build Data'!J4)</f>
        <v/>
      </c>
      <c r="D87" s="1068">
        <f>IF(B87="No Additional Web Servers",1,"")</f>
        <v>1</v>
      </c>
      <c r="E87" s="1110" t="str">
        <f>IF(B87="No Additional Web Servers","Automated Complete
no additional web servers","")</f>
        <v>Automated Complete
no additional web servers</v>
      </c>
    </row>
    <row r="88" spans="1:5">
      <c r="A88" s="1066"/>
      <c r="B88" s="400" t="str">
        <f>IF('Build Data'!J4="","","NODE_LABEL")</f>
        <v/>
      </c>
      <c r="C88" s="83" t="str">
        <f>IF('Build Data'!B7&lt;=1,"",C101)</f>
        <v>prodswarm</v>
      </c>
      <c r="D88" s="1070"/>
      <c r="E88" s="1112"/>
    </row>
    <row r="89" spans="1:5" ht="15" customHeight="1">
      <c r="A89" s="1066"/>
      <c r="B89" s="299" t="str">
        <f>IF('Build Data'!J5="","No Additional Web Servers","TARGET_SERVER_NAME")</f>
        <v>No Additional Web Servers</v>
      </c>
      <c r="C89" s="194" t="str">
        <f>IF('Build Data'!B7&lt;=2,"",'Build Data'!J5)</f>
        <v/>
      </c>
      <c r="D89" s="1062">
        <f>IF(B89="No Additional Web Servers",1,"")</f>
        <v>1</v>
      </c>
      <c r="E89" s="1123" t="str">
        <f>IF(B89="No Additional Web Servers","Automated Complete
no additional web servers","")</f>
        <v>Automated Complete
no additional web servers</v>
      </c>
    </row>
    <row r="90" spans="1:5">
      <c r="A90" s="1066"/>
      <c r="B90" s="300" t="str">
        <f>IF('Build Data'!J5="","","NODE_LABEL")</f>
        <v/>
      </c>
      <c r="C90" s="98" t="str">
        <f>IF('Build Data'!B7&lt;=2,"",C101)</f>
        <v>prodswarm</v>
      </c>
      <c r="D90" s="1064"/>
      <c r="E90" s="1122"/>
    </row>
    <row r="91" spans="1:5">
      <c r="A91" s="1066"/>
      <c r="B91" s="400" t="str">
        <f>IF('Build Data'!J6="","No Additional Web Servers","TARGET_SERVER_NAME")</f>
        <v>No Additional Web Servers</v>
      </c>
      <c r="C91" s="83" t="str">
        <f>IF('Build Data'!B7&lt;=3,"",'Build Data'!J6)</f>
        <v/>
      </c>
      <c r="D91" s="1068">
        <f>IF(B91="No Additional Web Servers",1,"")</f>
        <v>1</v>
      </c>
      <c r="E91" s="1110" t="str">
        <f>IF(B91="No Additional Web Servers","Automated Complete
no additional web servers","")</f>
        <v>Automated Complete
no additional web servers</v>
      </c>
    </row>
    <row r="92" spans="1:5">
      <c r="A92" s="1066"/>
      <c r="B92" s="400" t="str">
        <f>IF('Build Data'!J6="","","NODE_LABEL")</f>
        <v/>
      </c>
      <c r="C92" s="83" t="str">
        <f>IF('Build Data'!B7&lt;=3,"",C101)</f>
        <v>prodswarm</v>
      </c>
      <c r="D92" s="1070"/>
      <c r="E92" s="1112"/>
    </row>
    <row r="93" spans="1:5">
      <c r="A93" s="1066"/>
      <c r="B93" s="320" t="str">
        <f>IF('Build Data'!J7="","No Additional Web Servers","TARGET_SERVER_NAME")</f>
        <v>No Additional Web Servers</v>
      </c>
      <c r="C93" s="194" t="str">
        <f>IF('Build Data'!B7&lt;=4,"",'Build Data'!J7)</f>
        <v/>
      </c>
      <c r="D93" s="1062">
        <f>IF(B93="No Additional Web Servers",1,"")</f>
        <v>1</v>
      </c>
      <c r="E93" s="1123" t="str">
        <f>IF(B93="No Additional Web Servers","Automated Complete
no additional web servers","")</f>
        <v>Automated Complete
no additional web servers</v>
      </c>
    </row>
    <row r="94" spans="1:5">
      <c r="A94" s="1067"/>
      <c r="B94" s="300" t="str">
        <f>IF('Build Data'!J7="","","NODE_LABEL")</f>
        <v/>
      </c>
      <c r="C94" s="98" t="str">
        <f>IF('Build Data'!B7&lt;=4,"",C101)</f>
        <v>prodswarm</v>
      </c>
      <c r="D94" s="1064"/>
      <c r="E94" s="1122"/>
    </row>
    <row r="95" spans="1:5" ht="30">
      <c r="A95" s="937">
        <v>9</v>
      </c>
      <c r="B95" s="401" t="str">
        <f>IF('Build Data'!C77=TRUE, "Uninstall Open Suite","Skip this step, no Open Suite")</f>
        <v>Skip this step, no Open Suite</v>
      </c>
      <c r="C95" s="106" t="str">
        <f>IF('Build Data'!C77=TRUE,'Build Data'!I4,"")</f>
        <v/>
      </c>
      <c r="D95" s="940">
        <f>IF(B95="Skip this step, no Open Suite",1,"")</f>
        <v>1</v>
      </c>
      <c r="E95" s="954" t="str">
        <f>IF(B95="Skip this step, no Open Suite","Automated Complete 
No Open Suite","")</f>
        <v>Automated Complete 
No Open Suite</v>
      </c>
    </row>
    <row r="96" spans="1:5">
      <c r="A96" s="1065">
        <v>10</v>
      </c>
      <c r="B96" s="279" t="s">
        <v>254</v>
      </c>
      <c r="C96" s="81" t="s">
        <v>226</v>
      </c>
      <c r="D96" s="1068"/>
      <c r="E96" s="1110"/>
    </row>
    <row r="97" spans="1:5">
      <c r="A97" s="1066"/>
      <c r="B97" s="402" t="s">
        <v>118</v>
      </c>
      <c r="C97" s="102" t="str">
        <f>('Build Data'!I4)</f>
        <v/>
      </c>
      <c r="D97" s="1069"/>
      <c r="E97" s="1111"/>
    </row>
    <row r="98" spans="1:5">
      <c r="A98" s="1066"/>
      <c r="B98" s="301" t="s">
        <v>122</v>
      </c>
      <c r="C98" s="85">
        <f>('Build Data'!F8)</f>
        <v>0</v>
      </c>
      <c r="D98" s="1069"/>
      <c r="E98" s="1111"/>
    </row>
    <row r="99" spans="1:5">
      <c r="A99" s="1066"/>
      <c r="B99" s="301" t="s">
        <v>120</v>
      </c>
      <c r="C99" s="86" t="str">
        <f>('Build Data'!F4)</f>
        <v/>
      </c>
      <c r="D99" s="1069"/>
      <c r="E99" s="1111"/>
    </row>
    <row r="100" spans="1:5">
      <c r="A100" s="1066"/>
      <c r="B100" s="301" t="s">
        <v>204</v>
      </c>
      <c r="C100" s="49" t="b">
        <v>1</v>
      </c>
      <c r="D100" s="1069"/>
      <c r="E100" s="1111"/>
    </row>
    <row r="101" spans="1:5" ht="15" customHeight="1">
      <c r="A101" s="1067"/>
      <c r="B101" s="403" t="s">
        <v>205</v>
      </c>
      <c r="C101" s="103" t="str">
        <f>_xlfn.CONCAT('Build Data'!F7,AutoPop!B111)</f>
        <v>prodswarm</v>
      </c>
      <c r="D101" s="1070"/>
      <c r="E101" s="1112"/>
    </row>
    <row r="102" spans="1:5">
      <c r="A102" s="1059">
        <v>11</v>
      </c>
      <c r="B102" s="156" t="str">
        <f>IF(MasterConfig!B25=TRUE,"No Web Servers","Run Jenkins job to upgrade the following additional servers; Web(s)")</f>
        <v>Run Jenkins job to upgrade the following additional servers; Web(s)</v>
      </c>
      <c r="C102" s="168" t="str">
        <f>IF(MasterConfig!B25=TRUE,"","https://jenkins.planviewcloud.net/job/e1_upgrade_pipe/build?delay=0sec")</f>
        <v>https://jenkins.planviewcloud.net/job/e1_upgrade_pipe/build?delay=0sec</v>
      </c>
      <c r="D102" s="1062" t="str">
        <f>IF(B102="No Web Servers",1,"")</f>
        <v/>
      </c>
      <c r="E102" s="1117" t="s">
        <v>255</v>
      </c>
    </row>
    <row r="103" spans="1:5">
      <c r="A103" s="1060"/>
      <c r="B103" s="278" t="str">
        <f>IF(MasterConfig!B25=TRUE,"","TARGET_SERVER_NAME")</f>
        <v>TARGET_SERVER_NAME</v>
      </c>
      <c r="C103" s="178" t="str">
        <f>IF(MasterConfig!B25=TRUE,"",'Build Data'!I3)</f>
        <v/>
      </c>
      <c r="D103" s="1063"/>
      <c r="E103" s="1118"/>
    </row>
    <row r="104" spans="1:5">
      <c r="A104" s="1060"/>
      <c r="B104" s="276" t="str">
        <f>IF(MasterConfig!B25=TRUE,"","CUSTOMER_CODE")</f>
        <v>CUSTOMER_CODE</v>
      </c>
      <c r="C104" s="106">
        <f>IF(MasterConfig!B25=TRUE,"",C98)</f>
        <v>0</v>
      </c>
      <c r="D104" s="1063"/>
      <c r="E104" s="1118"/>
    </row>
    <row r="105" spans="1:5">
      <c r="A105" s="1060"/>
      <c r="B105" s="276" t="str">
        <f>IF(MasterConfig!B25=TRUE,"","DNS_HOST_NAME")</f>
        <v>DNS_HOST_NAME</v>
      </c>
      <c r="C105" s="178" t="str">
        <f>IF(MasterConfig!B25=TRUE,"",C99)</f>
        <v/>
      </c>
      <c r="D105" s="1063"/>
      <c r="E105" s="1118"/>
    </row>
    <row r="106" spans="1:5">
      <c r="A106" s="1060"/>
      <c r="B106" s="276" t="str">
        <f>IF(MasterConfig!B25=TRUE,"","SKIP_SNAPS")</f>
        <v>SKIP_SNAPS</v>
      </c>
      <c r="C106" s="106" t="b">
        <f>IF(MasterConfig!B25=TRUE,"",C100)</f>
        <v>1</v>
      </c>
      <c r="D106" s="1063"/>
      <c r="E106" s="1118"/>
    </row>
    <row r="107" spans="1:5">
      <c r="A107" s="1060"/>
      <c r="B107" s="269" t="str">
        <f>IF(MasterConfig!B25=TRUE,"","NODE_LABEL")</f>
        <v>NODE_LABEL</v>
      </c>
      <c r="C107" s="108" t="str">
        <f>IF(MasterConfig!B25=TRUE,"",C101)</f>
        <v>prodswarm</v>
      </c>
      <c r="D107" s="1064"/>
      <c r="E107" s="1119"/>
    </row>
    <row r="108" spans="1:5">
      <c r="A108" s="1060"/>
      <c r="B108" s="404" t="str">
        <f>IF(C24="","No Additional Web Servers","TARGET_SERVER_NAME")</f>
        <v>TARGET_SERVER_NAME</v>
      </c>
      <c r="C108" s="97" t="str">
        <f>IF(C24="","",'Build Data'!J4)</f>
        <v/>
      </c>
      <c r="D108" s="1068" t="str">
        <f>IF(B108="No Additional Web Servers",1,"")</f>
        <v/>
      </c>
      <c r="E108" s="1117" t="str">
        <f>IF(B108="No Additional Web Servers","Automated Complete
no additional web servers","")</f>
        <v/>
      </c>
    </row>
    <row r="109" spans="1:5">
      <c r="A109" s="1060"/>
      <c r="B109" s="405" t="str">
        <f>IF(C24="","","CUSTOMER_CODE")</f>
        <v>CUSTOMER_CODE</v>
      </c>
      <c r="C109" s="89">
        <f>IF(C24="","",C98)</f>
        <v>0</v>
      </c>
      <c r="D109" s="1069"/>
      <c r="E109" s="1118"/>
    </row>
    <row r="110" spans="1:5">
      <c r="A110" s="1060"/>
      <c r="B110" s="406" t="str">
        <f>IF(C24="","","DNS_HOST_NAME")</f>
        <v>DNS_HOST_NAME</v>
      </c>
      <c r="C110" s="88" t="str">
        <f>IF(C24="","",C99)</f>
        <v/>
      </c>
      <c r="D110" s="1069"/>
      <c r="E110" s="1118"/>
    </row>
    <row r="111" spans="1:5">
      <c r="A111" s="1060"/>
      <c r="B111" s="405" t="str">
        <f>IF(C24="","","SQL_SERVER_NAME")</f>
        <v>SQL_SERVER_NAME</v>
      </c>
      <c r="C111" s="196" t="str">
        <f>IF(C24="","",'Build Data'!I5)</f>
        <v/>
      </c>
      <c r="D111" s="1069"/>
      <c r="E111" s="1118"/>
    </row>
    <row r="112" spans="1:5">
      <c r="A112" s="1060"/>
      <c r="B112" s="406" t="str">
        <f>IF(C24="","","SAS_SERVER_NAME")</f>
        <v>SAS_SERVER_NAME</v>
      </c>
      <c r="C112" s="196" t="str">
        <f>IF(C24="","",'Build Data'!I5)</f>
        <v/>
      </c>
      <c r="D112" s="1069"/>
      <c r="E112" s="1118"/>
    </row>
    <row r="113" spans="1:5">
      <c r="A113" s="1060"/>
      <c r="B113" s="407" t="str">
        <f>IF(C24="","","SKIP_SNAPS")</f>
        <v>SKIP_SNAPS</v>
      </c>
      <c r="C113" s="87" t="b">
        <f>IF(C24="","",C100)</f>
        <v>1</v>
      </c>
      <c r="D113" s="1069"/>
      <c r="E113" s="1118"/>
    </row>
    <row r="114" spans="1:5">
      <c r="A114" s="1060"/>
      <c r="B114" s="408" t="str">
        <f>IF(C24="","","NODE_LABEL")</f>
        <v>NODE_LABEL</v>
      </c>
      <c r="C114" s="87" t="str">
        <f>IF(C24="","",C101)</f>
        <v>prodswarm</v>
      </c>
      <c r="D114" s="1070"/>
      <c r="E114" s="1119"/>
    </row>
    <row r="115" spans="1:5">
      <c r="A115" s="1060"/>
      <c r="B115" s="307" t="str">
        <f>IF(C32="","No Additional Web Servers","TARGET_SERVER_NAME")</f>
        <v>TARGET_SERVER_NAME</v>
      </c>
      <c r="C115" s="200" t="str">
        <f>IF(C32="","",'Build Data'!J5)</f>
        <v/>
      </c>
      <c r="D115" s="1062" t="str">
        <f>IF(B115="No Additional Web Servers",1,"")</f>
        <v/>
      </c>
      <c r="E115" s="1117" t="str">
        <f>IF(B115="No Additional Web Servers","Automated Complete
no additional web servers","")</f>
        <v/>
      </c>
    </row>
    <row r="116" spans="1:5">
      <c r="A116" s="1060"/>
      <c r="B116" s="310" t="str">
        <f>IF(C32="","","CUSTOMER_CODE")</f>
        <v>CUSTOMER_CODE</v>
      </c>
      <c r="C116" s="178">
        <f>IF(C32="","",C98)</f>
        <v>0</v>
      </c>
      <c r="D116" s="1063"/>
      <c r="E116" s="1118"/>
    </row>
    <row r="117" spans="1:5">
      <c r="A117" s="1060"/>
      <c r="B117" s="308" t="str">
        <f>IF(C32="","","DNS_HOST_NAME")</f>
        <v>DNS_HOST_NAME</v>
      </c>
      <c r="C117" s="178" t="str">
        <f>IF(C32="","",C99)</f>
        <v/>
      </c>
      <c r="D117" s="1063"/>
      <c r="E117" s="1118"/>
    </row>
    <row r="118" spans="1:5">
      <c r="A118" s="1060"/>
      <c r="B118" s="308" t="str">
        <f>IF(C32="","","SQL_SERVER_NAME")</f>
        <v>SQL_SERVER_NAME</v>
      </c>
      <c r="C118" s="208" t="str">
        <f>IF(C32="","",'Build Data'!I5)</f>
        <v/>
      </c>
      <c r="D118" s="1063"/>
      <c r="E118" s="1118"/>
    </row>
    <row r="119" spans="1:5">
      <c r="A119" s="1060"/>
      <c r="B119" s="308" t="str">
        <f>IF(C32="","","SAS_SERVER_NAME")</f>
        <v>SAS_SERVER_NAME</v>
      </c>
      <c r="C119" s="210" t="str">
        <f>IF(C32="","",'Build Data'!I5)</f>
        <v/>
      </c>
      <c r="D119" s="1063"/>
      <c r="E119" s="1118"/>
    </row>
    <row r="120" spans="1:5">
      <c r="A120" s="1060"/>
      <c r="B120" s="309" t="str">
        <f>IF(C32="","","SKIP_SNAPS")</f>
        <v>SKIP_SNAPS</v>
      </c>
      <c r="C120" s="107" t="b">
        <f>IF(C32="","",C100)</f>
        <v>1</v>
      </c>
      <c r="D120" s="1063"/>
      <c r="E120" s="1118"/>
    </row>
    <row r="121" spans="1:5">
      <c r="A121" s="1060"/>
      <c r="B121" s="311" t="str">
        <f>IF(C32="","","NODE_LABEL")</f>
        <v>NODE_LABEL</v>
      </c>
      <c r="C121" s="106" t="str">
        <f>IF(C32="","",C101)</f>
        <v>prodswarm</v>
      </c>
      <c r="D121" s="1064"/>
      <c r="E121" s="1119"/>
    </row>
    <row r="122" spans="1:5">
      <c r="A122" s="1060"/>
      <c r="B122" s="312" t="str">
        <f>IF(C40="","No Additional Web Servers","TARGET_SERVER_NAME")</f>
        <v>TARGET_SERVER_NAME</v>
      </c>
      <c r="C122" s="97" t="str">
        <f>IF(C40="","",'Build Data'!J6)</f>
        <v/>
      </c>
      <c r="D122" s="1068" t="str">
        <f>IF(B122="No Additional Web Servers",1,"")</f>
        <v/>
      </c>
      <c r="E122" s="1117" t="str">
        <f>IF(B122="No Additional Web Servers","Automated Complete
no additional web servers","")</f>
        <v/>
      </c>
    </row>
    <row r="123" spans="1:5">
      <c r="A123" s="1060"/>
      <c r="B123" s="304" t="str">
        <f>IF(C40="","","CUSTOMER_CODE")</f>
        <v>CUSTOMER_CODE</v>
      </c>
      <c r="C123" s="89">
        <f>IF(C40="","",C98)</f>
        <v>0</v>
      </c>
      <c r="D123" s="1069"/>
      <c r="E123" s="1118"/>
    </row>
    <row r="124" spans="1:5">
      <c r="A124" s="1060"/>
      <c r="B124" s="305" t="str">
        <f>IF(C40="","","DNS_HOST_NAME")</f>
        <v>DNS_HOST_NAME</v>
      </c>
      <c r="C124" s="89" t="str">
        <f>IF(C40="","",C99)</f>
        <v/>
      </c>
      <c r="D124" s="1069"/>
      <c r="E124" s="1118"/>
    </row>
    <row r="125" spans="1:5">
      <c r="A125" s="1060"/>
      <c r="B125" s="303" t="str">
        <f>IF(C40="","","SQL_SERVER_NAME")</f>
        <v>SQL_SERVER_NAME</v>
      </c>
      <c r="C125" s="425" t="str">
        <f>IF(C40="","",'Build Data'!I5)</f>
        <v/>
      </c>
      <c r="D125" s="1069"/>
      <c r="E125" s="1118"/>
    </row>
    <row r="126" spans="1:5">
      <c r="A126" s="1060"/>
      <c r="B126" s="304" t="str">
        <f>IF(C40="","","SAS_SERVER_NAME")</f>
        <v>SAS_SERVER_NAME</v>
      </c>
      <c r="C126" s="193" t="str">
        <f>IF(C40="","",'Build Data'!I5)</f>
        <v/>
      </c>
      <c r="D126" s="1069"/>
      <c r="E126" s="1118"/>
    </row>
    <row r="127" spans="1:5">
      <c r="A127" s="1060"/>
      <c r="B127" s="305" t="str">
        <f>IF(C40="","","SKIP_SNAPS")</f>
        <v>SKIP_SNAPS</v>
      </c>
      <c r="C127" s="88" t="b">
        <f>IF(C40="","",C100)</f>
        <v>1</v>
      </c>
      <c r="D127" s="1069"/>
      <c r="E127" s="1118"/>
    </row>
    <row r="128" spans="1:5">
      <c r="A128" s="1060"/>
      <c r="B128" s="306" t="str">
        <f>IF(C40="","","NODE_LABEL")</f>
        <v>NODE_LABEL</v>
      </c>
      <c r="C128" s="87" t="str">
        <f>IF(C40="","",C101)</f>
        <v>prodswarm</v>
      </c>
      <c r="D128" s="1070"/>
      <c r="E128" s="1119"/>
    </row>
    <row r="129" spans="1:5">
      <c r="A129" s="1060"/>
      <c r="B129" s="409" t="str">
        <f>IF(C48="","No Additional Web Servers","TARGET_SERVER_NAME")</f>
        <v>TARGET_SERVER_NAME</v>
      </c>
      <c r="C129" s="200" t="str">
        <f>IF(C47="","",'Build Data'!J7)</f>
        <v/>
      </c>
      <c r="D129" s="1062" t="str">
        <f>IF(B129="No Additional Web Servers",1,"")</f>
        <v/>
      </c>
      <c r="E129" s="1117" t="str">
        <f>IF(B129="No Additional Web Servers","Automated Complete
no additional web servers","")</f>
        <v/>
      </c>
    </row>
    <row r="130" spans="1:5">
      <c r="A130" s="1060"/>
      <c r="B130" s="309" t="str">
        <f>IF(C48="","","CUSTOMER_CODE")</f>
        <v>CUSTOMER_CODE</v>
      </c>
      <c r="C130" s="178">
        <f>IF(C48="","",C98)</f>
        <v>0</v>
      </c>
      <c r="D130" s="1063"/>
      <c r="E130" s="1118"/>
    </row>
    <row r="131" spans="1:5">
      <c r="A131" s="1060"/>
      <c r="B131" s="310" t="str">
        <f>IF(C48="","","DNS_HOST_NAME")</f>
        <v>DNS_HOST_NAME</v>
      </c>
      <c r="C131" s="106" t="str">
        <f>IF(C48="","",C99)</f>
        <v/>
      </c>
      <c r="D131" s="1063"/>
      <c r="E131" s="1118"/>
    </row>
    <row r="132" spans="1:5">
      <c r="A132" s="1060"/>
      <c r="B132" s="310" t="str">
        <f>IF(C48="","","SQL_SERVER_NAME")</f>
        <v>SQL_SERVER_NAME</v>
      </c>
      <c r="C132" s="424" t="str">
        <f>IF(C48="","",'Build Data'!I5)</f>
        <v/>
      </c>
      <c r="D132" s="1063"/>
      <c r="E132" s="1118"/>
    </row>
    <row r="133" spans="1:5">
      <c r="A133" s="1060"/>
      <c r="B133" s="308" t="str">
        <f>IF(C48="","","SAS_SERVER_NAME")</f>
        <v>SAS_SERVER_NAME</v>
      </c>
      <c r="C133" s="210" t="str">
        <f>IF(C48="","",'Build Data'!I5)</f>
        <v/>
      </c>
      <c r="D133" s="1063"/>
      <c r="E133" s="1118"/>
    </row>
    <row r="134" spans="1:5">
      <c r="A134" s="1060"/>
      <c r="B134" s="308" t="str">
        <f>IF(C48="","","SKIP_SNAPS")</f>
        <v>SKIP_SNAPS</v>
      </c>
      <c r="C134" s="106" t="b">
        <f>IF(C48="","",C100)</f>
        <v>1</v>
      </c>
      <c r="D134" s="1063"/>
      <c r="E134" s="1118"/>
    </row>
    <row r="135" spans="1:5">
      <c r="A135" s="1061"/>
      <c r="B135" s="311" t="str">
        <f>IF(C48="","","NODE_LABEL")</f>
        <v>NODE_LABEL</v>
      </c>
      <c r="C135" s="108" t="str">
        <f>IF(C48="","",C101)</f>
        <v>prodswarm</v>
      </c>
      <c r="D135" s="1064"/>
      <c r="E135" s="1119"/>
    </row>
    <row r="136" spans="1:5">
      <c r="A136" s="1100">
        <v>12</v>
      </c>
      <c r="B136" s="279" t="s">
        <v>256</v>
      </c>
      <c r="C136" s="81" t="s">
        <v>228</v>
      </c>
      <c r="D136" s="1068"/>
      <c r="E136" s="948"/>
    </row>
    <row r="137" spans="1:5">
      <c r="A137" s="1101"/>
      <c r="B137" s="280" t="s">
        <v>118</v>
      </c>
      <c r="C137" s="85" t="str">
        <f>('Build Data'!I6)</f>
        <v/>
      </c>
      <c r="D137" s="1069"/>
      <c r="E137" s="953"/>
    </row>
    <row r="138" spans="1:5">
      <c r="A138" s="1101"/>
      <c r="B138" s="301" t="s">
        <v>120</v>
      </c>
      <c r="C138" s="86" t="str">
        <f>('Build Data'!F3)</f>
        <v/>
      </c>
      <c r="D138" s="1069"/>
      <c r="E138" s="953"/>
    </row>
    <row r="139" spans="1:5">
      <c r="A139" s="1101"/>
      <c r="B139" s="301" t="s">
        <v>122</v>
      </c>
      <c r="C139" s="85">
        <f>('Build Data'!F8)</f>
        <v>0</v>
      </c>
      <c r="D139" s="1069"/>
      <c r="E139" s="953"/>
    </row>
    <row r="140" spans="1:5">
      <c r="A140" s="1101"/>
      <c r="B140" s="271" t="s">
        <v>204</v>
      </c>
      <c r="C140" s="85" t="b">
        <v>1</v>
      </c>
      <c r="D140" s="1069"/>
      <c r="E140" s="953"/>
    </row>
    <row r="141" spans="1:5">
      <c r="A141" s="1141"/>
      <c r="B141" s="316" t="s">
        <v>205</v>
      </c>
      <c r="C141" s="83" t="str">
        <f>(C101)</f>
        <v>prodswarm</v>
      </c>
      <c r="D141" s="1070"/>
      <c r="E141" s="949"/>
    </row>
    <row r="142" spans="1:5">
      <c r="A142" s="1059">
        <v>13</v>
      </c>
      <c r="B142" s="272" t="s">
        <v>209</v>
      </c>
      <c r="C142" s="91" t="s">
        <v>257</v>
      </c>
      <c r="D142" s="1062"/>
      <c r="E142" s="1132"/>
    </row>
    <row r="143" spans="1:5">
      <c r="A143" s="1060"/>
      <c r="B143" s="315" t="s">
        <v>208</v>
      </c>
      <c r="C143" s="92">
        <f>('Build Data'!B10)</f>
        <v>0</v>
      </c>
      <c r="D143" s="1063"/>
      <c r="E143" s="1133"/>
    </row>
    <row r="144" spans="1:5">
      <c r="A144" s="1060"/>
      <c r="B144" s="266" t="s">
        <v>118</v>
      </c>
      <c r="C144" s="92" t="str">
        <f>IF(MasterConfig!B25=TRUE,"",'Build Data'!I4)</f>
        <v/>
      </c>
      <c r="D144" s="1063"/>
      <c r="E144" s="1133"/>
    </row>
    <row r="145" spans="1:5">
      <c r="A145" s="1060"/>
      <c r="B145" s="266" t="s">
        <v>122</v>
      </c>
      <c r="C145" s="93">
        <f>IF(MasterConfig!B25=TRUE,"",C98)</f>
        <v>0</v>
      </c>
      <c r="D145" s="1063"/>
      <c r="E145" s="1133"/>
    </row>
    <row r="146" spans="1:5">
      <c r="A146" s="1061"/>
      <c r="B146" s="410" t="s">
        <v>120</v>
      </c>
      <c r="C146" s="94" t="str">
        <f>IF(MasterConfig!B25=TRUE,"",C99)</f>
        <v/>
      </c>
      <c r="D146" s="1064"/>
      <c r="E146" s="1134"/>
    </row>
    <row r="147" spans="1:5">
      <c r="A147" s="1065">
        <v>14</v>
      </c>
      <c r="B147" s="279" t="str">
        <f>IF(MasterConfig!B25=TRUE,"No Web Servers","Run Jenkins job to upgrade the following additional servers; Web(s)")</f>
        <v>Run Jenkins job to upgrade the following additional servers; Web(s)</v>
      </c>
      <c r="C147" s="84" t="str">
        <f>IF(MasterConfig!B25=TRUE,"", C142)</f>
        <v>https://jenkins.planviewcloud.net/job/e1_uppdate_pipe/build?delay=0sec</v>
      </c>
      <c r="D147" s="1068" t="str">
        <f>IF(B147="No Web Servers",1,"")</f>
        <v/>
      </c>
      <c r="E147" s="1110" t="str">
        <f>IF(B147="No Web Servers","Automated Complete
no additional web servers","")</f>
        <v/>
      </c>
    </row>
    <row r="148" spans="1:5">
      <c r="A148" s="1066"/>
      <c r="B148" s="411" t="str">
        <f>IF(MasterConfig!B25=TRUE,"","UPDATE_VERSION")</f>
        <v>UPDATE_VERSION</v>
      </c>
      <c r="C148" s="83">
        <f>IF(MasterConfig!B25=TRUE,"",C143)</f>
        <v>0</v>
      </c>
      <c r="D148" s="1069"/>
      <c r="E148" s="1111"/>
    </row>
    <row r="149" spans="1:5">
      <c r="A149" s="1066"/>
      <c r="B149" s="411" t="str">
        <f>IF(MasterConfig!B25=TRUE,"","TARGET_SERVER_NAME")</f>
        <v>TARGET_SERVER_NAME</v>
      </c>
      <c r="C149" s="85" t="str">
        <f>IF('Build Data'!I4="","",'Build Data'!I3)</f>
        <v/>
      </c>
      <c r="D149" s="1069"/>
      <c r="E149" s="1111"/>
    </row>
    <row r="150" spans="1:5">
      <c r="A150" s="1066"/>
      <c r="B150" s="411" t="str">
        <f>IF(MasterConfig!B25=TRUE,"","CUSTOMER_CODE")</f>
        <v>CUSTOMER_CODE</v>
      </c>
      <c r="C150" s="83">
        <f>IF(MasterConfig!B25=TRUE,"",C98)</f>
        <v>0</v>
      </c>
      <c r="D150" s="1069"/>
      <c r="E150" s="1111"/>
    </row>
    <row r="151" spans="1:5">
      <c r="A151" s="1066"/>
      <c r="B151" s="412" t="str">
        <f>IF(MasterConfig!B25=TRUE,"","DNS_HOST_NAME")</f>
        <v>DNS_HOST_NAME</v>
      </c>
      <c r="C151" s="82" t="str">
        <f>IF(MasterConfig!B25=TRUE,"",C99)</f>
        <v/>
      </c>
      <c r="D151" s="1070"/>
      <c r="E151" s="1112"/>
    </row>
    <row r="152" spans="1:5">
      <c r="A152" s="1066"/>
      <c r="B152" s="320" t="str">
        <f>IF('Build Data'!J4="","No Additional Web Servers","UPDATE_VERSION")</f>
        <v>No Additional Web Servers</v>
      </c>
      <c r="C152" s="97" t="str">
        <f>IF('Build Data'!J4="","",C143)</f>
        <v/>
      </c>
      <c r="D152" s="1062">
        <f>IF(B152="No Additional Web Servers",1,"")</f>
        <v>1</v>
      </c>
      <c r="E152" s="1110" t="str">
        <f>IF(B152="No Additional Web Servers","Automated Complete
no additional web servers","")</f>
        <v>Automated Complete
no additional web servers</v>
      </c>
    </row>
    <row r="153" spans="1:5">
      <c r="A153" s="1066"/>
      <c r="B153" s="356" t="str">
        <f>IF('Build Data'!J4="","","TARGET_SERVER_NAME")</f>
        <v/>
      </c>
      <c r="C153" s="88" t="str">
        <f>IF('Build Data'!J4="","",'Build Data'!J4)</f>
        <v/>
      </c>
      <c r="D153" s="1063"/>
      <c r="E153" s="1111"/>
    </row>
    <row r="154" spans="1:5">
      <c r="A154" s="1066"/>
      <c r="B154" s="321" t="str">
        <f>IF('Build Data'!J4="","","CUSTOMER_CODE")</f>
        <v/>
      </c>
      <c r="C154" s="89" t="str">
        <f>IF('Build Data'!J4="","",C98)</f>
        <v/>
      </c>
      <c r="D154" s="1063"/>
      <c r="E154" s="1111"/>
    </row>
    <row r="155" spans="1:5">
      <c r="A155" s="1066"/>
      <c r="B155" s="322" t="str">
        <f>IF('Build Data'!J4="","","DNS_HOST_NAME")</f>
        <v/>
      </c>
      <c r="C155" s="87" t="str">
        <f>IF('Build Data'!J4="","",C99)</f>
        <v/>
      </c>
      <c r="D155" s="1063"/>
      <c r="E155" s="1111"/>
    </row>
    <row r="156" spans="1:5">
      <c r="A156" s="1066"/>
      <c r="B156" s="413" t="str">
        <f>IF('Build Data'!J4="","","SQL_SERVER_NAME")</f>
        <v/>
      </c>
      <c r="C156" s="387" t="str">
        <f>IF('Build Data'!J4="","",'Build Data'!I5)</f>
        <v/>
      </c>
      <c r="D156" s="1064"/>
      <c r="E156" s="1112"/>
    </row>
    <row r="157" spans="1:5">
      <c r="A157" s="1066"/>
      <c r="B157" s="396" t="str">
        <f>IF('Build Data'!J5="","No Additional Web Servers","UPDATE_VERSION")</f>
        <v>No Additional Web Servers</v>
      </c>
      <c r="C157" s="80" t="str">
        <f>IF('Build Data'!J5="","",C143)</f>
        <v/>
      </c>
      <c r="D157" s="1068">
        <f>IF(B157="No Additional Web Servers",1,"")</f>
        <v>1</v>
      </c>
      <c r="E157" s="1110" t="str">
        <f>IF(B157="No Additional Web Servers","Automated Complete
no additional web servers","")</f>
        <v>Automated Complete
no additional web servers</v>
      </c>
    </row>
    <row r="158" spans="1:5">
      <c r="A158" s="1066"/>
      <c r="B158" s="411" t="str">
        <f>IF('Build Data'!J5="","","TARGET_SERVER_NAME")</f>
        <v/>
      </c>
      <c r="C158" s="85" t="str">
        <f>IF('Build Data'!J5="","",'Build Data'!J5)</f>
        <v/>
      </c>
      <c r="D158" s="1069"/>
      <c r="E158" s="1111"/>
    </row>
    <row r="159" spans="1:5">
      <c r="A159" s="1066"/>
      <c r="B159" s="414" t="str">
        <f>IF('Build Data'!J5="","","CUSTOMER_CODE")</f>
        <v/>
      </c>
      <c r="C159" s="83" t="str">
        <f>IF('Build Data'!J5="","",C98)</f>
        <v/>
      </c>
      <c r="D159" s="1069"/>
      <c r="E159" s="1111"/>
    </row>
    <row r="160" spans="1:5">
      <c r="A160" s="1066"/>
      <c r="B160" s="400" t="str">
        <f>IF('Build Data'!J5="","","DNS_HOST_NAME")</f>
        <v/>
      </c>
      <c r="C160" s="86" t="str">
        <f>IF('Build Data'!J5="","",C99)</f>
        <v/>
      </c>
      <c r="D160" s="1069"/>
      <c r="E160" s="1111"/>
    </row>
    <row r="161" spans="1:5">
      <c r="A161" s="1066"/>
      <c r="B161" s="412" t="str">
        <f>IF('Build Data'!J5="","","SQL_SERVER_NAME")</f>
        <v/>
      </c>
      <c r="C161" s="386" t="str">
        <f>IF('Build Data'!J5="","",'Build Data'!I5)</f>
        <v/>
      </c>
      <c r="D161" s="1070"/>
      <c r="E161" s="1112"/>
    </row>
    <row r="162" spans="1:5">
      <c r="A162" s="1066"/>
      <c r="B162" s="299" t="str">
        <f>IF('Build Data'!J6="","No Additional Web Servers","UPDATE_VERSION")</f>
        <v>No Additional Web Servers</v>
      </c>
      <c r="C162" s="97" t="str">
        <f>IF('Build Data'!J6="","",C143)</f>
        <v/>
      </c>
      <c r="D162" s="1062">
        <f>IF(B162="No Additional Web Servers",1,"")</f>
        <v>1</v>
      </c>
      <c r="E162" s="1110" t="str">
        <f>IF(B162="No Additional Web Servers","Automated Complete
no additional web servers","")</f>
        <v>Automated Complete
no additional web servers</v>
      </c>
    </row>
    <row r="163" spans="1:5">
      <c r="A163" s="1066"/>
      <c r="B163" s="322" t="str">
        <f>IF('Build Data'!J6="","","TARGET_SERVER_NAME")</f>
        <v/>
      </c>
      <c r="C163" s="87" t="str">
        <f>IF('Build Data'!J6="","",'Build Data'!J6)</f>
        <v/>
      </c>
      <c r="D163" s="1063"/>
      <c r="E163" s="1111"/>
    </row>
    <row r="164" spans="1:5">
      <c r="A164" s="1066"/>
      <c r="B164" s="322" t="str">
        <f>IF('Build Data'!J6="","","CUSTOMER_CODE")</f>
        <v/>
      </c>
      <c r="C164" s="87" t="str">
        <f>IF('Build Data'!J6="","",C98)</f>
        <v/>
      </c>
      <c r="D164" s="1063"/>
      <c r="E164" s="1111"/>
    </row>
    <row r="165" spans="1:5">
      <c r="A165" s="1066"/>
      <c r="B165" s="322" t="str">
        <f>IF('Build Data'!J6="","","DNS_HOST_NAME")</f>
        <v/>
      </c>
      <c r="C165" s="87" t="str">
        <f>IF('Build Data'!J6="","",C99)</f>
        <v/>
      </c>
      <c r="D165" s="1063"/>
      <c r="E165" s="1111"/>
    </row>
    <row r="166" spans="1:5">
      <c r="A166" s="1066"/>
      <c r="B166" s="300" t="str">
        <f>IF('Build Data'!J6="","","SQL_SERVER_NAME")</f>
        <v/>
      </c>
      <c r="C166" s="388" t="str">
        <f>IF('Build Data'!J6="","",'Build Data'!I5)</f>
        <v/>
      </c>
      <c r="D166" s="1064"/>
      <c r="E166" s="1112"/>
    </row>
    <row r="167" spans="1:5">
      <c r="A167" s="1066"/>
      <c r="B167" s="400" t="str">
        <f>IF('Build Data'!J7="","No Additional Web Servers","UPDATE_VERSION")</f>
        <v>No Additional Web Servers</v>
      </c>
      <c r="C167" s="83" t="str">
        <f>IF('Build Data'!J7="","",C143)</f>
        <v/>
      </c>
      <c r="D167" s="1068">
        <f>IF(B167="No Additional Web Servers",1,"")</f>
        <v>1</v>
      </c>
      <c r="E167" s="1110" t="str">
        <f>IF(B167="No Additional Web Servers","Automated Complete
no additional web servers","")</f>
        <v>Automated Complete
no additional web servers</v>
      </c>
    </row>
    <row r="168" spans="1:5">
      <c r="A168" s="1066"/>
      <c r="B168" s="414" t="str">
        <f>IF('Build Data'!J7="","","TARGET_SERVER_NAME")</f>
        <v/>
      </c>
      <c r="C168" s="85" t="str">
        <f>IF('Build Data'!J7="","",'Build Data'!J7)</f>
        <v/>
      </c>
      <c r="D168" s="1069"/>
      <c r="E168" s="1111"/>
    </row>
    <row r="169" spans="1:5">
      <c r="A169" s="1066"/>
      <c r="B169" s="414" t="str">
        <f>IF('Build Data'!J7="","","CUSTOMER_CODE")</f>
        <v/>
      </c>
      <c r="C169" s="380" t="str">
        <f>IF('Build Data'!J7="","",C98)</f>
        <v/>
      </c>
      <c r="D169" s="1069"/>
      <c r="E169" s="1111"/>
    </row>
    <row r="170" spans="1:5">
      <c r="A170" s="1066"/>
      <c r="B170" s="400" t="str">
        <f>IF('Build Data'!J7="","","DNS_HOST_NAME")</f>
        <v/>
      </c>
      <c r="C170" s="83" t="str">
        <f>IF('Build Data'!J11="","",C99)</f>
        <v/>
      </c>
      <c r="D170" s="1069"/>
      <c r="E170" s="1111"/>
    </row>
    <row r="171" spans="1:5">
      <c r="A171" s="1067"/>
      <c r="B171" s="400" t="str">
        <f>IF('Build Data'!J7="","","SQL_SERVER_NAME")</f>
        <v/>
      </c>
      <c r="C171" s="385" t="str">
        <f>IF('Build Data'!J6="","",'Build Data'!I5)</f>
        <v/>
      </c>
      <c r="D171" s="1070"/>
      <c r="E171" s="1112"/>
    </row>
    <row r="172" spans="1:5">
      <c r="A172" s="1135">
        <v>15</v>
      </c>
      <c r="B172" s="415" t="s">
        <v>207</v>
      </c>
      <c r="C172" s="77" t="s">
        <v>232</v>
      </c>
      <c r="D172" s="1062"/>
      <c r="E172" s="1132"/>
    </row>
    <row r="173" spans="1:5">
      <c r="A173" s="1136"/>
      <c r="B173" s="319" t="s">
        <v>118</v>
      </c>
      <c r="C173" s="90" t="str">
        <f>('Build Data'!I6)</f>
        <v/>
      </c>
      <c r="D173" s="1063"/>
      <c r="E173" s="1133"/>
    </row>
    <row r="174" spans="1:5">
      <c r="A174" s="1136"/>
      <c r="B174" s="294" t="s">
        <v>123</v>
      </c>
      <c r="C174" s="99">
        <f>('Build Data'!F9)</f>
        <v>0</v>
      </c>
      <c r="D174" s="1063"/>
      <c r="E174" s="1133"/>
    </row>
    <row r="175" spans="1:5">
      <c r="A175" s="1136"/>
      <c r="B175" s="294" t="s">
        <v>208</v>
      </c>
      <c r="C175" s="100">
        <f>('Build Data'!B10)</f>
        <v>0</v>
      </c>
      <c r="D175" s="1063"/>
      <c r="E175" s="1133"/>
    </row>
    <row r="176" spans="1:5">
      <c r="A176" s="1137"/>
      <c r="B176" s="261" t="s">
        <v>205</v>
      </c>
      <c r="C176" s="101" t="str">
        <f>IF(C48="","",C101)</f>
        <v>prodswarm</v>
      </c>
      <c r="D176" s="1064"/>
      <c r="E176" s="1134"/>
    </row>
    <row r="177" spans="1:5">
      <c r="A177" s="113">
        <v>16</v>
      </c>
      <c r="B177" s="162" t="s">
        <v>258</v>
      </c>
      <c r="C177" s="51"/>
      <c r="D177" s="421"/>
      <c r="E177" s="378"/>
    </row>
    <row r="178" spans="1:5">
      <c r="A178" s="114">
        <v>17</v>
      </c>
      <c r="B178" s="161" t="s">
        <v>210</v>
      </c>
      <c r="C178" s="111" t="s">
        <v>211</v>
      </c>
      <c r="D178" s="423"/>
      <c r="E178" s="379"/>
    </row>
    <row r="179" spans="1:5">
      <c r="A179" s="113">
        <v>18</v>
      </c>
      <c r="B179" s="162" t="s">
        <v>259</v>
      </c>
      <c r="C179" s="51"/>
      <c r="D179" s="421"/>
      <c r="E179" s="378"/>
    </row>
    <row r="180" spans="1:5">
      <c r="A180" s="114">
        <v>19</v>
      </c>
      <c r="B180" s="327" t="s">
        <v>260</v>
      </c>
      <c r="C180" s="95"/>
      <c r="D180" s="423"/>
      <c r="E180" s="379"/>
    </row>
    <row r="181" spans="1:5">
      <c r="A181" s="215">
        <v>20</v>
      </c>
      <c r="B181" s="287" t="s">
        <v>212</v>
      </c>
      <c r="C181" s="47" t="s">
        <v>213</v>
      </c>
      <c r="D181" s="422"/>
      <c r="E181" s="382"/>
    </row>
    <row r="182" spans="1:5">
      <c r="A182" s="109">
        <v>21</v>
      </c>
      <c r="B182" s="416">
        <f>('Build Data'!F21)</f>
        <v>0</v>
      </c>
      <c r="C182" s="48" t="s">
        <v>261</v>
      </c>
      <c r="D182" s="237"/>
      <c r="E182" s="383"/>
    </row>
  </sheetData>
  <mergeCells count="66">
    <mergeCell ref="A147:A171"/>
    <mergeCell ref="D152:D156"/>
    <mergeCell ref="A102:A135"/>
    <mergeCell ref="D147:D151"/>
    <mergeCell ref="D136:D141"/>
    <mergeCell ref="D142:D146"/>
    <mergeCell ref="D157:D161"/>
    <mergeCell ref="D162:D166"/>
    <mergeCell ref="D167:D171"/>
    <mergeCell ref="A142:A146"/>
    <mergeCell ref="D102:D107"/>
    <mergeCell ref="D108:D114"/>
    <mergeCell ref="D115:D121"/>
    <mergeCell ref="D122:D128"/>
    <mergeCell ref="D129:D135"/>
    <mergeCell ref="A136:A141"/>
    <mergeCell ref="E102:E107"/>
    <mergeCell ref="E108:E114"/>
    <mergeCell ref="E115:E121"/>
    <mergeCell ref="E122:E128"/>
    <mergeCell ref="E129:E135"/>
    <mergeCell ref="E56:E77"/>
    <mergeCell ref="E40:E47"/>
    <mergeCell ref="A5:A9"/>
    <mergeCell ref="D32:D39"/>
    <mergeCell ref="D24:D31"/>
    <mergeCell ref="D20:D23"/>
    <mergeCell ref="D12:D19"/>
    <mergeCell ref="E32:E39"/>
    <mergeCell ref="D5:D9"/>
    <mergeCell ref="A56:A77"/>
    <mergeCell ref="E24:E31"/>
    <mergeCell ref="B5:B9"/>
    <mergeCell ref="E10:E11"/>
    <mergeCell ref="E96:E101"/>
    <mergeCell ref="D81:D82"/>
    <mergeCell ref="D93:D94"/>
    <mergeCell ref="D83:D84"/>
    <mergeCell ref="D85:D86"/>
    <mergeCell ref="D87:D88"/>
    <mergeCell ref="A96:A101"/>
    <mergeCell ref="A12:A55"/>
    <mergeCell ref="A10:A11"/>
    <mergeCell ref="D78:D80"/>
    <mergeCell ref="D89:D90"/>
    <mergeCell ref="A78:A94"/>
    <mergeCell ref="D10:D11"/>
    <mergeCell ref="D91:D92"/>
    <mergeCell ref="D96:D101"/>
    <mergeCell ref="D56:D77"/>
    <mergeCell ref="A172:A176"/>
    <mergeCell ref="D172:D176"/>
    <mergeCell ref="E172:E176"/>
    <mergeCell ref="E142:E146"/>
    <mergeCell ref="D40:D47"/>
    <mergeCell ref="D48:D55"/>
    <mergeCell ref="E48:E55"/>
    <mergeCell ref="E87:E88"/>
    <mergeCell ref="E89:E90"/>
    <mergeCell ref="E91:E92"/>
    <mergeCell ref="E93:E94"/>
    <mergeCell ref="E147:E151"/>
    <mergeCell ref="E167:E171"/>
    <mergeCell ref="E152:E156"/>
    <mergeCell ref="E157:E161"/>
    <mergeCell ref="E162:E166"/>
  </mergeCells>
  <conditionalFormatting sqref="D4">
    <cfRule type="iconSet" priority="44">
      <iconSet iconSet="3Symbols2" showValue="0">
        <cfvo type="percent" val="0"/>
        <cfvo type="num" val="0"/>
        <cfvo type="num" val="1"/>
      </iconSet>
    </cfRule>
    <cfRule type="iconSet" priority="45">
      <iconSet iconSet="3Symbols2">
        <cfvo type="percent" val="0"/>
        <cfvo type="num" val="0"/>
        <cfvo type="num" val="1"/>
      </iconSet>
    </cfRule>
    <cfRule type="iconSet" priority="46">
      <iconSet showValue="0">
        <cfvo type="percent" val="0"/>
        <cfvo type="percent" val="33"/>
        <cfvo type="percent" val="67"/>
      </iconSet>
    </cfRule>
    <cfRule type="iconSet" priority="47">
      <iconSet iconSet="3Symbols2">
        <cfvo type="percent" val="0"/>
        <cfvo type="num" val="0"/>
        <cfvo type="num" val="1"/>
      </iconSet>
    </cfRule>
  </conditionalFormatting>
  <conditionalFormatting sqref="D10">
    <cfRule type="iconSet" priority="43">
      <iconSet iconSet="3Symbols2" showValue="0">
        <cfvo type="percent" val="0"/>
        <cfvo type="num" val="0"/>
        <cfvo type="num" val="1"/>
      </iconSet>
    </cfRule>
  </conditionalFormatting>
  <conditionalFormatting sqref="D5">
    <cfRule type="iconSet" priority="42">
      <iconSet iconSet="3Symbols2" showValue="0">
        <cfvo type="percent" val="0"/>
        <cfvo type="num" val="0"/>
        <cfvo type="num" val="1"/>
      </iconSet>
    </cfRule>
  </conditionalFormatting>
  <conditionalFormatting sqref="D81:D82">
    <cfRule type="iconSet" priority="40">
      <iconSet iconSet="3Symbols2" showValue="0">
        <cfvo type="percent" val="0"/>
        <cfvo type="num" val="0"/>
        <cfvo type="num" val="1"/>
      </iconSet>
    </cfRule>
  </conditionalFormatting>
  <conditionalFormatting sqref="D83:D84">
    <cfRule type="iconSet" priority="39">
      <iconSet iconSet="3Symbols2" showValue="0">
        <cfvo type="percent" val="0"/>
        <cfvo type="num" val="0"/>
        <cfvo type="num" val="1"/>
      </iconSet>
    </cfRule>
  </conditionalFormatting>
  <conditionalFormatting sqref="D95">
    <cfRule type="iconSet" priority="38">
      <iconSet iconSet="3Symbols2" showValue="0">
        <cfvo type="percent" val="0"/>
        <cfvo type="num" val="0"/>
        <cfvo type="num" val="1"/>
      </iconSet>
    </cfRule>
  </conditionalFormatting>
  <conditionalFormatting sqref="D89:D90">
    <cfRule type="iconSet" priority="36">
      <iconSet iconSet="3Symbols2" showValue="0">
        <cfvo type="percent" val="0"/>
        <cfvo type="num" val="0"/>
        <cfvo type="num" val="1"/>
      </iconSet>
    </cfRule>
  </conditionalFormatting>
  <conditionalFormatting sqref="D87:D88">
    <cfRule type="iconSet" priority="35">
      <iconSet iconSet="3Symbols2" showValue="0">
        <cfvo type="percent" val="0"/>
        <cfvo type="num" val="0"/>
        <cfvo type="num" val="1"/>
      </iconSet>
    </cfRule>
  </conditionalFormatting>
  <conditionalFormatting sqref="D85:D86">
    <cfRule type="iconSet" priority="34">
      <iconSet iconSet="3Symbols2" showValue="0">
        <cfvo type="percent" val="0"/>
        <cfvo type="num" val="0"/>
        <cfvo type="num" val="1"/>
      </iconSet>
    </cfRule>
  </conditionalFormatting>
  <conditionalFormatting sqref="D172">
    <cfRule type="iconSet" priority="33">
      <iconSet iconSet="3Symbols2" showValue="0">
        <cfvo type="percent" val="0"/>
        <cfvo type="num" val="0"/>
        <cfvo type="num" val="1"/>
      </iconSet>
    </cfRule>
  </conditionalFormatting>
  <conditionalFormatting sqref="D177">
    <cfRule type="iconSet" priority="32">
      <iconSet iconSet="3Symbols2" showValue="0">
        <cfvo type="percent" val="0"/>
        <cfvo type="num" val="0"/>
        <cfvo type="num" val="1"/>
      </iconSet>
    </cfRule>
  </conditionalFormatting>
  <conditionalFormatting sqref="D178">
    <cfRule type="iconSet" priority="31">
      <iconSet iconSet="3Symbols2" showValue="0">
        <cfvo type="percent" val="0"/>
        <cfvo type="num" val="0"/>
        <cfvo type="num" val="1"/>
      </iconSet>
    </cfRule>
  </conditionalFormatting>
  <conditionalFormatting sqref="D179">
    <cfRule type="iconSet" priority="30">
      <iconSet iconSet="3Symbols2" showValue="0">
        <cfvo type="percent" val="0"/>
        <cfvo type="num" val="0"/>
        <cfvo type="num" val="1"/>
      </iconSet>
    </cfRule>
  </conditionalFormatting>
  <conditionalFormatting sqref="D180">
    <cfRule type="iconSet" priority="29">
      <iconSet iconSet="3Symbols2" showValue="0">
        <cfvo type="percent" val="0"/>
        <cfvo type="num" val="0"/>
        <cfvo type="num" val="1"/>
      </iconSet>
    </cfRule>
  </conditionalFormatting>
  <conditionalFormatting sqref="D181">
    <cfRule type="iconSet" priority="28">
      <iconSet iconSet="3Symbols2" showValue="0">
        <cfvo type="percent" val="0"/>
        <cfvo type="num" val="0"/>
        <cfvo type="num" val="1"/>
      </iconSet>
    </cfRule>
  </conditionalFormatting>
  <conditionalFormatting sqref="D182">
    <cfRule type="iconSet" priority="27">
      <iconSet iconSet="3Symbols2" showValue="0">
        <cfvo type="percent" val="0"/>
        <cfvo type="num" val="0"/>
        <cfvo type="num" val="1"/>
      </iconSet>
    </cfRule>
  </conditionalFormatting>
  <conditionalFormatting sqref="D2">
    <cfRule type="iconSet" priority="23">
      <iconSet iconSet="3Symbols2" showValue="0">
        <cfvo type="percent" val="0"/>
        <cfvo type="num" val="0"/>
        <cfvo type="num" val="1"/>
      </iconSet>
    </cfRule>
    <cfRule type="iconSet" priority="24">
      <iconSet iconSet="3Symbols2">
        <cfvo type="percent" val="0"/>
        <cfvo type="num" val="0"/>
        <cfvo type="num" val="1"/>
      </iconSet>
    </cfRule>
    <cfRule type="iconSet" priority="25">
      <iconSet showValue="0">
        <cfvo type="percent" val="0"/>
        <cfvo type="percent" val="33"/>
        <cfvo type="percent" val="67"/>
      </iconSet>
    </cfRule>
    <cfRule type="iconSet" priority="26">
      <iconSet iconSet="3Symbols2">
        <cfvo type="percent" val="0"/>
        <cfvo type="num" val="0"/>
        <cfvo type="num" val="1"/>
      </iconSet>
    </cfRule>
  </conditionalFormatting>
  <conditionalFormatting sqref="D129">
    <cfRule type="iconSet" priority="19">
      <iconSet iconSet="3Symbols2" showValue="0">
        <cfvo type="percent" val="0"/>
        <cfvo type="num" val="0"/>
        <cfvo type="num" val="1"/>
      </iconSet>
    </cfRule>
    <cfRule type="iconSet" priority="20">
      <iconSet iconSet="3Symbols2">
        <cfvo type="percent" val="0"/>
        <cfvo type="num" val="0"/>
        <cfvo type="num" val="1"/>
      </iconSet>
    </cfRule>
    <cfRule type="iconSet" priority="21">
      <iconSet showValue="0">
        <cfvo type="percent" val="0"/>
        <cfvo type="percent" val="33"/>
        <cfvo type="percent" val="67"/>
      </iconSet>
    </cfRule>
    <cfRule type="iconSet" priority="22">
      <iconSet iconSet="3Symbols2">
        <cfvo type="percent" val="0"/>
        <cfvo type="num" val="0"/>
        <cfvo type="num" val="1"/>
      </iconSet>
    </cfRule>
  </conditionalFormatting>
  <conditionalFormatting sqref="D122">
    <cfRule type="iconSet" priority="15">
      <iconSet iconSet="3Symbols2" showValue="0">
        <cfvo type="percent" val="0"/>
        <cfvo type="num" val="0"/>
        <cfvo type="num" val="1"/>
      </iconSet>
    </cfRule>
    <cfRule type="iconSet" priority="16">
      <iconSet iconSet="3Symbols2">
        <cfvo type="percent" val="0"/>
        <cfvo type="num" val="0"/>
        <cfvo type="num" val="1"/>
      </iconSet>
    </cfRule>
    <cfRule type="iconSet" priority="17">
      <iconSet showValue="0">
        <cfvo type="percent" val="0"/>
        <cfvo type="percent" val="33"/>
        <cfvo type="percent" val="67"/>
      </iconSet>
    </cfRule>
    <cfRule type="iconSet" priority="18">
      <iconSet iconSet="3Symbols2">
        <cfvo type="percent" val="0"/>
        <cfvo type="num" val="0"/>
        <cfvo type="num" val="1"/>
      </iconSet>
    </cfRule>
  </conditionalFormatting>
  <conditionalFormatting sqref="D162 D157 D115 D3 D78 D12 D96 D102 D108 D136 D142 D152 D167">
    <cfRule type="iconSet" priority="1198">
      <iconSet iconSet="3Symbols2" showValue="0">
        <cfvo type="percent" val="0"/>
        <cfvo type="num" val="0"/>
        <cfvo type="num" val="1"/>
      </iconSet>
    </cfRule>
    <cfRule type="iconSet" priority="1199">
      <iconSet iconSet="3Symbols2">
        <cfvo type="percent" val="0"/>
        <cfvo type="num" val="0"/>
        <cfvo type="num" val="1"/>
      </iconSet>
    </cfRule>
    <cfRule type="iconSet" priority="1200">
      <iconSet showValue="0">
        <cfvo type="percent" val="0"/>
        <cfvo type="percent" val="33"/>
        <cfvo type="percent" val="67"/>
      </iconSet>
    </cfRule>
    <cfRule type="iconSet" priority="1201">
      <iconSet iconSet="3Symbols2">
        <cfvo type="percent" val="0"/>
        <cfvo type="num" val="0"/>
        <cfvo type="num" val="1"/>
      </iconSet>
    </cfRule>
  </conditionalFormatting>
  <conditionalFormatting sqref="D91:D92">
    <cfRule type="iconSet" priority="14">
      <iconSet iconSet="3Symbols2" showValue="0">
        <cfvo type="percent" val="0"/>
        <cfvo type="num" val="0"/>
        <cfvo type="num" val="1"/>
      </iconSet>
    </cfRule>
  </conditionalFormatting>
  <conditionalFormatting sqref="D93:D94">
    <cfRule type="iconSet" priority="13">
      <iconSet iconSet="3Symbols2" showValue="0">
        <cfvo type="percent" val="0"/>
        <cfvo type="num" val="0"/>
        <cfvo type="num" val="1"/>
      </iconSet>
    </cfRule>
  </conditionalFormatting>
  <conditionalFormatting sqref="D24:D31">
    <cfRule type="iconSet" priority="11">
      <iconSet iconSet="3Symbols2" showValue="0">
        <cfvo type="percent" val="0"/>
        <cfvo type="num" val="0"/>
        <cfvo type="num" val="1"/>
      </iconSet>
    </cfRule>
    <cfRule type="iconSet" priority="12">
      <iconSet iconSet="3Symbols2" showValue="0">
        <cfvo type="percent" val="0"/>
        <cfvo type="num" val="0"/>
        <cfvo type="num" val="&quot;0\1&quot;"/>
      </iconSet>
    </cfRule>
  </conditionalFormatting>
  <conditionalFormatting sqref="D40:D47">
    <cfRule type="iconSet" priority="9">
      <iconSet iconSet="3Symbols2" showValue="0">
        <cfvo type="percent" val="0"/>
        <cfvo type="num" val="0"/>
        <cfvo type="num" val="1"/>
      </iconSet>
    </cfRule>
    <cfRule type="iconSet" priority="10">
      <iconSet iconSet="3Symbols2" showValue="0">
        <cfvo type="percent" val="0"/>
        <cfvo type="num" val="0"/>
        <cfvo type="num" val="&quot;0\1&quot;"/>
      </iconSet>
    </cfRule>
  </conditionalFormatting>
  <conditionalFormatting sqref="D56:D77">
    <cfRule type="iconSet" priority="8">
      <iconSet iconSet="3Symbols2" showValue="0">
        <cfvo type="percent" val="0"/>
        <cfvo type="num" val="0"/>
        <cfvo type="num" val="1"/>
      </iconSet>
    </cfRule>
  </conditionalFormatting>
  <conditionalFormatting sqref="D48:D55">
    <cfRule type="iconSet" priority="7">
      <iconSet iconSet="3Symbols2" showValue="0">
        <cfvo type="percent" val="0"/>
        <cfvo type="num" val="0"/>
        <cfvo type="num" val="1"/>
      </iconSet>
    </cfRule>
  </conditionalFormatting>
  <conditionalFormatting sqref="D32:D39">
    <cfRule type="iconSet" priority="6">
      <iconSet iconSet="3Symbols2" showValue="0">
        <cfvo type="percent" val="0"/>
        <cfvo type="num" val="0"/>
        <cfvo type="num" val="1"/>
      </iconSet>
    </cfRule>
  </conditionalFormatting>
  <conditionalFormatting sqref="D20:D23">
    <cfRule type="iconSet" priority="5">
      <iconSet iconSet="3Symbols2" showValue="0">
        <cfvo type="percent" val="0"/>
        <cfvo type="num" val="0"/>
        <cfvo type="num" val="1"/>
      </iconSet>
    </cfRule>
  </conditionalFormatting>
  <conditionalFormatting sqref="D147">
    <cfRule type="iconSet" priority="1">
      <iconSet iconSet="3Symbols2" showValue="0">
        <cfvo type="percent" val="0"/>
        <cfvo type="num" val="0"/>
        <cfvo type="num" val="1"/>
      </iconSet>
    </cfRule>
    <cfRule type="iconSet" priority="2">
      <iconSet iconSet="3Symbols2">
        <cfvo type="percent" val="0"/>
        <cfvo type="num" val="0"/>
        <cfvo type="num" val="1"/>
      </iconSet>
    </cfRule>
    <cfRule type="iconSet" priority="3">
      <iconSet showValue="0">
        <cfvo type="percent" val="0"/>
        <cfvo type="percent" val="33"/>
        <cfvo type="percent" val="67"/>
      </iconSet>
    </cfRule>
    <cfRule type="iconSet" priority="4">
      <iconSet iconSet="3Symbols2">
        <cfvo type="percent" val="0"/>
        <cfvo type="num" val="0"/>
        <cfvo type="num" val="1"/>
      </iconSet>
    </cfRule>
  </conditionalFormatting>
  <hyperlinks>
    <hyperlink ref="C78" r:id="rId1"/>
    <hyperlink ref="C96" r:id="rId2"/>
    <hyperlink ref="C102" r:id="rId3" display="https://jenkins.planviewcloud.net/job/e1_upgrade_pipe/"/>
    <hyperlink ref="C181" r:id="rId4" location="/ccu-main" display="https://control.akamai.com/apps/fast-purge/ - /ccu-main"/>
    <hyperlink ref="C142" r:id="rId5"/>
    <hyperlink ref="C172" r:id="rId6"/>
    <hyperlink ref="C4" r:id="rId7" location="/home/monitors"/>
    <hyperlink ref="C178" r:id="rId8"/>
    <hyperlink ref="C136" r:id="rId9"/>
  </hyperlinks>
  <pageMargins left="0.7" right="0.7" top="0.75" bottom="0.75" header="0.3" footer="0.3"/>
  <pageSetup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AutoPop!$M$79</xm:f>
          </x14:formula1>
          <xm:sqref>D129 D122 D108 D115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0"/>
  <sheetViews>
    <sheetView workbookViewId="0">
      <selection activeCell="C11" sqref="C11"/>
    </sheetView>
  </sheetViews>
  <sheetFormatPr defaultRowHeight="15"/>
  <cols>
    <col min="2" max="2" width="59" bestFit="1" customWidth="1"/>
    <col min="3" max="3" width="104" bestFit="1" customWidth="1"/>
    <col min="4" max="4" width="13.85546875" bestFit="1" customWidth="1"/>
    <col min="5" max="5" width="45.42578125" bestFit="1" customWidth="1"/>
  </cols>
  <sheetData>
    <row r="1" spans="1:6" ht="38.25">
      <c r="A1" s="257"/>
      <c r="B1" s="242" t="s">
        <v>111</v>
      </c>
      <c r="C1" s="242" t="s">
        <v>114</v>
      </c>
      <c r="D1" s="259" t="s">
        <v>235</v>
      </c>
      <c r="E1" s="242" t="s">
        <v>236</v>
      </c>
    </row>
    <row r="2" spans="1:6">
      <c r="A2" s="947">
        <v>1</v>
      </c>
      <c r="B2" s="329" t="s">
        <v>174</v>
      </c>
      <c r="C2" s="44" t="str">
        <f>('Build Data'!I2)&amp;"/login/body.asp?manual=Y"</f>
        <v>/login/body.asp?manual=Y</v>
      </c>
      <c r="D2" s="947"/>
      <c r="E2" s="258"/>
      <c r="F2">
        <f>('Build Data'!F11)</f>
        <v>0</v>
      </c>
    </row>
    <row r="3" spans="1:6">
      <c r="A3" s="932">
        <v>2</v>
      </c>
      <c r="B3" s="330" t="s">
        <v>237</v>
      </c>
      <c r="C3" s="43" t="str">
        <f>_xlfn.CONCAT(AutoPop!M112,'Build Data'!F3,AutoPop!N112)</f>
        <v>Start-Process "chrome.exe" "https://.pvcloud.com/planview/diag/version.aspx"</v>
      </c>
      <c r="D3" s="932"/>
      <c r="E3" s="105"/>
    </row>
    <row r="4" spans="1:6">
      <c r="A4" s="947">
        <v>3</v>
      </c>
      <c r="B4" s="331" t="s">
        <v>176</v>
      </c>
      <c r="C4" s="42" t="str">
        <f>_xlfn.CONCAT(AutoPop!M112,'Build Data'!F3,AutoPop!N113)</f>
        <v>Start-Process "chrome.exe" "https://.pvcloud.com/odataservice/OdataService.svc"</v>
      </c>
      <c r="D4" s="947"/>
      <c r="E4" s="41"/>
    </row>
    <row r="5" spans="1:6">
      <c r="A5" s="932">
        <v>4</v>
      </c>
      <c r="B5" s="332" t="s">
        <v>177</v>
      </c>
      <c r="C5" s="37" t="str">
        <f>_xlfn.CONCAT(AutoPop!M112,'Build Data'!F3,AutoPop!N114)</f>
        <v>Start-Process "chrome.exe" "https://.pvcloud.com/planview/Progressing/ProgressInteractively.aspx"</v>
      </c>
      <c r="D5" s="932"/>
      <c r="E5" s="36"/>
    </row>
    <row r="6" spans="1:6">
      <c r="A6" s="947">
        <v>5</v>
      </c>
      <c r="B6" s="333" t="s">
        <v>178</v>
      </c>
      <c r="C6" s="41" t="str">
        <f>_xlfn.CONCAT(AutoPop!M112,'Build Data'!F3,AutoPop!N115)</f>
        <v>Start-Process "chrome.exe" "https://.pvcloud.com/planview/AdminApplication/AdministerOLAPConnStrings.aspx"</v>
      </c>
      <c r="D6" s="947"/>
      <c r="E6" s="41"/>
    </row>
    <row r="7" spans="1:6">
      <c r="A7" s="932">
        <v>6</v>
      </c>
      <c r="B7" s="334" t="s">
        <v>179</v>
      </c>
      <c r="C7" s="36" t="e">
        <f>_xlfn.CONCAT(AutoPop!M112,'Build Data'!F3,AutoPop!#REF!)</f>
        <v>#REF!</v>
      </c>
      <c r="D7" s="932"/>
      <c r="E7" s="36"/>
    </row>
    <row r="8" spans="1:6">
      <c r="A8" s="947">
        <v>7</v>
      </c>
      <c r="B8" s="333" t="s">
        <v>181</v>
      </c>
      <c r="C8" s="42" t="str">
        <f>_xlfn.CONCAT(AutoPop!M112,'Build Data'!F3,AutoPop!N118)</f>
        <v>Start-Process "chrome.exe" "https://.pvcloud.com/planview/AdminApplication/AdminServices.aspx"</v>
      </c>
      <c r="D8" s="947"/>
      <c r="E8" s="41"/>
    </row>
    <row r="9" spans="1:6">
      <c r="A9" s="932">
        <v>8</v>
      </c>
      <c r="B9" s="332" t="s">
        <v>238</v>
      </c>
      <c r="C9" s="37" t="s">
        <v>239</v>
      </c>
      <c r="D9" s="932"/>
      <c r="E9" s="36"/>
    </row>
    <row r="10" spans="1:6">
      <c r="A10" s="938">
        <v>9</v>
      </c>
      <c r="B10" s="335" t="s">
        <v>183</v>
      </c>
      <c r="C10" s="74" t="str">
        <f>_xlfn.CONCAT(AutoPop!M112,'Build Data'!F3,AutoPop!N120)</f>
        <v>Start-Process "chrome.exe" "https://.pvcloud.com/ng/ctm/"</v>
      </c>
      <c r="D10" s="938"/>
      <c r="E10" s="74"/>
    </row>
  </sheetData>
  <conditionalFormatting sqref="D10">
    <cfRule type="iconSet" priority="14">
      <iconSet iconSet="3Symbols" showValue="0">
        <cfvo type="percent" val="0"/>
        <cfvo type="num" val="1"/>
        <cfvo type="num" val="2"/>
      </iconSet>
    </cfRule>
    <cfRule type="iconSet" priority="15">
      <iconSet iconSet="3Symbols2" showValue="0">
        <cfvo type="percent" val="0"/>
        <cfvo type="num" val="1"/>
        <cfvo type="num" val="2"/>
      </iconSet>
    </cfRule>
    <cfRule type="iconSet" priority="16">
      <iconSet iconSet="3Symbols" showValue="0">
        <cfvo type="percent" val="0"/>
        <cfvo type="num" val="1"/>
        <cfvo type="num" val="2"/>
      </iconSet>
    </cfRule>
    <cfRule type="iconSet" priority="17">
      <iconSet iconSet="3Symbols">
        <cfvo type="percent" val="0"/>
        <cfvo type="num" val="1"/>
        <cfvo type="num" val="2"/>
      </iconSet>
    </cfRule>
  </conditionalFormatting>
  <conditionalFormatting sqref="D2">
    <cfRule type="iconSet" priority="37">
      <iconSet iconSet="3Symbols" showValue="0">
        <cfvo type="percent" val="0"/>
        <cfvo type="num" val="1"/>
        <cfvo type="num" val="2"/>
      </iconSet>
    </cfRule>
    <cfRule type="iconSet" priority="38">
      <iconSet iconSet="3Symbols2" showValue="0">
        <cfvo type="percent" val="0"/>
        <cfvo type="num" val="1"/>
        <cfvo type="num" val="2"/>
      </iconSet>
    </cfRule>
    <cfRule type="iconSet" priority="39">
      <iconSet iconSet="3Symbols" showValue="0">
        <cfvo type="percent" val="0"/>
        <cfvo type="num" val="1"/>
        <cfvo type="num" val="2"/>
      </iconSet>
    </cfRule>
  </conditionalFormatting>
  <conditionalFormatting sqref="D3">
    <cfRule type="iconSet" priority="1316">
      <iconSet iconSet="3Symbols" showValue="0">
        <cfvo type="percent" val="0"/>
        <cfvo type="percent" val="33"/>
        <cfvo type="percent" val="67"/>
      </iconSet>
    </cfRule>
    <cfRule type="iconSet" priority="1317">
      <iconSet iconSet="3Symbols">
        <cfvo type="percent" val="0"/>
        <cfvo type="percent" val="0"/>
        <cfvo type="percent" val="2"/>
      </iconSet>
    </cfRule>
    <cfRule type="iconSet" priority="1318">
      <iconSet iconSet="3Symbols2">
        <cfvo type="percent" val="0"/>
        <cfvo type="percent" val="33"/>
        <cfvo type="percent" val="67"/>
      </iconSet>
    </cfRule>
  </conditionalFormatting>
  <conditionalFormatting sqref="D3">
    <cfRule type="iconSet" priority="1319">
      <iconSet iconSet="3Symbols" showValue="0">
        <cfvo type="percent" val="0"/>
        <cfvo type="num" val="1"/>
        <cfvo type="num" val="2"/>
      </iconSet>
    </cfRule>
    <cfRule type="iconSet" priority="1320">
      <iconSet iconSet="3Symbols2" showValue="0">
        <cfvo type="percent" val="0"/>
        <cfvo type="num" val="1"/>
        <cfvo type="num" val="2"/>
      </iconSet>
    </cfRule>
    <cfRule type="iconSet" priority="1321">
      <iconSet iconSet="3Symbols" showValue="0">
        <cfvo type="percent" val="0"/>
        <cfvo type="num" val="1"/>
        <cfvo type="num" val="2"/>
      </iconSet>
    </cfRule>
    <cfRule type="iconSet" priority="1322">
      <iconSet iconSet="3Symbols">
        <cfvo type="percent" val="0"/>
        <cfvo type="num" val="1"/>
        <cfvo type="num" val="2"/>
      </iconSet>
    </cfRule>
  </conditionalFormatting>
  <conditionalFormatting sqref="D4">
    <cfRule type="iconSet" priority="1323">
      <iconSet iconSet="3Symbols2" showValue="0">
        <cfvo type="percent" val="0"/>
        <cfvo type="num" val="1"/>
        <cfvo type="num" val="2"/>
      </iconSet>
    </cfRule>
    <cfRule type="iconSet" priority="1324">
      <iconSet iconSet="3Symbols" showValue="0">
        <cfvo type="percent" val="0"/>
        <cfvo type="num" val="1"/>
        <cfvo type="num" val="2"/>
      </iconSet>
    </cfRule>
    <cfRule type="iconSet" priority="1325">
      <iconSet iconSet="3Symbols">
        <cfvo type="percent" val="0"/>
        <cfvo type="num" val="1"/>
        <cfvo type="num" val="2"/>
      </iconSet>
    </cfRule>
  </conditionalFormatting>
  <conditionalFormatting sqref="D4">
    <cfRule type="iconSet" priority="1326">
      <iconSet iconSet="3Symbols" showValue="0">
        <cfvo type="percent" val="0"/>
        <cfvo type="num" val="1"/>
        <cfvo type="num" val="2"/>
      </iconSet>
    </cfRule>
    <cfRule type="iconSet" priority="1327">
      <iconSet iconSet="3Symbols2" showValue="0">
        <cfvo type="percent" val="0"/>
        <cfvo type="num" val="1"/>
        <cfvo type="num" val="2"/>
      </iconSet>
    </cfRule>
    <cfRule type="iconSet" priority="1328">
      <iconSet iconSet="3Symbols" showValue="0">
        <cfvo type="percent" val="0"/>
        <cfvo type="num" val="1"/>
        <cfvo type="num" val="2"/>
      </iconSet>
    </cfRule>
    <cfRule type="iconSet" priority="1329">
      <iconSet iconSet="3Symbols">
        <cfvo type="percent" val="0"/>
        <cfvo type="num" val="1"/>
        <cfvo type="num" val="2"/>
      </iconSet>
    </cfRule>
  </conditionalFormatting>
  <conditionalFormatting sqref="D5:D6">
    <cfRule type="iconSet" priority="1344">
      <iconSet iconSet="3Symbols2" showValue="0">
        <cfvo type="percent" val="0"/>
        <cfvo type="num" val="1"/>
        <cfvo type="num" val="2"/>
      </iconSet>
    </cfRule>
    <cfRule type="iconSet" priority="1345">
      <iconSet iconSet="3Symbols" showValue="0">
        <cfvo type="percent" val="0"/>
        <cfvo type="num" val="1"/>
        <cfvo type="num" val="2"/>
      </iconSet>
    </cfRule>
  </conditionalFormatting>
  <conditionalFormatting sqref="D5:D6">
    <cfRule type="iconSet" priority="1346">
      <iconSet iconSet="3Symbols" showValue="0">
        <cfvo type="percent" val="0"/>
        <cfvo type="num" val="1"/>
        <cfvo type="num" val="2"/>
      </iconSet>
    </cfRule>
    <cfRule type="iconSet" priority="1347">
      <iconSet iconSet="3Symbols2" showValue="0">
        <cfvo type="percent" val="0"/>
        <cfvo type="num" val="1"/>
        <cfvo type="num" val="2"/>
      </iconSet>
    </cfRule>
  </conditionalFormatting>
  <conditionalFormatting sqref="D7">
    <cfRule type="iconSet" priority="1351">
      <iconSet iconSet="3Symbols2" showValue="0">
        <cfvo type="percent" val="0"/>
        <cfvo type="num" val="1"/>
        <cfvo type="num" val="2"/>
      </iconSet>
    </cfRule>
    <cfRule type="iconSet" priority="1352">
      <iconSet iconSet="3Symbols" showValue="0">
        <cfvo type="percent" val="0"/>
        <cfvo type="num" val="1"/>
        <cfvo type="num" val="2"/>
      </iconSet>
    </cfRule>
    <cfRule type="iconSet" priority="1353">
      <iconSet iconSet="3Symbols">
        <cfvo type="percent" val="0"/>
        <cfvo type="num" val="1"/>
        <cfvo type="num" val="2"/>
      </iconSet>
    </cfRule>
  </conditionalFormatting>
  <conditionalFormatting sqref="D7">
    <cfRule type="iconSet" priority="1354">
      <iconSet iconSet="3Symbols" showValue="0">
        <cfvo type="percent" val="0"/>
        <cfvo type="num" val="1"/>
        <cfvo type="num" val="2"/>
      </iconSet>
    </cfRule>
    <cfRule type="iconSet" priority="1355">
      <iconSet iconSet="3Symbols2" showValue="0">
        <cfvo type="percent" val="0"/>
        <cfvo type="num" val="1"/>
        <cfvo type="num" val="2"/>
      </iconSet>
    </cfRule>
    <cfRule type="iconSet" priority="1356">
      <iconSet iconSet="3Symbols" showValue="0">
        <cfvo type="percent" val="0"/>
        <cfvo type="num" val="1"/>
        <cfvo type="num" val="2"/>
      </iconSet>
    </cfRule>
    <cfRule type="iconSet" priority="1357">
      <iconSet iconSet="3Symbols">
        <cfvo type="percent" val="0"/>
        <cfvo type="num" val="1"/>
        <cfvo type="num" val="2"/>
      </iconSet>
    </cfRule>
  </conditionalFormatting>
  <conditionalFormatting sqref="D8:D9">
    <cfRule type="iconSet" priority="1372">
      <iconSet iconSet="3Symbols2" showValue="0">
        <cfvo type="percent" val="0"/>
        <cfvo type="num" val="1"/>
        <cfvo type="num" val="2"/>
      </iconSet>
    </cfRule>
    <cfRule type="iconSet" priority="1373">
      <iconSet iconSet="3Symbols" showValue="0">
        <cfvo type="percent" val="0"/>
        <cfvo type="num" val="1"/>
        <cfvo type="num" val="2"/>
      </iconSet>
    </cfRule>
  </conditionalFormatting>
  <conditionalFormatting sqref="D8:D9">
    <cfRule type="iconSet" priority="1374">
      <iconSet iconSet="3Symbols" showValue="0">
        <cfvo type="percent" val="0"/>
        <cfvo type="num" val="1"/>
        <cfvo type="num" val="2"/>
      </iconSet>
    </cfRule>
    <cfRule type="iconSet" priority="1375">
      <iconSet iconSet="3Symbols2" showValue="0">
        <cfvo type="percent" val="0"/>
        <cfvo type="num" val="1"/>
        <cfvo type="num" val="2"/>
      </iconSet>
    </cfRule>
  </conditionalFormatting>
  <conditionalFormatting sqref="D4:D10">
    <cfRule type="iconSet" priority="1376">
      <iconSet iconSet="3Symbols" showValue="0">
        <cfvo type="percent" val="0"/>
        <cfvo type="percent" val="33"/>
        <cfvo type="percent" val="67"/>
      </iconSet>
    </cfRule>
    <cfRule type="iconSet" priority="1377">
      <iconSet iconSet="3Symbols">
        <cfvo type="percent" val="0"/>
        <cfvo type="percent" val="0"/>
        <cfvo type="percent" val="2"/>
      </iconSet>
    </cfRule>
    <cfRule type="iconSet" priority="1378">
      <iconSet iconSet="3Symbols2">
        <cfvo type="percent" val="0"/>
        <cfvo type="percent" val="33"/>
        <cfvo type="percent" val="67"/>
      </iconSet>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J344"/>
  <sheetViews>
    <sheetView topLeftCell="A115" workbookViewId="0">
      <selection activeCell="D121" sqref="D121"/>
    </sheetView>
  </sheetViews>
  <sheetFormatPr defaultRowHeight="15"/>
  <cols>
    <col min="2" max="2" width="20.5703125" bestFit="1" customWidth="1"/>
    <col min="3" max="3" width="62.42578125" bestFit="1" customWidth="1"/>
    <col min="4" max="4" width="79.42578125" bestFit="1" customWidth="1"/>
    <col min="6" max="6" width="134.140625" bestFit="1" customWidth="1"/>
    <col min="7" max="7" width="73" bestFit="1" customWidth="1"/>
    <col min="8" max="8" width="255.5703125" customWidth="1"/>
    <col min="9" max="9" width="23.42578125" customWidth="1"/>
  </cols>
  <sheetData>
    <row r="1" spans="2:8">
      <c r="B1" s="1" t="s">
        <v>262</v>
      </c>
      <c r="C1" s="493" t="s">
        <v>263</v>
      </c>
      <c r="D1" s="493" t="s">
        <v>264</v>
      </c>
      <c r="E1" s="493" t="s">
        <v>265</v>
      </c>
    </row>
    <row r="2" spans="2:8">
      <c r="B2" t="s">
        <v>266</v>
      </c>
      <c r="C2" s="2" t="s">
        <v>267</v>
      </c>
      <c r="D2" s="493" t="s">
        <v>268</v>
      </c>
      <c r="E2">
        <f>COUNTIF('Build Data'!J4:'Build Data'!J7,"*web*") + 1</f>
        <v>1</v>
      </c>
      <c r="F2" t="e">
        <f ca="1">CONCAT(G2,D26,G3)</f>
        <v>#NAME?</v>
      </c>
      <c r="G2" t="e">
        <f ca="1">IF(E2=4,CONCAT(D72,'Build Data'!I3,D72,D26,D72,'Build Data'!J4,D72,D26,D72,'Build Data'!J5,D72,D26,D72,'Build Data'!J6,D72),IF(E2=3,CONCAT(D72,'Build Data'!I3,D72,D26,D72,'Build Data'!J4,D72,D26,D72,'Build Data'!J5,D72),IF(E2=2,CONCAT(D72,'Build Data'!I3,D72,D26,D72,'Build Data'!J4,D72),IF(E2=1,CONCAT(D72,'Build Data'!I3,D72),""))))</f>
        <v>#NAME?</v>
      </c>
      <c r="H2" t="str">
        <f>IF(AND('Build Data'!F13=TRUE,E2=4),CONCAT(D72,'Build Data'!I3,F38,D72,D26,D72,'Build Data'!J4,F38,D72,D26,D72,'Build Data'!J5,F38,D72,D26,D72,'Build Data'!J6,F38,D72),IF(AND('Build Data'!F13=TRUE,E2=3),CONCAT(D72,'Build Data'!I3,F38,D72,D26,D72,'Build Data'!J4,F38,D72,D26,D72,'Build Data'!J5,F38,D72),IF(AND('Build Data'!F13=TRUE,E2=2),CONCAT(D72,'Build Data'!I3,F38,D72,D26,D72,'Build Data'!J4,F38,D72),IF(AND('Build Data'!F13=TRUE,E2=1),CONCAT(D72,'Build Data'!I3,F38,D72),"Non AWS Build"))))</f>
        <v>Non AWS Build</v>
      </c>
    </row>
    <row r="3" spans="2:8">
      <c r="B3" t="s">
        <v>269</v>
      </c>
      <c r="C3" s="2" t="s">
        <v>270</v>
      </c>
      <c r="D3" s="2" t="s">
        <v>271</v>
      </c>
      <c r="E3">
        <f>COUNTIF('Build Data'!J10:'Build Data'!J13,"*web*") + 1</f>
        <v>1</v>
      </c>
      <c r="F3" t="e">
        <f ca="1">IF(E3=0,CONCAT(G4),CONCAT(G4,D26,G5))</f>
        <v>#NAME?</v>
      </c>
      <c r="G3" t="e">
        <f ca="1">IF(E3=4,CONCAT(D72,'Build Data'!I9,D72,D26,D72,'Build Data'!J10,D72,D26,D72,'Build Data'!J11,D72,D26,D72,'Build Data'!J12,D72),IF(E3=3,CONCAT(D72,'Build Data'!I9,D72,D26,D72,'Build Data'!J10,D72,D26,D72,'Build Data'!J11,D72),IF(E3=2,CONCAT(D72,'Build Data'!I9,D72,D26,D72,'Build Data'!J10,D72),IF(E3=1,CONCAT(D72,'Build Data'!I9,D72),""))))</f>
        <v>#NAME?</v>
      </c>
      <c r="H3" t="str">
        <f>IF(AND('Build Data'!F13=TRUE,E3=4),CONCAT(D72,'Build Data'!I9,F38,D72,D26,D72,'Build Data'!J10,F38,D72,D26,D72,'Build Data'!J11,F38,D72,D26,D72,'Build Data'!J12,F38,D72),IF(AND('Build Data'!F13=TRUE,E3=3),CONCAT(D72,'Build Data'!I9,F38,D72,D26,D72,'Build Data'!J10,F38,D72,D26,D72,'Build Data'!J11,F38,D72),IF(AND('Build Data'!F13=TRUE,E3=2),CONCAT(D72,'Build Data'!I9,F38,D72,D26,D72,'Build Data'!J10,F38,D72),IF(AND('Build Data'!F13=TRUE,E3=1),CONCAT(D72,'Build Data'!I9,F38,D72),"Non AWS Build"))))</f>
        <v>Non AWS Build</v>
      </c>
    </row>
    <row r="4" spans="2:8">
      <c r="B4" t="s">
        <v>272</v>
      </c>
      <c r="C4" s="2" t="s">
        <v>273</v>
      </c>
      <c r="D4" s="2" t="s">
        <v>274</v>
      </c>
      <c r="G4" t="e">
        <f ca="1">IF(E2=4,CONCAT(D72,F43,D23,F49,D23,F51,D23,F53,D72),IF(E2=3,CONCAT(D72,F43,D23,F49,D23,F51,D72),IF(E2=2,CONCAT(D72,F43,D23,F49,D72),IF(E2=1,CONCAT(D72,F43,D72),""))))</f>
        <v>#NAME?</v>
      </c>
      <c r="H4" t="str">
        <f>IF(AND('Build Data'!F13=TRUE,E3=4),CONCAT(D72,'Build Data'!I3,F38,D72,D26,D72,'Build Data'!J4,F38,D72,D26,D72,'Build Data'!J5,F38,D72,D26,D72,'Build Data'!J6,F38,D72),IF(AND('Build Data'!F13=TRUE,E3=3),CONCAT(D72,'Build Data'!I3,F38,D72,D26,D72,'Build Data'!J4,F38,D72,D26,D72,'Build Data'!J5,F38,D72),IF(AND('Build Data'!F13=TRUE,E3=2),CONCAT(D72,'Build Data'!I3,F38,D72,D26,D72,'Build Data'!J4,F38,D72),IF(AND('Build Data'!F13=TRUE,E3=1),CONCAT(D72,'Build Data'!I3,F38,D72),"Non AWS Build"))))</f>
        <v>Non AWS Build</v>
      </c>
    </row>
    <row r="5" spans="2:8">
      <c r="B5" s="2" t="s">
        <v>275</v>
      </c>
      <c r="C5" s="2" t="s">
        <v>276</v>
      </c>
      <c r="D5" s="2" t="s">
        <v>277</v>
      </c>
      <c r="F5" t="str">
        <f>('Build Data'!I3)</f>
        <v/>
      </c>
      <c r="G5" t="e">
        <f ca="1">IF(E3=4,CONCAT(D72,F44,D23,F50,D23,F52,D23,F54,D72),IF(E3=3,CONCAT(D72,F44,D23,F50,D23,F52,D72),IF(E3=2,CONCAT(D72,F44,D23,F50,D72),IF(E3=1,CONCAT(D72,F44,D72),""))))</f>
        <v>#NAME?</v>
      </c>
    </row>
    <row r="6" spans="2:8">
      <c r="B6" t="s">
        <v>278</v>
      </c>
      <c r="C6" s="27" t="s">
        <v>279</v>
      </c>
      <c r="D6" s="2" t="s">
        <v>280</v>
      </c>
      <c r="F6" t="str">
        <f>('Build Data'!I4)</f>
        <v/>
      </c>
    </row>
    <row r="7" spans="2:8">
      <c r="B7" t="s">
        <v>281</v>
      </c>
      <c r="C7" s="2" t="s">
        <v>282</v>
      </c>
      <c r="D7" s="2" t="s">
        <v>283</v>
      </c>
      <c r="F7" t="str">
        <f>('Build Data'!I5)</f>
        <v/>
      </c>
      <c r="H7" t="s">
        <v>284</v>
      </c>
    </row>
    <row r="8" spans="2:8">
      <c r="B8" t="s">
        <v>285</v>
      </c>
      <c r="C8" s="2" t="s">
        <v>286</v>
      </c>
      <c r="D8" s="2" t="s">
        <v>287</v>
      </c>
      <c r="F8" t="str">
        <f>('Build Data'!I6)</f>
        <v/>
      </c>
      <c r="H8" t="e">
        <f ca="1">CONCAT(D72,F42,D72,D26,D72,F46,D72,D26,D72,F48,D72)</f>
        <v>#NAME?</v>
      </c>
    </row>
    <row r="9" spans="2:8">
      <c r="B9" s="2" t="s">
        <v>288</v>
      </c>
      <c r="C9" s="2" t="s">
        <v>289</v>
      </c>
      <c r="D9" s="2" t="s">
        <v>290</v>
      </c>
      <c r="F9" t="str">
        <f>('Build Data'!I7)</f>
        <v/>
      </c>
      <c r="H9" t="e">
        <f ca="1">IF('Build Data'!F13=TRUE,CONCAT(D72,F13,D72,D26,D72,F12,D72,D26,D72,F14,D72,D26,G3),CONCAT(D72,F13,D72,D26,D72,F12,D72,D26,D72,F14,D72,D26,D72,F15,D72,D26,G3))</f>
        <v>#NAME?</v>
      </c>
    </row>
    <row r="10" spans="2:8">
      <c r="B10" t="s">
        <v>291</v>
      </c>
      <c r="C10" s="2" t="s">
        <v>292</v>
      </c>
      <c r="D10" s="2" t="s">
        <v>293</v>
      </c>
    </row>
    <row r="11" spans="2:8">
      <c r="B11" t="s">
        <v>294</v>
      </c>
      <c r="C11" s="2" t="s">
        <v>295</v>
      </c>
      <c r="D11" s="2" t="s">
        <v>296</v>
      </c>
      <c r="F11" t="str">
        <f>('Build Data'!I9)</f>
        <v/>
      </c>
      <c r="H11" t="s">
        <v>297</v>
      </c>
    </row>
    <row r="12" spans="2:8">
      <c r="B12" s="2" t="s">
        <v>298</v>
      </c>
      <c r="C12" s="2" t="s">
        <v>299</v>
      </c>
      <c r="D12" s="2" t="s">
        <v>300</v>
      </c>
      <c r="F12" t="str">
        <f>('Build Data'!I10)</f>
        <v/>
      </c>
      <c r="H12" t="e">
        <f ca="1">CONCAT(H3)</f>
        <v>#NAME?</v>
      </c>
    </row>
    <row r="13" spans="2:8">
      <c r="B13" s="2" t="s">
        <v>272</v>
      </c>
      <c r="C13" s="2" t="s">
        <v>301</v>
      </c>
      <c r="D13" s="2" t="s">
        <v>302</v>
      </c>
      <c r="F13" t="str">
        <f>('Build Data'!I11)</f>
        <v/>
      </c>
    </row>
    <row r="14" spans="2:8">
      <c r="B14" s="2" t="s">
        <v>303</v>
      </c>
      <c r="C14" s="2" t="s">
        <v>304</v>
      </c>
      <c r="D14" s="2" t="s">
        <v>305</v>
      </c>
      <c r="F14" t="str">
        <f>('Build Data'!I12)</f>
        <v/>
      </c>
    </row>
    <row r="15" spans="2:8">
      <c r="B15" t="s">
        <v>275</v>
      </c>
      <c r="C15" s="2" t="s">
        <v>306</v>
      </c>
      <c r="D15" t="str">
        <f>" "</f>
        <v xml:space="preserve"> </v>
      </c>
      <c r="F15" t="str">
        <f>('Build Data'!I13)</f>
        <v/>
      </c>
      <c r="H15" t="s">
        <v>307</v>
      </c>
    </row>
    <row r="16" spans="2:8">
      <c r="B16" s="2" t="s">
        <v>308</v>
      </c>
      <c r="C16" s="2" t="s">
        <v>769</v>
      </c>
      <c r="D16" s="2" t="s">
        <v>309</v>
      </c>
      <c r="F16" t="e">
        <f ca="1">IF('Build Data'!E7="fr",CONCAT('Build Data'!I4,F38,D26,'Build Data'!I10,F38,D26,H2,D26,H3),CONCAT('Build Data'!I4,D26,'Build Data'!I10,D26,F2))</f>
        <v>#NAME?</v>
      </c>
      <c r="H16" t="e">
        <f ca="1">CONCAT(D72,F41,D72,D26,D72,F45,D72,D26,D72,F47,D72)</f>
        <v>#NAME?</v>
      </c>
    </row>
    <row r="17" spans="2:8">
      <c r="B17" s="2" t="s">
        <v>285</v>
      </c>
      <c r="C17" s="2" t="s">
        <v>310</v>
      </c>
      <c r="D17" s="2" t="s">
        <v>311</v>
      </c>
      <c r="H17" t="e">
        <f ca="1">IF('Build Data'!F13=TRUE,CONCAT(D72,F13,D72,D26,D72,F12,D72,D26,D72,F14,D72,D26,G3),CONCAT(D72,F13,D72,D26,D72,F12,D72,D26,D72,F14,D72,D26,D72,F15,D72,D26,G3))</f>
        <v>#NAME?</v>
      </c>
    </row>
    <row r="18" spans="2:8">
      <c r="B18" s="2" t="s">
        <v>312</v>
      </c>
      <c r="C18" s="2" t="s">
        <v>313</v>
      </c>
      <c r="D18" s="2" t="s">
        <v>314</v>
      </c>
      <c r="F18" t="e">
        <f ca="1">IF('Build Data'!B22=TRUE,F3,CONCAT('Build Data'!#REF!,D26,'Build Data'!I22,D26,F3))</f>
        <v>#NAME?</v>
      </c>
    </row>
    <row r="19" spans="2:8">
      <c r="B19" s="2" t="s">
        <v>315</v>
      </c>
      <c r="C19" s="2" t="s">
        <v>316</v>
      </c>
      <c r="D19" s="493" t="s">
        <v>317</v>
      </c>
      <c r="F19" t="e">
        <f ca="1">CONCAT('Build Data'!I4,D26,'Build Data'!I10,D26,F2)</f>
        <v>#NAME?</v>
      </c>
      <c r="H19" t="s">
        <v>318</v>
      </c>
    </row>
    <row r="20" spans="2:8">
      <c r="B20" t="s">
        <v>319</v>
      </c>
      <c r="C20" s="2" t="s">
        <v>320</v>
      </c>
      <c r="D20" s="2" t="s">
        <v>321</v>
      </c>
      <c r="F20" t="e">
        <f ca="1">IF(AND('Build Data'!I23="",'Build Data'!F13=TRUE),CONCAT('Build Data'!#REF!),CONCAT('Build Data'!#REF!,D26,'Build Data'!I23))</f>
        <v>#NAME?</v>
      </c>
    </row>
    <row r="21" spans="2:8">
      <c r="B21" s="966" t="s">
        <v>770</v>
      </c>
      <c r="C21" s="2" t="s">
        <v>322</v>
      </c>
      <c r="D21" s="39" t="str">
        <f>"') "</f>
        <v xml:space="preserve">') </v>
      </c>
      <c r="F21" t="e">
        <f ca="1">CONCAT('Build Data'!I11)</f>
        <v>#NAME?</v>
      </c>
      <c r="G21" t="e">
        <f ca="1">CONCAT('Build Data'!I5)</f>
        <v>#NAME?</v>
      </c>
    </row>
    <row r="22" spans="2:8">
      <c r="B22" s="966" t="s">
        <v>774</v>
      </c>
      <c r="C22" s="2" t="s">
        <v>323</v>
      </c>
      <c r="D22" s="2" t="s">
        <v>324</v>
      </c>
      <c r="F22" t="str">
        <f>IF('Build Data'!F13=TRUE,CONCAT('Build Data'!I5,F38,D26,'Build Data'!I11,F38),"#Non AWS Build")</f>
        <v>#Non AWS Build</v>
      </c>
    </row>
    <row r="23" spans="2:8">
      <c r="B23" s="2"/>
      <c r="C23" s="2" t="s">
        <v>325</v>
      </c>
      <c r="D23" t="str">
        <f>"','"</f>
        <v>','</v>
      </c>
    </row>
    <row r="24" spans="2:8">
      <c r="C24" s="2" t="s">
        <v>326</v>
      </c>
      <c r="D24" s="2" t="s">
        <v>327</v>
      </c>
      <c r="F24" t="str">
        <f>IF('Build Data'!E7="sg","https://jenkins.us.planview.world/job/manage_reports_pipe/build?delay=0sec","https://jenkins.eu.planview.world/job/manage_reports_pipe/build?delay=0sec")</f>
        <v>https://jenkins.eu.planview.world/job/manage_reports_pipe/build?delay=0sec</v>
      </c>
      <c r="H24" t="e">
        <f ca="1">CONCAT(D72,F7,D23,F13,D72)</f>
        <v>#NAME?</v>
      </c>
    </row>
    <row r="25" spans="2:8">
      <c r="C25" s="2" t="s">
        <v>328</v>
      </c>
      <c r="D25" s="2" t="s">
        <v>329</v>
      </c>
      <c r="F25" t="str">
        <f>IF('Build Data'!E7="sg","https://jenkins.us.planview.world/job/install_e1_fasttrack/build?delay=0sec","https://jenkins.eu.planview.world/job/install_e1_fasttrack/build?delay=0sec")</f>
        <v>https://jenkins.eu.planview.world/job/install_e1_fasttrack/build?delay=0sec</v>
      </c>
      <c r="H25" t="e">
        <f ca="1">CONCAT(D72,F8,D23,F14,D72)</f>
        <v>#NAME?</v>
      </c>
    </row>
    <row r="26" spans="2:8">
      <c r="C26" s="2" t="s">
        <v>330</v>
      </c>
      <c r="D26" s="2" t="s">
        <v>331</v>
      </c>
      <c r="F26" t="str">
        <f>IF('Build Data'!E7="sg","https://jenkins.us.planview.world/job/refresh_olap_properties_table/build?delay=0sec","https://jenkins.eu.planview.world/job/refresh_olap_properties_table/build?delay=0sec")</f>
        <v>https://jenkins.eu.planview.world/job/refresh_olap_properties_table/build?delay=0sec</v>
      </c>
      <c r="H26" s="723" t="str">
        <f>IF('Build Data'!F13=TRUE,CONCAT(Automation!D72,Automation!F47,Automation!D23,Automation!F48,Automation!D72),"")</f>
        <v/>
      </c>
    </row>
    <row r="27" spans="2:8">
      <c r="C27" s="2" t="s">
        <v>332</v>
      </c>
      <c r="D27" s="2" t="s">
        <v>333</v>
      </c>
      <c r="F27" t="s">
        <v>334</v>
      </c>
    </row>
    <row r="28" spans="2:8">
      <c r="C28" s="2" t="s">
        <v>335</v>
      </c>
      <c r="D28" s="2" t="s">
        <v>336</v>
      </c>
    </row>
    <row r="29" spans="2:8">
      <c r="C29" s="2" t="s">
        <v>337</v>
      </c>
      <c r="D29" s="2" t="s">
        <v>338</v>
      </c>
    </row>
    <row r="30" spans="2:8">
      <c r="C30" s="494" t="s">
        <v>339</v>
      </c>
      <c r="D30" s="2" t="s">
        <v>340</v>
      </c>
    </row>
    <row r="31" spans="2:8">
      <c r="C31" s="494" t="s">
        <v>341</v>
      </c>
      <c r="D31" s="2" t="s">
        <v>342</v>
      </c>
    </row>
    <row r="32" spans="2:8">
      <c r="C32" s="494" t="s">
        <v>343</v>
      </c>
      <c r="D32" s="2" t="s">
        <v>344</v>
      </c>
    </row>
    <row r="33" spans="3:9">
      <c r="C33" s="494" t="s">
        <v>345</v>
      </c>
      <c r="D33" s="2" t="s">
        <v>346</v>
      </c>
      <c r="F33" s="3" t="s">
        <v>213</v>
      </c>
    </row>
    <row r="34" spans="3:9">
      <c r="C34" s="2" t="s">
        <v>814</v>
      </c>
      <c r="D34" s="2" t="s">
        <v>347</v>
      </c>
      <c r="F34" s="3" t="s">
        <v>245</v>
      </c>
    </row>
    <row r="35" spans="3:9">
      <c r="C35" s="2" t="s">
        <v>348</v>
      </c>
      <c r="D35" t="s">
        <v>349</v>
      </c>
      <c r="F35" s="3" t="s">
        <v>350</v>
      </c>
    </row>
    <row r="36" spans="3:9">
      <c r="C36" s="2" t="s">
        <v>351</v>
      </c>
      <c r="D36" t="s">
        <v>352</v>
      </c>
    </row>
    <row r="37" spans="3:9">
      <c r="C37" s="2" t="s">
        <v>353</v>
      </c>
      <c r="D37" t="s">
        <v>354</v>
      </c>
      <c r="H37" s="2"/>
      <c r="I37" s="723">
        <f>(AutoPop!F31)</f>
        <v>0</v>
      </c>
    </row>
    <row r="38" spans="3:9">
      <c r="C38" s="2" t="s">
        <v>355</v>
      </c>
      <c r="D38" t="s">
        <v>356</v>
      </c>
      <c r="F38" t="str">
        <f>IF('Build Data'!F7="fr",".frankfurt.planviewcloud.net",".sydney.planviewcloud.net")</f>
        <v>.sydney.planviewcloud.net</v>
      </c>
      <c r="I38" t="str">
        <f>('Build Data'!I16)</f>
        <v/>
      </c>
    </row>
    <row r="39" spans="3:9">
      <c r="C39" s="2" t="s">
        <v>357</v>
      </c>
      <c r="D39" s="495" t="s">
        <v>358</v>
      </c>
    </row>
    <row r="40" spans="3:9">
      <c r="C40" s="2" t="s">
        <v>359</v>
      </c>
      <c r="D40" s="2" t="s">
        <v>360</v>
      </c>
    </row>
    <row r="41" spans="3:9">
      <c r="C41" s="2" t="s">
        <v>361</v>
      </c>
      <c r="D41" s="2" t="s">
        <v>362</v>
      </c>
      <c r="F41" t="e">
        <f ca="1">CONCAT('Build Data'!I5,Automation!F38)</f>
        <v>#NAME?</v>
      </c>
    </row>
    <row r="42" spans="3:9">
      <c r="C42" s="2" t="s">
        <v>363</v>
      </c>
      <c r="D42" s="2" t="s">
        <v>364</v>
      </c>
      <c r="F42" t="e">
        <f ca="1">CONCAT('Build Data'!I11,Automation!F38)</f>
        <v>#NAME?</v>
      </c>
    </row>
    <row r="43" spans="3:9">
      <c r="C43" s="2" t="s">
        <v>365</v>
      </c>
      <c r="D43" s="2" t="s">
        <v>366</v>
      </c>
      <c r="F43" t="e">
        <f ca="1">CONCAT('Build Data'!I3,Automation!F38)</f>
        <v>#NAME?</v>
      </c>
    </row>
    <row r="44" spans="3:9">
      <c r="C44" s="2" t="s">
        <v>160</v>
      </c>
      <c r="D44" s="2" t="s">
        <v>367</v>
      </c>
      <c r="F44" t="e">
        <f ca="1">CONCAT('Build Data'!I9,Automation!F38)</f>
        <v>#NAME?</v>
      </c>
    </row>
    <row r="45" spans="3:9">
      <c r="C45" s="2" t="s">
        <v>368</v>
      </c>
      <c r="D45" s="2" t="s">
        <v>369</v>
      </c>
      <c r="F45" t="e">
        <f ca="1">CONCAT('Build Data'!I4,Automation!F38)</f>
        <v>#NAME?</v>
      </c>
      <c r="H45" t="s">
        <v>370</v>
      </c>
    </row>
    <row r="46" spans="3:9">
      <c r="C46" s="2" t="s">
        <v>371</v>
      </c>
      <c r="D46" s="2" t="s">
        <v>162</v>
      </c>
      <c r="F46" t="e">
        <f ca="1">CONCAT('Build Data'!I10,Automation!F38)</f>
        <v>#NAME?</v>
      </c>
      <c r="H46" s="721" t="s">
        <v>372</v>
      </c>
    </row>
    <row r="47" spans="3:9">
      <c r="C47" s="2" t="s">
        <v>373</v>
      </c>
      <c r="D47" s="2" t="s">
        <v>374</v>
      </c>
      <c r="F47" t="e">
        <f ca="1">CONCAT('Build Data'!I6,Automation!F38)</f>
        <v>#NAME?</v>
      </c>
      <c r="H47" s="721" t="s">
        <v>375</v>
      </c>
    </row>
    <row r="48" spans="3:9">
      <c r="C48" s="2" t="s">
        <v>376</v>
      </c>
      <c r="D48" s="2" t="s">
        <v>377</v>
      </c>
      <c r="F48" t="e">
        <f ca="1">CONCAT('Build Data'!I12,Automation!F38)</f>
        <v>#NAME?</v>
      </c>
      <c r="H48" s="721" t="s">
        <v>378</v>
      </c>
    </row>
    <row r="49" spans="3:10">
      <c r="C49" s="2" t="s">
        <v>379</v>
      </c>
      <c r="D49" s="2" t="s">
        <v>380</v>
      </c>
      <c r="F49" t="str">
        <f>IF('Build Data'!J3="","",CONCAT('Build Data'!J3,Automation!F38))</f>
        <v/>
      </c>
      <c r="H49" s="721" t="s">
        <v>381</v>
      </c>
    </row>
    <row r="50" spans="3:10">
      <c r="C50" s="2" t="s">
        <v>382</v>
      </c>
      <c r="D50" s="2" t="s">
        <v>383</v>
      </c>
      <c r="F50" t="str">
        <f>IF('Build Data'!J9="","",CONCAT('Build Data'!J9,Automation!F38))</f>
        <v/>
      </c>
      <c r="H50" s="721" t="s">
        <v>384</v>
      </c>
    </row>
    <row r="51" spans="3:10">
      <c r="C51" s="2" t="s">
        <v>385</v>
      </c>
      <c r="D51" s="2" t="s">
        <v>386</v>
      </c>
      <c r="F51" t="str">
        <f>IF('Build Data'!J4="","",CONCAT('Build Data'!J4,Automation!F38))</f>
        <v/>
      </c>
      <c r="H51" s="721" t="s">
        <v>387</v>
      </c>
    </row>
    <row r="52" spans="3:10">
      <c r="C52" s="2" t="s">
        <v>388</v>
      </c>
      <c r="D52" s="2" t="s">
        <v>389</v>
      </c>
      <c r="F52" t="str">
        <f>IF('Build Data'!J10="","",CONCAT('Build Data'!J10,Automation!F38))</f>
        <v/>
      </c>
      <c r="H52" s="721" t="s">
        <v>390</v>
      </c>
    </row>
    <row r="53" spans="3:10">
      <c r="C53" s="2" t="s">
        <v>391</v>
      </c>
      <c r="D53" s="2" t="s">
        <v>392</v>
      </c>
      <c r="F53" t="str">
        <f>IF('Build Data'!J5="","",CONCAT('Build Data'!J5,Automation!F38))</f>
        <v/>
      </c>
      <c r="H53" s="721" t="s">
        <v>393</v>
      </c>
    </row>
    <row r="54" spans="3:10">
      <c r="C54" s="2" t="s">
        <v>394</v>
      </c>
      <c r="D54" s="2" t="s">
        <v>395</v>
      </c>
      <c r="F54" t="str">
        <f>IF('Build Data'!J11="","",CONCAT('Build Data'!J11,Automation!F38))</f>
        <v/>
      </c>
      <c r="H54" s="721" t="s">
        <v>396</v>
      </c>
    </row>
    <row r="55" spans="3:10">
      <c r="C55" s="2" t="s">
        <v>397</v>
      </c>
      <c r="D55" s="2" t="s">
        <v>398</v>
      </c>
      <c r="H55" s="721" t="s">
        <v>399</v>
      </c>
    </row>
    <row r="56" spans="3:10">
      <c r="C56" s="2" t="s">
        <v>400</v>
      </c>
      <c r="D56" s="2" t="s">
        <v>401</v>
      </c>
      <c r="H56" s="722" t="s">
        <v>402</v>
      </c>
      <c r="I56" t="str">
        <f>('Build Data'!F11) &amp; "' "</f>
        <v xml:space="preserve">' </v>
      </c>
      <c r="J56" t="s">
        <v>403</v>
      </c>
    </row>
    <row r="57" spans="3:10">
      <c r="C57" s="28" t="s">
        <v>404</v>
      </c>
      <c r="D57" s="2" t="s">
        <v>405</v>
      </c>
    </row>
    <row r="58" spans="3:10">
      <c r="C58" s="2" t="s">
        <v>406</v>
      </c>
      <c r="D58" s="2" t="s">
        <v>407</v>
      </c>
      <c r="F58" t="e">
        <f ca="1">CONCAT('Build Data'!I19,Automation!F38)</f>
        <v>#NAME?</v>
      </c>
      <c r="H58" s="22"/>
    </row>
    <row r="59" spans="3:10">
      <c r="C59" s="2" t="s">
        <v>408</v>
      </c>
      <c r="D59" s="2" t="s">
        <v>409</v>
      </c>
      <c r="F59" t="e">
        <f ca="1">CONCAT('Build Data'!I25,Automation!F38)</f>
        <v>#NAME?</v>
      </c>
      <c r="H59" s="22"/>
    </row>
    <row r="60" spans="3:10">
      <c r="C60" s="2" t="s">
        <v>772</v>
      </c>
      <c r="D60" s="2" t="s">
        <v>410</v>
      </c>
      <c r="F60" t="e">
        <f ca="1">CONCAT('Build Data'!I18,Automation!F38)</f>
        <v>#NAME?</v>
      </c>
      <c r="H60" s="22" t="s">
        <v>411</v>
      </c>
    </row>
    <row r="61" spans="3:10">
      <c r="C61" s="2" t="s">
        <v>771</v>
      </c>
      <c r="D61" s="2" t="s">
        <v>412</v>
      </c>
      <c r="F61" t="e">
        <f ca="1">CONCAT('Build Data'!I24,Automation!F38)</f>
        <v>#NAME?</v>
      </c>
      <c r="H61" s="22" t="s">
        <v>413</v>
      </c>
    </row>
    <row r="62" spans="3:10">
      <c r="C62" s="2"/>
      <c r="D62" s="2" t="s">
        <v>414</v>
      </c>
      <c r="F62" t="e">
        <f ca="1">CONCAT('Build Data'!I17,Automation!F38)</f>
        <v>#NAME?</v>
      </c>
      <c r="H62" s="22" t="s">
        <v>415</v>
      </c>
    </row>
    <row r="63" spans="3:10">
      <c r="C63" s="2"/>
      <c r="D63" s="2" t="s">
        <v>416</v>
      </c>
      <c r="F63" t="e">
        <f ca="1">CONCAT('Build Data'!I23,Automation!F38)</f>
        <v>#NAME?</v>
      </c>
      <c r="H63" s="22" t="s">
        <v>417</v>
      </c>
    </row>
    <row r="64" spans="3:10">
      <c r="C64" s="2"/>
      <c r="D64" s="2" t="s">
        <v>418</v>
      </c>
      <c r="F64" t="e">
        <f ca="1">CONCAT('Build Data'!I16,Automation!F38)</f>
        <v>#NAME?</v>
      </c>
      <c r="H64" s="22" t="s">
        <v>419</v>
      </c>
    </row>
    <row r="65" spans="3:8">
      <c r="C65" s="2"/>
      <c r="D65" s="2" t="s">
        <v>420</v>
      </c>
      <c r="F65" t="e">
        <f ca="1">CONCAT('Build Data'!I22,Automation!F38)</f>
        <v>#NAME?</v>
      </c>
    </row>
    <row r="66" spans="3:8">
      <c r="C66" s="2"/>
      <c r="D66" s="496" t="s">
        <v>421</v>
      </c>
      <c r="H66" s="22" t="s">
        <v>422</v>
      </c>
    </row>
    <row r="67" spans="3:8">
      <c r="C67" s="2"/>
      <c r="D67" s="497" t="s">
        <v>423</v>
      </c>
      <c r="H67" s="22" t="s">
        <v>424</v>
      </c>
    </row>
    <row r="68" spans="3:8">
      <c r="C68" s="2"/>
      <c r="D68" s="2" t="s">
        <v>425</v>
      </c>
      <c r="H68" s="22" t="s">
        <v>426</v>
      </c>
    </row>
    <row r="69" spans="3:8">
      <c r="D69" s="2" t="s">
        <v>29</v>
      </c>
      <c r="H69" s="22" t="s">
        <v>427</v>
      </c>
    </row>
    <row r="70" spans="3:8">
      <c r="D70" s="8" t="str">
        <f>(";")</f>
        <v>;</v>
      </c>
      <c r="H70" s="22" t="s">
        <v>428</v>
      </c>
    </row>
    <row r="71" spans="3:8">
      <c r="D71" t="s">
        <v>429</v>
      </c>
      <c r="H71" s="22" t="s">
        <v>430</v>
      </c>
    </row>
    <row r="72" spans="3:8">
      <c r="D72" t="str">
        <f>("'")</f>
        <v>'</v>
      </c>
      <c r="H72" s="22" t="s">
        <v>431</v>
      </c>
    </row>
    <row r="73" spans="3:8">
      <c r="D73" t="s">
        <v>432</v>
      </c>
      <c r="H73" s="22" t="s">
        <v>433</v>
      </c>
    </row>
    <row r="74" spans="3:8">
      <c r="D74" t="s">
        <v>434</v>
      </c>
      <c r="H74" s="22" t="s">
        <v>435</v>
      </c>
    </row>
    <row r="75" spans="3:8">
      <c r="D75" t="s">
        <v>436</v>
      </c>
      <c r="H75" s="22" t="s">
        <v>437</v>
      </c>
    </row>
    <row r="76" spans="3:8">
      <c r="D76" t="s">
        <v>438</v>
      </c>
      <c r="F76" t="s">
        <v>439</v>
      </c>
      <c r="H76" s="22" t="s">
        <v>440</v>
      </c>
    </row>
    <row r="77" spans="3:8">
      <c r="D77" t="s">
        <v>441</v>
      </c>
      <c r="F77" t="s">
        <v>442</v>
      </c>
      <c r="H77" s="22" t="s">
        <v>443</v>
      </c>
    </row>
    <row r="78" spans="3:8">
      <c r="D78" t="s">
        <v>444</v>
      </c>
      <c r="H78" s="22" t="s">
        <v>445</v>
      </c>
    </row>
    <row r="79" spans="3:8">
      <c r="D79" t="s">
        <v>446</v>
      </c>
      <c r="H79" s="23" t="s">
        <v>447</v>
      </c>
    </row>
    <row r="80" spans="3:8">
      <c r="D80" t="s">
        <v>448</v>
      </c>
    </row>
    <row r="81" spans="4:6">
      <c r="D81" t="s">
        <v>449</v>
      </c>
    </row>
    <row r="82" spans="4:6">
      <c r="D82" t="s">
        <v>450</v>
      </c>
    </row>
    <row r="83" spans="4:6">
      <c r="D83" t="s">
        <v>451</v>
      </c>
    </row>
    <row r="84" spans="4:6">
      <c r="D84" t="s">
        <v>452</v>
      </c>
    </row>
    <row r="85" spans="4:6">
      <c r="D85" t="s">
        <v>453</v>
      </c>
    </row>
    <row r="86" spans="4:6">
      <c r="D86" t="s">
        <v>454</v>
      </c>
      <c r="F86" s="39">
        <f>'Build Data'!F25</f>
        <v>0</v>
      </c>
    </row>
    <row r="87" spans="4:6">
      <c r="D87" t="s">
        <v>455</v>
      </c>
    </row>
    <row r="88" spans="4:6">
      <c r="D88" t="s">
        <v>456</v>
      </c>
    </row>
    <row r="89" spans="4:6">
      <c r="D89" t="s">
        <v>457</v>
      </c>
    </row>
    <row r="90" spans="4:6">
      <c r="D90" t="s">
        <v>458</v>
      </c>
    </row>
    <row r="91" spans="4:6">
      <c r="D91" t="s">
        <v>459</v>
      </c>
    </row>
    <row r="92" spans="4:6">
      <c r="D92" s="5">
        <v>1</v>
      </c>
    </row>
    <row r="93" spans="4:6">
      <c r="D93" s="2" t="s">
        <v>460</v>
      </c>
    </row>
    <row r="94" spans="4:6">
      <c r="D94" t="s">
        <v>461</v>
      </c>
    </row>
    <row r="95" spans="4:6">
      <c r="D95" t="s">
        <v>462</v>
      </c>
    </row>
    <row r="96" spans="4:6">
      <c r="D96" s="2" t="s">
        <v>463</v>
      </c>
      <c r="F96" t="s">
        <v>464</v>
      </c>
    </row>
    <row r="97" spans="4:6">
      <c r="D97" s="2" t="s">
        <v>465</v>
      </c>
      <c r="F97" t="s">
        <v>102</v>
      </c>
    </row>
    <row r="98" spans="4:6">
      <c r="D98" s="2" t="s">
        <v>466</v>
      </c>
      <c r="F98" t="s">
        <v>467</v>
      </c>
    </row>
    <row r="99" spans="4:6">
      <c r="D99" s="2" t="s">
        <v>468</v>
      </c>
      <c r="F99" t="s">
        <v>469</v>
      </c>
    </row>
    <row r="100" spans="4:6">
      <c r="D100" s="2" t="s">
        <v>470</v>
      </c>
    </row>
    <row r="101" spans="4:6">
      <c r="D101" s="2" t="s">
        <v>28</v>
      </c>
    </row>
    <row r="102" spans="4:6">
      <c r="D102" s="2"/>
    </row>
    <row r="103" spans="4:6">
      <c r="D103" s="2" t="s">
        <v>22</v>
      </c>
      <c r="F103" s="5">
        <v>1000</v>
      </c>
    </row>
    <row r="104" spans="4:6">
      <c r="D104" s="2" t="s">
        <v>40</v>
      </c>
      <c r="F104" s="5">
        <v>2000</v>
      </c>
    </row>
    <row r="105" spans="4:6">
      <c r="D105" s="2" t="s">
        <v>471</v>
      </c>
      <c r="F105" s="5">
        <v>3500</v>
      </c>
    </row>
    <row r="106" spans="4:6">
      <c r="D106" s="2" t="s">
        <v>472</v>
      </c>
      <c r="F106" s="5">
        <v>5000</v>
      </c>
    </row>
    <row r="107" spans="4:6">
      <c r="D107" s="2" t="s">
        <v>473</v>
      </c>
      <c r="F107" s="5">
        <v>7000</v>
      </c>
    </row>
    <row r="108" spans="4:6">
      <c r="D108" s="2" t="s">
        <v>474</v>
      </c>
      <c r="F108" s="5" t="s">
        <v>475</v>
      </c>
    </row>
    <row r="109" spans="4:6">
      <c r="D109" s="2" t="s">
        <v>476</v>
      </c>
    </row>
    <row r="110" spans="4:6">
      <c r="D110" s="2" t="s">
        <v>477</v>
      </c>
    </row>
    <row r="111" spans="4:6">
      <c r="D111" s="2" t="s">
        <v>478</v>
      </c>
    </row>
    <row r="112" spans="4:6">
      <c r="D112" s="8" t="str">
        <f>("' 'wildcard.pvcloud.com.edgekey.net.'")</f>
        <v>' 'wildcard.pvcloud.com.edgekey.net.'</v>
      </c>
      <c r="F112" s="18" t="s">
        <v>130</v>
      </c>
    </row>
    <row r="113" spans="4:6">
      <c r="D113" s="2" t="s">
        <v>479</v>
      </c>
      <c r="F113" t="s">
        <v>126</v>
      </c>
    </row>
    <row r="114" spans="4:6">
      <c r="D114" s="2" t="s">
        <v>480</v>
      </c>
      <c r="F114" t="s">
        <v>128</v>
      </c>
    </row>
    <row r="115" spans="4:6">
      <c r="D115" s="2" t="s">
        <v>481</v>
      </c>
      <c r="F115" t="s">
        <v>482</v>
      </c>
    </row>
    <row r="116" spans="4:6">
      <c r="D116" s="2" t="s">
        <v>483</v>
      </c>
      <c r="F116" t="s">
        <v>484</v>
      </c>
    </row>
    <row r="117" spans="4:6">
      <c r="D117" s="2" t="s">
        <v>485</v>
      </c>
      <c r="F117" t="s">
        <v>486</v>
      </c>
    </row>
    <row r="118" spans="4:6">
      <c r="D118" t="str">
        <f>IF('Build Data'!B3="New Logo"," Sandbox ",IF('Build Data'!B3="PreBuild"," PreSandbox ",IF('Build Data'!B3="Sandbox 2 Only"," Sandbox2 ",IF('Build Data'!B3="Sandbox 3 Only"," Sandbox3 ",""))))</f>
        <v/>
      </c>
    </row>
    <row r="119" spans="4:6">
      <c r="D119" s="2" t="s">
        <v>487</v>
      </c>
    </row>
    <row r="120" spans="4:6">
      <c r="D120" s="2" t="s">
        <v>488</v>
      </c>
    </row>
    <row r="121" spans="4:6">
      <c r="D121" t="str">
        <f>IF(OR('Build Data'!B3="2nd Sandbox Only",'Build Data'!B7&gt;=3," Sandbox2")," Sandbox 2", "")</f>
        <v xml:space="preserve"> Sandbox 2</v>
      </c>
      <c r="F121" s="882" t="s">
        <v>489</v>
      </c>
    </row>
    <row r="122" spans="4:6">
      <c r="D122" s="8" t="str">
        <f>IF(OR('Build Data'!B3="3rd Sandbox Only",'Build Data'!B7&gt;=3," Sandbox2")," Sandbox 3", "")</f>
        <v xml:space="preserve"> Sandbox 3</v>
      </c>
      <c r="F122" s="882" t="s">
        <v>490</v>
      </c>
    </row>
    <row r="123" spans="4:6">
      <c r="D123" s="2" t="s">
        <v>491</v>
      </c>
      <c r="F123" s="882" t="s">
        <v>492</v>
      </c>
    </row>
    <row r="124" spans="4:6">
      <c r="D124" t="str">
        <f>IF('Build Data'!F7="sg","OU=Hosting,DC=us,DC=planview,DC=world",IF('Build Data'!E7="ln","OU=Hosting,DC=us,DC=planview,DC=world",IF('Build Data'!F7="fr","OU=Hosting,OU=e1-prod-fr,DC=frankfurt,DC=planviewcloud,DC=net",IF('Build Data'!F7="fr","OU=Hosting,OU=e1-prod-fr,DC=sydney,DC=planviewcloud,DC=net",""))))</f>
        <v/>
      </c>
      <c r="F124" s="882" t="s">
        <v>493</v>
      </c>
    </row>
    <row r="125" spans="4:6">
      <c r="D125" s="2" t="s">
        <v>813</v>
      </c>
    </row>
    <row r="126" spans="4:6">
      <c r="D126" s="2" t="s">
        <v>305</v>
      </c>
    </row>
    <row r="127" spans="4:6">
      <c r="D127" s="2" t="s">
        <v>494</v>
      </c>
    </row>
    <row r="128" spans="4:6">
      <c r="D128" s="2" t="s">
        <v>773</v>
      </c>
    </row>
    <row r="129" spans="4:6">
      <c r="D129" s="2" t="s">
        <v>775</v>
      </c>
      <c r="F129" t="s">
        <v>495</v>
      </c>
    </row>
    <row r="130" spans="4:6">
      <c r="D130" s="2" t="s">
        <v>777</v>
      </c>
      <c r="F130" t="s">
        <v>496</v>
      </c>
    </row>
    <row r="131" spans="4:6">
      <c r="D131" s="2" t="s">
        <v>778</v>
      </c>
      <c r="F131" t="s">
        <v>497</v>
      </c>
    </row>
    <row r="132" spans="4:6">
      <c r="D132" s="2" t="s">
        <v>779</v>
      </c>
    </row>
    <row r="133" spans="4:6">
      <c r="D133" s="2" t="s">
        <v>810</v>
      </c>
    </row>
    <row r="134" spans="4:6">
      <c r="D134" s="2" t="s">
        <v>811</v>
      </c>
    </row>
    <row r="137" spans="4:6">
      <c r="D137" t="s">
        <v>498</v>
      </c>
    </row>
    <row r="138" spans="4:6">
      <c r="D138" t="s">
        <v>499</v>
      </c>
    </row>
    <row r="139" spans="4:6">
      <c r="D139" t="s">
        <v>500</v>
      </c>
    </row>
    <row r="140" spans="4:6">
      <c r="D140" t="s">
        <v>501</v>
      </c>
    </row>
    <row r="141" spans="4:6">
      <c r="D141" t="s">
        <v>502</v>
      </c>
    </row>
    <row r="142" spans="4:6">
      <c r="D142" t="s">
        <v>503</v>
      </c>
      <c r="E142" t="s">
        <v>800</v>
      </c>
    </row>
    <row r="143" spans="4:6">
      <c r="D143" t="s">
        <v>504</v>
      </c>
      <c r="E143" t="s">
        <v>801</v>
      </c>
    </row>
    <row r="144" spans="4:6">
      <c r="D144" t="s">
        <v>776</v>
      </c>
    </row>
    <row r="200" spans="1:3">
      <c r="A200" t="s">
        <v>505</v>
      </c>
    </row>
    <row r="201" spans="1:3">
      <c r="C201">
        <v>1</v>
      </c>
    </row>
    <row r="202" spans="1:3">
      <c r="C202">
        <v>2</v>
      </c>
    </row>
    <row r="203" spans="1:3">
      <c r="C203">
        <v>3</v>
      </c>
    </row>
    <row r="204" spans="1:3">
      <c r="C204">
        <v>4</v>
      </c>
    </row>
    <row r="206" spans="1:3">
      <c r="C206" t="s">
        <v>506</v>
      </c>
    </row>
    <row r="207" spans="1:3">
      <c r="C207" t="s">
        <v>87</v>
      </c>
    </row>
    <row r="208" spans="1:3">
      <c r="C208" t="s">
        <v>507</v>
      </c>
    </row>
    <row r="209" spans="3:3">
      <c r="C209" t="s">
        <v>508</v>
      </c>
    </row>
    <row r="210" spans="3:3">
      <c r="C210" t="s">
        <v>509</v>
      </c>
    </row>
    <row r="212" spans="3:3">
      <c r="C212" t="s">
        <v>510</v>
      </c>
    </row>
    <row r="213" spans="3:3">
      <c r="C213" t="s">
        <v>511</v>
      </c>
    </row>
    <row r="214" spans="3:3">
      <c r="C214" t="s">
        <v>512</v>
      </c>
    </row>
    <row r="215" spans="3:3">
      <c r="C215" t="s">
        <v>513</v>
      </c>
    </row>
    <row r="219" spans="3:3">
      <c r="C219" t="s">
        <v>514</v>
      </c>
    </row>
    <row r="220" spans="3:3">
      <c r="C220" t="s">
        <v>515</v>
      </c>
    </row>
    <row r="221" spans="3:3">
      <c r="C221" t="s">
        <v>516</v>
      </c>
    </row>
    <row r="222" spans="3:3">
      <c r="C222" t="s">
        <v>517</v>
      </c>
    </row>
    <row r="223" spans="3:3">
      <c r="C223" t="s">
        <v>518</v>
      </c>
    </row>
    <row r="224" spans="3:3">
      <c r="C224" t="s">
        <v>519</v>
      </c>
    </row>
    <row r="225" spans="3:3">
      <c r="C225" t="s">
        <v>520</v>
      </c>
    </row>
    <row r="303" spans="2:4">
      <c r="B303" t="s">
        <v>521</v>
      </c>
      <c r="C303" t="s">
        <v>522</v>
      </c>
      <c r="D303" t="s">
        <v>372</v>
      </c>
    </row>
    <row r="304" spans="2:4">
      <c r="C304" t="s">
        <v>522</v>
      </c>
      <c r="D304" t="s">
        <v>375</v>
      </c>
    </row>
    <row r="305" spans="2:5">
      <c r="C305" t="s">
        <v>522</v>
      </c>
      <c r="D305" t="s">
        <v>378</v>
      </c>
    </row>
    <row r="306" spans="2:5">
      <c r="C306" t="s">
        <v>523</v>
      </c>
      <c r="D306" t="s">
        <v>402</v>
      </c>
      <c r="E306" t="str">
        <f>("' where user_name='pvmaster';")</f>
        <v>' where user_name='pvmaster';</v>
      </c>
    </row>
    <row r="307" spans="2:5">
      <c r="C307" t="s">
        <v>523</v>
      </c>
      <c r="D307" t="s">
        <v>387</v>
      </c>
    </row>
    <row r="308" spans="2:5">
      <c r="C308" t="s">
        <v>524</v>
      </c>
      <c r="D308" t="s">
        <v>390</v>
      </c>
    </row>
    <row r="309" spans="2:5">
      <c r="C309" t="s">
        <v>525</v>
      </c>
      <c r="D309" t="s">
        <v>393</v>
      </c>
    </row>
    <row r="310" spans="2:5">
      <c r="C310" t="s">
        <v>526</v>
      </c>
      <c r="D310" t="s">
        <v>396</v>
      </c>
    </row>
    <row r="311" spans="2:5">
      <c r="B311" t="s">
        <v>527</v>
      </c>
      <c r="C311" t="s">
        <v>528</v>
      </c>
      <c r="D311" t="s">
        <v>399</v>
      </c>
    </row>
    <row r="312" spans="2:5">
      <c r="C312" t="s">
        <v>528</v>
      </c>
      <c r="D312" t="str">
        <f>IF(OR('Build Data'!F7="fr",'Build Data'!F7="au"),"delete from ip.jobq_fired_triggers;","--delete from ip.jobq_fired_triggers")</f>
        <v>--delete from ip.jobq_fired_triggers</v>
      </c>
    </row>
    <row r="313" spans="2:5">
      <c r="C313" t="s">
        <v>528</v>
      </c>
      <c r="D313" t="str">
        <f>IF(OR('Build Data'!F7="fr",'Build Data'!F7="au"),"delete from ip.jobq_paused_trigger_grps;","--delete from ip.jobq_paused_trigger_grps;")</f>
        <v>--delete from ip.jobq_paused_trigger_grps;</v>
      </c>
    </row>
    <row r="314" spans="2:5">
      <c r="C314" t="s">
        <v>528</v>
      </c>
      <c r="D314" t="str">
        <f>IF(OR('Build Data'!F7="fr",'Build Data'!F7="au"),"delete from ip.jobq_scheduler_state;","--delete from ip.jobq_scheduler_state;")</f>
        <v>--delete from ip.jobq_scheduler_state;</v>
      </c>
    </row>
    <row r="315" spans="2:5">
      <c r="C315" t="s">
        <v>528</v>
      </c>
      <c r="D315" t="str">
        <f>IF(OR('Build Data'!F7="fr",'Build Data'!F7="au"),"delete from ip.jobq_locks;","--delete from ip.jobq_locks;")</f>
        <v>--delete from ip.jobq_locks;</v>
      </c>
    </row>
    <row r="316" spans="2:5">
      <c r="C316" t="s">
        <v>528</v>
      </c>
      <c r="D316" t="str">
        <f>IF(OR('Build Data'!F7="fr",'Build Data'!F7="au"),"delete from ip.jobq_simple_triggers;","--delete from ip.jobq_simple_triggers;")</f>
        <v>--delete from ip.jobq_simple_triggers;</v>
      </c>
    </row>
    <row r="317" spans="2:5">
      <c r="C317" t="s">
        <v>528</v>
      </c>
      <c r="D317" t="str">
        <f>IF(OR('Build Data'!F7="fr",'Build Data'!F7="au"),"delete from ip.jobq_simprop_triggers;","--delete from ip.jobq_simprop_triggers;")</f>
        <v>--delete from ip.jobq_simprop_triggers;</v>
      </c>
    </row>
    <row r="318" spans="2:5">
      <c r="C318" t="s">
        <v>528</v>
      </c>
      <c r="D318" t="str">
        <f>IF(OR('Build Data'!F7="fr",'Build Data'!F7="au"),"delete from ip.jobq_blob_triggers;","--delete from ip.jobq_blob_triggers;")</f>
        <v>--delete from ip.jobq_blob_triggers;</v>
      </c>
    </row>
    <row r="319" spans="2:5">
      <c r="C319" t="s">
        <v>528</v>
      </c>
      <c r="D319" t="str">
        <f>IF(OR('Build Data'!F7="fr",'Build Data'!F7="au"),"delete from ip.jobq_cron_triggers;","--delete from ip.jobq_cron_triggers;")</f>
        <v>--delete from ip.jobq_cron_triggers;</v>
      </c>
    </row>
    <row r="320" spans="2:5">
      <c r="C320" t="s">
        <v>528</v>
      </c>
      <c r="D320" t="str">
        <f>IF(OR('Build Data'!F7="fr",'Build Data'!F7="au"),"delete from ip.jobq_triggers;","--delete from ip.jobq_triggers;")</f>
        <v>--delete from ip.jobq_triggers;</v>
      </c>
    </row>
    <row r="321" spans="3:4">
      <c r="C321" t="s">
        <v>528</v>
      </c>
      <c r="D321" t="str">
        <f>IF(OR('Build Data'!F7="fr",'Build Data'!F7="au"),"delete from ip.jobq_job_details;","--delete from ip.jobq_job_details;")</f>
        <v>--delete from ip.jobq_job_details;</v>
      </c>
    </row>
    <row r="322" spans="3:4">
      <c r="C322" t="s">
        <v>528</v>
      </c>
      <c r="D322" t="str">
        <f>IF(OR('Build Data'!F7="fr",'Build Data'!F7="au"),"delete from ip.jobq_calendars;","--delete from ip.jobq_calendars;")</f>
        <v>--delete from ip.jobq_calendars;</v>
      </c>
    </row>
    <row r="323" spans="3:4">
      <c r="C323" t="s">
        <v>528</v>
      </c>
      <c r="D323" t="str">
        <f>IF(OR('Build Data'!F7="fr",'Build Data'!F7="au"),"delete from ip.job_stream_schedule;","--delete from ip.job_stream_schedule;")</f>
        <v>--delete from ip.job_stream_schedule;</v>
      </c>
    </row>
    <row r="324" spans="3:4">
      <c r="C324" t="s">
        <v>529</v>
      </c>
      <c r="D324" t="str">
        <f>IF(OR('Build Data'!F7="fr",'Build Data'!F7="au"),"delete from ip.pv_process_log where logger='Admin.JobStream';","--delete from ip.pv_process_log where logger='Admin.JobStream';")</f>
        <v>--delete from ip.pv_process_log where logger='Admin.JobStream';</v>
      </c>
    </row>
    <row r="325" spans="3:4">
      <c r="D325" t="str">
        <f>IF(OR('Build Data'!F7="fr",'Build Data'!F7="au"),"exec('update ip.planning_entity set [pp_sync] = ''PP`$SyncNo'' where pp_sync in (''PP`$SyncPP'',''PP`$SyncPVE'') ')","--exec('update ip.planning_entity set [pp_sync] = ''PP`$SyncNo'' where pp_sync in (''PP`$SyncPP'',''PP`$SyncPVE'') ')")</f>
        <v>--exec('update ip.planning_entity set [pp_sync] = ''PP`$SyncNo'' where pp_sync in (''PP`$SyncPP'',''PP`$SyncPVE'') ')</v>
      </c>
    </row>
    <row r="329" spans="3:4">
      <c r="C329" t="s">
        <v>530</v>
      </c>
    </row>
    <row r="330" spans="3:4">
      <c r="C330" t="s">
        <v>531</v>
      </c>
    </row>
    <row r="331" spans="3:4">
      <c r="C331" t="s">
        <v>532</v>
      </c>
      <c r="D331" t="e">
        <f ca="1">CONCAT("UPDATE IP.DM_EXTRACT SET PDB_PATH = '",'Build Data'!#REF!,".IP';")</f>
        <v>#NAME?</v>
      </c>
    </row>
    <row r="332" spans="3:4">
      <c r="C332" t="s">
        <v>533</v>
      </c>
      <c r="D332" t="e">
        <f ca="1">CONCAT("UPDATE IP.DM_EXTRACT_HISTORY_INT SET PDB_PATH = '",'Build Data'!#REF!,".IP';")</f>
        <v>#NAME?</v>
      </c>
    </row>
    <row r="333" spans="3:4">
      <c r="C333" t="s">
        <v>534</v>
      </c>
      <c r="D333" t="s">
        <v>411</v>
      </c>
    </row>
    <row r="334" spans="3:4">
      <c r="C334" t="s">
        <v>535</v>
      </c>
      <c r="D334" t="s">
        <v>413</v>
      </c>
    </row>
    <row r="335" spans="3:4">
      <c r="C335" t="s">
        <v>535</v>
      </c>
      <c r="D335" t="s">
        <v>415</v>
      </c>
    </row>
    <row r="336" spans="3:4">
      <c r="C336" t="s">
        <v>535</v>
      </c>
      <c r="D336" t="s">
        <v>417</v>
      </c>
    </row>
    <row r="337" spans="3:4">
      <c r="D337" t="s">
        <v>536</v>
      </c>
    </row>
    <row r="342" spans="3:4">
      <c r="C342" t="s">
        <v>537</v>
      </c>
    </row>
    <row r="343" spans="3:4">
      <c r="C343" t="s">
        <v>537</v>
      </c>
      <c r="D343" t="s">
        <v>381</v>
      </c>
    </row>
    <row r="344" spans="3:4">
      <c r="D344" t="s">
        <v>538</v>
      </c>
    </row>
  </sheetData>
  <hyperlinks>
    <hyperlink ref="D66" r:id="rId1" display="\\techservices\Cutover\ImportConfig.bat "/>
    <hyperlink ref="F33" r:id="rId2" location="/ccu-main"/>
    <hyperlink ref="F34" r:id="rId3" location="/home/monitors"/>
    <hyperlink ref="F35" r:id="rId4"/>
  </hyperlinks>
  <pageMargins left="0.7" right="0.7" top="0.75" bottom="0.75" header="0.3" footer="0.3"/>
  <pageSetup orientation="portrait" r:id="rId5"/>
  <legacyDrawing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511"/>
  <sheetViews>
    <sheetView workbookViewId="0">
      <selection activeCell="A5" sqref="A5"/>
    </sheetView>
  </sheetViews>
  <sheetFormatPr defaultRowHeight="15"/>
  <cols>
    <col min="1" max="1" width="23.42578125" bestFit="1" customWidth="1"/>
    <col min="2" max="2" width="53.5703125" bestFit="1" customWidth="1"/>
    <col min="3" max="3" width="31.5703125" bestFit="1" customWidth="1"/>
    <col min="4" max="4" width="45.5703125" bestFit="1" customWidth="1"/>
    <col min="5" max="5" width="61.7109375" bestFit="1" customWidth="1"/>
    <col min="6" max="6" width="22.28515625" bestFit="1" customWidth="1"/>
    <col min="7" max="7" width="67.5703125" bestFit="1" customWidth="1"/>
    <col min="8" max="8" width="9.28515625" bestFit="1" customWidth="1"/>
    <col min="9" max="9" width="10" bestFit="1" customWidth="1"/>
    <col min="12" max="12" width="24.140625" bestFit="1" customWidth="1"/>
    <col min="13" max="13" width="73.85546875" bestFit="1" customWidth="1"/>
    <col min="14" max="14" width="17.28515625" bestFit="1" customWidth="1"/>
    <col min="17" max="17" width="15.85546875" bestFit="1" customWidth="1"/>
    <col min="18" max="18" width="15.140625" bestFit="1" customWidth="1"/>
  </cols>
  <sheetData>
    <row r="1" spans="1:16">
      <c r="A1" s="32"/>
      <c r="B1" s="32"/>
      <c r="C1" s="32"/>
    </row>
    <row r="2" spans="1:16">
      <c r="A2" s="1" t="s">
        <v>81</v>
      </c>
    </row>
    <row r="3" spans="1:16">
      <c r="A3" s="4" t="str">
        <f>'Build Data'!F8&amp;""&amp;B3</f>
        <v>PROD</v>
      </c>
      <c r="B3" t="s">
        <v>539</v>
      </c>
      <c r="E3" t="str">
        <f>IF('Build Data'!B3="Internal","dvm","pvm")</f>
        <v>pvm</v>
      </c>
    </row>
    <row r="4" spans="1:16">
      <c r="A4" s="4" t="str">
        <f>'Build Data'!F8&amp;""&amp;B4</f>
        <v>CONFIG</v>
      </c>
      <c r="B4" t="s">
        <v>540</v>
      </c>
      <c r="E4" t="str">
        <f>IF('Build Data'!B3="Internal","d","p")</f>
        <v>p</v>
      </c>
    </row>
    <row r="5" spans="1:16">
      <c r="A5" s="4" t="str">
        <f>'Build Data'!F8&amp;""&amp;B5</f>
        <v>SANDBOX1</v>
      </c>
      <c r="B5" t="s">
        <v>541</v>
      </c>
      <c r="E5" t="str">
        <f>IF('Build Data'!B3="Internal","dtvm","ptvm")</f>
        <v>ptvm</v>
      </c>
      <c r="L5" t="s">
        <v>542</v>
      </c>
      <c r="M5" t="str">
        <f>('Build Data'!F7)</f>
        <v/>
      </c>
      <c r="N5" s="2" t="s">
        <v>543</v>
      </c>
      <c r="O5" t="str">
        <f>('Build Data'!F3)</f>
        <v/>
      </c>
      <c r="P5" t="s">
        <v>544</v>
      </c>
    </row>
    <row r="6" spans="1:16">
      <c r="A6" s="4" t="str">
        <f>'Build Data'!F8&amp;""&amp;B6</f>
        <v>SANDBOX2</v>
      </c>
      <c r="B6" t="s">
        <v>545</v>
      </c>
      <c r="E6" t="s">
        <v>546</v>
      </c>
    </row>
    <row r="7" spans="1:16">
      <c r="A7" s="4" t="str">
        <f>'Build Data'!F8&amp;""&amp;B7</f>
        <v>SANDBOX3</v>
      </c>
      <c r="B7" t="s">
        <v>547</v>
      </c>
    </row>
    <row r="8" spans="1:16">
      <c r="A8" s="4" t="str">
        <f>'Build Data'!F8&amp;""&amp;B8</f>
        <v>CTM</v>
      </c>
      <c r="B8" t="s">
        <v>548</v>
      </c>
      <c r="D8" t="s">
        <v>549</v>
      </c>
      <c r="E8" s="27" t="s">
        <v>550</v>
      </c>
    </row>
    <row r="9" spans="1:16">
      <c r="A9" t="str">
        <f>"DM"&amp;(A3)</f>
        <v>DMPROD</v>
      </c>
      <c r="E9" s="39" t="s">
        <v>494</v>
      </c>
    </row>
    <row r="10" spans="1:16">
      <c r="A10" t="str">
        <f>"DM"&amp;(A5)</f>
        <v>DMSANDBOX1</v>
      </c>
    </row>
    <row r="12" spans="1:16">
      <c r="B12" s="2"/>
      <c r="D12" s="1" t="s">
        <v>551</v>
      </c>
      <c r="F12" s="1" t="s">
        <v>552</v>
      </c>
    </row>
    <row r="13" spans="1:16">
      <c r="A13" s="14" t="str">
        <f>_xlfn.CONCAT(B13,A43)</f>
        <v>pvmweb01</v>
      </c>
      <c r="B13" s="15" t="str">
        <f>LEFT(C13,LEN(C13)-2)</f>
        <v>pvmwe</v>
      </c>
      <c r="C13" s="8" t="str">
        <f>IF('Build Data'!F13=TRUE,LOWER(_xlfn.CONCAT('Build Data'!F7,E4,'Build Data'!F8,E13,'Build Data'!F17+1)),IF('Build Data'!F13=FALSE,LOWER(_xlfn.CONCAT('Build Data'!F7,E3,'Build Data'!F8,E13,'Build Data'!F17+1)),""))</f>
        <v>pvmweb1</v>
      </c>
      <c r="D13" t="str">
        <f>IF('Build Data'!F13=TRUE,LOWER(_xlfn.CONCAT('Build Data'!F7,E4,'Build Data'!F8,E13,'Build Data'!F17)),IF('Build Data'!F13=FALSE,LOWER(_xlfn.CONCAT('Build Data'!F7,E3,'Build Data'!F8,E13,'Build Data'!F17,""))))</f>
        <v>pvmweb</v>
      </c>
      <c r="E13" t="s">
        <v>553</v>
      </c>
      <c r="F13" t="str">
        <f>IF(LEFT(A42,1)="b",A13,C13)</f>
        <v>pvmweb01</v>
      </c>
      <c r="G13" t="str">
        <f>IF('Build Data'!F13=TRUE,D35,D28)</f>
        <v>pvmapp</v>
      </c>
      <c r="H13" t="str">
        <f>IF('Build Data'!F13=TRUE,D36,D29)</f>
        <v>pvmsql</v>
      </c>
    </row>
    <row r="14" spans="1:16">
      <c r="A14" t="str">
        <f>_xlfn.CONCAT(B13,A45)</f>
        <v>pvmweb02</v>
      </c>
      <c r="B14" s="15"/>
      <c r="C14" s="8" t="str">
        <f>IF('Build Data'!F13=TRUE,LOWER(_xlfn.CONCAT('Build Data'!F7,E4,'Build Data'!F8,E13,'Build Data'!F17+2)),IF('Build Data'!F13=FALSE,LOWER(_xlfn.CONCAT('Build Data'!F7,E3,'Build Data'!F8,E13,'Build Data'!F17+2)),))</f>
        <v>pvmweb2</v>
      </c>
      <c r="D14" t="str">
        <f>IF('Build Data'!F13=TRUE,LOWER(_xlfn.CONCAT('Build Data'!F7,E4,'Build Data'!F8,E14,'Build Data'!F17)),IF('Build Data'!F13=FALSE,LOWER(_xlfn.CONCAT('Build Data'!F7,E3,'Build Data'!F8,E14,'Build Data'!F17)),""))</f>
        <v>pvmapp</v>
      </c>
      <c r="E14" t="s">
        <v>554</v>
      </c>
      <c r="F14" t="str">
        <f>IF(LEFT(A44,1)="b",A14,C14)</f>
        <v>pvmweb02</v>
      </c>
      <c r="G14" t="str">
        <f>IF('Build Data'!F13=TRUE,D48,D41)</f>
        <v>Prod</v>
      </c>
      <c r="H14" t="str">
        <f>IF('Build Data'!F13=TRUE,D49,D42)</f>
        <v>b1</v>
      </c>
      <c r="I14" t="str">
        <f>LOWER(_xlfn.CONCAT('Build Data'!F7,E3,'Build Data'!F8,E6,'Build Data'!F17))</f>
        <v>pvmpve</v>
      </c>
    </row>
    <row r="15" spans="1:16">
      <c r="A15" t="str">
        <f>_xlfn.CONCAT(B13,A47)</f>
        <v>pvmweb03</v>
      </c>
      <c r="B15" s="15"/>
      <c r="C15" s="8" t="str">
        <f>IF('Build Data'!F13=TRUE,LOWER(_xlfn.CONCAT('Build Data'!F7,E4,'Build Data'!F8,E13,'Build Data'!F17+3)),IF('Build Data'!F13=FALSE,LOWER(_xlfn.CONCAT('Build Data'!F7,E3,'Build Data'!F8,E13,'Build Data'!F17+3)),))</f>
        <v>pvmweb3</v>
      </c>
      <c r="D15" t="str">
        <f>IF('Build Data'!F13=TRUE,LOWER(_xlfn.CONCAT('Build Data'!F7,E4,'Build Data'!F8,E15,'Build Data'!F17)),IF('Build Data'!F13=FALSE,LOWER(_xlfn.CONCAT('Build Data'!F7,E3,'Build Data'!F8,E15,'Build Data'!F17)),""))</f>
        <v>pvmsql</v>
      </c>
      <c r="E15" t="s">
        <v>555</v>
      </c>
      <c r="F15" t="str">
        <f>IF(LEFT(A46,1)="b",A15,C15)</f>
        <v>pvmweb03</v>
      </c>
    </row>
    <row r="16" spans="1:16">
      <c r="A16" t="str">
        <f>_xlfn.CONCAT(B13,A49)</f>
        <v>pvmweb04</v>
      </c>
      <c r="B16" s="15"/>
      <c r="C16" s="8" t="str">
        <f>IF('Build Data'!F13=TRUE,LOWER(_xlfn.CONCAT('Build Data'!F7,E4,'Build Data'!F8,E13,'Build Data'!F17+4)),IF('Build Data'!F13=FALSE,LOWER(_xlfn.CONCAT('Build Data'!F7,E3,'Build Data'!F8,E13,'Build Data'!F17+4)),))</f>
        <v>pvmweb4</v>
      </c>
      <c r="D16" t="str">
        <f>IF('Build Data'!F13=TRUE,LOWER(_xlfn.CONCAT('Build Data'!F7,E4,'Build Data'!F8,E16,'Build Data'!F17)),IF('Build Data'!F13=FALSE,LOWER(_xlfn.CONCAT('Build Data'!F7,E5,'Build Data'!F8,E14,'Build Data'!F17)),""))</f>
        <v>ptvmapp</v>
      </c>
      <c r="E16" t="s">
        <v>556</v>
      </c>
      <c r="F16" t="str">
        <f>IF(LEFT(A48,1)="b",A16,C16)</f>
        <v>pvmweb04</v>
      </c>
    </row>
    <row r="17" spans="1:18">
      <c r="B17" s="2"/>
      <c r="C17" s="8"/>
      <c r="D17" s="748" t="str">
        <f>IF('Build Data'!F13=TRUE,"N/A",IF('Build Data'!F13=FALSE,LOWER(_xlfn.CONCAT('Build Data'!F7,E3,'Build Data'!F8,E17,'Build Data'!F17)),""))</f>
        <v>pvmsas</v>
      </c>
      <c r="E17" t="s">
        <v>557</v>
      </c>
    </row>
    <row r="19" spans="1:18">
      <c r="D19" s="1" t="s">
        <v>558</v>
      </c>
    </row>
    <row r="20" spans="1:18">
      <c r="A20" t="str">
        <f>_xlfn.CONCAT(B20,B43)</f>
        <v>pvmweb01</v>
      </c>
      <c r="B20" s="14" t="str">
        <f>LEFT(C20,LEN(C20)-2)</f>
        <v>pvmwe</v>
      </c>
      <c r="C20" t="str">
        <f>IF('Build Data'!F13=TRUE,LOWER(_xlfn.CONCAT('Build Data'!F7,E4,'Build Data'!F8,E13,'Build Data'!F18+1)),IF('Build Data'!F13=FALSE,LOWER(_xlfn.CONCAT('Build Data'!F7,E3,'Build Data'!F8,E13,'Build Data'!F18+1)),))</f>
        <v>pvmweb1</v>
      </c>
      <c r="D20" t="str">
        <f>IF('Build Data'!F13=TRUE,LOWER(_xlfn.CONCAT('Build Data'!F7,E4,'Build Data'!F8,E13,'Build Data'!F18)),IF('Build Data'!F13=FALSE,LOWER(_xlfn.CONCAT('Build Data'!F7,E3,'Build Data'!F8,E13,'Build Data'!F18)),""))</f>
        <v>pvmweb</v>
      </c>
      <c r="E20" t="s">
        <v>514</v>
      </c>
      <c r="F20" t="str">
        <f>IF(LEFT(B42,1)="b",A20,C20)</f>
        <v>pvmweb01</v>
      </c>
      <c r="M20" s="12" t="s">
        <v>505</v>
      </c>
      <c r="N20" s="11"/>
      <c r="O20" s="11"/>
      <c r="P20" s="11"/>
      <c r="Q20" s="11"/>
      <c r="R20" s="13" t="s">
        <v>85</v>
      </c>
    </row>
    <row r="21" spans="1:18">
      <c r="A21" t="str">
        <f>_xlfn.CONCAT(B20,B45)</f>
        <v>pvmweb02</v>
      </c>
      <c r="B21" s="15"/>
      <c r="C21" t="str">
        <f>IF('Build Data'!F13=TRUE,LOWER(_xlfn.CONCAT('Build Data'!F7,E4,'Build Data'!F8,E13,'Build Data'!F18+2)),IF('Build Data'!F13=FALSE,LOWER(_xlfn.CONCAT('Build Data'!F7,E3,'Build Data'!F8,E13,'Build Data'!F18+2)),))</f>
        <v>pvmweb2</v>
      </c>
      <c r="D21" t="str">
        <f>IF('Build Data'!F13=TRUE,LOWER(_xlfn.CONCAT('Build Data'!F7,E4,'Build Data'!F8,E14,'Build Data'!F18)),IF('Build Data'!F13=FALSE,LOWER(_xlfn.CONCAT('Build Data'!F7,E3,'Build Data'!F8,E14,'Build Data'!F18)),""))</f>
        <v>pvmapp</v>
      </c>
      <c r="E21" t="s">
        <v>554</v>
      </c>
      <c r="F21" t="str">
        <f>IF(LEFT(B44,1)="b",A21,C21)</f>
        <v>pvmweb02</v>
      </c>
      <c r="I21" t="str">
        <f>LOWER(_xlfn.CONCAT('Build Data'!F7,E4,'Build Data'!F8,E6,'Build Data'!F18))</f>
        <v>ppve</v>
      </c>
    </row>
    <row r="22" spans="1:18">
      <c r="A22" t="str">
        <f>_xlfn.CONCAT(B20,B47)</f>
        <v>pvmweb03</v>
      </c>
      <c r="B22" s="15"/>
      <c r="C22" t="str">
        <f>IF('Build Data'!F13=TRUE,LOWER(_xlfn.CONCAT('Build Data'!F7,E4,'Build Data'!F8,E13,'Build Data'!F18+3)),IF('Build Data'!F13=FALSE,LOWER(_xlfn.CONCAT('Build Data'!F7,E3,'Build Data'!F8,E13,'Build Data'!F18+3)),))</f>
        <v>pvmweb3</v>
      </c>
      <c r="D22" t="str">
        <f>IF('Build Data'!F13=TRUE,LOWER(_xlfn.CONCAT('Build Data'!F7,E4,'Build Data'!F8,E15,'Build Data'!F18)),IF('Build Data'!F13=FALSE,LOWER(_xlfn.CONCAT('Build Data'!F7,E3,'Build Data'!F8,E15,'Build Data'!F18)),""))</f>
        <v>pvmsql</v>
      </c>
      <c r="E22" t="s">
        <v>555</v>
      </c>
      <c r="F22" t="str">
        <f>IF(LEFT(B46,1)="b",A22,C22)</f>
        <v>pvmweb03</v>
      </c>
      <c r="M22" s="5" t="b">
        <v>1</v>
      </c>
      <c r="R22" t="s">
        <v>559</v>
      </c>
    </row>
    <row r="23" spans="1:18">
      <c r="A23" t="str">
        <f>_xlfn.CONCAT(B20,B49)</f>
        <v>pvmweb04</v>
      </c>
      <c r="B23" s="15"/>
      <c r="C23" t="str">
        <f>IF('Build Data'!F13=TRUE,LOWER(_xlfn.CONCAT('Build Data'!F7,E4,'Build Data'!F8,E13,'Build Data'!F18+4)),IF('Build Data'!F13=FALSE,LOWER(_xlfn.CONCAT('Build Data'!F7,E3,'Build Data'!F8,E13,'Build Data'!F18+4)),))</f>
        <v>pvmweb4</v>
      </c>
      <c r="D23" t="str">
        <f>IF('Build Data'!F13=TRUE,LOWER(_xlfn.CONCAT('Build Data'!F7,E4,'Build Data'!F8,E16,'Build Data'!F18)),IF('Build Data'!F13=FALSE,LOWER(_xlfn.CONCAT('Build Data'!F7,E5,'Build Data'!F8,E14,'Build Data'!F18)),""))</f>
        <v>ptvmapp</v>
      </c>
      <c r="E23" t="s">
        <v>556</v>
      </c>
      <c r="F23" t="str">
        <f>IF(LEFT(B48,1)="b",A23,C23)</f>
        <v>pvmweb04</v>
      </c>
      <c r="M23" s="5" t="b">
        <v>0</v>
      </c>
    </row>
    <row r="24" spans="1:18">
      <c r="D24" t="str">
        <f>IF('Build Data'!F13=TRUE,"N/A",IF('Build Data'!F13=FALSE,LOWER(_xlfn.CONCAT('Build Data'!F7,E3,'Build Data'!F8,E17,'Build Data'!F18)),""))</f>
        <v>pvmsas</v>
      </c>
    </row>
    <row r="25" spans="1:18">
      <c r="M25" t="s">
        <v>560</v>
      </c>
    </row>
    <row r="26" spans="1:18">
      <c r="D26" s="1" t="s">
        <v>561</v>
      </c>
      <c r="R26" t="s">
        <v>562</v>
      </c>
    </row>
    <row r="27" spans="1:18">
      <c r="A27" t="str">
        <f>_xlfn.CONCAT(B27,C43)</f>
        <v>pvmweb01</v>
      </c>
      <c r="B27" s="8" t="str">
        <f>LEFT(C27,LEN(C27)-2)</f>
        <v>pvmwe</v>
      </c>
      <c r="C27" t="str">
        <f>IF('Build Data'!F13=TRUE,LOWER(_xlfn.CONCAT('Build Data'!F7,E4,'Build Data'!F8,E13,'Build Data'!F19+1)),IF('Build Data'!F13=FALSE,LOWER(_xlfn.CONCAT('Build Data'!F7,E3,'Build Data'!F8,E13,'Build Data'!F19+1)),))</f>
        <v>pvmweb1</v>
      </c>
      <c r="D27" t="str">
        <f>IF('Build Data'!F13=TRUE,LOWER(_xlfn.CONCAT('Build Data'!F7,E4,'Build Data'!F8,E13,'Build Data'!F19)),IF('Build Data'!F13=FALSE,LOWER(_xlfn.CONCAT('Build Data'!F7,E3,'Build Data'!F8,E13,'Build Data'!F19)),""))</f>
        <v>pvmweb</v>
      </c>
      <c r="F27" t="str">
        <f>IF(LEFT(A64,1)="b",A27,C27)</f>
        <v>pvmweb01</v>
      </c>
    </row>
    <row r="28" spans="1:18">
      <c r="A28" t="str">
        <f>_xlfn.CONCAT(B27,C45)</f>
        <v>pvmweb02</v>
      </c>
      <c r="B28" s="2"/>
      <c r="C28" t="str">
        <f>IF('Build Data'!F13=TRUE,LOWER(_xlfn.CONCAT('Build Data'!F7,E4,'Build Data'!F8,E13,'Build Data'!F19+2)),IF('Build Data'!F13=FALSE,LOWER(_xlfn.CONCAT('Build Data'!F7,E3,'Build Data'!F8,E13,'Build Data'!F19+2)),))</f>
        <v>pvmweb2</v>
      </c>
      <c r="D28" t="str">
        <f>IF('Build Data'!F13=TRUE,LOWER(_xlfn.CONCAT('Build Data'!F7,E4,'Build Data'!F8,E14,'Build Data'!F19)),IF('Build Data'!F13=FALSE,LOWER(_xlfn.CONCAT('Build Data'!F7,E3,'Build Data'!F8,E14,'Build Data'!F19)),""))</f>
        <v>pvmapp</v>
      </c>
      <c r="F28" t="str">
        <f>IF(LEFT(A66,1)="b",A28,C28)</f>
        <v>pvmweb02</v>
      </c>
      <c r="I28" t="str">
        <f>LOWER(_xlfn.CONCAT('Build Data'!F7,E3,'Build Data'!F8,E6,'Build Data'!F19))</f>
        <v>pvmpve</v>
      </c>
    </row>
    <row r="29" spans="1:18">
      <c r="A29" t="str">
        <f>_xlfn.CONCAT(B27,C47)</f>
        <v>pvmweb03</v>
      </c>
      <c r="B29" s="2"/>
      <c r="C29" t="str">
        <f>IF('Build Data'!F13=TRUE,LOWER(_xlfn.CONCAT('Build Data'!F7,E4,'Build Data'!F8,E13,'Build Data'!F19+3)),IF('Build Data'!F13=FALSE,LOWER(_xlfn.CONCAT('Build Data'!F7,E3,'Build Data'!F8,E13,'Build Data'!F19+3)),))</f>
        <v>pvmweb3</v>
      </c>
      <c r="D29" t="str">
        <f>IF('Build Data'!F13=TRUE,LOWER(_xlfn.CONCAT('Build Data'!F7,E4,'Build Data'!F8,E15,'Build Data'!F19)),IF('Build Data'!F13=FALSE,LOWER(_xlfn.CONCAT('Build Data'!F7,E3,'Build Data'!F8,E15,'Build Data'!F19)),""))</f>
        <v>pvmsql</v>
      </c>
      <c r="F29" t="str">
        <f>IF(LEFT(A68,1)="b",A29,C29)</f>
        <v>pvmweb03</v>
      </c>
      <c r="M29" t="s">
        <v>22</v>
      </c>
      <c r="R29" t="s">
        <v>563</v>
      </c>
    </row>
    <row r="30" spans="1:18">
      <c r="A30" t="str">
        <f>_xlfn.CONCAT(B27,C49)</f>
        <v>pvmweb04</v>
      </c>
      <c r="B30" s="2"/>
      <c r="C30" t="str">
        <f>IF('Build Data'!F13=TRUE,LOWER(_xlfn.CONCAT('Build Data'!F7,E4,'Build Data'!F8,E13,'Build Data'!F19+4)),IF('Build Data'!F13=FALSE,LOWER(_xlfn.CONCAT('Build Data'!F7,E3,'Build Data'!F8,E13,'Build Data'!F19+4)),))</f>
        <v>pvmweb4</v>
      </c>
      <c r="D30" t="str">
        <f>IF('Build Data'!F13=TRUE,LOWER(_xlfn.CONCAT('Build Data'!F7,E4,'Build Data'!F8,E16,'Build Data'!F19)),IF('Build Data'!F13=FALSE,LOWER(_xlfn.CONCAT('Build Data'!F7,E5,'Build Data'!F8,E14,'Build Data'!F19)),""))</f>
        <v>ptvmapp</v>
      </c>
      <c r="F30" t="str">
        <f>IF(LEFT(A70,1)="b",A30,C30)</f>
        <v>pvmweb04</v>
      </c>
      <c r="M30" t="s">
        <v>40</v>
      </c>
    </row>
    <row r="31" spans="1:18">
      <c r="B31" s="2"/>
      <c r="D31" t="str">
        <f>IF('Build Data'!F13=TRUE,"N/A",IF('Build Data'!F13=FALSE,LOWER(_xlfn.CONCAT('Build Data'!F7,E3,'Build Data'!F8,E17,'Build Data'!F19)),""))</f>
        <v>pvmsas</v>
      </c>
    </row>
    <row r="32" spans="1:18">
      <c r="M32" t="s">
        <v>510</v>
      </c>
      <c r="R32" t="s">
        <v>564</v>
      </c>
    </row>
    <row r="33" spans="1:18">
      <c r="D33" s="1" t="s">
        <v>565</v>
      </c>
      <c r="M33" t="s">
        <v>511</v>
      </c>
    </row>
    <row r="34" spans="1:18">
      <c r="A34" t="str">
        <f>_xlfn.CONCAT(B34,D43)</f>
        <v>pvmweb01</v>
      </c>
      <c r="B34" s="8" t="str">
        <f>LEFT(C34,LEN(C34)-2)</f>
        <v>pvmwe</v>
      </c>
      <c r="C34" t="str">
        <f>IF('Build Data'!F13=TRUE,LOWER(_xlfn.CONCAT('Build Data'!F7,E4,'Build Data'!F8,E13,'Build Data'!F16+1)),IF('Build Data'!F13=FALSE,LOWER(_xlfn.CONCAT('Build Data'!F7,E3,'Build Data'!F8,E13,'Build Data'!F16+1)),))</f>
        <v>pvmweb1</v>
      </c>
      <c r="D34" t="str">
        <f>IF('Build Data'!F13=TRUE,LOWER(_xlfn.CONCAT('Build Data'!F7,E4,'Build Data'!F8,E13,'Build Data'!F16)),IF('Build Data'!F13=FALSE,LOWER(_xlfn.CONCAT('Build Data'!F7,E3,'Build Data'!F8,E13,'Build Data'!F16)),""))</f>
        <v>pvmweb</v>
      </c>
      <c r="F34" t="str">
        <f>IF(LEFT(D42,1)="b",A34,C34)</f>
        <v>pvmweb01</v>
      </c>
      <c r="I34" t="str">
        <f>LOWER(_xlfn.CONCAT('Build Data'!F7,E4,'Build Data'!F8,E6,'Build Data'!F16))</f>
        <v>ppve</v>
      </c>
      <c r="M34" t="s">
        <v>512</v>
      </c>
    </row>
    <row r="35" spans="1:18">
      <c r="A35" t="str">
        <f>_xlfn.CONCAT(B34,D45)</f>
        <v>pvmweb02</v>
      </c>
      <c r="B35" s="2"/>
      <c r="C35" t="str">
        <f>IF('Build Data'!F13=TRUE,LOWER(_xlfn.CONCAT('Build Data'!F7,E4,'Build Data'!F8,E13,'Build Data'!F16+2)),IF('Build Data'!F13=FALSE,LOWER(_xlfn.CONCAT('Build Data'!F7,E3,'Build Data'!F8,E13,'Build Data'!F16+2)),))</f>
        <v>pvmweb2</v>
      </c>
      <c r="D35" t="str">
        <f>IF('Build Data'!F13=TRUE,LOWER(_xlfn.CONCAT('Build Data'!F7,E4,'Build Data'!F8,E14,'Build Data'!F16)),IF('Build Data'!F13=FALSE,LOWER(_xlfn.CONCAT('Build Data'!F7,E3,'Build Data'!F8,E14,'Build Data'!F16)),""))</f>
        <v>pvmapp</v>
      </c>
      <c r="F35" t="str">
        <f>IF(LEFT(D44,1)="b",A35,C35)</f>
        <v>pvmweb02</v>
      </c>
      <c r="M35" t="s">
        <v>513</v>
      </c>
    </row>
    <row r="36" spans="1:18">
      <c r="A36" t="str">
        <f>_xlfn.CONCAT(B34,D47)</f>
        <v>pvmweb03</v>
      </c>
      <c r="B36" s="2"/>
      <c r="C36" t="str">
        <f>IF('Build Data'!F13=TRUE,LOWER(_xlfn.CONCAT('Build Data'!F7,E4,'Build Data'!F8,E13,'Build Data'!F16+3)),IF('Build Data'!F13=FALSE,LOWER(_xlfn.CONCAT('Build Data'!F7,E3,'Build Data'!F8,E13,'Build Data'!F16+3)),))</f>
        <v>pvmweb3</v>
      </c>
      <c r="D36" t="str">
        <f>IF('Build Data'!F13=TRUE,LOWER(_xlfn.CONCAT('Build Data'!F7,E4,'Build Data'!F8,E15,'Build Data'!F16)),IF('Build Data'!F13=FALSE,LOWER(_xlfn.CONCAT('Build Data'!F7,E3,'Build Data'!F8,E15,'Build Data'!F16)),""))</f>
        <v>pvmsql</v>
      </c>
      <c r="F36" t="str">
        <f>IF(LEFT(D46,1)="b",A36,C36)</f>
        <v>pvmweb03</v>
      </c>
      <c r="M36" t="s">
        <v>566</v>
      </c>
    </row>
    <row r="37" spans="1:18">
      <c r="A37" t="str">
        <f>_xlfn.CONCAT(B34,D49)</f>
        <v>pvmweb04</v>
      </c>
      <c r="B37" s="2"/>
      <c r="C37" t="str">
        <f>IF('Build Data'!F13=TRUE,LOWER(_xlfn.CONCAT('Build Data'!F7,E4,'Build Data'!F8,E13,'Build Data'!F16+4)),IF('Build Data'!F13=FALSE,LOWER(_xlfn.CONCAT('Build Data'!F7,E3,'Build Data'!F8,E13,'Build Data'!F16+4)),))</f>
        <v>pvmweb4</v>
      </c>
      <c r="D37" t="str">
        <f>IF('Build Data'!F13=TRUE,LOWER(_xlfn.CONCAT('Build Data'!F7,E4,'Build Data'!F8,E16,'Build Data'!F16)),IF('Build Data'!F13=FALSE,LOWER(_xlfn.CONCAT('Build Data'!F7,E5,'Build Data'!F8,E14,'Build Data'!F16)),""))</f>
        <v>ptvmapp</v>
      </c>
      <c r="F37" t="str">
        <f>IF(LEFT(D48,1)="b",A37,C37)</f>
        <v>pvmweb04</v>
      </c>
    </row>
    <row r="38" spans="1:18">
      <c r="A38" s="14"/>
      <c r="D38" t="str">
        <f>IF('Build Data'!F13=TRUE,"N/A",IF('Build Data'!F13=FALSE,LOWER(_xlfn.CONCAT('Build Data'!F7,E3,'Build Data'!F8,E17,'Build Data'!F16)),""))</f>
        <v>pvmsas</v>
      </c>
      <c r="M38" s="6">
        <v>1000</v>
      </c>
      <c r="R38" t="s">
        <v>21</v>
      </c>
    </row>
    <row r="39" spans="1:18">
      <c r="A39" s="14"/>
      <c r="D39" s="1"/>
      <c r="M39" t="s">
        <v>567</v>
      </c>
    </row>
    <row r="40" spans="1:18">
      <c r="A40" s="14"/>
      <c r="M40" t="s">
        <v>568</v>
      </c>
    </row>
    <row r="41" spans="1:18">
      <c r="A41" s="1" t="s">
        <v>569</v>
      </c>
      <c r="B41" s="1" t="s">
        <v>570</v>
      </c>
      <c r="C41" s="1" t="s">
        <v>571</v>
      </c>
      <c r="D41" s="1" t="s">
        <v>572</v>
      </c>
      <c r="M41" t="s">
        <v>573</v>
      </c>
    </row>
    <row r="42" spans="1:18">
      <c r="A42" t="str">
        <f>RIGHT(C13,2)</f>
        <v>b1</v>
      </c>
      <c r="B42" t="str">
        <f>RIGHT(C20,2)</f>
        <v>b1</v>
      </c>
      <c r="C42" t="str">
        <f>RIGHT(C27,2)</f>
        <v>b1</v>
      </c>
      <c r="D42" t="str">
        <f>RIGHT(C34,2)</f>
        <v>b1</v>
      </c>
      <c r="M42" t="s">
        <v>574</v>
      </c>
    </row>
    <row r="43" spans="1:18">
      <c r="A43" s="8" t="str">
        <f>IF(LEFT(A42,1)="b",REPLACE(A42,2,1,"0"&amp;RIGHT(C13,1)),A42)</f>
        <v>b01</v>
      </c>
      <c r="B43" s="8" t="str">
        <f>IF(LEFT(B42,1)="b",REPLACE(B42,2,1,"0"&amp;RIGHT(C20,1)),B42)</f>
        <v>b01</v>
      </c>
      <c r="C43" s="8" t="str">
        <f>IF(LEFT(C42,1)="b",REPLACE(C42,2,1,"0"&amp;RIGHT(C27,1)),C42)</f>
        <v>b01</v>
      </c>
      <c r="D43" t="str">
        <f>IF(LEFT(D42,1)="b",REPLACE(D42,2,1,"0"&amp;RIGHT(C34,1)),D42)</f>
        <v>b01</v>
      </c>
      <c r="M43" t="s">
        <v>475</v>
      </c>
    </row>
    <row r="44" spans="1:18">
      <c r="A44" t="str">
        <f>RIGHT(C14,2)</f>
        <v>b2</v>
      </c>
      <c r="B44" t="str">
        <f>RIGHT(C21,2)</f>
        <v>b2</v>
      </c>
      <c r="C44" t="str">
        <f>RIGHT(C28,2)</f>
        <v>b2</v>
      </c>
      <c r="D44" t="str">
        <f>RIGHT(C35,2)</f>
        <v>b2</v>
      </c>
    </row>
    <row r="45" spans="1:18">
      <c r="A45" t="str">
        <f>IF(LEFT(A42,1)="b",REPLACE(A42,2,1,"0"&amp;RIGHT(C14,1)),A42)</f>
        <v>b02</v>
      </c>
      <c r="B45" t="str">
        <f>IF(LEFT(B42,1)="b",REPLACE(B42,2,1,"0"&amp;RIGHT(C21,1)),B42)</f>
        <v>b02</v>
      </c>
      <c r="C45" t="str">
        <f>IF(LEFT(C42,1)="b",REPLACE(C42,2,1,"0"&amp;RIGHT(C28,1)),C42)</f>
        <v>b02</v>
      </c>
      <c r="D45" t="str">
        <f>IF(LEFT(D42,1)="b",REPLACE(D42,2,1,"0"&amp;RIGHT(C35,1)),D42)</f>
        <v>b02</v>
      </c>
      <c r="M45" t="s">
        <v>575</v>
      </c>
      <c r="R45" t="s">
        <v>576</v>
      </c>
    </row>
    <row r="46" spans="1:18">
      <c r="A46" t="str">
        <f>RIGHT(C15,2)</f>
        <v>b3</v>
      </c>
      <c r="B46" t="str">
        <f>RIGHT(C22,2)</f>
        <v>b3</v>
      </c>
      <c r="C46" t="str">
        <f>RIGHT(C29,2)</f>
        <v>b3</v>
      </c>
      <c r="D46" s="749" t="str">
        <f>RIGHT(C36,2)</f>
        <v>b3</v>
      </c>
      <c r="G46" t="s">
        <v>577</v>
      </c>
      <c r="M46" t="s">
        <v>578</v>
      </c>
    </row>
    <row r="47" spans="1:18">
      <c r="A47" t="str">
        <f>IF(LEFT(A42,1)="b",REPLACE(A42,2,1,"0"&amp;RIGHT(C15,1)),A42)</f>
        <v>b03</v>
      </c>
      <c r="B47" t="str">
        <f>IF(LEFT(B42,1)="b",REPLACE(B42,2,1,"0"&amp;RIGHT(C22,1)),B42)</f>
        <v>b03</v>
      </c>
      <c r="C47" t="str">
        <f>IF(LEFT(C42,1)="b",REPLACE(C42,2,1,"0"&amp;RIGHT(C29,1)),C42)</f>
        <v>b03</v>
      </c>
      <c r="D47" t="str">
        <f>IF(LEFT(D42,1)="b",REPLACE(D42,2,1,"0"&amp;RIGHT(C36,1)),D42)</f>
        <v>b03</v>
      </c>
      <c r="G47" t="s">
        <v>579</v>
      </c>
      <c r="M47" t="s">
        <v>580</v>
      </c>
    </row>
    <row r="48" spans="1:18">
      <c r="A48" t="str">
        <f>RIGHT(C16,2)</f>
        <v>b4</v>
      </c>
      <c r="B48" t="str">
        <f>RIGHT(C23,2)</f>
        <v>b4</v>
      </c>
      <c r="C48" t="str">
        <f>RIGHT(C30,2)</f>
        <v>b4</v>
      </c>
      <c r="D48" t="str">
        <f>RIGHT(C37,2)</f>
        <v>b4</v>
      </c>
      <c r="J48" s="39"/>
      <c r="M48" t="s">
        <v>98</v>
      </c>
    </row>
    <row r="49" spans="1:18">
      <c r="A49" t="str">
        <f>IF(LEFT(A42,1)="b",REPLACE(A42,2,1,"0"&amp;RIGHT(C16,1)),A42)</f>
        <v>b04</v>
      </c>
      <c r="B49" t="str">
        <f>IF(LEFT(B42,1)="b",REPLACE(B42,2,1,"0"&amp;RIGHT(C23,1)),B42)</f>
        <v>b04</v>
      </c>
      <c r="C49" t="str">
        <f>IF(LEFT(C42,1)="b",REPLACE(C42,2,1,"0"&amp;RIGHT(C30,1)),C42)</f>
        <v>b04</v>
      </c>
      <c r="D49" t="str">
        <f>IF(LEFT(D42,1)="b",REPLACE(D42,2,1,"0"&amp;RIGHT(C37,1)),D42)</f>
        <v>b04</v>
      </c>
      <c r="G49" s="3" t="s">
        <v>581</v>
      </c>
      <c r="M49" t="s">
        <v>582</v>
      </c>
    </row>
    <row r="50" spans="1:18">
      <c r="M50" t="s">
        <v>583</v>
      </c>
    </row>
    <row r="51" spans="1:18">
      <c r="M51" t="s">
        <v>584</v>
      </c>
    </row>
    <row r="52" spans="1:18">
      <c r="M52" t="s">
        <v>585</v>
      </c>
    </row>
    <row r="54" spans="1:18">
      <c r="M54" t="s">
        <v>586</v>
      </c>
      <c r="R54" t="s">
        <v>587</v>
      </c>
    </row>
    <row r="55" spans="1:18">
      <c r="M55" s="6">
        <v>13</v>
      </c>
    </row>
    <row r="56" spans="1:18">
      <c r="D56" s="3" t="s">
        <v>588</v>
      </c>
      <c r="E56" t="str">
        <f>('Build Data'!F3)</f>
        <v/>
      </c>
      <c r="F56" t="s">
        <v>544</v>
      </c>
      <c r="M56" s="6">
        <v>14</v>
      </c>
    </row>
    <row r="57" spans="1:18">
      <c r="E57" t="e">
        <f>LEFT(E56, LEN(E56)-1)</f>
        <v>#VALUE!</v>
      </c>
      <c r="F57" s="2" t="s">
        <v>589</v>
      </c>
      <c r="M57" s="6">
        <v>15</v>
      </c>
    </row>
    <row r="58" spans="1:18">
      <c r="F58" s="2" t="s">
        <v>590</v>
      </c>
      <c r="M58" s="6">
        <v>16</v>
      </c>
    </row>
    <row r="59" spans="1:18">
      <c r="F59" s="2" t="s">
        <v>591</v>
      </c>
      <c r="M59" s="6">
        <v>17</v>
      </c>
    </row>
    <row r="61" spans="1:18">
      <c r="D61" s="31" t="s">
        <v>592</v>
      </c>
      <c r="M61" s="3" t="s">
        <v>593</v>
      </c>
      <c r="R61" t="s">
        <v>594</v>
      </c>
    </row>
    <row r="62" spans="1:18">
      <c r="D62" s="16" t="s">
        <v>595</v>
      </c>
      <c r="E62" s="9" t="e">
        <f>IF('Build Data'!#REF!='Build Data'!#REF!,"","Set SB " &amp; D62 &amp;" to " &amp; 'Build Data'!#REF!)</f>
        <v>#REF!</v>
      </c>
      <c r="M62" s="3" t="s">
        <v>596</v>
      </c>
    </row>
    <row r="63" spans="1:18">
      <c r="A63" s="1" t="s">
        <v>539</v>
      </c>
      <c r="D63" s="16" t="s">
        <v>597</v>
      </c>
      <c r="E63" s="55" t="e">
        <f>IF('Build Data'!#REF!='Build Data'!#REF!,"","Set SB " &amp; D63 &amp;" to " &amp; 'Build Data'!#REF! &amp; " GB")</f>
        <v>#REF!</v>
      </c>
      <c r="M63" s="3" t="s">
        <v>598</v>
      </c>
    </row>
    <row r="64" spans="1:18">
      <c r="A64" t="str">
        <f>RIGHT(C27,2)</f>
        <v>b1</v>
      </c>
      <c r="D64" s="16" t="s">
        <v>599</v>
      </c>
      <c r="E64" s="55" t="e">
        <f>IF('Build Data'!#REF!='Build Data'!#REF!,"","Set SB " &amp; D64 &amp;" to " &amp; 'Build Data'!#REF!)</f>
        <v>#REF!</v>
      </c>
      <c r="M64" s="3" t="s">
        <v>600</v>
      </c>
    </row>
    <row r="65" spans="1:18">
      <c r="A65" t="str">
        <f>IF(LEFT(A42,1)="b",REPLACE(A42,2,1,"0"&amp;RIGHT(C27,1)),A42)</f>
        <v>b01</v>
      </c>
      <c r="D65" s="16" t="s">
        <v>601</v>
      </c>
      <c r="E65" s="55" t="str">
        <f>IF('Build Data'!B47='Build Data'!C47,"","Set SB " &amp; D65 &amp;" to " &amp; 'Build Data'!B47)</f>
        <v/>
      </c>
    </row>
    <row r="66" spans="1:18">
      <c r="A66" t="str">
        <f>RIGHT(C28,2)</f>
        <v>b2</v>
      </c>
      <c r="D66" s="16" t="s">
        <v>602</v>
      </c>
      <c r="E66" s="55" t="str">
        <f>IF('Build Data'!B48='Build Data'!C48,"","Set SB " &amp; D66 &amp;" to " &amp; 'Build Data'!B48 &amp; " GB")</f>
        <v/>
      </c>
      <c r="M66" t="s">
        <v>603</v>
      </c>
      <c r="R66" t="s">
        <v>170</v>
      </c>
    </row>
    <row r="67" spans="1:18">
      <c r="A67" t="str">
        <f>IF(LEFT(A42,1)="b",REPLACE(A42,2,1,"0"&amp;RIGHT(C28,1)),A42)</f>
        <v>b02</v>
      </c>
      <c r="D67" s="16" t="s">
        <v>604</v>
      </c>
      <c r="E67" s="55" t="str">
        <f>IF('Build Data'!B50='Build Data'!C50,"","Set SB " &amp; D67 &amp;" to " &amp; 'Build Data'!B50)</f>
        <v/>
      </c>
      <c r="M67" t="s">
        <v>605</v>
      </c>
    </row>
    <row r="68" spans="1:18">
      <c r="A68" t="str">
        <f>RIGHT(C29,2)</f>
        <v>b3</v>
      </c>
      <c r="D68" s="16" t="s">
        <v>606</v>
      </c>
      <c r="E68" s="55" t="str">
        <f>IF('Build Data'!B52='Build Data'!C52,"","Set SB " &amp; D68 &amp;" to " &amp; 'Build Data'!B52)</f>
        <v/>
      </c>
      <c r="M68" t="s">
        <v>607</v>
      </c>
    </row>
    <row r="69" spans="1:18">
      <c r="A69" t="str">
        <f>IF(LEFT(A42,1)="b",REPLACE(A42,2,1,"0"&amp;RIGHT(C29,1)),A42)</f>
        <v>b03</v>
      </c>
      <c r="D69" s="16" t="s">
        <v>608</v>
      </c>
      <c r="E69" s="55" t="str">
        <f>IF('Build Data'!B53='Build Data'!C53,"","Set SB " &amp; D69 &amp;" to " &amp; 'Build Data'!B53 &amp; " GB")</f>
        <v/>
      </c>
      <c r="M69" t="s">
        <v>548</v>
      </c>
    </row>
    <row r="70" spans="1:18">
      <c r="A70" t="str">
        <f>RIGHT(C30,2)</f>
        <v>b4</v>
      </c>
      <c r="D70" s="16" t="s">
        <v>609</v>
      </c>
      <c r="E70" s="55" t="str">
        <f>IF('Build Data'!B54='Build Data'!C54,"","Set SB " &amp; D70 &amp;" to " &amp; 'Build Data'!B54)</f>
        <v/>
      </c>
    </row>
    <row r="71" spans="1:18">
      <c r="A71" t="str">
        <f>IF(LEFT(A42,1)="b",REPLACE(A42,2,1,"0"&amp;RIGHT(C30,1)),A42)</f>
        <v>b04</v>
      </c>
      <c r="D71" s="16" t="s">
        <v>610</v>
      </c>
      <c r="E71" s="55" t="str">
        <f>IF('Build Data'!B59='Build Data'!C59,"","Set SB " &amp; D71 &amp;" to " &amp; 'Build Data'!B59)</f>
        <v/>
      </c>
      <c r="M71" t="s">
        <v>603</v>
      </c>
      <c r="R71" t="s">
        <v>80</v>
      </c>
    </row>
    <row r="72" spans="1:18">
      <c r="D72" s="16" t="s">
        <v>611</v>
      </c>
      <c r="E72" s="55" t="str">
        <f>IF('Build Data'!B60='Build Data'!C60,"","Set SB " &amp; D72 &amp;" to " &amp; 'Build Data'!B60 &amp; " GB")</f>
        <v/>
      </c>
      <c r="M72" s="10" t="s">
        <v>612</v>
      </c>
    </row>
    <row r="73" spans="1:18">
      <c r="D73" s="16" t="s">
        <v>613</v>
      </c>
      <c r="E73" s="55" t="str">
        <f>IF('Build Data'!B61='Build Data'!C61,"","Set SB " &amp; D73 &amp;" to " &amp; 'Build Data'!B61)</f>
        <v/>
      </c>
      <c r="M73" s="10" t="s">
        <v>614</v>
      </c>
    </row>
    <row r="74" spans="1:18">
      <c r="A74" t="s">
        <v>615</v>
      </c>
      <c r="D74" s="16" t="s">
        <v>51</v>
      </c>
      <c r="E74" s="55" t="str">
        <f>IF('Build Data'!B62='Build Data'!C62,"","Set SB " &amp; D74 &amp;" to " &amp; 'Build Data'!B62)</f>
        <v/>
      </c>
      <c r="M74" s="10"/>
    </row>
    <row r="75" spans="1:18">
      <c r="B75">
        <f>MasterConfig!B11</f>
        <v>0</v>
      </c>
      <c r="C75" t="str">
        <f>IF(B75="fr",".frankfurt.pvcloud.net",".sydney.planviewcloud.net")</f>
        <v>.sydney.planviewcloud.net</v>
      </c>
      <c r="D75" s="16" t="s">
        <v>52</v>
      </c>
      <c r="E75" s="55" t="str">
        <f>IF('Build Data'!B63='Build Data'!C63,"","Set SB " &amp; D75 &amp;" to " &amp; 'Build Data'!B63)</f>
        <v/>
      </c>
      <c r="M75" s="10"/>
    </row>
    <row r="76" spans="1:18">
      <c r="D76" s="16" t="s">
        <v>616</v>
      </c>
      <c r="E76" s="55" t="str">
        <f>IF('Build Data'!B67='Build Data'!C67,"","Set SB " &amp; D76 &amp;" to " &amp; 'Build Data'!B67)</f>
        <v/>
      </c>
      <c r="M76" t="s">
        <v>617</v>
      </c>
    </row>
    <row r="77" spans="1:18">
      <c r="D77" s="16" t="s">
        <v>618</v>
      </c>
      <c r="E77" s="55" t="str">
        <f>IF('Build Data'!B68='Build Data'!C68,"","Set SB " &amp; D77 &amp;" to " &amp; 'Build Data'!B68 &amp; " GB")</f>
        <v/>
      </c>
    </row>
    <row r="78" spans="1:18">
      <c r="A78" t="s">
        <v>619</v>
      </c>
      <c r="B78" t="s">
        <v>620</v>
      </c>
      <c r="D78" s="16" t="s">
        <v>621</v>
      </c>
      <c r="E78" s="55" t="str">
        <f>IF('Build Data'!B71='Build Data'!C71,"","Set SB " &amp; D78 &amp;" to " &amp; 'Build Data'!B71)</f>
        <v/>
      </c>
      <c r="M78" s="5">
        <v>0</v>
      </c>
      <c r="R78" t="s">
        <v>622</v>
      </c>
    </row>
    <row r="79" spans="1:18">
      <c r="A79" t="s">
        <v>539</v>
      </c>
      <c r="B79" t="str">
        <f>("Enter-PSSession -ComputerName " &amp;'Build Data'!I3)</f>
        <v xml:space="preserve">Enter-PSSession -ComputerName </v>
      </c>
      <c r="D79" s="16" t="s">
        <v>623</v>
      </c>
      <c r="E79" s="55" t="str">
        <f>IF('Build Data'!B75='Build Data'!C75,"","Set SB " &amp; D79 &amp;" to " &amp; 'Build Data'!B75)</f>
        <v/>
      </c>
      <c r="M79" s="5">
        <v>1</v>
      </c>
    </row>
    <row r="80" spans="1:18">
      <c r="B80" t="str">
        <f>("Enter-PSSession -ComputerName " &amp;'Build Data'!I4)</f>
        <v xml:space="preserve">Enter-PSSession -ComputerName </v>
      </c>
      <c r="D80" s="16" t="s">
        <v>624</v>
      </c>
      <c r="E80" s="55" t="str">
        <f>IF('Build Data'!B76='Build Data'!C76,"","Set SB " &amp; D80 &amp;" to " &amp; 'Build Data'!B76)</f>
        <v/>
      </c>
      <c r="M80" s="5">
        <v>2</v>
      </c>
    </row>
    <row r="81" spans="1:18">
      <c r="B81" t="str">
        <f>("Enter-PSSession -ComputerName " &amp;'Build Data'!I5)</f>
        <v xml:space="preserve">Enter-PSSession -ComputerName </v>
      </c>
      <c r="D81" s="40" t="s">
        <v>625</v>
      </c>
      <c r="E81" s="56" t="str">
        <f>IF('Build Data'!B77='Build Data'!C77,"","Set SB " &amp; D81 &amp;" to " &amp; 'Build Data'!B77)</f>
        <v/>
      </c>
    </row>
    <row r="82" spans="1:18">
      <c r="B82" t="str">
        <f>("Enter-PSSession -ComputerName " &amp;'Build Data'!I6)</f>
        <v xml:space="preserve">Enter-PSSession -ComputerName </v>
      </c>
      <c r="M82" s="5"/>
      <c r="R82" t="s">
        <v>626</v>
      </c>
    </row>
    <row r="83" spans="1:18">
      <c r="A83" t="s">
        <v>627</v>
      </c>
      <c r="B83" t="str">
        <f>("Enter-PSSession -ComputerName " &amp;'Build Data'!I9)</f>
        <v xml:space="preserve">Enter-PSSession -ComputerName </v>
      </c>
      <c r="D83" s="31" t="s">
        <v>628</v>
      </c>
      <c r="M83" s="5">
        <v>1</v>
      </c>
    </row>
    <row r="84" spans="1:18">
      <c r="B84" t="str">
        <f>("Enter-PSSession -ComputerName " &amp;'Build Data'!I10)</f>
        <v xml:space="preserve">Enter-PSSession -ComputerName </v>
      </c>
      <c r="D84" s="53" t="s">
        <v>629</v>
      </c>
      <c r="E84" s="9" t="e">
        <f>IF('Build Data'!#REF!='Build Data'!#REF!,"","Set SB " &amp; D84 &amp;" to " &amp; 'Build Data'!#REF!)</f>
        <v>#REF!</v>
      </c>
      <c r="M84" s="5">
        <v>2</v>
      </c>
    </row>
    <row r="85" spans="1:18">
      <c r="B85" t="str">
        <f>("Enter-PSSession -ComputerName " &amp;'Build Data'!I11)</f>
        <v xml:space="preserve">Enter-PSSession -ComputerName </v>
      </c>
      <c r="D85" s="16" t="s">
        <v>630</v>
      </c>
      <c r="E85" s="9" t="e">
        <f>IF('Build Data'!#REF!='Build Data'!#REF!,"","Set SB " &amp; D85 &amp;" to " &amp; 'Build Data'!#REF!)</f>
        <v>#REF!</v>
      </c>
      <c r="M85" s="5">
        <v>3</v>
      </c>
    </row>
    <row r="86" spans="1:18">
      <c r="B86" t="str">
        <f>("Enter-PSSession -ComputerName " &amp;'Build Data'!I12)</f>
        <v xml:space="preserve">Enter-PSSession -ComputerName </v>
      </c>
      <c r="D86" s="16" t="s">
        <v>370</v>
      </c>
      <c r="E86" s="9" t="e">
        <f>IF('Build Data'!#REF!='Build Data'!#REF!,"","Set SB " &amp; D86 &amp;" to " &amp; 'Build Data'!#REF!)</f>
        <v>#REF!</v>
      </c>
      <c r="M86" s="5">
        <v>4</v>
      </c>
    </row>
    <row r="87" spans="1:18">
      <c r="D87" s="40" t="s">
        <v>548</v>
      </c>
      <c r="E87" s="9" t="e">
        <f>IF('Build Data'!#REF!='Build Data'!#REF!,"","Set SB " &amp; D87 &amp;" to " &amp; 'Build Data'!#REF!)</f>
        <v>#REF!</v>
      </c>
      <c r="M87" s="5">
        <v>5</v>
      </c>
    </row>
    <row r="88" spans="1:18">
      <c r="D88" s="54"/>
      <c r="M88" s="5"/>
    </row>
    <row r="89" spans="1:18">
      <c r="A89" t="s">
        <v>631</v>
      </c>
    </row>
    <row r="90" spans="1:18">
      <c r="B90" t="s">
        <v>632</v>
      </c>
      <c r="C90" t="s">
        <v>633</v>
      </c>
      <c r="D90" t="s">
        <v>634</v>
      </c>
      <c r="R90" t="s">
        <v>635</v>
      </c>
    </row>
    <row r="91" spans="1:18">
      <c r="C91" t="s">
        <v>636</v>
      </c>
      <c r="D91" t="s">
        <v>637</v>
      </c>
      <c r="M91" s="3" t="s">
        <v>638</v>
      </c>
    </row>
    <row r="92" spans="1:18">
      <c r="D92" t="s">
        <v>639</v>
      </c>
      <c r="M92" s="3" t="s">
        <v>640</v>
      </c>
    </row>
    <row r="93" spans="1:18">
      <c r="D93" s="2" t="s">
        <v>641</v>
      </c>
      <c r="M93" s="3" t="s">
        <v>642</v>
      </c>
    </row>
    <row r="94" spans="1:18">
      <c r="D94" t="s">
        <v>643</v>
      </c>
      <c r="M94" s="3" t="s">
        <v>644</v>
      </c>
    </row>
    <row r="95" spans="1:18">
      <c r="D95" t="s">
        <v>645</v>
      </c>
      <c r="M95" s="3" t="s">
        <v>646</v>
      </c>
    </row>
    <row r="96" spans="1:18">
      <c r="D96" t="s">
        <v>647</v>
      </c>
      <c r="M96" s="3" t="s">
        <v>648</v>
      </c>
      <c r="R96" t="s">
        <v>649</v>
      </c>
    </row>
    <row r="97" spans="1:18">
      <c r="D97" s="57" t="s">
        <v>650</v>
      </c>
      <c r="M97" s="3" t="s">
        <v>334</v>
      </c>
    </row>
    <row r="98" spans="1:18">
      <c r="D98" s="57" t="s">
        <v>651</v>
      </c>
    </row>
    <row r="99" spans="1:18">
      <c r="D99" s="57" t="s">
        <v>652</v>
      </c>
    </row>
    <row r="100" spans="1:18">
      <c r="D100" s="57" t="s">
        <v>653</v>
      </c>
    </row>
    <row r="101" spans="1:18">
      <c r="D101" t="s">
        <v>654</v>
      </c>
    </row>
    <row r="104" spans="1:18">
      <c r="A104" t="s">
        <v>655</v>
      </c>
    </row>
    <row r="105" spans="1:18">
      <c r="C105" t="s">
        <v>656</v>
      </c>
      <c r="D105" t="s">
        <v>657</v>
      </c>
    </row>
    <row r="106" spans="1:18">
      <c r="C106" t="s">
        <v>658</v>
      </c>
      <c r="D106" t="s">
        <v>659</v>
      </c>
    </row>
    <row r="107" spans="1:18">
      <c r="D107" t="s">
        <v>660</v>
      </c>
    </row>
    <row r="108" spans="1:18">
      <c r="R108" t="s">
        <v>661</v>
      </c>
    </row>
    <row r="109" spans="1:18">
      <c r="D109" t="s">
        <v>662</v>
      </c>
    </row>
    <row r="110" spans="1:18">
      <c r="A110" t="s">
        <v>663</v>
      </c>
      <c r="D110" s="57" t="s">
        <v>664</v>
      </c>
    </row>
    <row r="111" spans="1:18">
      <c r="B111" t="s">
        <v>665</v>
      </c>
      <c r="D111" s="57" t="s">
        <v>666</v>
      </c>
    </row>
    <row r="112" spans="1:18">
      <c r="D112" s="57" t="s">
        <v>667</v>
      </c>
      <c r="M112" t="s">
        <v>668</v>
      </c>
      <c r="N112" s="470" t="s">
        <v>669</v>
      </c>
    </row>
    <row r="113" spans="1:14">
      <c r="D113" s="57" t="s">
        <v>670</v>
      </c>
      <c r="M113" t="s">
        <v>671</v>
      </c>
      <c r="N113" s="469" t="s">
        <v>672</v>
      </c>
    </row>
    <row r="114" spans="1:14">
      <c r="D114" s="57" t="s">
        <v>673</v>
      </c>
      <c r="N114" t="s">
        <v>674</v>
      </c>
    </row>
    <row r="115" spans="1:14">
      <c r="N115" t="s">
        <v>675</v>
      </c>
    </row>
    <row r="116" spans="1:14">
      <c r="A116" t="s">
        <v>676</v>
      </c>
      <c r="N116" t="s">
        <v>677</v>
      </c>
    </row>
    <row r="117" spans="1:14">
      <c r="N117" t="s">
        <v>678</v>
      </c>
    </row>
    <row r="118" spans="1:14">
      <c r="D118" t="s">
        <v>679</v>
      </c>
      <c r="N118" t="s">
        <v>680</v>
      </c>
    </row>
    <row r="119" spans="1:14">
      <c r="E119" t="s">
        <v>681</v>
      </c>
      <c r="F119" t="s">
        <v>682</v>
      </c>
      <c r="N119" t="s">
        <v>683</v>
      </c>
    </row>
    <row r="120" spans="1:14">
      <c r="N120" t="s">
        <v>684</v>
      </c>
    </row>
    <row r="121" spans="1:14">
      <c r="N121" t="s">
        <v>685</v>
      </c>
    </row>
    <row r="122" spans="1:14">
      <c r="N122" t="s">
        <v>686</v>
      </c>
    </row>
    <row r="123" spans="1:14">
      <c r="N123" t="s">
        <v>687</v>
      </c>
    </row>
    <row r="124" spans="1:14">
      <c r="D124" t="s">
        <v>688</v>
      </c>
      <c r="N124" t="s">
        <v>689</v>
      </c>
    </row>
    <row r="125" spans="1:14">
      <c r="E125" t="s">
        <v>690</v>
      </c>
    </row>
    <row r="128" spans="1:14">
      <c r="D128" t="s">
        <v>691</v>
      </c>
    </row>
    <row r="129" spans="1:6">
      <c r="E129" s="28"/>
    </row>
    <row r="130" spans="1:6">
      <c r="E130" t="s">
        <v>692</v>
      </c>
      <c r="F130" t="s">
        <v>693</v>
      </c>
    </row>
    <row r="134" spans="1:6">
      <c r="A134" s="63"/>
      <c r="B134">
        <v>20.05</v>
      </c>
    </row>
    <row r="135" spans="1:6">
      <c r="A135" s="63" t="s">
        <v>694</v>
      </c>
      <c r="B135">
        <v>20.04</v>
      </c>
    </row>
    <row r="136" spans="1:6">
      <c r="A136" s="63"/>
      <c r="B136">
        <v>20.03</v>
      </c>
    </row>
    <row r="137" spans="1:6">
      <c r="A137" s="63"/>
      <c r="B137">
        <v>20.02</v>
      </c>
    </row>
    <row r="138" spans="1:6">
      <c r="B138">
        <v>20.010000000000002</v>
      </c>
    </row>
    <row r="139" spans="1:6">
      <c r="A139" s="63"/>
    </row>
    <row r="140" spans="1:6">
      <c r="A140" s="63"/>
    </row>
    <row r="141" spans="1:6">
      <c r="A141" s="63"/>
    </row>
    <row r="144" spans="1:6">
      <c r="A144" t="s">
        <v>695</v>
      </c>
      <c r="B144" t="s">
        <v>696</v>
      </c>
    </row>
    <row r="145" spans="1:2">
      <c r="A145" s="2" t="s">
        <v>305</v>
      </c>
      <c r="B145" t="s">
        <v>697</v>
      </c>
    </row>
    <row r="146" spans="1:2">
      <c r="A146" s="2" t="s">
        <v>698</v>
      </c>
    </row>
    <row r="152" spans="1:2">
      <c r="A152" t="str">
        <f>IF('Build Data'!I16="","",(LEFT('Build Data'!I16,2)))</f>
        <v/>
      </c>
    </row>
    <row r="153" spans="1:2">
      <c r="A153" t="str">
        <f>'Build Data'!F7</f>
        <v/>
      </c>
    </row>
    <row r="508" spans="2:3">
      <c r="B508" t="s">
        <v>699</v>
      </c>
      <c r="C508" t="s">
        <v>700</v>
      </c>
    </row>
    <row r="509" spans="2:3">
      <c r="B509" t="s">
        <v>701</v>
      </c>
      <c r="C509" t="s">
        <v>702</v>
      </c>
    </row>
    <row r="510" spans="2:3">
      <c r="B510" t="s">
        <v>703</v>
      </c>
    </row>
    <row r="511" spans="2:3">
      <c r="B511" t="s">
        <v>704</v>
      </c>
    </row>
  </sheetData>
  <hyperlinks>
    <hyperlink ref="M61" r:id="rId1"/>
    <hyperlink ref="M62" r:id="rId2"/>
    <hyperlink ref="M63" r:id="rId3"/>
    <hyperlink ref="M64" r:id="rId4"/>
    <hyperlink ref="G49" r:id="rId5"/>
    <hyperlink ref="M91" r:id="rId6"/>
    <hyperlink ref="M92" r:id="rId7"/>
    <hyperlink ref="M93" r:id="rId8"/>
    <hyperlink ref="M94" r:id="rId9"/>
    <hyperlink ref="M95" r:id="rId10"/>
    <hyperlink ref="M96" r:id="rId11"/>
    <hyperlink ref="M97" r:id="rId12"/>
  </hyperlinks>
  <pageMargins left="0.7" right="0.7" top="0.75" bottom="0.75" header="0.3" footer="0.3"/>
  <pageSetup orientation="portrait" r:id="rId1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2" sqref="H22"/>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75"/>
  <sheetViews>
    <sheetView workbookViewId="0">
      <selection activeCell="D33" sqref="D33"/>
    </sheetView>
  </sheetViews>
  <sheetFormatPr defaultRowHeight="15"/>
  <cols>
    <col min="1" max="1" width="14" bestFit="1" customWidth="1"/>
    <col min="2" max="2" width="101.42578125" bestFit="1" customWidth="1"/>
    <col min="3" max="3" width="87.5703125" customWidth="1"/>
    <col min="4" max="4" width="89.140625" bestFit="1" customWidth="1"/>
    <col min="5" max="5" width="16" bestFit="1" customWidth="1"/>
    <col min="6" max="6" width="14.140625" bestFit="1" customWidth="1"/>
    <col min="7" max="8" width="15" bestFit="1" customWidth="1"/>
    <col min="9" max="9" width="14.85546875" bestFit="1" customWidth="1"/>
    <col min="10" max="10" width="14.140625" bestFit="1" customWidth="1"/>
    <col min="11" max="11" width="10.140625" bestFit="1" customWidth="1"/>
    <col min="12" max="12" width="9" bestFit="1" customWidth="1"/>
    <col min="13" max="13" width="8.140625" bestFit="1" customWidth="1"/>
    <col min="14" max="14" width="13.85546875" bestFit="1" customWidth="1"/>
    <col min="15" max="16" width="15.5703125" bestFit="1" customWidth="1"/>
  </cols>
  <sheetData>
    <row r="1" spans="1:15">
      <c r="A1" s="29" t="s">
        <v>705</v>
      </c>
      <c r="B1" s="29" t="s">
        <v>706</v>
      </c>
      <c r="C1" s="29" t="s">
        <v>707</v>
      </c>
    </row>
    <row r="2" spans="1:15">
      <c r="A2" t="s">
        <v>708</v>
      </c>
      <c r="B2" t="s">
        <v>709</v>
      </c>
      <c r="C2" s="2" t="s">
        <v>710</v>
      </c>
      <c r="D2" s="8" t="str">
        <f>('Build Data'!I10)</f>
        <v/>
      </c>
      <c r="E2" s="2"/>
      <c r="F2" s="2"/>
      <c r="G2" s="2"/>
      <c r="H2" s="2"/>
      <c r="I2" s="2"/>
      <c r="J2" s="2"/>
      <c r="K2" s="2"/>
    </row>
    <row r="3" spans="1:15">
      <c r="C3" s="2" t="s">
        <v>711</v>
      </c>
      <c r="D3" t="str">
        <f>('Build Data'!I4)</f>
        <v/>
      </c>
      <c r="E3" s="2" t="s">
        <v>712</v>
      </c>
      <c r="F3" t="str">
        <f>('Build Data'!I5)</f>
        <v/>
      </c>
      <c r="G3" s="2" t="s">
        <v>713</v>
      </c>
      <c r="H3" t="str">
        <f>D2</f>
        <v/>
      </c>
      <c r="I3" s="2" t="s">
        <v>714</v>
      </c>
      <c r="J3" t="str">
        <f>('Build Data'!I11)</f>
        <v/>
      </c>
      <c r="K3" s="2" t="s">
        <v>715</v>
      </c>
      <c r="L3" t="str">
        <f>AutoPop!A3</f>
        <v>PROD</v>
      </c>
      <c r="M3" s="2" t="s">
        <v>716</v>
      </c>
      <c r="N3" t="str">
        <f>AutoPop!A5</f>
        <v>SANDBOX1</v>
      </c>
      <c r="O3" s="2" t="s">
        <v>717</v>
      </c>
    </row>
    <row r="5" spans="1:15" ht="15" customHeight="1">
      <c r="A5" t="s">
        <v>708</v>
      </c>
      <c r="B5" t="s">
        <v>718</v>
      </c>
      <c r="C5" s="17" t="s">
        <v>719</v>
      </c>
    </row>
    <row r="6" spans="1:15">
      <c r="C6" s="24" t="s">
        <v>390</v>
      </c>
    </row>
    <row r="9" spans="1:15">
      <c r="C9" s="18" t="s">
        <v>720</v>
      </c>
      <c r="D9" s="58" t="s">
        <v>721</v>
      </c>
    </row>
    <row r="10" spans="1:15">
      <c r="B10" s="17"/>
      <c r="C10" s="18"/>
      <c r="D10" s="58" t="s">
        <v>722</v>
      </c>
    </row>
    <row r="11" spans="1:15">
      <c r="B11" s="19"/>
      <c r="D11" s="58" t="s">
        <v>723</v>
      </c>
    </row>
    <row r="12" spans="1:15">
      <c r="D12" s="58" t="s">
        <v>724</v>
      </c>
    </row>
    <row r="13" spans="1:15">
      <c r="D13" s="60" t="s">
        <v>725</v>
      </c>
    </row>
    <row r="14" spans="1:15">
      <c r="D14" s="58" t="s">
        <v>726</v>
      </c>
    </row>
    <row r="15" spans="1:15">
      <c r="D15" s="60" t="s">
        <v>727</v>
      </c>
    </row>
    <row r="16" spans="1:15">
      <c r="D16" s="58" t="s">
        <v>728</v>
      </c>
    </row>
    <row r="17" spans="2:4">
      <c r="D17" s="58" t="s">
        <v>729</v>
      </c>
    </row>
    <row r="18" spans="2:4">
      <c r="D18" s="58" t="s">
        <v>730</v>
      </c>
    </row>
    <row r="19" spans="2:4">
      <c r="D19" s="58" t="s">
        <v>731</v>
      </c>
    </row>
    <row r="20" spans="2:4">
      <c r="B20" s="18"/>
      <c r="D20" s="59" t="s">
        <v>732</v>
      </c>
    </row>
    <row r="21" spans="2:4">
      <c r="B21" s="20"/>
      <c r="D21" s="58" t="s">
        <v>733</v>
      </c>
    </row>
    <row r="22" spans="2:4">
      <c r="B22" s="20"/>
      <c r="D22" s="58" t="s">
        <v>734</v>
      </c>
    </row>
    <row r="23" spans="2:4">
      <c r="B23" s="21"/>
      <c r="D23" s="58" t="s">
        <v>735</v>
      </c>
    </row>
    <row r="24" spans="2:4">
      <c r="B24" s="20"/>
      <c r="D24" s="58" t="s">
        <v>736</v>
      </c>
    </row>
    <row r="25" spans="2:4">
      <c r="B25" s="20"/>
      <c r="D25" s="59" t="s">
        <v>737</v>
      </c>
    </row>
    <row r="26" spans="2:4">
      <c r="B26" s="18"/>
      <c r="D26" s="59" t="s">
        <v>738</v>
      </c>
    </row>
    <row r="27" spans="2:4">
      <c r="D27" s="59" t="s">
        <v>739</v>
      </c>
    </row>
    <row r="28" spans="2:4">
      <c r="B28" s="22"/>
      <c r="D28" s="58" t="s">
        <v>740</v>
      </c>
    </row>
    <row r="29" spans="2:4">
      <c r="B29" s="22"/>
      <c r="D29" s="58" t="s">
        <v>741</v>
      </c>
    </row>
    <row r="30" spans="2:4">
      <c r="B30" s="22"/>
      <c r="D30" s="58" t="s">
        <v>742</v>
      </c>
    </row>
    <row r="31" spans="2:4">
      <c r="B31" s="22"/>
    </row>
    <row r="32" spans="2:4">
      <c r="B32" s="22"/>
      <c r="C32" t="s">
        <v>743</v>
      </c>
      <c r="D32" t="s">
        <v>744</v>
      </c>
    </row>
    <row r="33" spans="2:5">
      <c r="B33" s="22"/>
    </row>
    <row r="34" spans="2:5">
      <c r="B34" s="22"/>
    </row>
    <row r="35" spans="2:5">
      <c r="B35" s="22"/>
    </row>
    <row r="36" spans="2:5">
      <c r="B36" s="22"/>
      <c r="C36" t="s">
        <v>745</v>
      </c>
      <c r="D36" t="s">
        <v>746</v>
      </c>
      <c r="E36" t="s">
        <v>548</v>
      </c>
    </row>
    <row r="37" spans="2:5">
      <c r="B37" s="22"/>
      <c r="C37" s="65"/>
      <c r="D37" t="s">
        <v>747</v>
      </c>
      <c r="E37" t="s">
        <v>748</v>
      </c>
    </row>
    <row r="38" spans="2:5">
      <c r="B38" s="22"/>
      <c r="D38" t="s">
        <v>749</v>
      </c>
      <c r="E38" t="s">
        <v>750</v>
      </c>
    </row>
    <row r="39" spans="2:5">
      <c r="B39" s="22"/>
      <c r="D39" t="s">
        <v>751</v>
      </c>
      <c r="E39" t="s">
        <v>752</v>
      </c>
    </row>
    <row r="40" spans="2:5">
      <c r="B40" s="22"/>
      <c r="D40" t="s">
        <v>753</v>
      </c>
      <c r="E40" t="s">
        <v>754</v>
      </c>
    </row>
    <row r="41" spans="2:5">
      <c r="B41" s="22"/>
      <c r="D41" t="s">
        <v>755</v>
      </c>
      <c r="E41" t="s">
        <v>756</v>
      </c>
    </row>
    <row r="42" spans="2:5">
      <c r="B42" s="22"/>
      <c r="D42" t="s">
        <v>757</v>
      </c>
      <c r="E42" t="s">
        <v>758</v>
      </c>
    </row>
    <row r="43" spans="2:5">
      <c r="B43" s="22"/>
      <c r="D43" t="s">
        <v>759</v>
      </c>
    </row>
    <row r="44" spans="2:5">
      <c r="B44" s="22"/>
      <c r="D44" t="s">
        <v>760</v>
      </c>
    </row>
    <row r="45" spans="2:5">
      <c r="B45" s="22"/>
    </row>
    <row r="46" spans="2:5">
      <c r="B46" s="22"/>
      <c r="C46" t="s">
        <v>761</v>
      </c>
      <c r="D46" t="s">
        <v>762</v>
      </c>
    </row>
    <row r="47" spans="2:5">
      <c r="B47" s="22"/>
      <c r="D47" t="s">
        <v>763</v>
      </c>
    </row>
    <row r="48" spans="2:5">
      <c r="B48" s="22"/>
      <c r="D48" t="s">
        <v>764</v>
      </c>
    </row>
    <row r="49" spans="2:4">
      <c r="B49" s="22"/>
    </row>
    <row r="50" spans="2:4">
      <c r="B50" s="22"/>
    </row>
    <row r="51" spans="2:4" ht="16.5">
      <c r="B51" s="22"/>
      <c r="D51" s="64"/>
    </row>
    <row r="52" spans="2:4" ht="16.5">
      <c r="B52" s="23"/>
      <c r="D52" s="64"/>
    </row>
    <row r="53" spans="2:4" ht="16.5">
      <c r="D53" s="64"/>
    </row>
    <row r="54" spans="2:4" ht="16.5">
      <c r="B54" s="22"/>
      <c r="D54" s="64"/>
    </row>
    <row r="55" spans="2:4" ht="16.5">
      <c r="B55" s="22"/>
      <c r="D55" s="64"/>
    </row>
    <row r="56" spans="2:4" ht="16.5">
      <c r="B56" s="22"/>
      <c r="D56" s="64"/>
    </row>
    <row r="57" spans="2:4" ht="16.5">
      <c r="B57" s="24"/>
      <c r="D57" s="64"/>
    </row>
    <row r="58" spans="2:4" ht="16.5">
      <c r="D58" s="64"/>
    </row>
    <row r="59" spans="2:4" ht="16.5">
      <c r="D59" s="64"/>
    </row>
    <row r="60" spans="2:4" ht="16.5">
      <c r="B60" s="25"/>
      <c r="D60" s="64"/>
    </row>
    <row r="61" spans="2:4" ht="16.5">
      <c r="B61" s="26"/>
      <c r="D61" s="64"/>
    </row>
    <row r="62" spans="2:4" ht="16.5">
      <c r="B62" s="26"/>
      <c r="D62" s="64"/>
    </row>
    <row r="63" spans="2:4">
      <c r="B63" s="26"/>
    </row>
    <row r="64" spans="2:4">
      <c r="B64" s="26"/>
    </row>
    <row r="65" spans="1:4">
      <c r="B65" s="26" t="s">
        <v>765</v>
      </c>
      <c r="D65" s="27"/>
    </row>
    <row r="66" spans="1:4">
      <c r="B66" s="26"/>
    </row>
    <row r="67" spans="1:4">
      <c r="B67" s="26"/>
    </row>
    <row r="68" spans="1:4">
      <c r="B68" s="26"/>
    </row>
    <row r="69" spans="1:4">
      <c r="B69" s="26"/>
    </row>
    <row r="70" spans="1:4">
      <c r="B70" s="26" t="s">
        <v>766</v>
      </c>
    </row>
    <row r="74" spans="1:4">
      <c r="A74" t="s">
        <v>767</v>
      </c>
    </row>
    <row r="75" spans="1:4">
      <c r="B75" s="28" t="s">
        <v>768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23"/>
  <sheetViews>
    <sheetView tabSelected="1" zoomScale="130" zoomScaleNormal="130" workbookViewId="0">
      <selection activeCell="B3" sqref="B3"/>
    </sheetView>
  </sheetViews>
  <sheetFormatPr defaultColWidth="8.7109375" defaultRowHeight="11.25"/>
  <cols>
    <col min="1" max="1" width="21.5703125" style="24" bestFit="1" customWidth="1"/>
    <col min="2" max="2" width="17.5703125" style="24" customWidth="1"/>
    <col min="3" max="3" width="10.5703125" style="24" bestFit="1" customWidth="1"/>
    <col min="4" max="4" width="4.28515625" style="24" customWidth="1"/>
    <col min="5" max="5" width="19.7109375" style="24" bestFit="1" customWidth="1"/>
    <col min="6" max="6" width="29.85546875" style="24" customWidth="1"/>
    <col min="7" max="7" width="9.5703125" style="24" bestFit="1" customWidth="1"/>
    <col min="8" max="8" width="22" style="24" customWidth="1"/>
    <col min="9" max="9" width="34.7109375" style="24" bestFit="1" customWidth="1"/>
    <col min="10" max="10" width="14.85546875" style="24" bestFit="1" customWidth="1"/>
    <col min="11" max="11" width="18" style="24" bestFit="1" customWidth="1"/>
    <col min="12" max="12" width="23.7109375" style="24" bestFit="1" customWidth="1"/>
    <col min="13" max="13" width="36.42578125" style="24" customWidth="1"/>
    <col min="14" max="14" width="14.5703125" style="24" bestFit="1" customWidth="1"/>
    <col min="15" max="16384" width="8.7109375" style="24"/>
  </cols>
  <sheetData>
    <row r="1" spans="1:26">
      <c r="A1" s="1052" t="s">
        <v>83</v>
      </c>
      <c r="B1" s="1053"/>
      <c r="C1" s="1053"/>
      <c r="D1" s="1053"/>
      <c r="E1" s="1053"/>
      <c r="F1" s="1053"/>
      <c r="G1" s="1049"/>
      <c r="H1" s="1054" t="s">
        <v>84</v>
      </c>
      <c r="I1" s="1054"/>
      <c r="J1" s="1054"/>
      <c r="K1" s="1054"/>
      <c r="L1" s="1054"/>
      <c r="M1" s="1054"/>
      <c r="N1" s="1054"/>
      <c r="O1" s="1048"/>
      <c r="P1" s="1048"/>
      <c r="Q1" s="1048"/>
      <c r="R1" s="1048"/>
      <c r="S1" s="1048"/>
      <c r="T1" s="1048"/>
      <c r="U1" s="1048"/>
      <c r="V1" s="1048"/>
      <c r="W1" s="1048"/>
      <c r="X1" s="1048"/>
      <c r="Y1" s="1048"/>
      <c r="Z1" s="1048"/>
    </row>
    <row r="2" spans="1:26">
      <c r="A2" s="744" t="s">
        <v>85</v>
      </c>
      <c r="B2" s="798" t="s">
        <v>8</v>
      </c>
      <c r="C2" s="811"/>
      <c r="D2" s="762"/>
      <c r="E2" s="744" t="s">
        <v>85</v>
      </c>
      <c r="F2" s="744" t="s">
        <v>8</v>
      </c>
      <c r="G2" s="1050"/>
      <c r="H2" s="862" t="str">
        <f>IF(OR(B3="",B3="Sandbox 2 Only",B3="Sandbox 3 Only"),"",IF(B3&lt;&gt;"PreBuild","Build Prod Url",IF(B3="PreBuild","PreProd URL","")))</f>
        <v/>
      </c>
      <c r="I2" s="863" t="str">
        <f>IF(OR(B3="",B3="Sandbox 3 Only",B3="Sandbox 2 Only"),"",IF(B3="Sandbox 3 Only","",IF(B5&gt;=1,"https://"&amp;F3&amp;""&amp;""&amp;AutoPop!F56,"")))</f>
        <v/>
      </c>
      <c r="K2" s="1049"/>
      <c r="L2" s="862" t="str">
        <f>IF(B3="Sandbox 2 Only","Build SB2 Customer Url",IF(AND(B5&gt;=3,B3="New Logo"),"Build SB2 Customer Url",IF(AND(B5&gt;=3,B3="PreBuild"),"Build SB2 Customer Url","")))</f>
        <v/>
      </c>
      <c r="M2" s="907" t="str">
        <f>IF(B3="Sandbox 3 Only","",IF(B3="Sandbox 2 Only","https://"&amp;F5&amp;""&amp;""&amp;AutoPop!F56,IF(B5&gt;2,"https://"&amp;F5&amp;""&amp;""&amp;AutoPop!F56,"")))</f>
        <v/>
      </c>
      <c r="O2" s="1048"/>
      <c r="P2" s="1048"/>
      <c r="Q2" s="1048"/>
      <c r="R2" s="1048"/>
      <c r="S2" s="1048"/>
      <c r="T2" s="1048"/>
      <c r="U2" s="1048"/>
      <c r="V2" s="1048"/>
      <c r="W2" s="1048"/>
      <c r="X2" s="1048"/>
      <c r="Y2" s="1048"/>
      <c r="Z2" s="1048"/>
    </row>
    <row r="3" spans="1:26">
      <c r="A3" s="843" t="s">
        <v>86</v>
      </c>
      <c r="B3" s="841"/>
      <c r="C3" s="770"/>
      <c r="D3" s="763"/>
      <c r="E3" s="801" t="str">
        <f>IF(OR(B3="Sandbox 3 Only",B3="Sandbox 2 Only"),"","Prod Alias")</f>
        <v>Prod Alias</v>
      </c>
      <c r="F3" s="724" t="str">
        <f>IF(OR(B3="Sandbox 2 Only",B3="Sandbox 3 Only"),"",IF(B3="","",IF(B3&lt;&gt;"PreBuild",MasterConfig!B9,IF(B3="PreBuild",MasterConfig!B9&amp;"2",""))))</f>
        <v/>
      </c>
      <c r="G3" s="1050"/>
      <c r="H3" s="795" t="str">
        <f>IF(OR(B3="",B3="Sandbox 2 Only",B3="Sandbox 3 Only"),"",IF(B3&lt;&gt;"PreBuild","Build Prod Servers",IF(B3="PreBuild","PreProd Servers","")))</f>
        <v/>
      </c>
      <c r="I3" s="731" t="str">
        <f>IF(OR(B3="Sandbox 2 Only",B3="Sandbox 3 Only"),"",IF(OR(F7="",F16=""),"",IF(B4="","",AutoPop!D34)))</f>
        <v/>
      </c>
      <c r="J3" s="775" t="str">
        <f>IF(B7=1,"",IF(OR(B3="New Logo",B3="Internal",B3="PreBuild"),"Additional Webs",""))</f>
        <v/>
      </c>
      <c r="K3" s="1049"/>
      <c r="L3" s="795" t="str">
        <f>IF(B3="Sandbox 2 Only","Build SB2 Servers",IF(AND(B5&gt;=3,B3="New Logo"),"Build 2nd Sandbox Servers",IF(AND(B5&gt;=3,B3="PreBuild"),"Build 2nd Sandbox Servers","")))</f>
        <v/>
      </c>
      <c r="M3" s="726" t="str">
        <f>IF(B3="Sandbox 3 Only","",IF(OR(B3="Sandbox 2 Only",B5&gt;=3),AutoPop!D20,IF(AND(B3="New Logo",B5&gt;=3),AutoPop!D20,IF(B3="Sandbox 3 Only","",IF(OR(F7="",F16=""),"",IF(B4="","",""))))))</f>
        <v/>
      </c>
      <c r="N3" s="777" t="str">
        <f>IF(B3="Sandbox 3 Only","",IF(AND(B5&gt;=3,B6&gt;1),"Additional Webs",IF(B3&lt;&gt;"Sandbox 2 Only","","")))</f>
        <v/>
      </c>
      <c r="O3" s="1048"/>
      <c r="P3" s="1048"/>
      <c r="Q3" s="1048"/>
      <c r="R3" s="1048"/>
      <c r="S3" s="1048"/>
      <c r="T3" s="1048"/>
      <c r="U3" s="1048"/>
      <c r="V3" s="1048"/>
      <c r="W3" s="1048"/>
      <c r="X3" s="1048"/>
      <c r="Y3" s="1048"/>
      <c r="Z3" s="1048"/>
    </row>
    <row r="4" spans="1:26">
      <c r="A4" s="844" t="s">
        <v>30</v>
      </c>
      <c r="B4" s="758"/>
      <c r="C4" s="760"/>
      <c r="D4" s="763"/>
      <c r="E4" s="799" t="str">
        <f>IF(OR('Build Data'!B3="Sandbox 2 Only",'Build Data'!B3="Sandbox 3 Only"),"",IF(B5&gt;1,"Sandbox Alias",""))</f>
        <v/>
      </c>
      <c r="F4" s="724" t="str">
        <f>IF(OR(B3="Sandbox 2 Only",B3="Sandbox 3 Only"),"",IF(B5&gt;1,(F3)&amp;"-sb",""))</f>
        <v/>
      </c>
      <c r="G4" s="1050"/>
      <c r="H4" s="732"/>
      <c r="I4" s="731" t="str">
        <f>IF(OR(B3="Sandbox 2 Only",B3="Sandbox 3 Only"),"",IF(OR(F7="",F16=""),"",IF(B4="","",AutoPop!D35)))</f>
        <v/>
      </c>
      <c r="J4" s="738" t="str">
        <f>IF(OR(B3="Sandbox 2 Only",B3="Sandbox 3 Only",F7="",F16=""),"",IF(B7&gt;=2,AutoPop!F34,""))</f>
        <v/>
      </c>
      <c r="K4" s="1050"/>
      <c r="L4" s="732"/>
      <c r="M4" s="727" t="str">
        <f>IF(B3="Sandbox 3 Only","",IF(OR(B3="Sandbox 2 Only",B5&gt;=3),AutoPop!D21,IF(AND(B3="New Logo",B5&gt;=3),AutoPop!D21,IF(B3="Sandbox 3 Only","",IF(OR(F7="",F16=""),"",IF(B4="","",""))))))</f>
        <v/>
      </c>
      <c r="N4" s="728" t="str">
        <f>IF(B3="Sandbox 3 Only","",IF(AND(B3="Sandbox 2 Only",B7&gt;1),AutoPop!F20,IF(AND(B5&gt;2,B7&gt;=2),AutoPop!F20,"")))</f>
        <v/>
      </c>
      <c r="O4" s="1048"/>
      <c r="P4" s="1048"/>
      <c r="Q4" s="1048"/>
      <c r="R4" s="1048"/>
      <c r="S4" s="1048"/>
      <c r="T4" s="1048"/>
      <c r="U4" s="1048"/>
      <c r="V4" s="1048"/>
      <c r="W4" s="1048"/>
      <c r="X4" s="1048"/>
      <c r="Y4" s="1048"/>
      <c r="Z4" s="1048"/>
    </row>
    <row r="5" spans="1:26">
      <c r="A5" s="791" t="s">
        <v>88</v>
      </c>
      <c r="B5" s="758"/>
      <c r="C5" s="760"/>
      <c r="D5" s="767"/>
      <c r="E5" s="802" t="str">
        <f>IF(OR(B3="Sandbox 2 Only",B5&gt;=3),"2nd Sandbox Alias","")</f>
        <v/>
      </c>
      <c r="F5" s="724" t="str">
        <f>IF(B3="Sandbox 3 Only","",IF(B3="Sandbox 2 Only",MasterConfig!B9&amp;"-sb2",IF(B5&gt;=3,(F3)&amp;"-sb2","")))</f>
        <v/>
      </c>
      <c r="G5" s="1050"/>
      <c r="H5" s="709"/>
      <c r="I5" s="731" t="str">
        <f>IF(OR(B3="Sandbox 2 Only",B3="Sandbox 3 Only"),"",IF(OR(F7="",F16=""),"",IF(B4="","",AutoPop!D36)))</f>
        <v/>
      </c>
      <c r="J5" s="740" t="str">
        <f>IF(OR(B3="Sandbox 2 Only",B3="Sandbox 3 Only",F7="",F16=""),"",IF(B7&gt;=3,AutoPop!F35,""))</f>
        <v/>
      </c>
      <c r="K5" s="1050"/>
      <c r="L5" s="709"/>
      <c r="M5" s="727" t="str">
        <f>IF(B3="Sandbox 3 Only","",IF(OR(B3="Sandbox 2 Only",B5&gt;=3),AutoPop!D22,IF(AND(B3="New Logo",B5&gt;=3),AutoPop!D22,IF(B3="Sandbox 3 Only","",IF(OR(F7="",F16=""),"",IF(B4="","",""))))))</f>
        <v/>
      </c>
      <c r="N5" s="737" t="str">
        <f>IF(B3="Sandbox 3 Only","",IF(AND(B3="Sandbox 2 Only",B7&gt;2),AutoPop!F21,IF(AND(B5&gt;2,B7&gt;=3),AutoPop!F21,"")))</f>
        <v/>
      </c>
      <c r="O5" s="1048"/>
      <c r="P5" s="1048"/>
      <c r="Q5" s="1048"/>
      <c r="R5" s="1048"/>
      <c r="S5" s="1048"/>
      <c r="T5" s="1048"/>
      <c r="U5" s="1048"/>
      <c r="V5" s="1048"/>
      <c r="W5" s="1048"/>
      <c r="X5" s="1048"/>
      <c r="Y5" s="1048"/>
      <c r="Z5" s="1048"/>
    </row>
    <row r="6" spans="1:26">
      <c r="A6" s="797" t="s">
        <v>31</v>
      </c>
      <c r="B6" s="725" t="str">
        <f>IF(B4="","",IF(B4&gt;="Unlimited",2,IF(B4&gt;=7000,4,IF(B4&gt;=5000,3,IF(B4&gt;=3500,2,1)))))</f>
        <v/>
      </c>
      <c r="C6" s="764"/>
      <c r="D6" s="767"/>
      <c r="E6" s="799" t="str">
        <f>IF(B5&gt;=4,"3rd Sandbox Alias",IF(B3="Sandbox 3 Only","3rd Sandbox Alias",""))</f>
        <v/>
      </c>
      <c r="F6" s="724" t="str">
        <f>IF(B3="Sandbox 3 Only",MasterConfig!B9&amp;"-sb3",IF(B5&gt;=4,(F3)&amp;"-sb3",""))</f>
        <v/>
      </c>
      <c r="G6" s="1050"/>
      <c r="H6" s="506"/>
      <c r="I6" s="731" t="str">
        <f>IF(OR(B3="Sandbox 2 Only",B3="Sandbox 3 Only"),"",IF(OR(F7="",F16=""),"",IF(B4="","",AutoPop!D37)))</f>
        <v/>
      </c>
      <c r="J6" s="740" t="str">
        <f>IF(OR(B3="Sandbox 2 Only",B3="Sandbox 3 Only",F7="",F16=""),"",IF(B7&gt;=4,AutoPop!F36,""))</f>
        <v/>
      </c>
      <c r="K6" s="1050"/>
      <c r="L6" s="709"/>
      <c r="M6" s="729" t="str">
        <f>IF(B3="Sandbox 3 Only","",IF(OR(B3="Sandbox 2 Only",B5&gt;=3),AutoPop!D23,IF(AND(B3="New Logo",B5&gt;=3),AutoPop!D23,IF(B3="Sandbox 3 Only","",IF(OR(F7="",F16=""),"",IF(B4="","",""))))))</f>
        <v/>
      </c>
      <c r="N6" s="737" t="str">
        <f>IF(B3="Sandbox 3 Only","",IF(AND(B3="Sandbox 2 Only",B7&gt;3),AutoPop!F22,IF(AND(B5&gt;2,B7&gt;=4),AutoPop!F22,"")))</f>
        <v/>
      </c>
      <c r="O6" s="1048"/>
      <c r="P6" s="1048"/>
      <c r="Q6" s="1048"/>
      <c r="R6" s="1048"/>
      <c r="S6" s="1048"/>
      <c r="T6" s="1048"/>
      <c r="U6" s="1048"/>
      <c r="V6" s="1048"/>
      <c r="W6" s="1048"/>
      <c r="X6" s="1048"/>
      <c r="Y6" s="1048"/>
      <c r="Z6" s="1048"/>
    </row>
    <row r="7" spans="1:26" ht="11.25" customHeight="1">
      <c r="A7" s="845" t="s">
        <v>32</v>
      </c>
      <c r="B7" s="725" t="str">
        <f>IF(B4="","",IF(B4&gt;="Unlimited",2,IF(B4&gt;=7000,4,IF(B4&gt;=5000,3,IF(B4&gt;=3500,2,1)))))</f>
        <v/>
      </c>
      <c r="C7" s="760"/>
      <c r="D7" s="763"/>
      <c r="E7" s="802" t="s">
        <v>11</v>
      </c>
      <c r="F7" s="724" t="str">
        <f>IF(MasterConfig!B11="","",MasterConfig!B11)</f>
        <v/>
      </c>
      <c r="G7" s="1050"/>
      <c r="H7" s="902"/>
      <c r="I7" s="731" t="str">
        <f>IF(OR(B3="Sandbox 2 Only",B3="Sandbox 3 Only"),"",IF(OR(F7="",F16=""),"",IF(B4="","",AutoPop!D38)))</f>
        <v/>
      </c>
      <c r="J7" s="730" t="str">
        <f>IF(OR(B3="Sandbox 2 Only",B3="Sandbox 3 Only",F7="",F16=""),"",IF(B7&gt;=5,AutoPop!F37,""))</f>
        <v/>
      </c>
      <c r="K7" s="1050"/>
      <c r="L7" s="902"/>
      <c r="M7" s="729" t="str">
        <f>IF(B3="Sandbox 3 Only","",IF(OR(B3="Sandbox 2 Only",B5&gt;=3),AutoPop!D24,IF(AND(B3="New Logo",B5&gt;=3),AutoPop!D24,IF(B3="Sandbox 3 Only","",IF(OR(F7="",F16=""),"",IF(B4="","",""))))))</f>
        <v/>
      </c>
      <c r="N7" s="730" t="str">
        <f>IF(B3="Sandbox 3 Only","",IF(AND(B3="Sandbox 2 Only",B7&gt;4),AutoPop!F23,IF(AND(B5&gt;2,B7&gt;=5),AutoPop!F23,"")))</f>
        <v/>
      </c>
      <c r="O7" s="1048"/>
      <c r="P7" s="1048"/>
      <c r="Q7" s="1048"/>
      <c r="R7" s="1048"/>
      <c r="S7" s="1048"/>
      <c r="T7" s="1048"/>
      <c r="U7" s="1048"/>
      <c r="V7" s="1048"/>
      <c r="W7" s="1048"/>
      <c r="X7" s="1048"/>
      <c r="Y7" s="1048"/>
      <c r="Z7" s="1048"/>
    </row>
    <row r="8" spans="1:26">
      <c r="A8" s="797" t="s">
        <v>89</v>
      </c>
      <c r="B8" s="758"/>
      <c r="C8" s="766"/>
      <c r="D8" s="773"/>
      <c r="E8" s="799" t="s">
        <v>16</v>
      </c>
      <c r="F8" s="724"/>
      <c r="G8" s="1050"/>
      <c r="H8" s="862" t="str">
        <f>IF(OR(B3="",B3="Sandbox 2 Only",B3="Sandbox 3 Only",B5=1),"",IF(B3&lt;&gt;"PreBuild","Build Sandbox Url",IF(B3="PreBuild","PreSandbox URL","")))</f>
        <v/>
      </c>
      <c r="I8" s="864" t="str">
        <f>IF(OR(B3="Sandbox 2 Only",B3="Sandbox 3 Only"),"",IF(B5&gt;1,"https://"&amp;F4&amp;""&amp;""&amp;AutoPop!F56,""))</f>
        <v/>
      </c>
      <c r="K8" s="1049"/>
      <c r="L8" s="862" t="str">
        <f>IF(B3="Sandbox 3 Only","Build SB3 Customer Url",IF(AND(B5&gt;=4,B3="New Logo"),"Build SB3 Customer Url",IF(AND(B5&gt;=4,B3="PreBuild"),"Build SB3 Customer Url","")))</f>
        <v/>
      </c>
      <c r="M8" s="864" t="str">
        <f>IF(B3="Sandbox 2 Only","",IF(B3="Sandbox 3 Only","https://"&amp;F6&amp;""&amp;""&amp;AutoPop!F56,IF(B5&gt;3,"https://"&amp;F6&amp;""&amp;""&amp;AutoPop!F56,"")))</f>
        <v/>
      </c>
      <c r="O8" s="1048"/>
      <c r="P8" s="1048"/>
      <c r="Q8" s="1048"/>
      <c r="R8" s="1048"/>
      <c r="S8" s="1048"/>
      <c r="T8" s="1048"/>
      <c r="U8" s="1048"/>
      <c r="V8" s="1048"/>
      <c r="W8" s="1048"/>
      <c r="X8" s="1048"/>
      <c r="Y8" s="1048"/>
      <c r="Z8" s="1048"/>
    </row>
    <row r="9" spans="1:26" ht="11.25" customHeight="1">
      <c r="A9" s="845" t="s">
        <v>90</v>
      </c>
      <c r="B9" s="880"/>
      <c r="C9" s="772"/>
      <c r="D9" s="767"/>
      <c r="E9" s="803" t="s">
        <v>20</v>
      </c>
      <c r="F9" s="724"/>
      <c r="G9" s="1050"/>
      <c r="H9" s="795" t="str">
        <f>IF(OR(B3="",B3="Sandbox 2 Only",B3="Sandbox 3 Only",B5=1),"",IF(B3&lt;&gt;"PreBuild","Build Sandbox Servers",IF(B3="PreBuild","PreSandbox Servers","")))</f>
        <v/>
      </c>
      <c r="I9" s="751" t="str">
        <f>IF(OR(B3="Sandbox 2 Only",B3="Sandbox 3 Only",B5=1),"",IF(OR(F7="",F16=""),"",IF(B4="","",IF(AND(B3="Sandbox 2 Only",B3="Sandbox 3 Only",B5&lt;=1),"",AutoPop!D13))))</f>
        <v/>
      </c>
      <c r="J9" s="775" t="str">
        <f>IF(B7&lt;=1,"",IF(OR(B3="New Logo",B3="Internal",B3="PreBuild"),"Additional Webs",""))</f>
        <v/>
      </c>
      <c r="K9" s="1049"/>
      <c r="L9" s="795" t="str">
        <f>IF(B3="Sandbox 3 Only","Build SB3 Servers",IF(AND(B5&gt;=4,B3="New Logo"),"Build 2nd Sandbox Servers",IF(AND(B5&gt;=4,B3="PreBuild"),"Build 3rd Sandbox Servers","")))</f>
        <v/>
      </c>
      <c r="M9" s="731" t="str">
        <f>IF(B3="Sandbox 2 Only","",IF(OR(B3="Sandbox 3 Only",B5&gt;=4),AutoPop!D27,IF(AND(B3="New Logo",B5&gt;=4),AutoPop!D27,IF(B3="Sandbox 2 Only","",IF(OR(F7="",F16=""),"",IF(B4="","",""))))))</f>
        <v/>
      </c>
      <c r="N9" s="775" t="str">
        <f>IF(B3="Sandbox 2 Only","",IF(AND(B5&gt;3,B6&gt;=2),"Additional Webs",""))</f>
        <v/>
      </c>
      <c r="O9" s="1048"/>
      <c r="P9" s="1048"/>
      <c r="Q9" s="1048"/>
      <c r="R9" s="1048"/>
      <c r="S9" s="1048"/>
      <c r="T9" s="1048"/>
      <c r="U9" s="1048"/>
      <c r="V9" s="1048"/>
      <c r="W9" s="1048"/>
      <c r="X9" s="1048"/>
      <c r="Y9" s="1048"/>
      <c r="Z9" s="1048"/>
    </row>
    <row r="10" spans="1:26">
      <c r="A10" s="797" t="s">
        <v>91</v>
      </c>
      <c r="B10" s="865"/>
      <c r="C10" s="771"/>
      <c r="D10" s="767"/>
      <c r="E10" s="799" t="s">
        <v>21</v>
      </c>
      <c r="F10" s="724" t="str">
        <f>IF(B4=0,"",IF(B4&lt;=1000,"No","Yes"))</f>
        <v/>
      </c>
      <c r="G10" s="1050"/>
      <c r="H10" s="732"/>
      <c r="I10" s="751" t="str">
        <f>IF(OR(B3="Sandbox 2 Only",B3="Sandbox 3 Only",B5=1),"",IF(OR(F7="",F16=""),"",IF(B4="","",IF(AND(B3="Sandbox 2 Only",B3="Sandbox 3 Only",B5&lt;=1),"",AutoPop!D14))))</f>
        <v/>
      </c>
      <c r="J10" s="738" t="str">
        <f>IF(OR(B3="Sandbox 2 Only",B3="Sandbox 3 Only",B5=1,F7="",F16=""),"",IF(B7&gt;=2,AutoPop!F13,""))</f>
        <v/>
      </c>
      <c r="K10" s="1050"/>
      <c r="L10" s="733"/>
      <c r="M10" s="731" t="str">
        <f>IF(B3="Sandbox 2 Only","",IF(OR(B3="Sandbox 3 Only",B5&gt;=4),AutoPop!D28,IF(AND(B3="New Logo",B5&gt;=4),AutoPop!D28,IF(B3="Sandbox 2 Only","",IF(OR(F7="",F16=""),"",IF(B4="","",""))))))</f>
        <v/>
      </c>
      <c r="N10" s="728" t="str">
        <f>IF(B3="Sandbox 2 Only","",IF(AND(B3="Sandbox 3 Only",B7&gt;1),AutoPop!F27,IF(AND(B5&gt;3,B7&gt;=2),AutoPop!F27,"")))</f>
        <v/>
      </c>
      <c r="O10" s="1048"/>
      <c r="P10" s="1048"/>
      <c r="Q10" s="1048"/>
      <c r="R10" s="1048"/>
      <c r="S10" s="1048"/>
      <c r="T10" s="1048"/>
      <c r="U10" s="1048"/>
      <c r="V10" s="1048"/>
      <c r="W10" s="1048"/>
      <c r="X10" s="1048"/>
      <c r="Y10" s="1048"/>
      <c r="Z10" s="1048"/>
    </row>
    <row r="11" spans="1:26">
      <c r="A11" s="792" t="s">
        <v>92</v>
      </c>
      <c r="B11" s="842"/>
      <c r="C11" s="770"/>
      <c r="D11" s="767"/>
      <c r="E11" s="802" t="s">
        <v>23</v>
      </c>
      <c r="F11" s="839"/>
      <c r="G11" s="1050"/>
      <c r="H11" s="709"/>
      <c r="I11" s="751" t="str">
        <f>IF(OR(B3="Sandbox 2 Only",B3="Sandbox 3 Only",B5=1),"",IF(OR(F7="",F16=""),"",IF(B4="","",IF(AND(B3="Sandbox 2 Only",B3="Sandbox 3 Only",B5&lt;=1),"",AutoPop!D15))))</f>
        <v/>
      </c>
      <c r="J11" s="740" t="str">
        <f>IF(OR(B3="Sandbox 2 Only",B3="Sandbox 3 Only",B5=1,F7="",F16=""),"",IF(B7&gt;=3,AutoPop!F14,""))</f>
        <v/>
      </c>
      <c r="K11" s="1050"/>
      <c r="L11" s="709"/>
      <c r="M11" s="731" t="str">
        <f>IF(B3="Sandbox 2 Only","",IF(OR(B3="Sandbox 3 Only",B5&gt;=4),AutoPop!D29,IF(AND(B3="New Logo",B5&gt;=4),AutoPop!D29,IF(B3="Sandbox 2 Only","",IF(OR(F7="",F16=""),"",IF(B4="","",""))))))</f>
        <v/>
      </c>
      <c r="N11" s="737" t="str">
        <f>IF(B3="Sandbox 2 Only","",IF(AND(B3="Sandbox 3 Only",B7&gt;2),AutoPop!F28,IF(AND(B5&gt;3,B7&gt;=3),AutoPop!F28,"")))</f>
        <v/>
      </c>
      <c r="O11" s="1048"/>
      <c r="P11" s="1048"/>
      <c r="Q11" s="1048"/>
      <c r="R11" s="1048"/>
      <c r="S11" s="1048"/>
      <c r="T11" s="1048"/>
      <c r="U11" s="1048"/>
      <c r="V11" s="1048"/>
      <c r="W11" s="1048"/>
      <c r="X11" s="1048"/>
      <c r="Y11" s="1048"/>
      <c r="Z11" s="1048"/>
    </row>
    <row r="12" spans="1:26">
      <c r="A12" s="797" t="s">
        <v>93</v>
      </c>
      <c r="B12" s="842"/>
      <c r="C12" s="770"/>
      <c r="D12" s="767"/>
      <c r="E12" s="799" t="s">
        <v>24</v>
      </c>
      <c r="F12" s="839"/>
      <c r="G12" s="1050"/>
      <c r="H12" s="709"/>
      <c r="I12" s="751" t="str">
        <f>IF(OR(B3="Sandbox 2 Only",B3="Sandbox 3 Only",B5=1),"",IF(OR(F7="",F16=""),"",IF(B4="","",IF(AND(B3="Sandbox 2 Only",B3="Sandbox 3 Only",B5&lt;=1),"",AutoPop!D16))))</f>
        <v/>
      </c>
      <c r="J12" s="740" t="str">
        <f>IF(OR(B3="Sandbox 2 Only",B3="Sandbox 3 Only",B5=1,F7="",F16=""),"",IF(B7&gt;=4,AutoPop!F15,""))</f>
        <v/>
      </c>
      <c r="K12" s="1050"/>
      <c r="L12" s="709"/>
      <c r="M12" s="731" t="str">
        <f>IF(B3="Sandbox 2 Only","",IF(OR(B3="Sandbox 3 Only",B5&gt;=4),AutoPop!D30,IF(AND(B3="New Logo",B5&gt;=4),AutoPop!D30,IF(B3="Sandbox 2 Only","",IF(OR(F7="",F16=""),"",IF(B4="","",""))))))</f>
        <v/>
      </c>
      <c r="N12" s="737" t="str">
        <f>IF(B3="Sandbox 2 Only","",IF(AND(B3="Sandbox 3 Only",B7&gt;3),AutoPop!F29,IF(AND(B5&gt;3,B7&gt;=4),AutoPop!F29,"")))</f>
        <v/>
      </c>
      <c r="O12" s="1048"/>
      <c r="P12" s="1048"/>
      <c r="Q12" s="1048"/>
      <c r="R12" s="1048"/>
      <c r="S12" s="1048"/>
      <c r="T12" s="1048"/>
      <c r="U12" s="1048"/>
      <c r="V12" s="1048"/>
      <c r="W12" s="1048"/>
      <c r="X12" s="1048"/>
      <c r="Y12" s="1048"/>
      <c r="Z12" s="1048"/>
    </row>
    <row r="13" spans="1:26" ht="11.25" customHeight="1">
      <c r="A13" s="846" t="s">
        <v>94</v>
      </c>
      <c r="B13" s="725"/>
      <c r="C13" s="761"/>
      <c r="E13" s="804" t="s">
        <v>25</v>
      </c>
      <c r="F13" s="759"/>
      <c r="G13" s="1050"/>
      <c r="H13" s="902"/>
      <c r="I13" s="752" t="str">
        <f>IF(OR(B3="Sandbox 2 Only",B3="Sandbox 3 Only",B5=1),"",IF(OR(F7="",F16=""),"",IF(B4="","",IF(AND(B3="Sandbox 2 Only",B3="Sandbox 3 Only",B5&lt;=1),"",AutoPop!D17))))</f>
        <v/>
      </c>
      <c r="J13" s="730" t="str">
        <f>IF(OR(B3="Sandbox 2 Only",B3="Sandbox 3 Only",B5=1,F7="",F16=""),"",IF(B7&gt;=5,AutoPop!F16,""))</f>
        <v/>
      </c>
      <c r="K13" s="1050"/>
      <c r="L13" s="902"/>
      <c r="M13" s="742" t="str">
        <f>IF(B3="Sandbox 2 Only","",IF(OR(B3="Sandbox 3 Only",B5&gt;=4),AutoPop!D31,IF(AND(B3="New Logo",B5&gt;=4),AutoPop!D31,IF(B3="Sandbox 2 Only","",IF(OR(F7="",F16=""),"",IF(B4="","",""))))))</f>
        <v/>
      </c>
      <c r="N13" s="730" t="str">
        <f>IF(B3="Sandbox 2 Only","",IF(AND(B3="Sandbox 3 Only",B7&gt;4),AutoPop!F30,IF(AND(B5&gt;3,B7&gt;=5),AutoPop!F30,"")))</f>
        <v/>
      </c>
      <c r="O13" s="1048"/>
      <c r="P13" s="1048"/>
      <c r="Q13" s="1048"/>
      <c r="R13" s="1048"/>
      <c r="S13" s="1048"/>
      <c r="T13" s="1048"/>
      <c r="U13" s="1048"/>
      <c r="V13" s="1048"/>
      <c r="W13" s="1048"/>
      <c r="X13" s="1048"/>
      <c r="Y13" s="1048"/>
      <c r="Z13" s="1048"/>
    </row>
    <row r="14" spans="1:26">
      <c r="A14" s="812"/>
      <c r="B14" s="824"/>
      <c r="C14" s="823"/>
      <c r="D14" s="774"/>
      <c r="E14" s="804" t="s">
        <v>95</v>
      </c>
      <c r="F14" s="734"/>
      <c r="G14" s="1050"/>
      <c r="H14" s="1043" t="str">
        <f>IF(B3="","",IF(B3="PreBuild","MasterConfig Calculation Results",""))</f>
        <v/>
      </c>
      <c r="I14" s="1044"/>
      <c r="J14" s="1045"/>
      <c r="K14" s="1049"/>
      <c r="L14" s="1043" t="str">
        <f>IF(B3="","",IF(B3="PreBuild","MasterConfig Calculation Results",""))</f>
        <v/>
      </c>
      <c r="M14" s="1044"/>
      <c r="N14" s="1045"/>
      <c r="O14" s="1048"/>
      <c r="P14" s="1048"/>
      <c r="Q14" s="1048"/>
      <c r="R14" s="1048"/>
      <c r="S14" s="1048"/>
      <c r="T14" s="1048"/>
      <c r="U14" s="1048"/>
      <c r="V14" s="1048"/>
      <c r="W14" s="1048"/>
      <c r="X14" s="1048"/>
      <c r="Y14" s="1048"/>
      <c r="Z14" s="1048"/>
    </row>
    <row r="15" spans="1:26">
      <c r="A15" s="818" t="s">
        <v>96</v>
      </c>
      <c r="B15" s="744" t="s">
        <v>97</v>
      </c>
      <c r="C15" s="813"/>
      <c r="D15" s="774"/>
      <c r="E15" s="800" t="str">
        <f>IF(B3="","","Maintenance Window")</f>
        <v/>
      </c>
      <c r="F15" s="734"/>
      <c r="G15" s="1050"/>
      <c r="H15" s="862" t="str">
        <f>IF(B3="PreBuild","Source Prod Customer Url","")</f>
        <v/>
      </c>
      <c r="I15" s="908" t="str">
        <f>IF(B3="PreBuild",IF(MasterConfig!B1="","",MasterConfig!B1),"")</f>
        <v/>
      </c>
      <c r="J15" s="829"/>
      <c r="K15" s="1049"/>
      <c r="L15" s="862" t="str">
        <f>IF(OR(B3="New Logo",B3="Sandbox 3 Only",B3="Sandbox 2 Only"),"",IF(AND(B3="PreBuild",B5&gt;=3),"Source 2nd Sandbox Customer Url",""))</f>
        <v/>
      </c>
      <c r="M15" s="924" t="str">
        <f>IF(OR(B3="New Logo",B3="Sandbox 3 Only",B3="Sandbox 2 Only"),"",IF(AND(B3="PreBuild",B5&gt;=3),MasterConfig!B3,""))</f>
        <v/>
      </c>
      <c r="N15" s="768"/>
      <c r="O15" s="1048"/>
      <c r="P15" s="1048"/>
      <c r="Q15" s="1048"/>
      <c r="R15" s="1048"/>
      <c r="S15" s="1048"/>
      <c r="T15" s="1048"/>
      <c r="U15" s="1048"/>
      <c r="V15" s="1048"/>
      <c r="W15" s="1048"/>
      <c r="X15" s="1048"/>
      <c r="Y15" s="1048"/>
      <c r="Z15" s="1048"/>
    </row>
    <row r="16" spans="1:26">
      <c r="A16" s="814" t="s">
        <v>99</v>
      </c>
      <c r="B16" s="734"/>
      <c r="C16" s="822"/>
      <c r="D16" s="767"/>
      <c r="E16" s="804" t="str">
        <f>IF(B3="","",IF(B3="Sandbox 3 Only","",IF(B3="Sandbox 2 Only","",IF(B3="PreBuild","PreProd Server #","Prod Server #"))))</f>
        <v/>
      </c>
      <c r="F16" s="926"/>
      <c r="G16" s="1050"/>
      <c r="H16" s="795" t="str">
        <f>IF(B3="PreBuild","Source Prod Servers","")</f>
        <v/>
      </c>
      <c r="I16" s="909" t="str">
        <f>IF(AND(MasterConfig!B62="",MasterConfig!B57=""),"",IF(MasterConfig!B62="",MasterConfig!B57,MasterConfig!B62))</f>
        <v/>
      </c>
      <c r="J16" s="777" t="str">
        <f>IF(B7&lt;=1,"",IF(B3="PreBuild","Additional Webs",""))</f>
        <v/>
      </c>
      <c r="K16" s="1049"/>
      <c r="L16" s="795" t="str">
        <f>IF(OR(B3="New Logo",B3="Sandbox 3 Only",B3="Sandbox 2 Only"),"",IF(AND(B3="PreBuild",B5&gt;=3),"Source 2nd Sandbox Servers",""))</f>
        <v/>
      </c>
      <c r="M16" s="909"/>
      <c r="N16" s="776"/>
      <c r="O16" s="1048"/>
      <c r="P16" s="1048"/>
      <c r="Q16" s="1048"/>
      <c r="R16" s="1048"/>
      <c r="S16" s="1048"/>
      <c r="T16" s="1048"/>
      <c r="U16" s="1048"/>
      <c r="V16" s="1048"/>
      <c r="W16" s="1048"/>
      <c r="X16" s="1048"/>
      <c r="Y16" s="1048"/>
      <c r="Z16" s="1048"/>
    </row>
    <row r="17" spans="1:26">
      <c r="A17" s="815" t="str">
        <f>IF(B3="","",IF(B3="PreBuild","Cutover Estimate",""))</f>
        <v/>
      </c>
      <c r="B17" s="734"/>
      <c r="C17" s="813"/>
      <c r="E17" s="799" t="str">
        <f>IF(B3="","",IF(AND(B5&gt;1,B3="PreBuild"),"PreSandbox Server #",IF(AND(B5&gt;1,B3="New Logo"),"Sandbox Server #",IF(B3="Sandbox 2 Only","",""))))</f>
        <v/>
      </c>
      <c r="F17" s="926"/>
      <c r="G17" s="1050"/>
      <c r="H17" s="492"/>
      <c r="I17" s="910" t="str">
        <f>IF(AND(MasterConfig!B62="",MasterConfig!B58=""),"",IF(MasterConfig!B62="",MasterConfig!B58,MasterConfig!B62))</f>
        <v/>
      </c>
      <c r="J17" s="912" t="str">
        <f>IF(MasterConfig!B64="","",MasterConfig!B64)</f>
        <v/>
      </c>
      <c r="K17" s="1050"/>
      <c r="L17" s="733"/>
      <c r="M17" s="910"/>
      <c r="N17" s="912" t="str">
        <f>IF(MasterConfig!F64="","",MasterConfig!F64)</f>
        <v/>
      </c>
      <c r="O17" s="1048"/>
      <c r="P17" s="1048"/>
      <c r="Q17" s="1048"/>
      <c r="R17" s="1048"/>
      <c r="S17" s="1048"/>
      <c r="T17" s="1048"/>
      <c r="U17" s="1048"/>
      <c r="V17" s="1048"/>
      <c r="W17" s="1048"/>
      <c r="X17" s="1048"/>
      <c r="Y17" s="1048"/>
      <c r="Z17" s="1048"/>
    </row>
    <row r="18" spans="1:26">
      <c r="A18" s="816" t="str">
        <f>IF(B3="","",IF(B3="PreBuild","Decom Estimate",""))</f>
        <v/>
      </c>
      <c r="B18" s="734"/>
      <c r="C18" s="770"/>
      <c r="D18" s="767"/>
      <c r="E18" s="804" t="str">
        <f>IF(B3="","",IF(AND(B3="Sandbox 2 Only","Sandbox 3 Only"),"2nd Sandbox Server #",IF(AND(B5&gt;2,B3="PreBuild"),"2nd PreSandbox Server #",IF(AND(B5&gt;2,B3&lt;&gt;"PreBuild"),"2nd Sandbox Server #",""))))</f>
        <v/>
      </c>
      <c r="F18" s="926"/>
      <c r="G18" s="1050"/>
      <c r="H18" s="903"/>
      <c r="I18" s="910" t="str">
        <f>IF(MasterConfig!B60="","",MasterConfig!B60)</f>
        <v/>
      </c>
      <c r="J18" s="913" t="str">
        <f>IF(MasterConfig!B65="","",MasterConfig!B65)</f>
        <v/>
      </c>
      <c r="K18" s="1050"/>
      <c r="L18" s="709"/>
      <c r="M18" s="910"/>
      <c r="N18" s="913" t="str">
        <f>IF(MasterConfig!F65="","",MasterConfig!F65)</f>
        <v/>
      </c>
      <c r="O18" s="1048"/>
      <c r="P18" s="1048"/>
      <c r="Q18" s="1048"/>
      <c r="R18" s="1048"/>
      <c r="S18" s="1048"/>
      <c r="T18" s="1048"/>
      <c r="U18" s="1048"/>
      <c r="V18" s="1048"/>
      <c r="W18" s="1048"/>
      <c r="X18" s="1048"/>
      <c r="Y18" s="1048"/>
      <c r="Z18" s="1048"/>
    </row>
    <row r="19" spans="1:26">
      <c r="A19" s="848"/>
      <c r="B19" s="849"/>
      <c r="C19" s="820"/>
      <c r="D19" s="767"/>
      <c r="E19" s="799" t="str">
        <f>IF(B3="","",IF(B3="Sandbox 3 Only","3rd Sandbox Server #",IF(AND(B5&gt;3,B3="PreBuild"),"3rd PreSandbox Server #",IF(AND(B5&gt;3,B3&lt;&gt;"PreBuild"),"3rd Sandbox Server #",""))))</f>
        <v/>
      </c>
      <c r="F19" s="926"/>
      <c r="G19" s="1050"/>
      <c r="H19" s="903"/>
      <c r="I19" s="911" t="str">
        <f>IF(MasterConfig!B59="","",MasterConfig!B59)</f>
        <v/>
      </c>
      <c r="J19" s="913" t="str">
        <f>IF(MasterConfig!B66="","",MasterConfig!B66)</f>
        <v/>
      </c>
      <c r="K19" s="1050"/>
      <c r="L19" s="709"/>
      <c r="M19" s="911"/>
      <c r="N19" s="913" t="str">
        <f>IF(MasterConfig!F66="","",MasterConfig!F66)</f>
        <v/>
      </c>
      <c r="O19" s="1048"/>
      <c r="P19" s="1048"/>
      <c r="Q19" s="1048"/>
      <c r="R19" s="1048"/>
      <c r="S19" s="1048"/>
      <c r="T19" s="1048"/>
      <c r="U19" s="1048"/>
      <c r="V19" s="1048"/>
      <c r="W19" s="1048"/>
      <c r="X19" s="1048"/>
      <c r="Y19" s="1048"/>
      <c r="Z19" s="1048"/>
    </row>
    <row r="20" spans="1:26">
      <c r="A20" s="1043" t="str">
        <f>IF(B3="","",IF(B3="PreBuild","MasterConfig Interigation Results",""))</f>
        <v/>
      </c>
      <c r="B20" s="1044"/>
      <c r="C20" s="1045"/>
      <c r="E20" s="804" t="s">
        <v>100</v>
      </c>
      <c r="F20" s="840"/>
      <c r="G20" s="1050"/>
      <c r="H20" s="904"/>
      <c r="I20" s="911" t="str">
        <f>IF(MasterConfig!B24=TRUE,"",IF(MasterConfig!B61="","",MasterConfig!B61))</f>
        <v/>
      </c>
      <c r="J20" s="914" t="str">
        <f>IF(MasterConfig!B67="","",MasterConfig!B67)</f>
        <v/>
      </c>
      <c r="K20" s="1050"/>
      <c r="L20" s="902"/>
      <c r="M20" s="911"/>
      <c r="N20" s="914" t="str">
        <f>IF(MasterConfig!F67="","",MasterConfig!F67)</f>
        <v/>
      </c>
      <c r="O20" s="1048"/>
      <c r="P20" s="1048"/>
      <c r="Q20" s="1048"/>
      <c r="R20" s="1048"/>
      <c r="S20" s="1048"/>
      <c r="T20" s="1048"/>
      <c r="U20" s="1048"/>
      <c r="V20" s="1048"/>
      <c r="W20" s="1048"/>
      <c r="X20" s="1048"/>
      <c r="Y20" s="1048"/>
      <c r="Z20" s="1048"/>
    </row>
    <row r="21" spans="1:26">
      <c r="A21" s="847" t="str">
        <f>IF(B3="","",IF(B3="PreBuild","Description,",""))</f>
        <v/>
      </c>
      <c r="B21" s="744" t="str">
        <f>IF(B3="","",IF(B3="PreBuild","Production",""))</f>
        <v/>
      </c>
      <c r="C21" s="745" t="str">
        <f>IF(B3="","",IF(B3="PreBuild","Sandbox",""))</f>
        <v/>
      </c>
      <c r="D21" s="765"/>
      <c r="E21" s="809" t="s">
        <v>101</v>
      </c>
      <c r="F21" s="866"/>
      <c r="G21" s="1050"/>
      <c r="H21" s="862" t="str">
        <f>IF(B22="","",IF(AND(B22&gt;=16,B3="PreBuild"),"Source Sandbox URL",""))</f>
        <v/>
      </c>
      <c r="I21" s="908" t="str">
        <f>IF(C22="","",IF(AND(C22&gt;=16,B5&gt;1,B3="PreBuild"),MasterConfig!B2,""))</f>
        <v/>
      </c>
      <c r="J21" s="828"/>
      <c r="K21" s="1049"/>
      <c r="L21" s="862" t="str">
        <f>IF(OR(B3="New Logo",B3="Sandbox 3 Only",B3="Sandbox 2 Only"),"",IF(AND(B3="PreBuild",B5&gt;=4),"Source 3rd Sandbox Customer Url",""))</f>
        <v/>
      </c>
      <c r="M21" s="924" t="str">
        <f>IF(OR(B3="New Logo",B3="Sandbox 3 Only",B3="Sandbox 2 Only"),"",IF(AND(B3="PreBuild",B5&gt;=4),MasterConfig!B4,""))</f>
        <v/>
      </c>
      <c r="O21" s="1048"/>
      <c r="P21" s="1048"/>
      <c r="Q21" s="1048"/>
      <c r="R21" s="1048"/>
      <c r="S21" s="1048"/>
      <c r="T21" s="1048"/>
      <c r="U21" s="1048"/>
      <c r="V21" s="1048"/>
      <c r="W21" s="1048"/>
      <c r="X21" s="1048"/>
      <c r="Y21" s="1048"/>
      <c r="Z21" s="1048"/>
    </row>
    <row r="22" spans="1:26">
      <c r="A22" s="507" t="str">
        <f>IF(B3="","",IF(B3="PreBuild","PRM Version",""))</f>
        <v/>
      </c>
      <c r="B22" s="920" t="str">
        <f>IF(MasterConfig!B31="","",MasterConfig!B31)</f>
        <v/>
      </c>
      <c r="C22" s="920" t="str">
        <f>IF(MasterConfig!C31="","",MasterConfig!C31)</f>
        <v/>
      </c>
      <c r="D22" s="767"/>
      <c r="E22" s="804" t="str">
        <f>IF(B3&lt;&gt;"PreBuild","","SaaS Info Link")</f>
        <v/>
      </c>
      <c r="F22" s="736" t="str">
        <f>IF(MasterConfig!B5="","",MasterConfig!B5)</f>
        <v/>
      </c>
      <c r="G22" s="1050"/>
      <c r="H22" s="795" t="str">
        <f>IF(B22="","",IF(AND(B22&gt;=16,B3="PreBuild"),"Source Sandbox Servers",""))</f>
        <v/>
      </c>
      <c r="I22" s="915" t="str">
        <f>IF(AND(MasterConfig!B82="",MasterConfig!B77=""),"",IF(MasterConfig!B82="",MasterConfig!B77,MasterConfig!B82))</f>
        <v/>
      </c>
      <c r="J22" s="750" t="str">
        <f>IF(B22="","",IF(AND(B22&gt;=16,B3="PreBuild"),"Additional Webs",""))</f>
        <v/>
      </c>
      <c r="K22" s="1049"/>
      <c r="L22" s="795" t="str">
        <f>IF(OR(B3="New Logo",B3="Sandbox 3 Only",B3="Sandbox 2 Only"),"",IF(AND(B3="PreBuild",B5&gt;=4),"Source 3rd Sandbox Servers",""))</f>
        <v/>
      </c>
      <c r="M22" s="915"/>
      <c r="N22" s="778"/>
      <c r="O22" s="1048"/>
      <c r="P22" s="1048"/>
      <c r="Q22" s="1048"/>
      <c r="R22" s="1048"/>
      <c r="S22" s="1048"/>
      <c r="T22" s="1048"/>
      <c r="U22" s="1048"/>
      <c r="V22" s="1048"/>
      <c r="W22" s="1048"/>
      <c r="X22" s="1048"/>
      <c r="Y22" s="1048"/>
      <c r="Z22" s="1048"/>
    </row>
    <row r="23" spans="1:26">
      <c r="A23" s="793" t="str">
        <f>IF(B3="","",IF(B3="PreBuild","CTM Version",""))</f>
        <v/>
      </c>
      <c r="B23" s="920"/>
      <c r="C23" s="920"/>
      <c r="D23" s="769"/>
      <c r="E23" s="810" t="s">
        <v>5</v>
      </c>
      <c r="F23" s="838"/>
      <c r="G23" s="1049"/>
      <c r="H23" s="492"/>
      <c r="I23" s="915" t="str">
        <f>IF(AND(MasterConfig!B82="",MasterConfig!B78=""),"",IF(MasterConfig!B82="",MasterConfig!B78,MasterConfig!B82))</f>
        <v/>
      </c>
      <c r="J23" s="917" t="str">
        <f>IF(MasterConfig!B84="","",MasterConfig!B84)</f>
        <v/>
      </c>
      <c r="K23" s="1050"/>
      <c r="L23" s="733"/>
      <c r="M23" s="915"/>
      <c r="N23" s="921" t="str">
        <f>IF(MasterConfig!F84="","",MasterConfig!F84)</f>
        <v/>
      </c>
      <c r="O23" s="1048"/>
      <c r="P23" s="1048"/>
      <c r="Q23" s="1048"/>
      <c r="R23" s="1048"/>
      <c r="S23" s="1048"/>
      <c r="T23" s="1048"/>
      <c r="U23" s="1048"/>
      <c r="V23" s="1048"/>
      <c r="W23" s="1048"/>
      <c r="X23" s="1048"/>
      <c r="Y23" s="1048"/>
      <c r="Z23" s="1048"/>
    </row>
    <row r="24" spans="1:26">
      <c r="A24" s="858" t="str">
        <f>IF(B3="","",IF(B3="PreBuild","CTM In Use",""))</f>
        <v/>
      </c>
      <c r="B24" s="920" t="str">
        <f>IF(MasterConfig!B40="","",(MasterConfig!B40))</f>
        <v/>
      </c>
      <c r="C24" s="920"/>
      <c r="D24" s="769"/>
      <c r="E24" s="827"/>
      <c r="G24" s="1050"/>
      <c r="H24" s="903"/>
      <c r="I24" s="915" t="str">
        <f>IF(MasterConfig!B80="","",MasterConfig!B80)</f>
        <v/>
      </c>
      <c r="J24" s="918" t="str">
        <f>IF(MasterConfig!B85="","",MasterConfig!B85)</f>
        <v/>
      </c>
      <c r="K24" s="1050"/>
      <c r="L24" s="709"/>
      <c r="M24" s="915"/>
      <c r="N24" s="922" t="str">
        <f>IF(MasterConfig!F85="","",MasterConfig!F85)</f>
        <v/>
      </c>
      <c r="O24" s="1048"/>
      <c r="P24" s="1048"/>
      <c r="Q24" s="1048"/>
      <c r="R24" s="1048"/>
      <c r="S24" s="1048"/>
      <c r="T24" s="1048"/>
      <c r="U24" s="1048"/>
      <c r="V24" s="1048"/>
      <c r="W24" s="1048"/>
      <c r="X24" s="1048"/>
      <c r="Y24" s="1048"/>
      <c r="Z24" s="1048"/>
    </row>
    <row r="25" spans="1:26">
      <c r="A25" s="793" t="str">
        <f>IF(B3="","",IF(B3="PreBuild","CTM Only",""))</f>
        <v/>
      </c>
      <c r="B25" s="920"/>
      <c r="C25" s="920"/>
      <c r="D25" s="826"/>
      <c r="E25" s="855" t="s">
        <v>57</v>
      </c>
      <c r="F25" s="895"/>
      <c r="G25" s="1049"/>
      <c r="H25" s="903"/>
      <c r="I25" s="915" t="str">
        <f>IF(MasterConfig!B79="","",MasterConfig!B79)</f>
        <v/>
      </c>
      <c r="J25" s="918" t="str">
        <f>IF(MasterConfig!B86="","",MasterConfig!B86)</f>
        <v/>
      </c>
      <c r="K25" s="1050"/>
      <c r="L25" s="709"/>
      <c r="M25" s="915"/>
      <c r="N25" s="922" t="str">
        <f>IF(MasterConfig!F86="","",MasterConfig!F86)</f>
        <v/>
      </c>
      <c r="O25" s="1048"/>
      <c r="P25" s="1048"/>
      <c r="Q25" s="1048"/>
      <c r="R25" s="1048"/>
      <c r="S25" s="1048"/>
      <c r="T25" s="1048"/>
      <c r="U25" s="1048"/>
      <c r="V25" s="1048"/>
      <c r="W25" s="1048"/>
      <c r="X25" s="1048"/>
      <c r="Y25" s="1048"/>
      <c r="Z25" s="1048"/>
    </row>
    <row r="26" spans="1:26">
      <c r="A26" s="507" t="str">
        <f>IF(B3="","",IF(B3="PreBuild","CTM Connector",""))</f>
        <v/>
      </c>
      <c r="B26" s="920"/>
      <c r="C26" s="920"/>
      <c r="D26" s="819"/>
      <c r="E26" s="785"/>
      <c r="G26" s="1050"/>
      <c r="H26" s="904"/>
      <c r="I26" s="916" t="str">
        <f>IF(MasterConfig!B24=TRUE,"",IF(MasterConfig!B81="","",MasterConfig!B81))</f>
        <v/>
      </c>
      <c r="J26" s="919" t="str">
        <f>IF(MasterConfig!B87="","",MasterConfig!B87)</f>
        <v/>
      </c>
      <c r="K26" s="1051"/>
      <c r="L26" s="902"/>
      <c r="M26" s="916"/>
      <c r="N26" s="923" t="str">
        <f>IF(MasterConfig!F87="","",MasterConfig!F87)</f>
        <v/>
      </c>
      <c r="O26" s="1048"/>
      <c r="P26" s="1048"/>
      <c r="Q26" s="1048"/>
      <c r="R26" s="1048"/>
      <c r="S26" s="1048"/>
      <c r="T26" s="1048"/>
      <c r="U26" s="1048"/>
      <c r="V26" s="1048"/>
      <c r="W26" s="1048"/>
      <c r="X26" s="1048"/>
      <c r="Y26" s="1048"/>
      <c r="Z26" s="1048"/>
    </row>
    <row r="27" spans="1:26" ht="22.5">
      <c r="A27" s="793" t="str">
        <f>IF(B3="","",IF(B3="PreBuild","Source Server PVE",""))</f>
        <v/>
      </c>
      <c r="B27" s="920"/>
      <c r="C27" s="920"/>
      <c r="D27" s="819"/>
      <c r="E27" s="796" t="s">
        <v>103</v>
      </c>
      <c r="F27" s="1154" t="s">
        <v>815</v>
      </c>
      <c r="G27" s="1050"/>
      <c r="I27" s="780"/>
      <c r="J27" s="1050"/>
      <c r="K27" s="1050"/>
      <c r="L27" s="1050"/>
      <c r="M27" s="1050"/>
      <c r="N27" s="1050"/>
      <c r="O27" s="1050"/>
      <c r="P27" s="1050"/>
      <c r="Q27" s="1050"/>
      <c r="R27" s="1050"/>
      <c r="S27" s="1050"/>
      <c r="T27" s="1050"/>
      <c r="U27" s="1050"/>
      <c r="V27" s="1050"/>
      <c r="W27" s="1050"/>
      <c r="X27" s="1050"/>
      <c r="Y27" s="1050"/>
      <c r="Z27" s="1050"/>
    </row>
    <row r="28" spans="1:26">
      <c r="A28" s="507" t="str">
        <f>IF(B3="","",IF(B3="PreBuild","Source Server Secure",""))</f>
        <v/>
      </c>
      <c r="B28" s="920"/>
      <c r="C28" s="920"/>
      <c r="D28" s="819"/>
      <c r="E28" s="896"/>
      <c r="F28" s="905"/>
      <c r="G28" s="1050"/>
      <c r="H28" s="856" t="str">
        <f>IF(B3="PreBuild","Target PRM DB","")</f>
        <v/>
      </c>
      <c r="I28" s="734" t="str">
        <f>IF(B3="PreBuild",CONCAT(F8,"PROD"),"")</f>
        <v/>
      </c>
      <c r="J28" s="1050"/>
      <c r="K28" s="1050"/>
      <c r="L28" s="1050"/>
      <c r="M28" s="1050"/>
      <c r="N28" s="1050"/>
      <c r="O28" s="1050"/>
      <c r="P28" s="1050"/>
      <c r="Q28" s="1050"/>
      <c r="R28" s="1050"/>
      <c r="S28" s="1050"/>
      <c r="T28" s="1050"/>
      <c r="U28" s="1050"/>
      <c r="V28" s="1050"/>
      <c r="W28" s="1050"/>
      <c r="X28" s="1050"/>
      <c r="Y28" s="1050"/>
      <c r="Z28" s="1050"/>
    </row>
    <row r="29" spans="1:26">
      <c r="A29" s="793" t="str">
        <f>IF(B3="","",IF(B3="PreBuild","# of Custom Models",""))</f>
        <v/>
      </c>
      <c r="B29" s="920"/>
      <c r="C29" s="920"/>
      <c r="E29" s="896"/>
      <c r="F29" s="897"/>
      <c r="G29" s="1050"/>
      <c r="H29" s="857" t="str">
        <f>IF(B3="PreBuild","Target CTM DB","")</f>
        <v/>
      </c>
      <c r="I29" s="734" t="str">
        <f>IF(B3="PreBuild",CONCAT(F8,"CTM"),"")</f>
        <v/>
      </c>
      <c r="J29" s="1050"/>
      <c r="K29" s="1050"/>
      <c r="L29" s="1050"/>
      <c r="M29" s="1050"/>
      <c r="N29" s="1050"/>
      <c r="O29" s="1050"/>
      <c r="P29" s="1050"/>
      <c r="Q29" s="1050"/>
      <c r="R29" s="1050"/>
      <c r="S29" s="1050"/>
      <c r="T29" s="1050"/>
      <c r="U29" s="1050"/>
      <c r="V29" s="1050"/>
      <c r="W29" s="1050"/>
      <c r="X29" s="1050"/>
      <c r="Y29" s="1050"/>
      <c r="Z29" s="1050"/>
    </row>
    <row r="30" spans="1:26">
      <c r="A30" s="507" t="str">
        <f>IF(B3="","",IF(B3="PreBuild","# of Custom Cubes",""))</f>
        <v/>
      </c>
      <c r="B30" s="920"/>
      <c r="C30" s="920"/>
      <c r="D30" s="819"/>
      <c r="E30" s="896"/>
      <c r="F30" s="898"/>
      <c r="G30" s="1050"/>
      <c r="H30" s="1050"/>
      <c r="I30" s="1050"/>
      <c r="J30" s="1050"/>
      <c r="K30" s="1050"/>
      <c r="L30" s="1050"/>
      <c r="M30" s="1050"/>
      <c r="N30" s="1050"/>
      <c r="O30" s="1050"/>
      <c r="P30" s="1050"/>
      <c r="Q30" s="1050"/>
      <c r="R30" s="1050"/>
      <c r="S30" s="1050"/>
      <c r="T30" s="1050"/>
      <c r="U30" s="1050"/>
      <c r="V30" s="1050"/>
      <c r="W30" s="1050"/>
      <c r="X30" s="1050"/>
      <c r="Y30" s="1050"/>
      <c r="Z30" s="1050"/>
    </row>
    <row r="31" spans="1:26">
      <c r="A31" s="793" t="str">
        <f>IF(B3="","",IF(B3="PreBuild","# of Interfaces",""))</f>
        <v/>
      </c>
      <c r="B31" s="920"/>
      <c r="C31" s="920"/>
      <c r="D31" s="819"/>
      <c r="E31" s="491"/>
      <c r="F31" s="821"/>
      <c r="G31" s="1050"/>
      <c r="H31" s="1050"/>
      <c r="I31" s="1050"/>
      <c r="J31" s="1050"/>
      <c r="K31" s="1050"/>
      <c r="L31" s="1050"/>
      <c r="M31" s="1050"/>
      <c r="N31" s="1050"/>
      <c r="O31" s="1050"/>
      <c r="P31" s="1050"/>
      <c r="Q31" s="1050"/>
      <c r="R31" s="1050"/>
      <c r="S31" s="1050"/>
      <c r="T31" s="1050"/>
      <c r="U31" s="1050"/>
      <c r="V31" s="1050"/>
      <c r="W31" s="1050"/>
      <c r="X31" s="1050"/>
      <c r="Y31" s="1050"/>
      <c r="Z31" s="1050"/>
    </row>
    <row r="32" spans="1:26">
      <c r="A32" s="507" t="str">
        <f>IF(B3="","",IF(B3="PreBuild","PRM Adapter Service Installed",""))</f>
        <v/>
      </c>
      <c r="B32" s="920"/>
      <c r="C32" s="920"/>
      <c r="D32" s="829"/>
      <c r="E32" s="491"/>
      <c r="F32" s="491"/>
      <c r="G32" s="1050"/>
      <c r="H32" s="1050"/>
      <c r="I32" s="1050"/>
      <c r="J32" s="1050"/>
      <c r="K32" s="1050"/>
      <c r="L32" s="1050"/>
      <c r="M32" s="1050"/>
      <c r="N32" s="1050"/>
      <c r="O32" s="1050"/>
      <c r="P32" s="1050"/>
      <c r="Q32" s="1050"/>
      <c r="R32" s="1050"/>
      <c r="S32" s="1050"/>
      <c r="T32" s="1050"/>
      <c r="U32" s="1050"/>
      <c r="V32" s="1050"/>
      <c r="W32" s="1050"/>
      <c r="X32" s="1050"/>
      <c r="Y32" s="1050"/>
      <c r="Z32" s="1050"/>
    </row>
    <row r="33" spans="1:26">
      <c r="A33" s="793" t="str">
        <f>IF(B3="","",IF(B3="PreBuild","ProjectPlace Connector Account #",""))</f>
        <v/>
      </c>
      <c r="B33" s="920"/>
      <c r="C33" s="920"/>
      <c r="D33" s="1055"/>
      <c r="E33" s="491"/>
      <c r="F33" s="821"/>
      <c r="G33" s="1050"/>
      <c r="H33" s="1050"/>
      <c r="I33" s="1050"/>
      <c r="J33" s="1050"/>
      <c r="K33" s="1050"/>
      <c r="L33" s="1050"/>
      <c r="M33" s="1050"/>
      <c r="N33" s="1050"/>
      <c r="O33" s="1050"/>
      <c r="P33" s="1050"/>
      <c r="Q33" s="1050"/>
      <c r="R33" s="1050"/>
      <c r="S33" s="1050"/>
      <c r="T33" s="1050"/>
      <c r="U33" s="1050"/>
      <c r="V33" s="1050"/>
      <c r="W33" s="1050"/>
      <c r="X33" s="1050"/>
      <c r="Y33" s="1050"/>
      <c r="Z33" s="1050"/>
    </row>
    <row r="34" spans="1:26">
      <c r="A34" s="507" t="str">
        <f>IF(B3="","",IF(B3="PreBuild","LeanKit ID #",""))</f>
        <v/>
      </c>
      <c r="B34" s="920"/>
      <c r="C34" s="920"/>
      <c r="D34" s="1056"/>
      <c r="E34" s="746"/>
      <c r="F34" s="783"/>
      <c r="G34" s="1050"/>
      <c r="H34" s="1050"/>
      <c r="I34" s="1050"/>
      <c r="J34" s="1050"/>
      <c r="K34" s="1050"/>
      <c r="L34" s="1050"/>
      <c r="M34" s="1050"/>
      <c r="N34" s="1050"/>
      <c r="O34" s="1050"/>
      <c r="P34" s="1050"/>
      <c r="Q34" s="1050"/>
      <c r="R34" s="1050"/>
      <c r="S34" s="1050"/>
      <c r="T34" s="1050"/>
      <c r="U34" s="1050"/>
      <c r="V34" s="1050"/>
      <c r="W34" s="1050"/>
      <c r="X34" s="1050"/>
      <c r="Y34" s="1050"/>
      <c r="Z34" s="1050"/>
    </row>
    <row r="35" spans="1:26">
      <c r="A35" s="793" t="str">
        <f>IF(B3="","",IF(B3="PreBuild","Migrate  non prod DB at build",""))</f>
        <v/>
      </c>
      <c r="B35" s="920" t="str">
        <f>IF(B3="PreBuild","N/A","")</f>
        <v/>
      </c>
      <c r="C35" s="920"/>
      <c r="D35" s="1057"/>
      <c r="E35" s="825"/>
      <c r="F35" s="779"/>
      <c r="G35" s="1050"/>
      <c r="H35" s="1050"/>
      <c r="I35" s="1050"/>
      <c r="J35" s="1050"/>
      <c r="K35" s="1050"/>
      <c r="L35" s="1050"/>
      <c r="M35" s="1050"/>
      <c r="N35" s="1050"/>
      <c r="O35" s="1050"/>
      <c r="P35" s="1050"/>
      <c r="Q35" s="1050"/>
      <c r="R35" s="1050"/>
      <c r="S35" s="1050"/>
      <c r="T35" s="1050"/>
      <c r="U35" s="1050"/>
      <c r="V35" s="1050"/>
      <c r="W35" s="1050"/>
      <c r="X35" s="1050"/>
      <c r="Y35" s="1050"/>
      <c r="Z35" s="1050"/>
    </row>
    <row r="36" spans="1:26">
      <c r="A36" s="859" t="str">
        <f>IF(B3="","",IF(B3="PreBuild","PVE CPU's",""))</f>
        <v/>
      </c>
      <c r="B36" s="920" t="str">
        <f>IF(MasterConfig!B62="","",MasterConfig!C62)</f>
        <v/>
      </c>
      <c r="C36" s="920" t="str">
        <f>IF(MasterConfig!B82="","",MasterConfig!C82)</f>
        <v/>
      </c>
      <c r="D36" s="1057"/>
      <c r="E36" s="718" t="str">
        <f>IF(B13="Yes","Environment Name","Add Non-Standard DB's")</f>
        <v>Add Non-Standard DB's</v>
      </c>
      <c r="F36" s="718" t="str">
        <f>IF(AND(B3="PreBuild",B13="Yes"),"Non Standard Database Name","")</f>
        <v/>
      </c>
      <c r="G36" s="1050"/>
      <c r="H36" s="1050"/>
      <c r="I36" s="1050"/>
      <c r="J36" s="1050"/>
      <c r="K36" s="1050"/>
      <c r="L36" s="1050"/>
      <c r="M36" s="1050"/>
      <c r="N36" s="1050"/>
      <c r="O36" s="1050"/>
      <c r="P36" s="1050"/>
      <c r="Q36" s="1050"/>
      <c r="R36" s="1050"/>
      <c r="S36" s="1050"/>
      <c r="T36" s="1050"/>
      <c r="U36" s="1050"/>
      <c r="V36" s="1050"/>
      <c r="W36" s="1050"/>
      <c r="X36" s="1050"/>
      <c r="Y36" s="1050"/>
      <c r="Z36" s="1050"/>
    </row>
    <row r="37" spans="1:26">
      <c r="A37" s="794" t="str">
        <f>IF(B3="","",IF(B3="PreBuild","PVE RAM",""))</f>
        <v/>
      </c>
      <c r="B37" s="920" t="str">
        <f>IF(MasterConfig!B62="","",MasterConfig!D62)</f>
        <v/>
      </c>
      <c r="C37" s="920" t="str">
        <f>IF(MasterConfig!B82="","",MasterConfig!D82)</f>
        <v/>
      </c>
      <c r="D37" s="1057"/>
      <c r="E37" s="837" t="str">
        <f>IF(AND(B3="PreBuild",B13="Yes"),"PreProd",IF(AND(B13="Yes",B3&lt;&gt;"PreBuild"),"Prod",""))</f>
        <v/>
      </c>
      <c r="F37" s="837"/>
      <c r="G37" s="1050"/>
      <c r="H37" s="1050"/>
      <c r="I37" s="1050"/>
      <c r="J37" s="1050"/>
      <c r="K37" s="1050"/>
      <c r="L37" s="1050"/>
      <c r="M37" s="1050"/>
      <c r="N37" s="1050"/>
      <c r="O37" s="1050"/>
      <c r="P37" s="1050"/>
      <c r="Q37" s="1050"/>
      <c r="R37" s="1050"/>
      <c r="S37" s="1050"/>
      <c r="T37" s="1050"/>
      <c r="U37" s="1050"/>
      <c r="V37" s="1050"/>
      <c r="W37" s="1050"/>
      <c r="X37" s="1050"/>
      <c r="Y37" s="1050"/>
      <c r="Z37" s="1050"/>
    </row>
    <row r="38" spans="1:26">
      <c r="A38" s="860" t="str">
        <f>IF(B3="","",IF(B3="PreBuild","Standard PVE Disk",""))</f>
        <v/>
      </c>
      <c r="B38" s="920" t="str">
        <f>IF(MasterConfig!B62="","",MasterConfig!F62)</f>
        <v/>
      </c>
      <c r="C38" s="920" t="str">
        <f>IF(MasterConfig!B82="","",MasterConfig!F82)</f>
        <v/>
      </c>
      <c r="D38" s="1057"/>
      <c r="E38" s="716" t="str">
        <f>IF(AND(B3="PreBuild",B13="Yes"),"PreSandbox",IF(AND(B13="Yes",B3&lt;&gt;"PreBuild"),"Sandbox",""))</f>
        <v/>
      </c>
      <c r="F38" s="716"/>
      <c r="G38" s="1050"/>
      <c r="H38" s="1050"/>
      <c r="I38" s="1050"/>
      <c r="J38" s="1050"/>
      <c r="K38" s="1050"/>
      <c r="L38" s="1050"/>
      <c r="M38" s="1050"/>
      <c r="N38" s="1050"/>
      <c r="O38" s="1050"/>
      <c r="P38" s="1050"/>
      <c r="Q38" s="1050"/>
      <c r="R38" s="1050"/>
      <c r="S38" s="1050"/>
      <c r="T38" s="1050"/>
      <c r="U38" s="1050"/>
      <c r="V38" s="1050"/>
      <c r="W38" s="1050"/>
      <c r="X38" s="1050"/>
      <c r="Y38" s="1050"/>
      <c r="Z38" s="1050"/>
    </row>
    <row r="39" spans="1:26">
      <c r="A39" s="794" t="str">
        <f>IF(B3="","",IF(B3="PreBuild","Web CPU's",""))</f>
        <v/>
      </c>
      <c r="B39" s="920"/>
      <c r="C39" s="920"/>
      <c r="D39" s="1057"/>
      <c r="E39" s="784"/>
      <c r="F39" s="781"/>
      <c r="G39" s="1050"/>
      <c r="H39" s="1050"/>
      <c r="I39" s="1050"/>
      <c r="J39" s="1050"/>
      <c r="K39" s="1050"/>
      <c r="L39" s="1050"/>
      <c r="M39" s="1050"/>
      <c r="N39" s="1050"/>
      <c r="O39" s="1050"/>
      <c r="P39" s="1050"/>
      <c r="Q39" s="1050"/>
      <c r="R39" s="1050"/>
      <c r="S39" s="1050"/>
      <c r="T39" s="1050"/>
      <c r="U39" s="1050"/>
      <c r="V39" s="1050"/>
      <c r="W39" s="1050"/>
      <c r="X39" s="1050"/>
      <c r="Y39" s="1050"/>
      <c r="Z39" s="1050"/>
    </row>
    <row r="40" spans="1:26">
      <c r="A40" s="860" t="str">
        <f>IF(B3="","",IF(B3="PreBuild","Web RAM",""))</f>
        <v/>
      </c>
      <c r="B40" s="920"/>
      <c r="C40" s="920"/>
      <c r="D40" s="1057"/>
      <c r="E40" s="784"/>
      <c r="F40" s="782"/>
      <c r="G40" s="1050"/>
      <c r="H40" s="1050"/>
      <c r="I40" s="1050"/>
      <c r="J40" s="1050"/>
      <c r="K40" s="1050"/>
      <c r="L40" s="1050"/>
      <c r="M40" s="1050"/>
      <c r="N40" s="1050"/>
      <c r="O40" s="1050"/>
      <c r="P40" s="1050"/>
      <c r="Q40" s="1050"/>
      <c r="R40" s="1050"/>
      <c r="S40" s="1050"/>
      <c r="T40" s="1050"/>
      <c r="U40" s="1050"/>
      <c r="V40" s="1050"/>
      <c r="W40" s="1050"/>
      <c r="X40" s="1050"/>
      <c r="Y40" s="1050"/>
      <c r="Z40" s="1050"/>
    </row>
    <row r="41" spans="1:26">
      <c r="A41" s="794" t="str">
        <f>IF(B3="","",IF(B3="PreBuild","IIS Worker Processes",""))</f>
        <v/>
      </c>
      <c r="B41" s="759"/>
      <c r="C41" s="759"/>
      <c r="D41" s="1057"/>
      <c r="E41" s="836"/>
      <c r="F41" s="491"/>
      <c r="G41" s="1050"/>
      <c r="H41" s="1050"/>
      <c r="I41" s="1050"/>
      <c r="J41" s="1050"/>
      <c r="K41" s="1050"/>
      <c r="L41" s="1050"/>
      <c r="M41" s="1050"/>
      <c r="N41" s="1050"/>
      <c r="O41" s="1050"/>
      <c r="P41" s="1050"/>
      <c r="Q41" s="1050"/>
      <c r="R41" s="1050"/>
      <c r="S41" s="1050"/>
      <c r="T41" s="1050"/>
      <c r="U41" s="1050"/>
      <c r="V41" s="1050"/>
      <c r="W41" s="1050"/>
      <c r="X41" s="1050"/>
      <c r="Y41" s="1050"/>
      <c r="Z41" s="1050"/>
    </row>
    <row r="42" spans="1:26">
      <c r="A42" s="860" t="str">
        <f>IF(B3="","",IF(B3="PreBuild","IIS Private Memory",""))</f>
        <v/>
      </c>
      <c r="B42" s="759"/>
      <c r="C42" s="759"/>
      <c r="D42" s="1057"/>
      <c r="E42" s="491"/>
      <c r="F42" s="491"/>
      <c r="G42" s="1050"/>
      <c r="H42" s="1050"/>
      <c r="I42" s="1050"/>
      <c r="J42" s="1050"/>
      <c r="K42" s="1050"/>
      <c r="L42" s="1050"/>
      <c r="M42" s="1050"/>
      <c r="N42" s="1050"/>
      <c r="O42" s="1050"/>
      <c r="P42" s="1050"/>
      <c r="Q42" s="1050"/>
      <c r="R42" s="1050"/>
      <c r="S42" s="1050"/>
      <c r="T42" s="1050"/>
      <c r="U42" s="1050"/>
      <c r="V42" s="1050"/>
      <c r="W42" s="1050"/>
      <c r="X42" s="1050"/>
      <c r="Y42" s="1050"/>
      <c r="Z42" s="1050"/>
    </row>
    <row r="43" spans="1:26">
      <c r="A43" s="794" t="str">
        <f>IF(B3="","",IF(B3="PreBuild","IIS Max Request Entity Allowed",""))</f>
        <v/>
      </c>
      <c r="B43" s="759"/>
      <c r="C43" s="759"/>
      <c r="D43" s="1057"/>
      <c r="E43" s="491"/>
      <c r="F43" s="491"/>
      <c r="G43" s="1050"/>
      <c r="H43" s="1050"/>
      <c r="I43" s="1050"/>
      <c r="J43" s="1050"/>
      <c r="K43" s="1050"/>
      <c r="L43" s="1050"/>
      <c r="M43" s="1050"/>
      <c r="N43" s="1050"/>
      <c r="O43" s="1050"/>
      <c r="P43" s="1050"/>
      <c r="Q43" s="1050"/>
      <c r="R43" s="1050"/>
      <c r="S43" s="1050"/>
      <c r="T43" s="1050"/>
      <c r="U43" s="1050"/>
      <c r="V43" s="1050"/>
      <c r="W43" s="1050"/>
      <c r="X43" s="1050"/>
      <c r="Y43" s="1050"/>
      <c r="Z43" s="1050"/>
    </row>
    <row r="44" spans="1:26">
      <c r="A44" s="860" t="str">
        <f>IF(B3="","",IF(B3="PreBuild","SSO/Sha Strength",""))</f>
        <v/>
      </c>
      <c r="B44" s="759"/>
      <c r="C44" s="759"/>
      <c r="D44" s="1058"/>
      <c r="E44" s="783"/>
      <c r="F44" s="746"/>
      <c r="G44" s="1050"/>
      <c r="H44" s="1050"/>
      <c r="I44" s="1050"/>
      <c r="J44" s="1050"/>
      <c r="K44" s="1050"/>
      <c r="L44" s="1050"/>
      <c r="M44" s="1050"/>
      <c r="N44" s="1050"/>
      <c r="O44" s="1050"/>
      <c r="P44" s="1050"/>
      <c r="Q44" s="1050"/>
      <c r="R44" s="1050"/>
      <c r="S44" s="1050"/>
      <c r="T44" s="1050"/>
      <c r="U44" s="1050"/>
      <c r="V44" s="1050"/>
      <c r="W44" s="1050"/>
      <c r="X44" s="1050"/>
      <c r="Y44" s="1050"/>
      <c r="Z44" s="1050"/>
    </row>
    <row r="45" spans="1:26">
      <c r="A45" s="794" t="str">
        <f>IF(B3="","",IF(B3="PreBuild","Custom DBConnection",""))</f>
        <v/>
      </c>
      <c r="B45" s="759"/>
      <c r="C45" s="759"/>
      <c r="D45" s="832"/>
      <c r="E45" s="835"/>
      <c r="F45" s="808"/>
      <c r="G45" s="1050"/>
      <c r="H45" s="1050"/>
      <c r="I45" s="1050"/>
      <c r="J45" s="1050"/>
      <c r="K45" s="1050"/>
      <c r="L45" s="1050"/>
      <c r="M45" s="1050"/>
      <c r="N45" s="1050"/>
      <c r="O45" s="1050"/>
      <c r="P45" s="1050"/>
      <c r="Q45" s="1050"/>
      <c r="R45" s="1050"/>
      <c r="S45" s="1050"/>
      <c r="T45" s="1050"/>
      <c r="U45" s="1050"/>
      <c r="V45" s="1050"/>
      <c r="W45" s="1050"/>
      <c r="X45" s="1050"/>
      <c r="Y45" s="1050"/>
      <c r="Z45" s="1050"/>
    </row>
    <row r="46" spans="1:26">
      <c r="A46" s="860" t="str">
        <f>IF(B3="","",IF(B3="PreBuild","Standard Web Disk",""))</f>
        <v/>
      </c>
      <c r="B46" s="920"/>
      <c r="C46" s="920"/>
      <c r="D46" s="830"/>
      <c r="E46" s="834"/>
      <c r="F46" s="831"/>
      <c r="G46" s="1050"/>
      <c r="H46" s="1050"/>
      <c r="I46" s="1050"/>
      <c r="J46" s="1050"/>
      <c r="K46" s="1050"/>
      <c r="L46" s="1050"/>
      <c r="M46" s="1050"/>
      <c r="N46" s="1050"/>
      <c r="O46" s="1050"/>
      <c r="P46" s="1050"/>
      <c r="Q46" s="1050"/>
      <c r="R46" s="1050"/>
      <c r="S46" s="1050"/>
      <c r="T46" s="1050"/>
      <c r="U46" s="1050"/>
      <c r="V46" s="1050"/>
      <c r="W46" s="1050"/>
      <c r="X46" s="1050"/>
      <c r="Y46" s="1050"/>
      <c r="Z46" s="1050"/>
    </row>
    <row r="47" spans="1:26">
      <c r="A47" s="794" t="str">
        <f>IF(B3="","",IF(B3="PreBuild","App CPU's",""))</f>
        <v/>
      </c>
      <c r="B47" s="920"/>
      <c r="C47" s="920"/>
      <c r="D47" s="807"/>
      <c r="E47" s="834"/>
      <c r="F47" s="833"/>
      <c r="G47" s="1050"/>
      <c r="H47" s="1050"/>
      <c r="I47" s="1050"/>
      <c r="J47" s="1050"/>
      <c r="K47" s="1050"/>
      <c r="L47" s="1050"/>
      <c r="M47" s="1050"/>
      <c r="N47" s="1050"/>
      <c r="O47" s="1050"/>
      <c r="P47" s="1050"/>
      <c r="Q47" s="1050"/>
      <c r="R47" s="1050"/>
      <c r="S47" s="1050"/>
      <c r="T47" s="1050"/>
      <c r="U47" s="1050"/>
      <c r="V47" s="1050"/>
      <c r="W47" s="1050"/>
      <c r="X47" s="1050"/>
      <c r="Y47" s="1050"/>
      <c r="Z47" s="1050"/>
    </row>
    <row r="48" spans="1:26" ht="22.5">
      <c r="A48" s="860" t="str">
        <f>IF(B3="","",IF(B3="PreBuild","App RAM",""))</f>
        <v/>
      </c>
      <c r="B48" s="920"/>
      <c r="C48" s="920"/>
      <c r="D48" s="1046"/>
      <c r="E48" s="718" t="str">
        <f>IF(AND(B3="PreBuild",C35="Yes"),"PreBuild Environment Name","Migrate non Prod DB at build")</f>
        <v>Migrate non Prod DB at build</v>
      </c>
      <c r="F48" s="718" t="str">
        <f>IF(AND(B3="PreBuild",C35="Yes"),"New URL","")</f>
        <v/>
      </c>
      <c r="G48" s="714" t="str">
        <f>IF(AND(B3="PreBuild",C35="Yes"),"New Database","")</f>
        <v/>
      </c>
      <c r="H48" s="718" t="str">
        <f>IF(AND(B3="PreBuild",C35="Yes"),"Source Environment Name","")</f>
        <v/>
      </c>
      <c r="I48" s="718" t="str">
        <f>IF(AND(B3="PreBuild",B35="Yes"),"Current URL","")</f>
        <v/>
      </c>
      <c r="J48" s="718" t="str">
        <f>IF(AND(B3="PreBuild",C35="Yes"),"Current Database","")</f>
        <v/>
      </c>
      <c r="K48" s="1047"/>
      <c r="L48" s="1048"/>
      <c r="M48" s="1048"/>
      <c r="N48" s="1048"/>
      <c r="O48" s="1048"/>
      <c r="P48" s="1048"/>
      <c r="Q48" s="1048"/>
      <c r="R48" s="1048"/>
      <c r="S48" s="1048"/>
      <c r="T48" s="1048"/>
      <c r="U48" s="1048"/>
      <c r="V48" s="1048"/>
      <c r="W48" s="1048"/>
      <c r="X48" s="1048"/>
      <c r="Y48" s="1048"/>
      <c r="Z48" s="1048"/>
    </row>
    <row r="49" spans="1:26">
      <c r="A49" s="794" t="str">
        <f>IF(B3="","",IF(B3="PreBuild","Custom TESE",""))</f>
        <v/>
      </c>
      <c r="B49" s="920"/>
      <c r="C49" s="920"/>
      <c r="D49" s="1046"/>
      <c r="E49" s="788" t="str">
        <f>IF(AND(B3="PreBuild",C35="Yes"),"Sandbox","")</f>
        <v/>
      </c>
      <c r="F49" s="717"/>
      <c r="G49" s="788"/>
      <c r="H49" s="716" t="str">
        <f>IF(AND(B3="PreBuild",C35="Yes"),"Sandbox","")</f>
        <v/>
      </c>
      <c r="I49" s="715"/>
      <c r="J49" s="715"/>
      <c r="K49" s="1047"/>
      <c r="L49" s="1048"/>
      <c r="M49" s="1048"/>
      <c r="N49" s="1048"/>
      <c r="O49" s="1048"/>
      <c r="P49" s="1048"/>
      <c r="Q49" s="1048"/>
      <c r="R49" s="1048"/>
      <c r="S49" s="1048"/>
      <c r="T49" s="1048"/>
      <c r="U49" s="1048"/>
      <c r="V49" s="1048"/>
      <c r="W49" s="1048"/>
      <c r="X49" s="1048"/>
      <c r="Y49" s="1048"/>
      <c r="Z49" s="1048"/>
    </row>
    <row r="50" spans="1:26">
      <c r="A50" s="860" t="str">
        <f>IF(B3="","",IF(B3="PreBuild","Standard App Disk",""))</f>
        <v/>
      </c>
      <c r="B50" s="920"/>
      <c r="C50" s="920"/>
      <c r="D50" s="1046"/>
      <c r="E50" s="715"/>
      <c r="F50" s="784"/>
      <c r="G50" s="715"/>
      <c r="H50" s="786"/>
      <c r="I50" s="784"/>
      <c r="J50" s="786"/>
      <c r="K50" s="1047"/>
      <c r="L50" s="1048"/>
      <c r="M50" s="1048"/>
      <c r="N50" s="1048"/>
      <c r="O50" s="1048"/>
      <c r="P50" s="1048"/>
      <c r="Q50" s="1048"/>
      <c r="R50" s="1048"/>
      <c r="S50" s="1048"/>
      <c r="T50" s="1048"/>
      <c r="U50" s="1048"/>
      <c r="V50" s="1048"/>
      <c r="W50" s="1048"/>
      <c r="X50" s="1048"/>
      <c r="Y50" s="1048"/>
      <c r="Z50" s="1048"/>
    </row>
    <row r="51" spans="1:26">
      <c r="A51" s="794" t="str">
        <f>IF(B3="","",IF(B3="PreBuild","Prod Content Size",""))</f>
        <v/>
      </c>
      <c r="B51" s="920"/>
      <c r="C51" s="920"/>
      <c r="D51" s="1046"/>
      <c r="E51" s="787"/>
      <c r="F51" s="719"/>
      <c r="G51" s="787"/>
      <c r="H51" s="787"/>
      <c r="I51" s="787"/>
      <c r="J51" s="787"/>
      <c r="K51" s="1047"/>
      <c r="L51" s="1048"/>
      <c r="M51" s="1048"/>
      <c r="N51" s="1048"/>
      <c r="O51" s="1048"/>
      <c r="P51" s="1048"/>
      <c r="Q51" s="1048"/>
      <c r="R51" s="1048"/>
      <c r="S51" s="1048"/>
      <c r="T51" s="1048"/>
      <c r="U51" s="1048"/>
      <c r="V51" s="1048"/>
      <c r="W51" s="1048"/>
      <c r="X51" s="1048"/>
      <c r="Y51" s="1048"/>
      <c r="Z51" s="1048"/>
    </row>
    <row r="52" spans="1:26">
      <c r="A52" s="860" t="str">
        <f>IF(B3="","",IF(B3="PreBuild","SAS CPU",""))</f>
        <v/>
      </c>
      <c r="B52" s="920"/>
      <c r="C52" s="920"/>
      <c r="D52" s="1046"/>
      <c r="E52" s="716" t="str">
        <f>IF(AND(B3="PreBuild",C35="Yes"),"2nd Sandbox","")</f>
        <v/>
      </c>
      <c r="F52" s="788"/>
      <c r="G52" s="716"/>
      <c r="H52" s="788" t="str">
        <f>IF(AND(B3="PreBuild",C35="Yes"),"Test","")</f>
        <v/>
      </c>
      <c r="I52" s="716"/>
      <c r="J52" s="716"/>
      <c r="K52" s="1047"/>
      <c r="L52" s="1048"/>
      <c r="M52" s="1048"/>
      <c r="N52" s="1048"/>
      <c r="O52" s="1048"/>
      <c r="P52" s="1048"/>
      <c r="Q52" s="1048"/>
      <c r="R52" s="1048"/>
      <c r="S52" s="1048"/>
      <c r="T52" s="1048"/>
      <c r="U52" s="1048"/>
      <c r="V52" s="1048"/>
      <c r="W52" s="1048"/>
      <c r="X52" s="1048"/>
      <c r="Y52" s="1048"/>
      <c r="Z52" s="1048"/>
    </row>
    <row r="53" spans="1:26">
      <c r="A53" s="794" t="str">
        <f>IF(B3="","",IF(B3="PreBuild","SAS RAM",""))</f>
        <v/>
      </c>
      <c r="B53" s="920"/>
      <c r="C53" s="920"/>
      <c r="D53" s="1046"/>
      <c r="E53" s="784"/>
      <c r="F53" s="715"/>
      <c r="G53" s="782"/>
      <c r="H53" s="784"/>
      <c r="I53" s="784"/>
      <c r="J53" s="786"/>
      <c r="K53" s="1047"/>
      <c r="L53" s="1048"/>
      <c r="M53" s="1048"/>
      <c r="N53" s="1048"/>
      <c r="O53" s="1048"/>
      <c r="P53" s="1048"/>
      <c r="Q53" s="1048"/>
      <c r="R53" s="1048"/>
      <c r="S53" s="1048"/>
      <c r="T53" s="1048"/>
      <c r="U53" s="1048"/>
      <c r="V53" s="1048"/>
      <c r="W53" s="1048"/>
      <c r="X53" s="1048"/>
      <c r="Y53" s="1048"/>
      <c r="Z53" s="1048"/>
    </row>
    <row r="54" spans="1:26">
      <c r="A54" s="860" t="str">
        <f>IF(B3="","",IF(B3="PreBuild","Standard SAS Disk",""))</f>
        <v/>
      </c>
      <c r="B54" s="920"/>
      <c r="C54" s="920"/>
      <c r="D54" s="1046"/>
      <c r="E54" s="787"/>
      <c r="F54" s="787"/>
      <c r="G54" s="720"/>
      <c r="H54" s="719"/>
      <c r="I54" s="787"/>
      <c r="J54" s="787"/>
      <c r="K54" s="1047"/>
      <c r="L54" s="1048"/>
      <c r="M54" s="1048"/>
      <c r="N54" s="1048"/>
      <c r="O54" s="1048"/>
      <c r="P54" s="1048"/>
      <c r="Q54" s="1048"/>
      <c r="R54" s="1048"/>
      <c r="S54" s="1048"/>
      <c r="T54" s="1048"/>
      <c r="U54" s="1048"/>
      <c r="V54" s="1048"/>
      <c r="W54" s="1048"/>
      <c r="X54" s="1048"/>
      <c r="Y54" s="1048"/>
      <c r="Z54" s="1048"/>
    </row>
    <row r="55" spans="1:26">
      <c r="A55" s="794" t="str">
        <f>IF(B3="","",IF(B3="PreBuild","PRM DB Name",""))</f>
        <v/>
      </c>
      <c r="B55" s="920"/>
      <c r="C55" s="920"/>
      <c r="D55" s="1046"/>
      <c r="E55" s="716" t="str">
        <f>IF(AND(B3="PreBuild",C35="Yes"),"3rd Sandbox","")</f>
        <v/>
      </c>
      <c r="F55" s="788"/>
      <c r="G55" s="789"/>
      <c r="H55" s="716" t="str">
        <f>IF(AND(B3="PreBuild",C35="Yes"),"Dev","")</f>
        <v/>
      </c>
      <c r="I55" s="716"/>
      <c r="J55" s="716"/>
      <c r="K55" s="1047"/>
      <c r="L55" s="1048"/>
      <c r="M55" s="1048"/>
      <c r="N55" s="1048"/>
      <c r="O55" s="1048"/>
      <c r="P55" s="1048"/>
      <c r="Q55" s="1048"/>
      <c r="R55" s="1048"/>
      <c r="S55" s="1048"/>
      <c r="T55" s="1048"/>
      <c r="U55" s="1048"/>
      <c r="V55" s="1048"/>
      <c r="W55" s="1048"/>
      <c r="X55" s="1048"/>
      <c r="Y55" s="1048"/>
      <c r="Z55" s="1048"/>
    </row>
    <row r="56" spans="1:26">
      <c r="A56" s="860" t="str">
        <f>IF(B3="","",IF(B3="PreBuild","PRM DB Size",""))</f>
        <v/>
      </c>
      <c r="B56" s="920"/>
      <c r="C56" s="920"/>
      <c r="D56" s="1046"/>
      <c r="E56" s="784"/>
      <c r="F56" s="715"/>
      <c r="G56" s="782"/>
      <c r="H56" s="786"/>
      <c r="I56" s="784"/>
      <c r="J56" s="786"/>
      <c r="K56" s="1047"/>
      <c r="L56" s="1048"/>
      <c r="M56" s="1048"/>
      <c r="N56" s="1048"/>
      <c r="O56" s="1048"/>
      <c r="P56" s="1048"/>
      <c r="Q56" s="1048"/>
      <c r="R56" s="1048"/>
      <c r="S56" s="1048"/>
      <c r="T56" s="1048"/>
      <c r="U56" s="1048"/>
      <c r="V56" s="1048"/>
      <c r="W56" s="1048"/>
      <c r="X56" s="1048"/>
      <c r="Y56" s="1048"/>
      <c r="Z56" s="1048"/>
    </row>
    <row r="57" spans="1:26">
      <c r="A57" s="794" t="str">
        <f>IF(B3="","",IF(B3="PreBuild","CTM DB Name",""))</f>
        <v/>
      </c>
      <c r="B57" s="920"/>
      <c r="C57" s="920"/>
      <c r="D57" s="1046"/>
      <c r="E57" s="787"/>
      <c r="F57" s="787"/>
      <c r="G57" s="787"/>
      <c r="H57" s="787"/>
      <c r="I57" s="787"/>
      <c r="J57" s="787"/>
      <c r="K57" s="1047"/>
      <c r="L57" s="1048"/>
      <c r="M57" s="1048"/>
      <c r="N57" s="1048"/>
      <c r="O57" s="1048"/>
      <c r="P57" s="1048"/>
      <c r="Q57" s="1048"/>
      <c r="R57" s="1048"/>
      <c r="S57" s="1048"/>
      <c r="T57" s="1048"/>
      <c r="U57" s="1048"/>
      <c r="V57" s="1048"/>
      <c r="W57" s="1048"/>
      <c r="X57" s="1048"/>
      <c r="Y57" s="1048"/>
      <c r="Z57" s="1048"/>
    </row>
    <row r="58" spans="1:26">
      <c r="A58" s="860" t="str">
        <f>IF(B3="","",IF(B3="PreBuild","CTM DB Size",""))</f>
        <v/>
      </c>
      <c r="B58" s="920"/>
      <c r="C58" s="920"/>
      <c r="D58" s="805"/>
      <c r="E58" s="805"/>
      <c r="F58" s="805"/>
      <c r="G58" s="805"/>
      <c r="H58" s="805"/>
      <c r="I58" s="805"/>
      <c r="J58" s="805"/>
      <c r="K58" s="805"/>
      <c r="L58" s="805"/>
      <c r="M58" s="805"/>
      <c r="N58" s="805"/>
      <c r="O58" s="805"/>
      <c r="P58" s="805"/>
      <c r="Q58" s="805"/>
      <c r="R58" s="805"/>
      <c r="S58" s="805"/>
      <c r="T58" s="805"/>
      <c r="U58" s="805"/>
      <c r="V58" s="805"/>
      <c r="W58" s="805"/>
      <c r="X58" s="805"/>
      <c r="Y58" s="805"/>
      <c r="Z58" s="805"/>
    </row>
    <row r="59" spans="1:26">
      <c r="A59" s="794" t="str">
        <f>IF(B3="","",IF(B3="PreBuild","SQL CPU",""))</f>
        <v/>
      </c>
      <c r="B59" s="920"/>
      <c r="C59" s="920"/>
      <c r="D59" s="805"/>
      <c r="E59" s="805"/>
      <c r="F59" s="805"/>
      <c r="G59" s="805"/>
      <c r="H59" s="805"/>
      <c r="I59" s="805"/>
      <c r="J59" s="805"/>
      <c r="K59" s="805"/>
      <c r="L59" s="805"/>
      <c r="M59" s="805"/>
      <c r="N59" s="805"/>
      <c r="O59" s="805"/>
      <c r="P59" s="805"/>
      <c r="Q59" s="805"/>
      <c r="R59" s="805"/>
      <c r="S59" s="805"/>
      <c r="T59" s="805"/>
      <c r="U59" s="805"/>
      <c r="V59" s="805"/>
      <c r="W59" s="805"/>
      <c r="X59" s="805"/>
      <c r="Y59" s="805"/>
      <c r="Z59" s="805"/>
    </row>
    <row r="60" spans="1:26">
      <c r="A60" s="860" t="str">
        <f>IF(B3="","",IF(B3="PreBuild","SQL RAM",""))</f>
        <v/>
      </c>
      <c r="B60" s="920"/>
      <c r="C60" s="920"/>
      <c r="D60" s="805"/>
      <c r="E60" s="893" t="s">
        <v>104</v>
      </c>
      <c r="F60" s="805"/>
      <c r="G60" s="805"/>
      <c r="H60" s="805"/>
      <c r="I60" s="805"/>
      <c r="J60" s="805"/>
      <c r="K60" s="805"/>
      <c r="L60" s="805"/>
      <c r="M60" s="805"/>
      <c r="N60" s="805"/>
      <c r="O60" s="805"/>
      <c r="P60" s="805"/>
      <c r="Q60" s="805"/>
      <c r="R60" s="805"/>
      <c r="S60" s="805"/>
      <c r="T60" s="805"/>
      <c r="U60" s="805"/>
      <c r="V60" s="805"/>
      <c r="W60" s="805"/>
      <c r="X60" s="805"/>
      <c r="Y60" s="805"/>
      <c r="Z60" s="805"/>
    </row>
    <row r="61" spans="1:26">
      <c r="A61" s="794" t="str">
        <f>IF(B3="","",IF(B3="PreBuild","Standard SQL Disk",""))</f>
        <v/>
      </c>
      <c r="B61" s="920"/>
      <c r="C61" s="920"/>
      <c r="D61" s="805"/>
      <c r="E61" s="899" t="s">
        <v>105</v>
      </c>
      <c r="F61" s="805"/>
      <c r="G61" s="805"/>
      <c r="H61" s="805"/>
      <c r="I61" s="805"/>
      <c r="J61" s="805"/>
      <c r="K61" s="805"/>
      <c r="L61" s="805"/>
      <c r="M61" s="805"/>
      <c r="N61" s="805"/>
      <c r="O61" s="805"/>
      <c r="P61" s="805"/>
      <c r="Q61" s="805"/>
      <c r="R61" s="805"/>
      <c r="S61" s="805"/>
      <c r="T61" s="805"/>
      <c r="U61" s="805"/>
      <c r="V61" s="805"/>
      <c r="W61" s="805"/>
      <c r="X61" s="805"/>
      <c r="Y61" s="805"/>
      <c r="Z61" s="805"/>
    </row>
    <row r="62" spans="1:26">
      <c r="A62" s="860" t="str">
        <f>IF(B3="","",IF(B3="PreBuild","SQL MAX DOP",""))</f>
        <v/>
      </c>
      <c r="B62" s="920"/>
      <c r="C62" s="920"/>
      <c r="D62" s="805"/>
      <c r="E62" s="805">
        <f>F11</f>
        <v>0</v>
      </c>
      <c r="F62" s="805"/>
      <c r="G62" s="805"/>
      <c r="H62" s="805"/>
      <c r="I62" s="805"/>
      <c r="J62" s="805"/>
      <c r="K62" s="805"/>
      <c r="L62" s="805"/>
      <c r="M62" s="805"/>
      <c r="N62" s="805"/>
      <c r="O62" s="805"/>
      <c r="P62" s="805"/>
      <c r="Q62" s="805"/>
      <c r="R62" s="805"/>
      <c r="S62" s="805"/>
      <c r="T62" s="805"/>
      <c r="U62" s="805"/>
      <c r="V62" s="805"/>
      <c r="W62" s="805"/>
      <c r="X62" s="805"/>
      <c r="Y62" s="805"/>
      <c r="Z62" s="805"/>
    </row>
    <row r="63" spans="1:26">
      <c r="A63" s="794" t="str">
        <f>IF(B3="","",IF(B3="PreBuild","SQL COST THRESHOLD",""))</f>
        <v/>
      </c>
      <c r="B63" s="920"/>
      <c r="C63" s="920"/>
      <c r="D63" s="887"/>
      <c r="E63" s="900" t="s">
        <v>95</v>
      </c>
      <c r="F63" s="892"/>
      <c r="G63" s="805"/>
      <c r="H63" s="805"/>
      <c r="I63" s="805"/>
      <c r="J63" s="805"/>
      <c r="K63" s="805"/>
      <c r="L63" s="805"/>
      <c r="M63" s="805"/>
      <c r="N63" s="805"/>
      <c r="O63" s="805"/>
      <c r="P63" s="805"/>
      <c r="Q63" s="805"/>
      <c r="R63" s="805"/>
      <c r="S63" s="805"/>
      <c r="T63" s="805"/>
      <c r="U63" s="805"/>
      <c r="V63" s="805"/>
      <c r="W63" s="805"/>
      <c r="X63" s="805"/>
      <c r="Y63" s="805"/>
      <c r="Z63" s="805"/>
    </row>
    <row r="64" spans="1:26">
      <c r="A64" s="860" t="str">
        <f>IF(B3="","",IF(B3="PreBuild","Min SQL Memory",""))</f>
        <v/>
      </c>
      <c r="B64" s="920"/>
      <c r="C64" s="920"/>
      <c r="D64" s="887"/>
      <c r="E64" s="886">
        <f>F14</f>
        <v>0</v>
      </c>
      <c r="F64" s="887"/>
      <c r="G64" s="805"/>
      <c r="H64" s="805"/>
      <c r="I64" s="805"/>
      <c r="J64" s="805"/>
      <c r="K64" s="805"/>
      <c r="L64" s="805"/>
      <c r="M64" s="805"/>
      <c r="N64" s="805"/>
      <c r="O64" s="805"/>
      <c r="P64" s="805"/>
      <c r="Q64" s="805"/>
      <c r="R64" s="805"/>
      <c r="S64" s="805"/>
      <c r="T64" s="805"/>
      <c r="U64" s="805"/>
      <c r="V64" s="805"/>
      <c r="W64" s="805"/>
      <c r="X64" s="805"/>
      <c r="Y64" s="805"/>
      <c r="Z64" s="805"/>
    </row>
    <row r="65" spans="1:26">
      <c r="A65" s="794" t="str">
        <f>IF(B3="","",IF(B3="PreBuild","Max SQL Memory",""))</f>
        <v/>
      </c>
      <c r="B65" s="920"/>
      <c r="C65" s="920"/>
      <c r="D65" s="887"/>
      <c r="E65" s="901" t="s">
        <v>106</v>
      </c>
      <c r="F65" s="887"/>
      <c r="G65" s="805"/>
      <c r="H65" s="805"/>
      <c r="I65" s="805"/>
      <c r="J65" s="805"/>
      <c r="K65" s="805"/>
      <c r="L65" s="805"/>
      <c r="M65" s="805"/>
      <c r="N65" s="805"/>
      <c r="O65" s="805"/>
      <c r="P65" s="805"/>
      <c r="Q65" s="805"/>
      <c r="R65" s="805"/>
      <c r="S65" s="805"/>
      <c r="T65" s="805"/>
      <c r="U65" s="805"/>
      <c r="V65" s="805"/>
      <c r="W65" s="805"/>
      <c r="X65" s="805"/>
      <c r="Y65" s="805"/>
      <c r="Z65" s="805"/>
    </row>
    <row r="66" spans="1:26">
      <c r="A66" s="860" t="str">
        <f>IF(B3="","",IF(B3="PreBuild","SQL Jobs",""))</f>
        <v/>
      </c>
      <c r="B66" s="920"/>
      <c r="C66" s="920"/>
      <c r="D66" s="887"/>
      <c r="E66" s="886">
        <f>F15</f>
        <v>0</v>
      </c>
      <c r="F66" s="887"/>
      <c r="G66" s="886"/>
      <c r="H66" s="805"/>
      <c r="I66" s="805"/>
      <c r="J66" s="805"/>
      <c r="K66" s="805"/>
      <c r="L66" s="805"/>
      <c r="M66" s="805"/>
      <c r="N66" s="805"/>
      <c r="O66" s="805"/>
      <c r="P66" s="805"/>
      <c r="Q66" s="805"/>
      <c r="R66" s="805"/>
      <c r="S66" s="805"/>
      <c r="T66" s="805"/>
      <c r="U66" s="805"/>
      <c r="V66" s="805"/>
      <c r="W66" s="805"/>
      <c r="X66" s="805"/>
      <c r="Y66" s="805"/>
      <c r="Z66" s="805"/>
    </row>
    <row r="67" spans="1:26">
      <c r="A67" s="794" t="str">
        <f>IF(B3="","",IF(B3="PreBuild","CTM CPU's",""))</f>
        <v/>
      </c>
      <c r="B67" s="920"/>
      <c r="C67" s="920"/>
      <c r="D67" s="887"/>
      <c r="E67" s="901" t="s">
        <v>107</v>
      </c>
      <c r="F67" s="887"/>
      <c r="G67" s="805"/>
      <c r="H67" s="805"/>
      <c r="I67" s="805"/>
      <c r="J67" s="805"/>
      <c r="K67" s="805"/>
      <c r="L67" s="805"/>
      <c r="M67" s="805"/>
      <c r="N67" s="805"/>
      <c r="O67" s="805"/>
      <c r="P67" s="805"/>
      <c r="Q67" s="805"/>
      <c r="R67" s="805"/>
      <c r="S67" s="805"/>
      <c r="T67" s="805"/>
      <c r="U67" s="805"/>
      <c r="V67" s="805"/>
      <c r="W67" s="805"/>
      <c r="X67" s="805"/>
      <c r="Y67" s="805"/>
      <c r="Z67" s="805"/>
    </row>
    <row r="68" spans="1:26">
      <c r="A68" s="860" t="str">
        <f>IF(B3="","",IF(B3="PreBuild","CTM RAM",""))</f>
        <v/>
      </c>
      <c r="B68" s="920"/>
      <c r="C68" s="920"/>
      <c r="D68" s="887"/>
      <c r="E68" s="886" t="str">
        <f>I2</f>
        <v/>
      </c>
      <c r="F68" s="887"/>
      <c r="G68" s="805"/>
      <c r="H68" s="805"/>
      <c r="I68" s="805"/>
      <c r="J68" s="805"/>
      <c r="K68" s="805"/>
      <c r="L68" s="805"/>
      <c r="M68" s="805"/>
      <c r="N68" s="805"/>
      <c r="O68" s="805"/>
      <c r="P68" s="805"/>
      <c r="Q68" s="805"/>
      <c r="R68" s="805"/>
      <c r="S68" s="805"/>
      <c r="T68" s="805"/>
      <c r="U68" s="805"/>
      <c r="V68" s="805"/>
      <c r="W68" s="805"/>
      <c r="X68" s="805"/>
      <c r="Y68" s="805"/>
      <c r="Z68" s="805"/>
    </row>
    <row r="69" spans="1:26">
      <c r="A69" s="794" t="str">
        <f>IF(B3="","",IF(B3="PreBuild","CTM Interfaces",""))</f>
        <v/>
      </c>
      <c r="B69" s="920"/>
      <c r="C69" s="920"/>
      <c r="D69" s="887"/>
      <c r="E69" s="901" t="s">
        <v>108</v>
      </c>
      <c r="F69" s="887"/>
      <c r="G69" s="805"/>
      <c r="H69" s="805"/>
      <c r="I69" s="805"/>
      <c r="J69" s="805"/>
      <c r="K69" s="805"/>
      <c r="L69" s="805"/>
      <c r="M69" s="805"/>
      <c r="N69" s="805"/>
      <c r="O69" s="805"/>
      <c r="P69" s="805"/>
      <c r="Q69" s="805"/>
      <c r="R69" s="805"/>
      <c r="S69" s="805"/>
      <c r="T69" s="805"/>
      <c r="U69" s="805"/>
      <c r="V69" s="805"/>
      <c r="W69" s="805"/>
      <c r="X69" s="805"/>
      <c r="Y69" s="805"/>
      <c r="Z69" s="805"/>
    </row>
    <row r="70" spans="1:26">
      <c r="A70" s="860" t="str">
        <f>IF(B3="","",IF(B3="PreBuild","CTM Custom Java",""))</f>
        <v/>
      </c>
      <c r="B70" s="920"/>
      <c r="C70" s="920"/>
      <c r="D70" s="887"/>
      <c r="E70" s="886" t="str">
        <f>I8</f>
        <v/>
      </c>
      <c r="F70" s="887"/>
      <c r="G70" s="805"/>
      <c r="H70" s="805"/>
      <c r="I70" s="805"/>
      <c r="J70" s="805"/>
      <c r="K70" s="805"/>
      <c r="L70" s="805"/>
      <c r="M70" s="805"/>
      <c r="N70" s="805"/>
      <c r="O70" s="805"/>
      <c r="P70" s="805"/>
      <c r="Q70" s="805"/>
      <c r="R70" s="805"/>
      <c r="S70" s="805"/>
      <c r="T70" s="805"/>
      <c r="U70" s="805"/>
      <c r="V70" s="805"/>
      <c r="W70" s="805"/>
      <c r="X70" s="805"/>
      <c r="Y70" s="805"/>
      <c r="Z70" s="805"/>
    </row>
    <row r="71" spans="1:26">
      <c r="A71" s="794" t="str">
        <f>IF(B3="","",IF(B3="PreBuild","Standard CTM  Disk",""))</f>
        <v/>
      </c>
      <c r="B71" s="920"/>
      <c r="C71" s="920"/>
      <c r="D71" s="887"/>
      <c r="E71" s="901" t="s">
        <v>109</v>
      </c>
      <c r="F71" s="887"/>
      <c r="G71" s="805"/>
      <c r="H71" s="805"/>
      <c r="I71" s="805"/>
      <c r="J71" s="805"/>
      <c r="K71" s="805"/>
      <c r="L71" s="805"/>
      <c r="M71" s="805"/>
      <c r="N71" s="805"/>
      <c r="O71" s="805"/>
      <c r="P71" s="805"/>
      <c r="Q71" s="805"/>
      <c r="R71" s="805"/>
      <c r="S71" s="805"/>
      <c r="T71" s="805"/>
      <c r="U71" s="805"/>
      <c r="V71" s="805"/>
      <c r="W71" s="805"/>
      <c r="X71" s="805"/>
      <c r="Y71" s="805"/>
      <c r="Z71" s="805"/>
    </row>
    <row r="72" spans="1:26">
      <c r="A72" s="860" t="str">
        <f>IF(B3="","",IF(B3="PreBuild","SAS CPU's,",""))</f>
        <v/>
      </c>
      <c r="B72" s="920"/>
      <c r="C72" s="920"/>
      <c r="D72" s="887"/>
      <c r="E72" s="886">
        <f>F25</f>
        <v>0</v>
      </c>
      <c r="F72" s="887"/>
      <c r="G72" s="805"/>
      <c r="H72" s="805"/>
      <c r="I72" s="805"/>
      <c r="J72" s="805"/>
      <c r="K72" s="805"/>
      <c r="L72" s="805"/>
      <c r="M72" s="805"/>
      <c r="N72" s="805"/>
      <c r="O72" s="805"/>
      <c r="P72" s="805"/>
      <c r="Q72" s="805"/>
      <c r="R72" s="805"/>
      <c r="S72" s="805"/>
      <c r="T72" s="805"/>
      <c r="U72" s="805"/>
      <c r="V72" s="805"/>
      <c r="W72" s="805"/>
      <c r="X72" s="805"/>
      <c r="Y72" s="805"/>
      <c r="Z72" s="805"/>
    </row>
    <row r="73" spans="1:26">
      <c r="A73" s="794" t="str">
        <f>IF(B3="","",IF(B3="PreBuild","SAS Memory",""))</f>
        <v/>
      </c>
      <c r="B73" s="920"/>
      <c r="C73" s="920"/>
      <c r="D73" s="887"/>
      <c r="E73" s="886" t="s">
        <v>110</v>
      </c>
      <c r="F73" s="887"/>
      <c r="G73" s="805"/>
      <c r="H73" s="805"/>
      <c r="I73" s="805"/>
      <c r="J73" s="805"/>
      <c r="K73" s="805"/>
      <c r="L73" s="805"/>
      <c r="M73" s="805"/>
      <c r="N73" s="805"/>
      <c r="O73" s="805"/>
      <c r="P73" s="805"/>
      <c r="Q73" s="805"/>
      <c r="R73" s="805"/>
      <c r="S73" s="805"/>
      <c r="T73" s="805"/>
      <c r="U73" s="805"/>
      <c r="V73" s="805"/>
      <c r="W73" s="805"/>
      <c r="X73" s="805"/>
      <c r="Y73" s="805"/>
      <c r="Z73" s="805"/>
    </row>
    <row r="74" spans="1:26">
      <c r="A74" s="860" t="str">
        <f>IF(B3="","",IF(B3="PreBuild","SAS Standard Disk",""))</f>
        <v/>
      </c>
      <c r="B74" s="920"/>
      <c r="C74" s="920"/>
      <c r="D74" s="887"/>
      <c r="E74" s="886" t="str">
        <f>I3</f>
        <v/>
      </c>
      <c r="F74" s="892"/>
      <c r="G74" s="805"/>
      <c r="H74" s="805"/>
      <c r="I74" s="805"/>
      <c r="J74" s="805"/>
      <c r="K74" s="805"/>
      <c r="L74" s="805"/>
      <c r="M74" s="805"/>
      <c r="N74" s="805"/>
      <c r="O74" s="805"/>
      <c r="P74" s="805"/>
      <c r="Q74" s="805"/>
      <c r="R74" s="805"/>
      <c r="S74" s="805"/>
      <c r="T74" s="805"/>
      <c r="U74" s="805"/>
      <c r="V74" s="805"/>
      <c r="W74" s="805"/>
      <c r="X74" s="805"/>
      <c r="Y74" s="805"/>
      <c r="Z74" s="805"/>
    </row>
    <row r="75" spans="1:26">
      <c r="A75" s="794" t="str">
        <f>IF(B3="","",IF(B3="PreBuild","IP RESTICTIONS",""))</f>
        <v/>
      </c>
      <c r="B75" s="735"/>
      <c r="C75" s="735"/>
      <c r="D75" s="887"/>
      <c r="E75" s="886" t="str">
        <f t="shared" ref="E75:E78" si="0">I4</f>
        <v/>
      </c>
      <c r="F75" s="887"/>
      <c r="G75" s="805"/>
      <c r="H75" s="805"/>
      <c r="I75" s="805"/>
      <c r="J75" s="805"/>
      <c r="K75" s="805"/>
      <c r="L75" s="805"/>
      <c r="M75" s="805"/>
      <c r="N75" s="805"/>
      <c r="O75" s="805"/>
      <c r="P75" s="805"/>
      <c r="Q75" s="805"/>
      <c r="R75" s="805"/>
      <c r="S75" s="805"/>
      <c r="T75" s="805"/>
      <c r="U75" s="805"/>
      <c r="V75" s="805"/>
      <c r="W75" s="805"/>
      <c r="X75" s="805"/>
      <c r="Y75" s="805"/>
      <c r="Z75" s="805"/>
    </row>
    <row r="76" spans="1:26">
      <c r="A76" s="860" t="str">
        <f>IF(B3="","",IF(B3="PreBuild","DB ENCRYPTION",""))</f>
        <v/>
      </c>
      <c r="B76" s="920"/>
      <c r="C76" s="920"/>
      <c r="D76" s="887"/>
      <c r="E76" s="886" t="str">
        <f t="shared" si="0"/>
        <v/>
      </c>
      <c r="F76" s="887"/>
      <c r="G76" s="805"/>
      <c r="H76" s="805"/>
      <c r="I76" s="805"/>
      <c r="J76" s="805"/>
      <c r="K76" s="805"/>
      <c r="L76" s="805"/>
      <c r="M76" s="805"/>
      <c r="N76" s="805"/>
      <c r="O76" s="805"/>
      <c r="P76" s="805"/>
      <c r="Q76" s="805"/>
      <c r="R76" s="805"/>
      <c r="S76" s="805"/>
      <c r="T76" s="805"/>
      <c r="U76" s="805"/>
      <c r="V76" s="805"/>
      <c r="W76" s="805"/>
      <c r="X76" s="805"/>
      <c r="Y76" s="805"/>
      <c r="Z76" s="805"/>
    </row>
    <row r="77" spans="1:26">
      <c r="A77" s="861" t="str">
        <f>IF(B3="","",IF(B3="PreBuild","OPEN SUITE",""))</f>
        <v/>
      </c>
      <c r="B77" s="920"/>
      <c r="C77" s="920"/>
      <c r="D77" s="887"/>
      <c r="E77" s="886" t="str">
        <f t="shared" si="0"/>
        <v/>
      </c>
      <c r="F77" s="887"/>
      <c r="G77" s="805"/>
      <c r="H77" s="805"/>
      <c r="I77" s="805"/>
      <c r="J77" s="805"/>
      <c r="K77" s="805"/>
      <c r="L77" s="805"/>
      <c r="M77" s="805"/>
      <c r="N77" s="805"/>
      <c r="O77" s="805"/>
      <c r="P77" s="805"/>
      <c r="Q77" s="805"/>
      <c r="R77" s="805"/>
      <c r="S77" s="805"/>
      <c r="T77" s="805"/>
      <c r="U77" s="805"/>
      <c r="V77" s="805"/>
      <c r="W77" s="805"/>
      <c r="X77" s="805"/>
      <c r="Y77" s="805"/>
      <c r="Z77" s="805"/>
    </row>
    <row r="78" spans="1:26">
      <c r="A78" s="1040" t="str">
        <f>IF(B3="","",IF(B3="PreBuild","MasterConfig Interigation Results",""))</f>
        <v/>
      </c>
      <c r="B78" s="1041"/>
      <c r="C78" s="1042"/>
      <c r="D78" s="887"/>
      <c r="E78" s="886" t="str">
        <f t="shared" si="0"/>
        <v/>
      </c>
      <c r="F78" s="892"/>
      <c r="G78" s="805"/>
      <c r="H78" s="805"/>
      <c r="I78" s="805"/>
      <c r="J78" s="805"/>
      <c r="K78" s="805"/>
      <c r="L78" s="805"/>
      <c r="M78" s="805"/>
      <c r="N78" s="805"/>
      <c r="O78" s="805"/>
      <c r="P78" s="805"/>
      <c r="Q78" s="805"/>
      <c r="R78" s="805"/>
      <c r="S78" s="805"/>
      <c r="T78" s="805"/>
      <c r="U78" s="805"/>
      <c r="V78" s="805"/>
      <c r="W78" s="805"/>
      <c r="X78" s="805"/>
      <c r="Y78" s="805"/>
      <c r="Z78" s="805"/>
    </row>
    <row r="79" spans="1:26">
      <c r="A79" s="743" t="str">
        <f>IF(B3="","",IF(B3="PreBuild","Source Models",""))</f>
        <v/>
      </c>
      <c r="B79" s="850" t="str">
        <f>IF(B3="","",IF(B3="PreBuild","Production",""))</f>
        <v/>
      </c>
      <c r="C79" s="817" t="str">
        <f>IF(B3="","",IF(B3="PreBuild","Sandbox",""))</f>
        <v/>
      </c>
      <c r="D79" s="887"/>
      <c r="E79" s="894" t="str">
        <f>J4</f>
        <v/>
      </c>
      <c r="F79" s="887"/>
      <c r="G79" s="805"/>
      <c r="H79" s="805"/>
      <c r="I79" s="805"/>
      <c r="J79" s="805"/>
      <c r="K79" s="805"/>
      <c r="L79" s="805"/>
      <c r="M79" s="805"/>
      <c r="N79" s="805"/>
      <c r="O79" s="805"/>
      <c r="P79" s="805"/>
      <c r="Q79" s="805"/>
      <c r="R79" s="805"/>
      <c r="S79" s="805"/>
      <c r="T79" s="805"/>
      <c r="U79" s="805"/>
      <c r="V79" s="805"/>
      <c r="W79" s="805"/>
      <c r="X79" s="805"/>
      <c r="Y79" s="805"/>
      <c r="Z79" s="805"/>
    </row>
    <row r="80" spans="1:26">
      <c r="A80" s="747"/>
      <c r="B80" s="925" t="str">
        <f>IF(B3="","",IF(B3="PreBuild",MasterConfig!B97,""))</f>
        <v/>
      </c>
      <c r="C80" s="925" t="str">
        <f>IF(B3="","",IF(B3="PreBuild",MasterConfig!B98,""))</f>
        <v/>
      </c>
      <c r="D80" s="887"/>
      <c r="E80" s="894" t="str">
        <f t="shared" ref="E80:E81" si="1">J5</f>
        <v/>
      </c>
      <c r="F80" s="887"/>
      <c r="G80" s="805"/>
      <c r="H80" s="805"/>
      <c r="I80" s="805"/>
      <c r="J80" s="805"/>
      <c r="K80" s="805"/>
      <c r="L80" s="805"/>
      <c r="M80" s="805"/>
      <c r="N80" s="805"/>
      <c r="O80" s="805"/>
      <c r="P80" s="805"/>
      <c r="Q80" s="805"/>
      <c r="R80" s="805"/>
      <c r="S80" s="805"/>
      <c r="T80" s="805"/>
      <c r="U80" s="805"/>
      <c r="V80" s="805"/>
      <c r="W80" s="805"/>
      <c r="X80" s="805"/>
      <c r="Y80" s="805"/>
      <c r="Z80" s="805"/>
    </row>
    <row r="81" spans="1:26">
      <c r="A81" s="739"/>
      <c r="B81" s="925" t="str">
        <f>IF(MasterConfig!C97="","",MasterConfig!C97)</f>
        <v/>
      </c>
      <c r="C81" s="925" t="str">
        <f>IF(MasterConfig!C98="","",MasterConfig!C98)</f>
        <v/>
      </c>
      <c r="D81" s="887"/>
      <c r="E81" s="894" t="str">
        <f t="shared" si="1"/>
        <v/>
      </c>
      <c r="F81" s="887"/>
      <c r="G81" s="805"/>
      <c r="H81" s="805"/>
      <c r="I81" s="805"/>
      <c r="J81" s="805"/>
      <c r="K81" s="805"/>
      <c r="L81" s="805"/>
      <c r="M81" s="805"/>
      <c r="N81" s="805"/>
      <c r="O81" s="805"/>
      <c r="P81" s="805"/>
      <c r="Q81" s="805"/>
      <c r="R81" s="805"/>
      <c r="S81" s="805"/>
      <c r="T81" s="805"/>
      <c r="U81" s="805"/>
      <c r="V81" s="805"/>
      <c r="W81" s="805"/>
      <c r="X81" s="805"/>
      <c r="Y81" s="805"/>
      <c r="Z81" s="805"/>
    </row>
    <row r="82" spans="1:26">
      <c r="A82" s="739"/>
      <c r="B82" s="925" t="str">
        <f>IF(MasterConfig!D97="","",MasterConfig!D97)</f>
        <v/>
      </c>
      <c r="C82" s="925" t="str">
        <f>IF(MasterConfig!D98="","",MasterConfig!D98)</f>
        <v/>
      </c>
      <c r="D82" s="887"/>
      <c r="E82" s="901" t="s">
        <v>77</v>
      </c>
      <c r="F82" s="887"/>
      <c r="G82" s="805"/>
      <c r="H82" s="805"/>
      <c r="I82" s="805"/>
      <c r="J82" s="805"/>
      <c r="K82" s="805"/>
      <c r="L82" s="805"/>
      <c r="M82" s="805"/>
      <c r="N82" s="805"/>
      <c r="O82" s="805"/>
      <c r="P82" s="805"/>
      <c r="Q82" s="805"/>
      <c r="R82" s="805"/>
      <c r="S82" s="805"/>
      <c r="T82" s="805"/>
      <c r="U82" s="805"/>
      <c r="V82" s="805"/>
      <c r="W82" s="805"/>
      <c r="X82" s="805"/>
      <c r="Y82" s="805"/>
      <c r="Z82" s="805"/>
    </row>
    <row r="83" spans="1:26">
      <c r="A83" s="739"/>
      <c r="B83" s="925" t="str">
        <f>IF(MasterConfig!E97="","",MasterConfig!E97)</f>
        <v/>
      </c>
      <c r="C83" s="925" t="str">
        <f>IF(MasterConfig!E98="","",MasterConfig!E98)</f>
        <v/>
      </c>
      <c r="D83" s="887"/>
      <c r="E83" s="886" t="str">
        <f>I9</f>
        <v/>
      </c>
      <c r="F83" s="887"/>
      <c r="G83" s="805"/>
      <c r="H83" s="805"/>
      <c r="I83" s="805"/>
      <c r="J83" s="805"/>
      <c r="K83" s="805"/>
      <c r="L83" s="805"/>
      <c r="M83" s="805"/>
      <c r="N83" s="805"/>
      <c r="O83" s="805"/>
      <c r="P83" s="805"/>
      <c r="Q83" s="805"/>
      <c r="R83" s="805"/>
      <c r="S83" s="805"/>
      <c r="T83" s="805"/>
      <c r="U83" s="805"/>
      <c r="V83" s="805"/>
      <c r="W83" s="805"/>
      <c r="X83" s="805"/>
      <c r="Y83" s="805"/>
      <c r="Z83" s="805"/>
    </row>
    <row r="84" spans="1:26">
      <c r="A84" s="739"/>
      <c r="B84" s="925" t="str">
        <f>IF(MasterConfig!F97="","",MasterConfig!F97)</f>
        <v/>
      </c>
      <c r="C84" s="925" t="str">
        <f>IF(MasterConfig!F98="","",MasterConfig!F98)</f>
        <v/>
      </c>
      <c r="D84" s="887"/>
      <c r="E84" s="886" t="str">
        <f t="shared" ref="E84:E87" si="2">I10</f>
        <v/>
      </c>
      <c r="F84" s="887"/>
      <c r="G84" s="805"/>
      <c r="H84" s="805"/>
      <c r="I84" s="805"/>
      <c r="J84" s="805"/>
      <c r="K84" s="805"/>
      <c r="L84" s="805"/>
      <c r="M84" s="805"/>
      <c r="N84" s="805"/>
      <c r="O84" s="805"/>
      <c r="P84" s="805"/>
      <c r="Q84" s="805"/>
      <c r="R84" s="805"/>
      <c r="S84" s="805"/>
      <c r="T84" s="805"/>
      <c r="U84" s="805"/>
      <c r="V84" s="805"/>
      <c r="W84" s="805"/>
      <c r="X84" s="805"/>
      <c r="Y84" s="805"/>
      <c r="Z84" s="805"/>
    </row>
    <row r="85" spans="1:26">
      <c r="A85" s="739"/>
      <c r="B85" s="925" t="str">
        <f>IF(MasterConfig!G97="","",MasterConfig!G97)</f>
        <v/>
      </c>
      <c r="C85" s="925" t="str">
        <f>IF(MasterConfig!G98="","",MasterConfig!G98)</f>
        <v/>
      </c>
      <c r="D85" s="887"/>
      <c r="E85" s="886" t="str">
        <f t="shared" si="2"/>
        <v/>
      </c>
      <c r="F85" s="887"/>
      <c r="G85" s="805"/>
      <c r="H85" s="805"/>
      <c r="I85" s="805"/>
      <c r="J85" s="805"/>
      <c r="K85" s="805"/>
      <c r="L85" s="805"/>
      <c r="M85" s="805"/>
      <c r="N85" s="805"/>
      <c r="O85" s="805"/>
      <c r="P85" s="805"/>
      <c r="Q85" s="805"/>
      <c r="R85" s="805"/>
      <c r="S85" s="805"/>
      <c r="T85" s="805"/>
      <c r="U85" s="805"/>
      <c r="V85" s="805"/>
      <c r="W85" s="805"/>
      <c r="X85" s="805"/>
      <c r="Y85" s="805"/>
      <c r="Z85" s="805"/>
    </row>
    <row r="86" spans="1:26">
      <c r="A86" s="741"/>
      <c r="B86" s="925" t="str">
        <f>IF(MasterConfig!H97="","",MasterConfig!H97)</f>
        <v/>
      </c>
      <c r="C86" s="925" t="str">
        <f>IF(MasterConfig!H98="","",MasterConfig!H98)</f>
        <v/>
      </c>
      <c r="D86" s="887"/>
      <c r="E86" s="886" t="str">
        <f t="shared" si="2"/>
        <v/>
      </c>
      <c r="F86" s="887"/>
      <c r="G86" s="805"/>
      <c r="H86" s="805"/>
      <c r="I86" s="805"/>
      <c r="J86" s="805"/>
      <c r="K86" s="805"/>
      <c r="L86" s="805"/>
      <c r="M86" s="805"/>
      <c r="N86" s="805"/>
      <c r="O86" s="805"/>
      <c r="P86" s="805"/>
      <c r="Q86" s="805"/>
      <c r="R86" s="805"/>
      <c r="S86" s="805"/>
      <c r="T86" s="805"/>
      <c r="U86" s="805"/>
      <c r="V86" s="805"/>
      <c r="W86" s="805"/>
      <c r="X86" s="805"/>
      <c r="Y86" s="805"/>
      <c r="Z86" s="805"/>
    </row>
    <row r="87" spans="1:26">
      <c r="A87" s="1041" t="str">
        <f>IF(B3="","",IF(B3="PreBuild","MasterConfig Interigation Results",""))</f>
        <v/>
      </c>
      <c r="B87" s="1041"/>
      <c r="C87" s="1041"/>
      <c r="D87" s="887"/>
      <c r="E87" s="886" t="str">
        <f t="shared" si="2"/>
        <v/>
      </c>
      <c r="F87" s="887"/>
      <c r="G87" s="805"/>
      <c r="H87" s="805"/>
      <c r="I87" s="805"/>
      <c r="J87" s="805"/>
      <c r="K87" s="805"/>
      <c r="L87" s="805"/>
      <c r="M87" s="805"/>
      <c r="N87" s="805"/>
      <c r="O87" s="805"/>
      <c r="P87" s="805"/>
      <c r="Q87" s="805"/>
      <c r="R87" s="805"/>
      <c r="S87" s="805"/>
      <c r="T87" s="805"/>
      <c r="U87" s="805"/>
      <c r="V87" s="805"/>
      <c r="W87" s="805"/>
      <c r="X87" s="805"/>
      <c r="Y87" s="805"/>
      <c r="Z87" s="805"/>
    </row>
    <row r="88" spans="1:26">
      <c r="A88" s="743" t="str">
        <f>IF(B3="","",IF(B3="PreBuild","Source Interfaces",""))</f>
        <v/>
      </c>
      <c r="B88" s="850" t="str">
        <f>IF(B3="","",IF(B3="PreBuild","Production",""))</f>
        <v/>
      </c>
      <c r="C88" s="817" t="str">
        <f>IF(B3="","",IF(B3="PreBuild","Sandbox",""))</f>
        <v/>
      </c>
      <c r="D88" s="887"/>
      <c r="E88" s="886" t="str">
        <f>J10</f>
        <v/>
      </c>
      <c r="F88" s="887"/>
      <c r="G88" s="805"/>
      <c r="H88" s="805"/>
      <c r="I88" s="805"/>
      <c r="J88" s="805"/>
      <c r="K88" s="805"/>
      <c r="L88" s="805"/>
      <c r="M88" s="805"/>
      <c r="N88" s="805"/>
      <c r="O88" s="805"/>
      <c r="P88" s="805"/>
      <c r="Q88" s="805"/>
      <c r="R88" s="805"/>
      <c r="S88" s="805"/>
      <c r="T88" s="805"/>
      <c r="U88" s="805"/>
      <c r="V88" s="805"/>
      <c r="W88" s="805"/>
      <c r="X88" s="805"/>
      <c r="Y88" s="805"/>
      <c r="Z88" s="805"/>
    </row>
    <row r="89" spans="1:26">
      <c r="A89" s="747"/>
      <c r="B89" s="925" t="str">
        <f>IF(B3="","",IF(B3="PreBuild",MasterConfig!B101,""))</f>
        <v/>
      </c>
      <c r="C89" s="925" t="str">
        <f>IF(B3="","",IF(B3="PreBuild",MasterConfig!B102,""))</f>
        <v/>
      </c>
      <c r="D89" s="887"/>
      <c r="E89" s="886" t="str">
        <f t="shared" ref="E89:E91" si="3">J11</f>
        <v/>
      </c>
      <c r="F89" s="887"/>
      <c r="G89" s="805"/>
      <c r="H89" s="805"/>
      <c r="I89" s="805"/>
      <c r="J89" s="805"/>
      <c r="K89" s="805"/>
      <c r="L89" s="805"/>
      <c r="M89" s="805"/>
      <c r="N89" s="805"/>
      <c r="O89" s="805"/>
      <c r="P89" s="805"/>
      <c r="Q89" s="805"/>
      <c r="R89" s="805"/>
      <c r="S89" s="805"/>
      <c r="T89" s="805"/>
      <c r="U89" s="805"/>
      <c r="V89" s="805"/>
      <c r="W89" s="805"/>
      <c r="X89" s="805"/>
      <c r="Y89" s="805"/>
      <c r="Z89" s="805"/>
    </row>
    <row r="90" spans="1:26">
      <c r="A90" s="739"/>
      <c r="B90" s="925" t="str">
        <f>IF(MasterConfig!C101="","",MasterConfig!C101)</f>
        <v/>
      </c>
      <c r="C90" s="925" t="str">
        <f>IF(MasterConfig!C102="","",MasterConfig!C102)</f>
        <v/>
      </c>
      <c r="D90" s="887"/>
      <c r="E90" s="886" t="str">
        <f t="shared" si="3"/>
        <v/>
      </c>
      <c r="F90" s="887"/>
      <c r="G90" s="890"/>
      <c r="H90" s="805"/>
      <c r="I90" s="805"/>
      <c r="J90" s="805"/>
      <c r="K90" s="805"/>
      <c r="L90" s="805"/>
      <c r="M90" s="805"/>
      <c r="N90" s="805"/>
      <c r="O90" s="805"/>
      <c r="P90" s="805"/>
      <c r="Q90" s="805"/>
      <c r="R90" s="805"/>
      <c r="S90" s="805"/>
      <c r="T90" s="805"/>
      <c r="U90" s="805"/>
      <c r="V90" s="805"/>
      <c r="W90" s="805"/>
      <c r="X90" s="805"/>
      <c r="Y90" s="805"/>
      <c r="Z90" s="805"/>
    </row>
    <row r="91" spans="1:26">
      <c r="A91" s="739"/>
      <c r="B91" s="925" t="str">
        <f>IF(MasterConfig!D101="","",MasterConfig!D101)</f>
        <v/>
      </c>
      <c r="C91" s="925" t="str">
        <f>IF(MasterConfig!D102="","",MasterConfig!D102)</f>
        <v/>
      </c>
      <c r="D91" s="887"/>
      <c r="E91" s="886" t="str">
        <f t="shared" si="3"/>
        <v/>
      </c>
      <c r="F91" s="887"/>
      <c r="G91" s="805"/>
      <c r="H91" s="805"/>
      <c r="I91" s="805"/>
      <c r="J91" s="805"/>
      <c r="K91" s="805"/>
      <c r="L91" s="805"/>
      <c r="M91" s="805"/>
      <c r="N91" s="805"/>
      <c r="O91" s="805"/>
      <c r="P91" s="805"/>
      <c r="Q91" s="805"/>
      <c r="R91" s="805"/>
      <c r="S91" s="805"/>
      <c r="T91" s="805"/>
      <c r="U91" s="805"/>
      <c r="V91" s="805"/>
      <c r="W91" s="805"/>
      <c r="X91" s="805"/>
      <c r="Y91" s="805"/>
      <c r="Z91" s="805"/>
    </row>
    <row r="92" spans="1:26">
      <c r="A92" s="739"/>
      <c r="B92" s="925" t="str">
        <f>IF(MasterConfig!E101="","",MasterConfig!E101)</f>
        <v/>
      </c>
      <c r="C92" s="925" t="str">
        <f>IF(MasterConfig!E102="","",MasterConfig!E102)</f>
        <v/>
      </c>
      <c r="D92" s="888"/>
      <c r="E92" s="886"/>
      <c r="F92" s="887"/>
      <c r="G92" s="805"/>
      <c r="H92" s="805"/>
      <c r="I92" s="805"/>
      <c r="J92" s="805"/>
      <c r="K92" s="805"/>
      <c r="L92" s="805"/>
      <c r="M92" s="805"/>
      <c r="N92" s="805"/>
      <c r="O92" s="805"/>
      <c r="P92" s="805"/>
      <c r="Q92" s="805"/>
      <c r="R92" s="805"/>
      <c r="S92" s="805"/>
      <c r="T92" s="805"/>
      <c r="U92" s="805"/>
      <c r="V92" s="805"/>
      <c r="W92" s="805"/>
      <c r="X92" s="805"/>
      <c r="Y92" s="805"/>
      <c r="Z92" s="805"/>
    </row>
    <row r="93" spans="1:26">
      <c r="A93" s="739"/>
      <c r="B93" s="925" t="str">
        <f>IF(MasterConfig!F101="","",MasterConfig!F101)</f>
        <v/>
      </c>
      <c r="C93" s="925" t="str">
        <f>IF(MasterConfig!F102="","",MasterConfig!F102)</f>
        <v/>
      </c>
      <c r="D93" s="888"/>
      <c r="E93" s="886"/>
      <c r="F93" s="887"/>
      <c r="G93" s="805"/>
      <c r="H93" s="805"/>
      <c r="I93" s="805"/>
      <c r="J93" s="805"/>
      <c r="K93" s="805"/>
      <c r="L93" s="805"/>
      <c r="M93" s="805"/>
      <c r="N93" s="805"/>
      <c r="O93" s="805"/>
      <c r="P93" s="805"/>
      <c r="Q93" s="805"/>
      <c r="R93" s="805"/>
      <c r="S93" s="805"/>
      <c r="T93" s="805"/>
      <c r="U93" s="805"/>
      <c r="V93" s="805"/>
      <c r="W93" s="805"/>
      <c r="X93" s="805"/>
      <c r="Y93" s="805"/>
      <c r="Z93" s="805"/>
    </row>
    <row r="94" spans="1:26">
      <c r="A94" s="739"/>
      <c r="B94" s="925" t="str">
        <f>IF(MasterConfig!G101="","",MasterConfig!G101)</f>
        <v/>
      </c>
      <c r="C94" s="925" t="str">
        <f>IF(MasterConfig!IG102="","",MasterConfig!G102)</f>
        <v/>
      </c>
      <c r="D94" s="888"/>
      <c r="E94" s="886"/>
      <c r="F94" s="887"/>
      <c r="G94" s="805"/>
      <c r="H94" s="805"/>
      <c r="I94" s="805"/>
      <c r="J94" s="805"/>
      <c r="K94" s="805"/>
      <c r="L94" s="805"/>
      <c r="M94" s="805"/>
      <c r="N94" s="805"/>
      <c r="O94" s="805"/>
      <c r="P94" s="805"/>
      <c r="Q94" s="805"/>
      <c r="R94" s="805"/>
      <c r="S94" s="805"/>
      <c r="T94" s="805"/>
      <c r="U94" s="805"/>
      <c r="V94" s="805"/>
      <c r="W94" s="805"/>
      <c r="X94" s="805"/>
      <c r="Y94" s="805"/>
      <c r="Z94" s="805"/>
    </row>
    <row r="95" spans="1:26">
      <c r="A95" s="741"/>
      <c r="B95" s="925" t="str">
        <f>IF(MasterConfig!H101="","",MasterConfig!H101)</f>
        <v/>
      </c>
      <c r="C95" s="925" t="str">
        <f>IF(MasterConfig!H102="","",MasterConfig!H102)</f>
        <v/>
      </c>
      <c r="D95" s="888"/>
      <c r="E95" s="886"/>
      <c r="F95" s="887"/>
      <c r="G95" s="805"/>
      <c r="H95" s="805"/>
      <c r="I95" s="805"/>
      <c r="J95" s="805"/>
      <c r="K95" s="805"/>
      <c r="L95" s="805"/>
      <c r="M95" s="805"/>
      <c r="N95" s="805"/>
      <c r="O95" s="805"/>
      <c r="P95" s="805"/>
      <c r="Q95" s="805"/>
      <c r="R95" s="805"/>
      <c r="S95" s="805"/>
      <c r="T95" s="805"/>
      <c r="U95" s="805"/>
      <c r="V95" s="805"/>
      <c r="W95" s="805"/>
      <c r="X95" s="805"/>
      <c r="Y95" s="805"/>
      <c r="Z95" s="805"/>
    </row>
    <row r="96" spans="1:26">
      <c r="A96" s="1040" t="str">
        <f>IF(B3="","",IF(B3="PreBuild","MasterConfig Interigation Results",""))</f>
        <v/>
      </c>
      <c r="B96" s="1041"/>
      <c r="C96" s="1042"/>
      <c r="D96" s="888"/>
      <c r="E96" s="886"/>
      <c r="F96" s="887"/>
      <c r="G96" s="805"/>
      <c r="H96" s="805"/>
      <c r="I96" s="805"/>
      <c r="J96" s="805"/>
      <c r="K96" s="805"/>
      <c r="L96" s="805"/>
      <c r="M96" s="805"/>
      <c r="N96" s="805"/>
      <c r="O96" s="805"/>
      <c r="P96" s="805"/>
      <c r="Q96" s="805"/>
      <c r="R96" s="805"/>
      <c r="S96" s="805"/>
      <c r="T96" s="805"/>
      <c r="U96" s="805"/>
      <c r="V96" s="805"/>
      <c r="W96" s="805"/>
      <c r="X96" s="805"/>
      <c r="Y96" s="805"/>
      <c r="Z96" s="805"/>
    </row>
    <row r="97" spans="1:26">
      <c r="A97" s="743" t="str">
        <f>IF(B3="","",IF(B3="PreBuild","Source Scheduled Tasks",""))</f>
        <v/>
      </c>
      <c r="B97" s="850" t="str">
        <f>IF(B3="","",IF(B3="PreBuild","Production",""))</f>
        <v/>
      </c>
      <c r="C97" s="817" t="str">
        <f>IF(B3="","",IF(B3="PreBuild","Sandbox",""))</f>
        <v/>
      </c>
      <c r="D97" s="888"/>
      <c r="E97" s="886"/>
      <c r="F97" s="887"/>
      <c r="G97" s="805"/>
      <c r="H97" s="805"/>
      <c r="I97" s="805"/>
      <c r="J97" s="805"/>
      <c r="K97" s="805"/>
      <c r="L97" s="805"/>
      <c r="M97" s="805"/>
      <c r="N97" s="805"/>
      <c r="O97" s="805"/>
      <c r="P97" s="805"/>
      <c r="Q97" s="805"/>
      <c r="R97" s="805"/>
      <c r="S97" s="805"/>
      <c r="T97" s="805"/>
      <c r="U97" s="805"/>
      <c r="V97" s="805"/>
      <c r="W97" s="805"/>
      <c r="X97" s="805"/>
      <c r="Y97" s="805"/>
      <c r="Z97" s="805"/>
    </row>
    <row r="98" spans="1:26">
      <c r="A98" s="747"/>
      <c r="B98" s="925"/>
      <c r="C98" s="925"/>
      <c r="D98" s="888"/>
      <c r="E98" s="886"/>
      <c r="F98" s="887"/>
      <c r="G98" s="805"/>
      <c r="H98" s="805"/>
      <c r="I98" s="805"/>
      <c r="J98" s="805"/>
      <c r="K98" s="805"/>
      <c r="L98" s="805"/>
      <c r="M98" s="805"/>
      <c r="N98" s="805"/>
      <c r="O98" s="805"/>
      <c r="P98" s="805"/>
      <c r="Q98" s="805"/>
      <c r="R98" s="805"/>
      <c r="S98" s="805"/>
      <c r="T98" s="805"/>
      <c r="U98" s="805"/>
      <c r="V98" s="805"/>
      <c r="W98" s="805"/>
      <c r="X98" s="805"/>
      <c r="Y98" s="805"/>
      <c r="Z98" s="805"/>
    </row>
    <row r="99" spans="1:26">
      <c r="A99" s="739"/>
      <c r="B99" s="925"/>
      <c r="C99" s="925"/>
      <c r="D99" s="888"/>
      <c r="E99" s="886"/>
      <c r="F99" s="887"/>
      <c r="G99" s="805"/>
      <c r="H99" s="805"/>
      <c r="I99" s="805"/>
      <c r="J99" s="805"/>
      <c r="K99" s="805"/>
      <c r="L99" s="805"/>
      <c r="M99" s="805"/>
      <c r="N99" s="805"/>
      <c r="O99" s="805"/>
      <c r="P99" s="805"/>
      <c r="Q99" s="805"/>
      <c r="R99" s="805"/>
      <c r="S99" s="805"/>
      <c r="T99" s="805"/>
      <c r="U99" s="805"/>
      <c r="V99" s="805"/>
      <c r="W99" s="805"/>
      <c r="X99" s="805"/>
      <c r="Y99" s="805"/>
      <c r="Z99" s="805"/>
    </row>
    <row r="100" spans="1:26">
      <c r="A100" s="739"/>
      <c r="B100" s="925"/>
      <c r="C100" s="925"/>
      <c r="D100" s="888"/>
      <c r="E100" s="886"/>
      <c r="F100" s="887"/>
      <c r="G100" s="805"/>
      <c r="H100" s="805"/>
      <c r="I100" s="805"/>
      <c r="J100" s="805"/>
      <c r="K100" s="805"/>
      <c r="L100" s="805"/>
      <c r="M100" s="805"/>
      <c r="N100" s="805"/>
      <c r="O100" s="805"/>
      <c r="P100" s="805"/>
      <c r="Q100" s="805"/>
      <c r="R100" s="805"/>
      <c r="S100" s="805"/>
      <c r="T100" s="805"/>
      <c r="U100" s="805"/>
      <c r="V100" s="805"/>
      <c r="W100" s="805"/>
      <c r="X100" s="805"/>
      <c r="Y100" s="805"/>
      <c r="Z100" s="805"/>
    </row>
    <row r="101" spans="1:26">
      <c r="A101" s="739"/>
      <c r="B101" s="925"/>
      <c r="C101" s="925"/>
      <c r="D101" s="888"/>
      <c r="E101" s="886"/>
      <c r="F101" s="887"/>
      <c r="G101" s="805"/>
      <c r="H101" s="805"/>
      <c r="I101" s="805"/>
      <c r="J101" s="805"/>
      <c r="K101" s="805"/>
      <c r="L101" s="805"/>
      <c r="M101" s="805"/>
      <c r="N101" s="805"/>
      <c r="O101" s="805"/>
      <c r="P101" s="805"/>
      <c r="Q101" s="805"/>
      <c r="R101" s="805"/>
      <c r="S101" s="805"/>
      <c r="T101" s="805"/>
      <c r="U101" s="805"/>
      <c r="V101" s="805"/>
      <c r="W101" s="805"/>
      <c r="X101" s="805"/>
      <c r="Y101" s="805"/>
      <c r="Z101" s="805"/>
    </row>
    <row r="102" spans="1:26">
      <c r="A102" s="739"/>
      <c r="B102" s="925"/>
      <c r="C102" s="925" t="str">
        <f>IF(MasterConfig!F111="","",MasterConfig!F111)</f>
        <v/>
      </c>
      <c r="D102" s="888"/>
      <c r="E102" s="886"/>
      <c r="F102" s="887"/>
      <c r="G102" s="805"/>
      <c r="H102" s="805"/>
      <c r="I102" s="805"/>
      <c r="J102" s="805"/>
      <c r="K102" s="805"/>
      <c r="L102" s="805"/>
      <c r="M102" s="805"/>
      <c r="N102" s="805"/>
      <c r="O102" s="805"/>
      <c r="P102" s="805"/>
      <c r="Q102" s="805"/>
      <c r="R102" s="805"/>
      <c r="S102" s="805"/>
      <c r="T102" s="805"/>
      <c r="U102" s="805"/>
      <c r="V102" s="805"/>
      <c r="W102" s="805"/>
      <c r="X102" s="805"/>
      <c r="Y102" s="805"/>
      <c r="Z102" s="805"/>
    </row>
    <row r="103" spans="1:26">
      <c r="A103" s="739"/>
      <c r="B103" s="925"/>
      <c r="C103" s="925"/>
      <c r="D103" s="888"/>
      <c r="E103" s="886"/>
      <c r="F103" s="887"/>
      <c r="G103" s="805"/>
      <c r="H103" s="805"/>
      <c r="I103" s="805"/>
      <c r="J103" s="805"/>
      <c r="K103" s="805"/>
      <c r="L103" s="805"/>
      <c r="M103" s="805"/>
      <c r="N103" s="805"/>
      <c r="O103" s="805"/>
      <c r="P103" s="805"/>
      <c r="Q103" s="805"/>
      <c r="R103" s="805"/>
      <c r="S103" s="805"/>
      <c r="T103" s="805"/>
      <c r="U103" s="805"/>
      <c r="V103" s="805"/>
      <c r="W103" s="805"/>
      <c r="X103" s="805"/>
      <c r="Y103" s="805"/>
      <c r="Z103" s="805"/>
    </row>
    <row r="104" spans="1:26">
      <c r="A104" s="741"/>
      <c r="B104" s="925"/>
      <c r="C104" s="925"/>
      <c r="D104" s="888"/>
      <c r="E104" s="886"/>
      <c r="F104" s="887"/>
      <c r="G104" s="805"/>
      <c r="H104" s="805"/>
      <c r="I104" s="805"/>
      <c r="J104" s="805"/>
      <c r="K104" s="805"/>
      <c r="L104" s="805"/>
      <c r="M104" s="805"/>
      <c r="N104" s="805"/>
      <c r="O104" s="805"/>
      <c r="P104" s="805"/>
      <c r="Q104" s="805"/>
      <c r="R104" s="805"/>
      <c r="S104" s="805"/>
      <c r="T104" s="805"/>
      <c r="U104" s="805"/>
      <c r="V104" s="805"/>
      <c r="W104" s="805"/>
      <c r="X104" s="805"/>
      <c r="Y104" s="805"/>
      <c r="Z104" s="805"/>
    </row>
    <row r="105" spans="1:26">
      <c r="A105" s="1040" t="str">
        <f>IF(B3="","",IF(B3="PreBuild","MasterConfig Interigation Results",""))</f>
        <v/>
      </c>
      <c r="B105" s="1041"/>
      <c r="C105" s="1042"/>
      <c r="D105" s="888"/>
      <c r="E105" s="886"/>
      <c r="F105" s="891"/>
      <c r="G105" s="805"/>
      <c r="H105" s="805"/>
      <c r="I105" s="805"/>
      <c r="J105" s="805"/>
      <c r="K105" s="805"/>
      <c r="L105" s="805"/>
      <c r="M105" s="805"/>
      <c r="N105" s="805"/>
      <c r="O105" s="805"/>
      <c r="P105" s="805"/>
      <c r="Q105" s="805"/>
      <c r="R105" s="805"/>
      <c r="S105" s="805"/>
      <c r="T105" s="805"/>
      <c r="U105" s="805"/>
      <c r="V105" s="805"/>
      <c r="W105" s="805"/>
      <c r="X105" s="805"/>
      <c r="Y105" s="805"/>
      <c r="Z105" s="805"/>
    </row>
    <row r="106" spans="1:26">
      <c r="A106" s="743" t="str">
        <f>IF(B3="","",IF(B3="PreBuild","Source Cubes",""))</f>
        <v/>
      </c>
      <c r="B106" s="850" t="str">
        <f>IF(B3="","",IF(B3="PreBuild","Production",""))</f>
        <v/>
      </c>
      <c r="C106" s="817" t="str">
        <f>IF(B3="","",IF(B3="PreBuild","Sandbox",""))</f>
        <v/>
      </c>
      <c r="D106" s="805"/>
      <c r="E106" s="886"/>
      <c r="F106" s="805"/>
      <c r="G106" s="805"/>
      <c r="H106" s="805"/>
      <c r="I106" s="805"/>
      <c r="J106" s="805"/>
      <c r="K106" s="805"/>
      <c r="L106" s="805"/>
      <c r="M106" s="805"/>
      <c r="N106" s="805"/>
      <c r="O106" s="805"/>
      <c r="P106" s="805"/>
      <c r="Q106" s="805"/>
      <c r="R106" s="805"/>
      <c r="S106" s="805"/>
      <c r="T106" s="805"/>
      <c r="U106" s="805"/>
      <c r="V106" s="805"/>
      <c r="W106" s="805"/>
      <c r="X106" s="805"/>
      <c r="Y106" s="805"/>
      <c r="Z106" s="805"/>
    </row>
    <row r="107" spans="1:26">
      <c r="A107" s="747"/>
      <c r="B107" s="925" t="str">
        <f>IF(MasterConfig!B106="","",MasterConfig!B106)</f>
        <v/>
      </c>
      <c r="C107" s="925" t="str">
        <f>IF(MasterConfig!B107="","",MasterConfig!B107)</f>
        <v/>
      </c>
      <c r="D107" s="805"/>
      <c r="E107" s="889"/>
      <c r="F107" s="805"/>
      <c r="G107" s="805"/>
      <c r="H107" s="805"/>
      <c r="I107" s="805"/>
      <c r="J107" s="805"/>
      <c r="K107" s="805"/>
      <c r="L107" s="805"/>
      <c r="M107" s="805"/>
      <c r="N107" s="805"/>
      <c r="O107" s="805"/>
      <c r="P107" s="805"/>
      <c r="Q107" s="805"/>
      <c r="R107" s="805"/>
      <c r="S107" s="805"/>
      <c r="T107" s="805"/>
      <c r="U107" s="805"/>
      <c r="V107" s="805"/>
      <c r="W107" s="805"/>
      <c r="X107" s="805"/>
      <c r="Y107" s="805"/>
      <c r="Z107" s="805"/>
    </row>
    <row r="108" spans="1:26">
      <c r="A108" s="739"/>
      <c r="B108" s="925" t="str">
        <f>IF(MasterConfig!C106="","",MasterConfig!C106)</f>
        <v/>
      </c>
      <c r="C108" s="925" t="str">
        <f>IF(MasterConfig!C107="","",MasterConfig!C107)</f>
        <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row>
    <row r="109" spans="1:26">
      <c r="A109" s="739"/>
      <c r="B109" s="925" t="str">
        <f>IF(MasterConfig!D106="","",MasterConfig!D106)</f>
        <v/>
      </c>
      <c r="C109" s="925" t="str">
        <f>IF(MasterConfig!D107="","",MasterConfig!D107)</f>
        <v/>
      </c>
      <c r="D109" s="805"/>
      <c r="E109" s="805"/>
      <c r="F109" s="805"/>
      <c r="G109" s="805"/>
      <c r="H109" s="805"/>
      <c r="I109" s="805"/>
      <c r="J109" s="805"/>
      <c r="K109" s="805"/>
      <c r="L109" s="805"/>
      <c r="M109" s="805"/>
      <c r="N109" s="805"/>
      <c r="O109" s="805"/>
      <c r="P109" s="805"/>
      <c r="Q109" s="805"/>
      <c r="R109" s="805"/>
      <c r="S109" s="805"/>
      <c r="T109" s="805"/>
      <c r="U109" s="805"/>
      <c r="V109" s="805"/>
      <c r="W109" s="805"/>
      <c r="X109" s="805"/>
      <c r="Y109" s="805"/>
      <c r="Z109" s="805"/>
    </row>
    <row r="110" spans="1:26">
      <c r="A110" s="739"/>
      <c r="B110" s="925" t="str">
        <f>IF(MasterConfig!E106="","",MasterConfig!E106)</f>
        <v/>
      </c>
      <c r="C110" s="925" t="str">
        <f>IF(MasterConfig!E107="","",MasterConfig!E107)</f>
        <v/>
      </c>
      <c r="D110" s="805"/>
      <c r="E110" s="805"/>
      <c r="F110" s="805"/>
      <c r="G110" s="805"/>
      <c r="H110" s="805"/>
      <c r="I110" s="805"/>
      <c r="J110" s="805"/>
      <c r="K110" s="805"/>
      <c r="L110" s="805"/>
      <c r="M110" s="805"/>
      <c r="N110" s="805"/>
      <c r="O110" s="805"/>
      <c r="P110" s="805"/>
      <c r="Q110" s="805"/>
      <c r="R110" s="805"/>
      <c r="S110" s="805"/>
      <c r="T110" s="805"/>
      <c r="U110" s="805"/>
      <c r="V110" s="805"/>
      <c r="W110" s="805"/>
      <c r="X110" s="805"/>
      <c r="Y110" s="805"/>
      <c r="Z110" s="805"/>
    </row>
    <row r="111" spans="1:26">
      <c r="A111" s="739"/>
      <c r="B111" s="925" t="str">
        <f>IF(MasterConfig!F106="","",MasterConfig!F106)</f>
        <v/>
      </c>
      <c r="C111" s="925" t="str">
        <f>IF(MasterConfig!F107="","",MasterConfig!F107)</f>
        <v/>
      </c>
      <c r="D111" s="805"/>
      <c r="E111" s="805"/>
      <c r="F111" s="805"/>
      <c r="G111" s="805"/>
      <c r="H111" s="805"/>
      <c r="I111" s="805"/>
      <c r="J111" s="805"/>
      <c r="K111" s="805"/>
      <c r="L111" s="805"/>
      <c r="M111" s="805"/>
      <c r="N111" s="805"/>
      <c r="O111" s="805"/>
      <c r="P111" s="805"/>
      <c r="Q111" s="805"/>
      <c r="R111" s="805"/>
      <c r="S111" s="805"/>
      <c r="T111" s="805"/>
      <c r="U111" s="805"/>
      <c r="V111" s="805"/>
      <c r="W111" s="805"/>
      <c r="X111" s="805"/>
      <c r="Y111" s="805"/>
      <c r="Z111" s="805"/>
    </row>
    <row r="112" spans="1:26">
      <c r="A112" s="739"/>
      <c r="B112" s="925" t="str">
        <f>IF(MasterConfig!G106="","",MasterConfig!G106)</f>
        <v/>
      </c>
      <c r="C112" s="925" t="str">
        <f>IF(MasterConfig!G107="","",MasterConfig!G107)</f>
        <v/>
      </c>
      <c r="D112" s="805"/>
      <c r="E112" s="805"/>
      <c r="F112" s="805"/>
      <c r="G112" s="805"/>
      <c r="H112" s="805"/>
      <c r="I112" s="805"/>
      <c r="J112" s="805"/>
      <c r="K112" s="805"/>
      <c r="L112" s="805"/>
      <c r="M112" s="805"/>
      <c r="N112" s="805"/>
      <c r="O112" s="805"/>
      <c r="P112" s="805"/>
      <c r="Q112" s="805"/>
      <c r="R112" s="805"/>
      <c r="S112" s="805"/>
      <c r="T112" s="805"/>
      <c r="U112" s="805"/>
      <c r="V112" s="805"/>
      <c r="W112" s="805"/>
      <c r="X112" s="805"/>
      <c r="Y112" s="805"/>
      <c r="Z112" s="805"/>
    </row>
    <row r="113" spans="1:26">
      <c r="A113" s="741"/>
      <c r="B113" s="925" t="str">
        <f>IF(MasterConfig!H106="","",MasterConfig!H106)</f>
        <v/>
      </c>
      <c r="C113" s="925" t="str">
        <f>IF(MasterConfig!H107="","",MasterConfig!H107)</f>
        <v/>
      </c>
      <c r="D113" s="805"/>
      <c r="E113" s="805"/>
      <c r="F113" s="805"/>
      <c r="G113" s="805"/>
      <c r="H113" s="805"/>
      <c r="I113" s="805"/>
      <c r="J113" s="805"/>
      <c r="K113" s="805"/>
      <c r="L113" s="805"/>
      <c r="M113" s="805"/>
      <c r="N113" s="805"/>
      <c r="O113" s="805"/>
      <c r="P113" s="805"/>
      <c r="Q113" s="805"/>
      <c r="R113" s="805"/>
      <c r="S113" s="805"/>
      <c r="T113" s="805"/>
      <c r="U113" s="805"/>
      <c r="V113" s="805"/>
      <c r="W113" s="805"/>
      <c r="X113" s="805"/>
      <c r="Y113" s="805"/>
      <c r="Z113" s="805"/>
    </row>
    <row r="114" spans="1:26">
      <c r="A114" s="851"/>
      <c r="B114" s="851"/>
      <c r="C114" s="851"/>
      <c r="D114" s="805"/>
      <c r="E114" s="805"/>
      <c r="F114" s="805"/>
      <c r="G114" s="805"/>
      <c r="H114" s="805"/>
      <c r="I114" s="805"/>
      <c r="J114" s="805"/>
      <c r="K114" s="805"/>
      <c r="L114" s="805"/>
      <c r="M114" s="805"/>
      <c r="N114" s="805"/>
      <c r="O114" s="805"/>
      <c r="P114" s="805"/>
      <c r="Q114" s="805"/>
      <c r="R114" s="805"/>
      <c r="S114" s="805"/>
      <c r="T114" s="805"/>
      <c r="U114" s="805"/>
      <c r="V114" s="805"/>
      <c r="W114" s="805"/>
      <c r="X114" s="805"/>
      <c r="Y114" s="805"/>
      <c r="Z114" s="805"/>
    </row>
    <row r="115" spans="1:26">
      <c r="A115" s="851"/>
      <c r="B115" s="851"/>
      <c r="C115" s="851"/>
      <c r="D115" s="805"/>
      <c r="E115" s="805"/>
      <c r="F115" s="805"/>
      <c r="G115" s="805"/>
      <c r="H115" s="805"/>
      <c r="I115" s="805"/>
      <c r="J115" s="805"/>
      <c r="K115" s="805"/>
      <c r="L115" s="805"/>
      <c r="M115" s="805"/>
      <c r="N115" s="805"/>
      <c r="O115" s="805"/>
      <c r="P115" s="805"/>
      <c r="Q115" s="805"/>
      <c r="R115" s="805"/>
      <c r="S115" s="805"/>
      <c r="T115" s="805"/>
      <c r="U115" s="805"/>
      <c r="V115" s="805"/>
      <c r="W115" s="805"/>
      <c r="X115" s="805"/>
      <c r="Y115" s="805"/>
      <c r="Z115" s="805"/>
    </row>
    <row r="116" spans="1:26">
      <c r="A116" s="851"/>
      <c r="B116" s="851"/>
      <c r="C116" s="851"/>
      <c r="D116" s="806"/>
      <c r="E116" s="805"/>
      <c r="F116" s="805"/>
      <c r="G116" s="806"/>
      <c r="H116" s="806"/>
      <c r="I116" s="806"/>
      <c r="J116" s="806"/>
      <c r="K116" s="806"/>
      <c r="L116" s="806"/>
      <c r="M116" s="806"/>
      <c r="N116" s="806"/>
      <c r="O116" s="806"/>
      <c r="P116" s="806"/>
      <c r="Q116" s="806"/>
      <c r="R116" s="806"/>
      <c r="S116" s="806"/>
      <c r="T116" s="806"/>
      <c r="U116" s="806"/>
      <c r="V116" s="806"/>
      <c r="W116" s="806"/>
      <c r="X116" s="806"/>
      <c r="Y116" s="806"/>
      <c r="Z116" s="806"/>
    </row>
    <row r="117" spans="1:26">
      <c r="A117" s="852"/>
      <c r="B117" s="853"/>
      <c r="C117" s="854"/>
      <c r="D117" s="790"/>
      <c r="E117" s="805"/>
      <c r="F117" s="806"/>
      <c r="G117" s="790"/>
      <c r="H117" s="790"/>
      <c r="I117" s="790"/>
      <c r="J117" s="790"/>
      <c r="K117" s="790"/>
      <c r="L117" s="790"/>
      <c r="M117" s="790"/>
      <c r="N117" s="790"/>
      <c r="O117" s="790"/>
    </row>
    <row r="118" spans="1:26">
      <c r="E118" s="805"/>
      <c r="F118" s="790"/>
    </row>
    <row r="119" spans="1:26">
      <c r="E119" s="805"/>
    </row>
    <row r="120" spans="1:26">
      <c r="E120" s="805"/>
    </row>
    <row r="121" spans="1:26">
      <c r="E121" s="805"/>
    </row>
    <row r="122" spans="1:26">
      <c r="E122" s="806"/>
    </row>
    <row r="123" spans="1:26">
      <c r="E123" s="790"/>
    </row>
  </sheetData>
  <mergeCells count="17">
    <mergeCell ref="D48:D57"/>
    <mergeCell ref="K48:Z57"/>
    <mergeCell ref="G1:G29"/>
    <mergeCell ref="K2:K26"/>
    <mergeCell ref="A1:F1"/>
    <mergeCell ref="H1:N1"/>
    <mergeCell ref="G30:Z47"/>
    <mergeCell ref="J27:Z29"/>
    <mergeCell ref="O1:Z26"/>
    <mergeCell ref="D33:D44"/>
    <mergeCell ref="H14:J14"/>
    <mergeCell ref="L14:N14"/>
    <mergeCell ref="A78:C78"/>
    <mergeCell ref="A20:C20"/>
    <mergeCell ref="A87:C87"/>
    <mergeCell ref="A96:C96"/>
    <mergeCell ref="A105:C105"/>
  </mergeCells>
  <phoneticPr fontId="45" type="noConversion"/>
  <conditionalFormatting sqref="F13 C41:C45 B41:B45 F25 B3:B5 B8 F23 B10 F16:F21">
    <cfRule type="notContainsBlanks" dxfId="3" priority="1">
      <formula>LEN(TRIM(B3))&gt;0</formula>
    </cfRule>
  </conditionalFormatting>
  <dataValidations count="10">
    <dataValidation allowBlank="1" showInputMessage="1" showErrorMessage="1" promptTitle="PVE?" prompt="Replace this value with PVE server name" sqref="M16:M17 M3:M4"/>
    <dataValidation allowBlank="1" showInputMessage="1" showErrorMessage="1" promptTitle="PVE?" prompt="Replace PVE server name here." sqref="I5:I7 I11:I13 M9 M22"/>
    <dataValidation allowBlank="1" showInputMessage="1" showErrorMessage="1" promptTitle="PVE?" prompt="Replace the PVE server name here." sqref="M23 M10"/>
    <dataValidation allowBlank="1" showErrorMessage="1" promptTitle="Alias only" prompt="Netbios alias. No HTTPS or pvcloud.com." sqref="F8:F9 F3:F6"/>
    <dataValidation allowBlank="1" showErrorMessage="1" sqref="I3:I4 I9:I10 I16"/>
    <dataValidation allowBlank="1" showErrorMessage="1" promptTitle="PVE?" prompt="Replace this value with PVE server name" sqref="I17"/>
    <dataValidation allowBlank="1" showErrorMessage="1" promptTitle="PVE?" prompt="Replace the PVE server name here." sqref="I23"/>
    <dataValidation allowBlank="1" showErrorMessage="1" promptTitle="PVE?" prompt="Replace PVE server name here." sqref="I22"/>
    <dataValidation allowBlank="1" showInputMessage="1" showErrorMessage="1" promptTitle="Required" prompt="True or False" sqref="F13"/>
    <dataValidation allowBlank="1" showInputMessage="1" showErrorMessage="1" promptTitle="Example" prompt="21.1.0" sqref="B8"/>
  </dataValidations>
  <hyperlinks>
    <hyperlink ref="A4" r:id="rId1"/>
    <hyperlink ref="I2" r:id="rId2" display="https://austinbeveragecompany2.pvcloud.com/planview"/>
    <hyperlink ref="I15" r:id="rId3" display="https://austinbeveragecompany.pvcloud.com"/>
    <hyperlink ref="I21" r:id="rId4" display="https://austinbeveragecompany.pvcloud.com"/>
    <hyperlink ref="E15" r:id="rId5" display="https://hostingreports.planview.world/SCCMWindows/SCCMWindowReport.html"/>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6">
        <x14:dataValidation type="list" allowBlank="1" showInputMessage="1" showErrorMessage="1">
          <x14:formula1>
            <xm:f>AutoPop!$M$29:$M$30</xm:f>
          </x14:formula1>
          <xm:sqref>B61:C61 B13:B14 B74:C74 B71:C71</xm:sqref>
        </x14:dataValidation>
        <x14:dataValidation type="list" allowBlank="1" showInputMessage="1" showErrorMessage="1">
          <x14:formula1>
            <xm:f>Automation!$C$206:$C$210</xm:f>
          </x14:formula1>
          <xm:sqref>B3</xm:sqref>
        </x14:dataValidation>
        <x14:dataValidation type="list" allowBlank="1" showInputMessage="1" showErrorMessage="1">
          <x14:formula1>
            <xm:f>Automation!$C$201:$C$204</xm:f>
          </x14:formula1>
          <xm:sqref>B5</xm:sqref>
        </x14:dataValidation>
        <x14:dataValidation type="list" allowBlank="1" showInputMessage="1" showErrorMessage="1">
          <x14:formula1>
            <xm:f>Automation!$D$102:$D$104</xm:f>
          </x14:formula1>
          <xm:sqref>F20</xm:sqref>
        </x14:dataValidation>
        <x14:dataValidation type="list" allowBlank="1" showInputMessage="1" showErrorMessage="1">
          <x14:formula1>
            <xm:f>Automation!$F$95:$F$99</xm:f>
          </x14:formula1>
          <xm:sqref>F25</xm:sqref>
        </x14:dataValidation>
        <x14:dataValidation type="list" allowBlank="1" showInputMessage="1" showErrorMessage="1" promptTitle="Total license count" prompt="Less Than">
          <x14:formula1>
            <xm:f>Automation!$F$102:$F$108</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41"/>
  <sheetViews>
    <sheetView topLeftCell="A121" zoomScale="115" zoomScaleNormal="115" workbookViewId="0">
      <selection activeCell="B144" sqref="B144"/>
    </sheetView>
  </sheetViews>
  <sheetFormatPr defaultRowHeight="15"/>
  <cols>
    <col min="2" max="2" width="47" bestFit="1" customWidth="1"/>
    <col min="3" max="3" width="71.42578125" bestFit="1" customWidth="1"/>
    <col min="4" max="4" width="5" customWidth="1"/>
    <col min="5" max="5" width="33.140625" bestFit="1" customWidth="1"/>
    <col min="6" max="6" width="5.85546875" customWidth="1"/>
    <col min="7" max="7" width="6.42578125" customWidth="1"/>
  </cols>
  <sheetData>
    <row r="1" spans="1:7" ht="36">
      <c r="A1" s="663"/>
      <c r="B1" s="664" t="s">
        <v>111</v>
      </c>
      <c r="C1" s="665" t="s">
        <v>112</v>
      </c>
      <c r="D1" s="666" t="s">
        <v>113</v>
      </c>
      <c r="E1" s="666" t="s">
        <v>114</v>
      </c>
      <c r="F1" s="666" t="s">
        <v>115</v>
      </c>
      <c r="G1" s="666" t="s">
        <v>116</v>
      </c>
    </row>
    <row r="2" spans="1:7">
      <c r="A2" s="1059">
        <v>1</v>
      </c>
      <c r="B2" s="96" t="str">
        <f>IF('Build Data'!B3="New Logo","Run All Pipe for production","Run All pipe for preprod")</f>
        <v>Run All pipe for preprod</v>
      </c>
      <c r="C2" s="667" t="str">
        <f>IF('Build Data'!F13=TRUE,"https://jenkins.planviewcloud.net/job/e1r18_all_pipe/build?delay=0sec",IF('Build Data'!F7="SG","https://jenkins.us.planview.world/job/e1r18_all_pipe/build?delay=0sec","https://jenkins.eu.planview.world/job/e1r18_all_pipe/build?delay=0sec"))</f>
        <v>https://jenkins.eu.planview.world/job/e1r18_all_pipe/build?delay=0sec</v>
      </c>
      <c r="D2" s="1062">
        <v>1</v>
      </c>
      <c r="E2" s="668" t="s">
        <v>117</v>
      </c>
      <c r="F2" s="1148"/>
      <c r="G2" s="96"/>
    </row>
    <row r="3" spans="1:7">
      <c r="A3" s="1060"/>
      <c r="B3" s="669" t="s">
        <v>118</v>
      </c>
      <c r="C3" s="670" t="str">
        <f>('Build Data'!I4)</f>
        <v/>
      </c>
      <c r="D3" s="1063"/>
      <c r="E3" s="884" t="s">
        <v>119</v>
      </c>
      <c r="F3" s="1149"/>
      <c r="G3" s="441"/>
    </row>
    <row r="4" spans="1:7">
      <c r="A4" s="1060"/>
      <c r="B4" s="672" t="s">
        <v>120</v>
      </c>
      <c r="C4" s="673" t="str">
        <f>('Build Data'!F3)</f>
        <v/>
      </c>
      <c r="D4" s="1063"/>
      <c r="E4" s="671" t="s">
        <v>121</v>
      </c>
      <c r="F4" s="1149"/>
      <c r="G4" s="441"/>
    </row>
    <row r="5" spans="1:7">
      <c r="A5" s="1060"/>
      <c r="B5" s="669" t="s">
        <v>122</v>
      </c>
      <c r="C5" s="670">
        <f>('Build Data'!F8)</f>
        <v>0</v>
      </c>
      <c r="D5" s="1063"/>
      <c r="E5" s="671"/>
      <c r="F5" s="1149"/>
      <c r="G5" s="441"/>
    </row>
    <row r="6" spans="1:7">
      <c r="A6" s="1060"/>
      <c r="B6" s="674" t="s">
        <v>123</v>
      </c>
      <c r="C6" s="673">
        <f>('Build Data'!F9)</f>
        <v>0</v>
      </c>
      <c r="D6" s="1063"/>
      <c r="E6" s="671"/>
      <c r="F6" s="1149"/>
      <c r="G6" s="441"/>
    </row>
    <row r="7" spans="1:7">
      <c r="A7" s="1060"/>
      <c r="B7" s="710" t="str">
        <f>IF(AutoPop!A152="","",(IF(AutoPop!A152&lt;&gt;AutoPop!A153,"SKIP_AD_ACCOUNTS",IF('Build Data'!B3="New Logo","SKIP_AD_ACCOUNTS",""))))</f>
        <v/>
      </c>
      <c r="C7" s="676"/>
      <c r="D7" s="1063"/>
      <c r="E7" s="671"/>
      <c r="F7" s="1149"/>
      <c r="G7" s="441"/>
    </row>
    <row r="8" spans="1:7">
      <c r="A8" s="1060"/>
      <c r="B8" s="674" t="str">
        <f>IF(AutoPop!A152="","",(IF(AutoPop!A152&lt;&gt;AutoPop!A153,"SKIP_AD_OUS",IF('Build Data'!B3="New Logo","SKIP_AD_OUS",""))))</f>
        <v/>
      </c>
      <c r="C8" s="673"/>
      <c r="D8" s="1063"/>
      <c r="E8" s="671"/>
      <c r="F8" s="1149"/>
      <c r="G8" s="441"/>
    </row>
    <row r="9" spans="1:7">
      <c r="A9" s="1060"/>
      <c r="B9" s="676" t="str">
        <f>IF('Build Data'!B3="Internal","SKIP_DATADOG","")</f>
        <v/>
      </c>
      <c r="C9" s="670" t="str">
        <f>IF('Build Data'!B3="Internal","True","")</f>
        <v/>
      </c>
      <c r="D9" s="1063"/>
      <c r="E9" s="671"/>
      <c r="F9" s="1149"/>
      <c r="G9" s="441"/>
    </row>
    <row r="10" spans="1:7">
      <c r="A10" s="1060"/>
      <c r="B10" s="869" t="str">
        <f>IF('Build Data'!B3="New Logo","SKIP_24x7","")</f>
        <v/>
      </c>
      <c r="C10" s="881" t="str">
        <f>IF('Build Data'!B3="New Logo","False","")</f>
        <v/>
      </c>
      <c r="D10" s="1063"/>
      <c r="E10" s="671"/>
      <c r="F10" s="1149"/>
      <c r="G10" s="441"/>
    </row>
    <row r="11" spans="1:7">
      <c r="A11" s="1060"/>
      <c r="B11" s="675" t="str">
        <f>IF('Build Data'!B3="Internal","SKIP_SUMOLOGIC","")</f>
        <v/>
      </c>
      <c r="C11" s="670" t="str">
        <f>IF('Build Data'!B3="Internal","True","")</f>
        <v/>
      </c>
      <c r="D11" s="1063"/>
      <c r="E11" s="671"/>
      <c r="F11" s="1149"/>
      <c r="G11" s="441"/>
    </row>
    <row r="12" spans="1:7">
      <c r="A12" s="1060"/>
      <c r="B12" s="674" t="s">
        <v>124</v>
      </c>
      <c r="C12" s="673">
        <f>('Build Data'!F15)</f>
        <v>0</v>
      </c>
      <c r="D12" s="1063"/>
      <c r="E12" s="671"/>
      <c r="F12" s="1149"/>
      <c r="G12" s="441"/>
    </row>
    <row r="13" spans="1:7" ht="14.25" customHeight="1">
      <c r="A13" s="1061"/>
      <c r="B13" s="676" t="s">
        <v>125</v>
      </c>
      <c r="C13" s="670">
        <f>('Build Data'!F14)</f>
        <v>0</v>
      </c>
      <c r="D13" s="1064"/>
      <c r="E13" s="671"/>
      <c r="F13" s="1150"/>
      <c r="G13" s="74"/>
    </row>
    <row r="14" spans="1:7" ht="15" customHeight="1">
      <c r="A14" s="1065">
        <v>2</v>
      </c>
      <c r="B14" s="38" t="str">
        <f>IF('Build Data'!B3="New Logo","Run All Pipe for Sandbox", "Run All Pipe for PreSandbox")</f>
        <v>Run All Pipe for PreSandbox</v>
      </c>
      <c r="C14" s="677" t="str">
        <f>(C2)</f>
        <v>https://jenkins.eu.planview.world/job/e1r18_all_pipe/build?delay=0sec</v>
      </c>
      <c r="D14" s="1068">
        <v>1</v>
      </c>
      <c r="E14" s="38" t="s">
        <v>117</v>
      </c>
      <c r="F14" s="1151"/>
      <c r="G14" s="38"/>
    </row>
    <row r="15" spans="1:7" ht="15" customHeight="1">
      <c r="A15" s="1066"/>
      <c r="B15" s="669" t="s">
        <v>118</v>
      </c>
      <c r="C15" s="678" t="str">
        <f>('Build Data'!I10)</f>
        <v/>
      </c>
      <c r="D15" s="1069"/>
      <c r="E15" s="885" t="s">
        <v>119</v>
      </c>
      <c r="F15" s="1152"/>
      <c r="G15" s="36"/>
    </row>
    <row r="16" spans="1:7" ht="15" customHeight="1">
      <c r="A16" s="1066"/>
      <c r="B16" s="679" t="s">
        <v>120</v>
      </c>
      <c r="C16" s="680" t="str">
        <f>('Build Data'!F4)</f>
        <v/>
      </c>
      <c r="D16" s="1069"/>
      <c r="E16" s="36" t="s">
        <v>121</v>
      </c>
      <c r="F16" s="1152"/>
      <c r="G16" s="36"/>
    </row>
    <row r="17" spans="1:7" ht="15" customHeight="1">
      <c r="A17" s="1066"/>
      <c r="B17" s="669" t="s">
        <v>122</v>
      </c>
      <c r="C17" s="678">
        <f>('Build Data'!F8)</f>
        <v>0</v>
      </c>
      <c r="D17" s="1069"/>
      <c r="E17" s="36"/>
      <c r="F17" s="1152"/>
      <c r="G17" s="36"/>
    </row>
    <row r="18" spans="1:7">
      <c r="A18" s="1066"/>
      <c r="B18" s="681" t="s">
        <v>123</v>
      </c>
      <c r="C18" s="711">
        <f>('Build Data'!F9)</f>
        <v>0</v>
      </c>
      <c r="D18" s="1069"/>
      <c r="E18" s="36"/>
      <c r="F18" s="1152"/>
      <c r="G18" s="36"/>
    </row>
    <row r="19" spans="1:7">
      <c r="A19" s="1066"/>
      <c r="B19" s="676" t="str">
        <f>IF('Build Data'!B3="Internal","SKIP_DATADOG","")</f>
        <v/>
      </c>
      <c r="C19" s="871" t="str">
        <f>IF('Build Data'!B3="Internal","True","")</f>
        <v/>
      </c>
      <c r="D19" s="1069"/>
      <c r="E19" s="36"/>
      <c r="F19" s="1152"/>
      <c r="G19" s="36"/>
    </row>
    <row r="20" spans="1:7">
      <c r="A20" s="1066"/>
      <c r="B20" s="681" t="str">
        <f>IF('Build Data'!B3="Internal","SKIP_SUMOLOGIC","")</f>
        <v/>
      </c>
      <c r="C20" s="711" t="str">
        <f>IF('Build Data'!B3="Internal","True","")</f>
        <v/>
      </c>
      <c r="D20" s="1069"/>
      <c r="E20" s="36"/>
      <c r="F20" s="1152"/>
      <c r="G20" s="36"/>
    </row>
    <row r="21" spans="1:7">
      <c r="A21" s="1066"/>
      <c r="B21" s="676" t="s">
        <v>124</v>
      </c>
      <c r="C21" s="678">
        <f>('Build Data'!F15)</f>
        <v>0</v>
      </c>
      <c r="D21" s="1069"/>
      <c r="E21" s="36"/>
      <c r="F21" s="1152"/>
      <c r="G21" s="36"/>
    </row>
    <row r="22" spans="1:7" ht="15" customHeight="1">
      <c r="A22" s="1067"/>
      <c r="B22" s="681" t="s">
        <v>125</v>
      </c>
      <c r="C22" s="680">
        <f>(C13)</f>
        <v>0</v>
      </c>
      <c r="D22" s="1070"/>
      <c r="E22" s="634"/>
      <c r="F22" s="1153"/>
      <c r="G22" s="634"/>
    </row>
    <row r="23" spans="1:7" ht="15" customHeight="1">
      <c r="A23" s="1059">
        <v>3</v>
      </c>
      <c r="B23" s="96" t="str">
        <f>IF('Build Data'!B3="New Logo","Run Web Pipe for PRM Web Server in Production","Run Web Pipe for PRM Web Server in PreProd")</f>
        <v>Run Web Pipe for PRM Web Server in PreProd</v>
      </c>
      <c r="C23" s="682" t="str">
        <f>IF('Build Data'!F13=TRUE,"https://jenkins.planviewcloud.net/job/prm18_web_pipe/build?delay=0sec",IF('Build Data'!F7="SG","https://jenkins.us.planview.world/job/prm18_web_pipe/build?delay=0sec","https://jenkins.eu.planview.world/job/prm18_web_pipe/build?delay=0sec"))</f>
        <v>https://jenkins.eu.planview.world/job/prm18_web_pipe/build?delay=0sec</v>
      </c>
      <c r="D23" s="1062">
        <v>1</v>
      </c>
      <c r="E23" s="668"/>
      <c r="F23" s="1148"/>
      <c r="G23" s="96"/>
    </row>
    <row r="24" spans="1:7" ht="15" customHeight="1">
      <c r="A24" s="1060"/>
      <c r="B24" s="669" t="s">
        <v>118</v>
      </c>
      <c r="C24" s="678" t="str">
        <f>('Build Data'!I3)</f>
        <v/>
      </c>
      <c r="D24" s="1063"/>
      <c r="E24" s="671"/>
      <c r="F24" s="1149"/>
      <c r="G24" s="441"/>
    </row>
    <row r="25" spans="1:7" ht="15" customHeight="1">
      <c r="A25" s="1060"/>
      <c r="B25" s="867" t="str">
        <f>IF('Build Data'!F13=TRUE,"AVAILABILITY_ZONE","")</f>
        <v/>
      </c>
      <c r="C25" s="868"/>
      <c r="D25" s="1063"/>
      <c r="E25" s="671" t="str">
        <f>IF('Build Data'!F13="TRUE","1. Select proper value in drop down","")</f>
        <v/>
      </c>
      <c r="F25" s="1149"/>
      <c r="G25" s="441"/>
    </row>
    <row r="26" spans="1:7" ht="15" customHeight="1">
      <c r="A26" s="1060"/>
      <c r="B26" s="669" t="s">
        <v>120</v>
      </c>
      <c r="C26" s="678" t="str">
        <f>('Build Data'!F3)</f>
        <v/>
      </c>
      <c r="D26" s="1063"/>
      <c r="E26" s="877" t="str">
        <f>IF(E25="","1.Run to Post Build","2. Run to Post Build")</f>
        <v>1.Run to Post Build</v>
      </c>
      <c r="F26" s="1149"/>
      <c r="G26" s="441"/>
    </row>
    <row r="27" spans="1:7" ht="15" customHeight="1">
      <c r="A27" s="1060"/>
      <c r="B27" s="867" t="s">
        <v>122</v>
      </c>
      <c r="C27" s="868">
        <f>('Build Data'!F8)</f>
        <v>0</v>
      </c>
      <c r="D27" s="1063"/>
      <c r="E27" s="671"/>
      <c r="F27" s="1149"/>
      <c r="G27" s="441"/>
    </row>
    <row r="28" spans="1:7">
      <c r="A28" s="1060"/>
      <c r="B28" s="669" t="s">
        <v>123</v>
      </c>
      <c r="C28" s="871">
        <f>('Build Data'!F9)</f>
        <v>0</v>
      </c>
      <c r="D28" s="1063"/>
      <c r="E28" s="671"/>
      <c r="F28" s="1149"/>
      <c r="G28" s="441"/>
    </row>
    <row r="29" spans="1:7">
      <c r="A29" s="1060"/>
      <c r="B29" s="867" t="str">
        <f>IF('Build Data'!B3="Internal","SKIP_DATADOG","")</f>
        <v/>
      </c>
      <c r="C29" s="879" t="str">
        <f>IF('Build Data'!B3="Internal","True","")</f>
        <v/>
      </c>
      <c r="D29" s="1063"/>
      <c r="E29" s="671"/>
      <c r="F29" s="1149"/>
      <c r="G29" s="441"/>
    </row>
    <row r="30" spans="1:7">
      <c r="A30" s="1060"/>
      <c r="B30" s="675" t="str">
        <f>IF('Build Data'!B4&lt;=1000,"","SKIP_NR_AGENT")</f>
        <v/>
      </c>
      <c r="C30" s="684"/>
      <c r="D30" s="1063"/>
      <c r="E30" s="671"/>
      <c r="F30" s="1149"/>
      <c r="G30" s="441"/>
    </row>
    <row r="31" spans="1:7">
      <c r="A31" s="1060"/>
      <c r="B31" s="869" t="str">
        <f>IF('Build Data'!B3="Internal","SKIP_SUMOLOGIC","")</f>
        <v/>
      </c>
      <c r="C31" s="870" t="str">
        <f>IF('Build Data'!B3="Internal","True","")</f>
        <v/>
      </c>
      <c r="D31" s="1063"/>
      <c r="E31" s="671"/>
      <c r="F31" s="1149"/>
      <c r="G31" s="441"/>
    </row>
    <row r="32" spans="1:7">
      <c r="A32" s="1060"/>
      <c r="B32" s="676" t="s">
        <v>124</v>
      </c>
      <c r="C32" s="678">
        <f>('Build Data'!F15)</f>
        <v>0</v>
      </c>
      <c r="D32" s="1063"/>
      <c r="E32" s="671"/>
      <c r="F32" s="1149"/>
      <c r="G32" s="441"/>
    </row>
    <row r="33" spans="1:7">
      <c r="A33" s="1060"/>
      <c r="B33" s="674" t="s">
        <v>125</v>
      </c>
      <c r="C33" s="683">
        <f>(C13)</f>
        <v>0</v>
      </c>
      <c r="D33" s="1063"/>
      <c r="E33" s="671"/>
      <c r="F33" s="1149"/>
      <c r="G33" s="441"/>
    </row>
    <row r="34" spans="1:7">
      <c r="A34" s="1061"/>
      <c r="B34" s="685" t="s">
        <v>127</v>
      </c>
      <c r="C34" s="686">
        <f>('Build Data'!F11)</f>
        <v>0</v>
      </c>
      <c r="D34" s="1064"/>
      <c r="E34" s="687"/>
      <c r="F34" s="1150"/>
      <c r="G34" s="74"/>
    </row>
    <row r="35" spans="1:7">
      <c r="A35" s="1065">
        <v>4</v>
      </c>
      <c r="B35" s="38" t="str">
        <f>IF('Build Data'!B3="New Logo","Run Web Pipe for PRM Web Server in Sandbox","Run Web Pipe for PRM Web Server in PreSandbox")</f>
        <v>Run Web Pipe for PRM Web Server in PreSandbox</v>
      </c>
      <c r="C35" s="688" t="str">
        <f>(C23)</f>
        <v>https://jenkins.eu.planview.world/job/prm18_web_pipe/build?delay=0sec</v>
      </c>
      <c r="D35" s="1068">
        <v>1</v>
      </c>
      <c r="E35" s="662"/>
      <c r="F35" s="1151"/>
      <c r="G35" s="38"/>
    </row>
    <row r="36" spans="1:7" ht="15" customHeight="1">
      <c r="A36" s="1066"/>
      <c r="B36" s="669" t="s">
        <v>118</v>
      </c>
      <c r="C36" s="670" t="str">
        <f>('Build Data'!I9)</f>
        <v/>
      </c>
      <c r="D36" s="1069"/>
      <c r="E36" s="689"/>
      <c r="F36" s="1152"/>
      <c r="G36" s="36"/>
    </row>
    <row r="37" spans="1:7" ht="15" customHeight="1">
      <c r="A37" s="1066"/>
      <c r="B37" s="679" t="str">
        <f>IF('Build Data'!F13=TRUE,"AVAILABILITY_ZONE","")</f>
        <v/>
      </c>
      <c r="C37" s="691"/>
      <c r="D37" s="1069"/>
      <c r="E37" s="689" t="str">
        <f>IF('Build Data'!F13="TRUE","1. Select proper value in drop down","")</f>
        <v/>
      </c>
      <c r="F37" s="1152"/>
      <c r="G37" s="36"/>
    </row>
    <row r="38" spans="1:7" ht="15" customHeight="1">
      <c r="A38" s="1066"/>
      <c r="B38" s="669" t="s">
        <v>120</v>
      </c>
      <c r="C38" s="670" t="str">
        <f>('Build Data'!F4)</f>
        <v/>
      </c>
      <c r="D38" s="1069"/>
      <c r="E38" s="689" t="str">
        <f>IF(E37="","1.Run to Post Build","2. Run to Post Build")</f>
        <v>1.Run to Post Build</v>
      </c>
      <c r="F38" s="1152"/>
      <c r="G38" s="36"/>
    </row>
    <row r="39" spans="1:7" ht="15" customHeight="1">
      <c r="A39" s="1066"/>
      <c r="B39" s="679" t="s">
        <v>122</v>
      </c>
      <c r="C39" s="691">
        <f>('Build Data'!F8)</f>
        <v>0</v>
      </c>
      <c r="D39" s="1069"/>
      <c r="E39" s="689"/>
      <c r="F39" s="1152"/>
      <c r="G39" s="36"/>
    </row>
    <row r="40" spans="1:7" ht="15" customHeight="1">
      <c r="A40" s="1066"/>
      <c r="B40" s="669" t="s">
        <v>123</v>
      </c>
      <c r="C40" s="712">
        <f>('Build Data'!F9)</f>
        <v>0</v>
      </c>
      <c r="D40" s="1069"/>
      <c r="E40" s="689"/>
      <c r="F40" s="1152"/>
      <c r="G40" s="36"/>
    </row>
    <row r="41" spans="1:7" ht="15" customHeight="1">
      <c r="A41" s="1066"/>
      <c r="B41" s="679" t="str">
        <f>IF('Build Data'!B3="Internal","SKIP_DATADOG","")</f>
        <v/>
      </c>
      <c r="C41" s="878" t="str">
        <f>IF('Build Data'!B3="Internal","True","")</f>
        <v/>
      </c>
      <c r="D41" s="1069"/>
      <c r="E41" s="689"/>
      <c r="F41" s="1152"/>
      <c r="G41" s="36"/>
    </row>
    <row r="42" spans="1:7" ht="15" customHeight="1">
      <c r="A42" s="1066"/>
      <c r="B42" s="669" t="str">
        <f>IF('Build Data'!B3="Internal","SKIP_SUMOLOGIC","")</f>
        <v/>
      </c>
      <c r="C42" s="712" t="str">
        <f>IF('Build Data'!B3="Internal","True","")</f>
        <v/>
      </c>
      <c r="D42" s="1069"/>
      <c r="E42" s="689"/>
      <c r="F42" s="1152"/>
      <c r="G42" s="36"/>
    </row>
    <row r="43" spans="1:7" ht="15" customHeight="1">
      <c r="A43" s="1066"/>
      <c r="B43" s="681" t="s">
        <v>124</v>
      </c>
      <c r="C43" s="691">
        <f>('Build Data'!F15)</f>
        <v>0</v>
      </c>
      <c r="D43" s="1069"/>
      <c r="E43" s="689" t="str">
        <f>IF('Build Data'!B7&lt;=1,"3. Continue to Post Build tab below","")</f>
        <v/>
      </c>
      <c r="F43" s="1152"/>
      <c r="G43" s="36"/>
    </row>
    <row r="44" spans="1:7" ht="15" customHeight="1">
      <c r="A44" s="1066"/>
      <c r="B44" s="676" t="s">
        <v>125</v>
      </c>
      <c r="C44" s="670">
        <f>(C13)</f>
        <v>0</v>
      </c>
      <c r="D44" s="1069"/>
      <c r="E44" s="689"/>
      <c r="F44" s="1152"/>
      <c r="G44" s="36"/>
    </row>
    <row r="45" spans="1:7">
      <c r="A45" s="1067"/>
      <c r="B45" s="872" t="s">
        <v>127</v>
      </c>
      <c r="C45" s="873">
        <f>C34</f>
        <v>0</v>
      </c>
      <c r="D45" s="1070"/>
      <c r="E45" s="693"/>
      <c r="F45" s="1153"/>
      <c r="G45" s="634"/>
    </row>
    <row r="46" spans="1:7">
      <c r="A46" s="1059">
        <f>IF('Build Data'!B7&gt;=2,5,"")</f>
        <v>5</v>
      </c>
      <c r="B46" s="96" t="str">
        <f>(IF('Build Data'!B7&lt;=1,"",IF('Build Data'!B3="New Logo","Run Web Pipe for PRM Web Server in Production","Run Web Pipe for PRM Web Server in PreProd")))</f>
        <v>Run Web Pipe for PRM Web Server in PreProd</v>
      </c>
      <c r="C46" s="168" t="str">
        <f>IF('Build Data'!B7&gt;=2,(C23),"")</f>
        <v>https://jenkins.eu.planview.world/job/prm18_web_pipe/build?delay=0sec</v>
      </c>
      <c r="D46" s="1062"/>
      <c r="E46" s="668" t="str">
        <f>IF(C47="","","1. Run to Post Build")</f>
        <v/>
      </c>
      <c r="F46" s="1148"/>
      <c r="G46" s="96"/>
    </row>
    <row r="47" spans="1:7" ht="15" customHeight="1">
      <c r="A47" s="1060"/>
      <c r="B47" s="669" t="str">
        <f>IF('Build Data'!B7&gt;=2,"TARGET_SERVER_NAME","")</f>
        <v>TARGET_SERVER_NAME</v>
      </c>
      <c r="C47" s="678" t="str">
        <f>('Build Data'!J4)</f>
        <v/>
      </c>
      <c r="D47" s="1063"/>
      <c r="E47" s="671"/>
      <c r="F47" s="1149"/>
      <c r="G47" s="441"/>
    </row>
    <row r="48" spans="1:7" ht="15" customHeight="1">
      <c r="A48" s="1060"/>
      <c r="B48" s="867" t="str">
        <f>IF(AND('Build Data'!B7&gt;=2,'Build Data'!F13="TRUE"),"AVAILABILITY_ZONE","")</f>
        <v/>
      </c>
      <c r="C48" s="868" t="str">
        <f>IF(AND('Build Data'!B7&gt;=2,'Build Data'!F13="TRUE"),C25,IF(C25="","",""))</f>
        <v/>
      </c>
      <c r="D48" s="1063"/>
      <c r="E48" s="671"/>
      <c r="F48" s="1149"/>
      <c r="G48" s="441"/>
    </row>
    <row r="49" spans="1:7" ht="15" customHeight="1">
      <c r="A49" s="1060"/>
      <c r="B49" s="669" t="str">
        <f>IF('Build Data'!B7&gt;=2,"SAS_SERVER_NAME","")</f>
        <v>SAS_SERVER_NAME</v>
      </c>
      <c r="C49" s="684" t="str">
        <f>IF('Build Data'!B7&gt;=2,IF('Build Data'!B6=TRUE,'Build Data'!I5,'Build Data'!I7),"")</f>
        <v/>
      </c>
      <c r="D49" s="1063"/>
      <c r="E49" s="671"/>
      <c r="F49" s="1149"/>
      <c r="G49" s="441"/>
    </row>
    <row r="50" spans="1:7" ht="15" customHeight="1">
      <c r="A50" s="1060"/>
      <c r="B50" s="867" t="str">
        <f>IF('Build Data'!B7&gt;=2,"SQL_SERVER_NAME","")</f>
        <v>SQL_SERVER_NAME</v>
      </c>
      <c r="C50" s="870" t="str">
        <f>IF('Build Data'!B7&gt;=2,('Build Data'!I5),"")</f>
        <v/>
      </c>
      <c r="D50" s="1063"/>
      <c r="E50" s="671"/>
      <c r="F50" s="1149"/>
      <c r="G50" s="441"/>
    </row>
    <row r="51" spans="1:7" ht="15" customHeight="1">
      <c r="A51" s="1060"/>
      <c r="B51" s="875" t="str">
        <f>IF('Build Data'!B7&gt;=2,"CTM_SERVER_NAME","")</f>
        <v>CTM_SERVER_NAME</v>
      </c>
      <c r="C51" s="684" t="str">
        <f>IF('Build Data'!B7&gt;=2,('Build Data'!I6),"")</f>
        <v/>
      </c>
      <c r="D51" s="1063"/>
      <c r="E51" s="671"/>
      <c r="F51" s="1149"/>
      <c r="G51" s="441"/>
    </row>
    <row r="52" spans="1:7" ht="15" customHeight="1">
      <c r="A52" s="1060"/>
      <c r="B52" s="867" t="str">
        <f>IF('Build Data'!B7&gt;=2,"DNS_HOST_NAME","")</f>
        <v>DNS_HOST_NAME</v>
      </c>
      <c r="C52" s="868" t="str">
        <f>IF('Build Data'!B7&gt;=2,('Build Data'!F3),"")</f>
        <v/>
      </c>
      <c r="D52" s="1063"/>
      <c r="E52" s="671"/>
      <c r="F52" s="1149"/>
      <c r="G52" s="441"/>
    </row>
    <row r="53" spans="1:7" ht="15" customHeight="1">
      <c r="A53" s="1060"/>
      <c r="B53" s="669" t="str">
        <f>IF('Build Data'!B7&gt;=2,"CUSTOMER_CODE","")</f>
        <v>CUSTOMER_CODE</v>
      </c>
      <c r="C53" s="678">
        <f>IF('Build Data'!B7&gt;=2,('Build Data'!F8),"")</f>
        <v>0</v>
      </c>
      <c r="D53" s="1063"/>
      <c r="E53" s="671"/>
      <c r="F53" s="1149"/>
      <c r="G53" s="441"/>
    </row>
    <row r="54" spans="1:7" ht="15" customHeight="1">
      <c r="A54" s="1060"/>
      <c r="B54" s="867" t="str">
        <f>IF('Build Data'!B7&gt;=2,"CUSTOMER_NAME","")</f>
        <v>CUSTOMER_NAME</v>
      </c>
      <c r="C54" s="868">
        <f>IF('Build Data'!B7&gt;=2,('Build Data'!F9),"")</f>
        <v>0</v>
      </c>
      <c r="D54" s="1063"/>
      <c r="E54" s="671"/>
      <c r="F54" s="1149"/>
      <c r="G54" s="441"/>
    </row>
    <row r="55" spans="1:7">
      <c r="A55" s="1060"/>
      <c r="B55" s="675" t="str">
        <f>IF('Build Data'!B7&gt;=2,"SKIP_NR_AGENT","")</f>
        <v>SKIP_NR_AGENT</v>
      </c>
      <c r="C55" s="678"/>
      <c r="D55" s="1063"/>
      <c r="E55" s="671"/>
      <c r="F55" s="1149"/>
      <c r="G55" s="441"/>
    </row>
    <row r="56" spans="1:7">
      <c r="A56" s="1060"/>
      <c r="B56" s="874" t="str">
        <f>IF('Build Data'!B7&gt;=2,"MAINTENANCE_DAY","")</f>
        <v>MAINTENANCE_DAY</v>
      </c>
      <c r="C56" s="868">
        <f>IF('Build Data'!B7&gt;=2,('Build Data'!F15),"")</f>
        <v>0</v>
      </c>
      <c r="D56" s="1063"/>
      <c r="E56" s="671"/>
      <c r="F56" s="1149"/>
      <c r="G56" s="441"/>
    </row>
    <row r="57" spans="1:7">
      <c r="A57" s="1060"/>
      <c r="B57" s="676" t="str">
        <f>IF('Build Data'!B7&gt;=2,"TIME_ZONE","")</f>
        <v>TIME_ZONE</v>
      </c>
      <c r="C57" s="678">
        <f>IF('Build Data'!B7&gt;=2,('Build Data'!F14),"")</f>
        <v>0</v>
      </c>
      <c r="D57" s="1063"/>
      <c r="E57" s="671"/>
      <c r="F57" s="1149"/>
      <c r="G57" s="441"/>
    </row>
    <row r="58" spans="1:7">
      <c r="A58" s="1061"/>
      <c r="B58" s="697" t="str">
        <f>IF('Build Data'!B7&gt;=2,"PVMASTER_PW","")</f>
        <v>PVMASTER_PW</v>
      </c>
      <c r="C58" s="698">
        <f>IF('Build Data'!B7&gt;=2,C34,"")</f>
        <v>0</v>
      </c>
      <c r="D58" s="1064"/>
      <c r="E58" s="687"/>
      <c r="F58" s="1150"/>
      <c r="G58" s="74"/>
    </row>
    <row r="59" spans="1:7">
      <c r="A59" s="1065">
        <f>IF('Build Data'!B7&gt;=2,6,"")</f>
        <v>6</v>
      </c>
      <c r="B59" s="662" t="str">
        <f>(IF('Build Data'!B7&lt;=1,"",IF('Build Data'!B3="New Logo","Run Web Pipe for PRM Web Server in Sandbox","Run Web Pipe for PRM Web Server in PreSandbox")))</f>
        <v>Run Web Pipe for PRM Web Server in PreSandbox</v>
      </c>
      <c r="C59" s="713" t="str">
        <f>IF('Build Data'!B7&gt;=2,(C35),"")</f>
        <v>https://jenkins.eu.planview.world/job/prm18_web_pipe/build?delay=0sec</v>
      </c>
      <c r="D59" s="1068"/>
      <c r="E59" s="662" t="str">
        <f>IF(C60="","","1. Run to Post Build")</f>
        <v/>
      </c>
      <c r="F59" s="1151"/>
      <c r="G59" s="38"/>
    </row>
    <row r="60" spans="1:7">
      <c r="A60" s="1066"/>
      <c r="B60" s="700" t="str">
        <f>IF('Build Data'!B7&gt;=2,"TARGET_SERVER_NAME","")</f>
        <v>TARGET_SERVER_NAME</v>
      </c>
      <c r="C60" s="670" t="str">
        <f>('Build Data'!J10)</f>
        <v/>
      </c>
      <c r="D60" s="1069"/>
      <c r="E60" s="689" t="str">
        <f>IF(B95="TIME_ZONE","",IF('Build Data'!B7&gt;=2,"2. Continue to Post Build tab below",""))</f>
        <v>2. Continue to Post Build tab below</v>
      </c>
      <c r="F60" s="1152"/>
      <c r="G60" s="36"/>
    </row>
    <row r="61" spans="1:7">
      <c r="A61" s="1066"/>
      <c r="B61" s="701" t="str">
        <f>IF(AND('Build Data'!B7&gt;=2,'Build Data'!F13="TRUE"),"AVAILABILITY_ZONE","")</f>
        <v/>
      </c>
      <c r="C61" s="691" t="str">
        <f>IF(C37="","",IF(AND('Build Data'!B7&gt;=2,'Build Data'!F13="TRUE"),C37,IF(C37="","","")))</f>
        <v/>
      </c>
      <c r="D61" s="1069"/>
      <c r="E61" s="689"/>
      <c r="F61" s="1152"/>
      <c r="G61" s="36"/>
    </row>
    <row r="62" spans="1:7">
      <c r="A62" s="1066"/>
      <c r="B62" s="700" t="str">
        <f>IF('Build Data'!B7&gt;=2,"SAS_SERVER_NAME","")</f>
        <v>SAS_SERVER_NAME</v>
      </c>
      <c r="C62" s="702" t="str">
        <f>IF('Build Data'!B7&gt;=2,IF('Build Data'!B6=TRUE,'Build Data'!I11,'Build Data'!I13),"")</f>
        <v/>
      </c>
      <c r="D62" s="1069"/>
      <c r="E62" s="689"/>
      <c r="F62" s="1152"/>
      <c r="G62" s="36"/>
    </row>
    <row r="63" spans="1:7">
      <c r="A63" s="1066"/>
      <c r="B63" s="701" t="str">
        <f>IF('Build Data'!B7&gt;=2,"CTM_SERVER_NAME","")</f>
        <v>CTM_SERVER_NAME</v>
      </c>
      <c r="C63" s="690" t="str">
        <f>IF('Build Data'!B7&gt;=2,('Build Data'!I11),"")</f>
        <v/>
      </c>
      <c r="D63" s="1069"/>
      <c r="E63" s="689"/>
      <c r="F63" s="1152"/>
      <c r="G63" s="36"/>
    </row>
    <row r="64" spans="1:7">
      <c r="A64" s="1066"/>
      <c r="B64" s="875" t="str">
        <f>IF('Build Data'!B7&gt;=2,"CTM_SERVER_NAME","")</f>
        <v>CTM_SERVER_NAME</v>
      </c>
      <c r="C64" s="684" t="str">
        <f>IF('Build Data'!B7&gt;=2,('Build Data'!I12),"")</f>
        <v/>
      </c>
      <c r="D64" s="1069"/>
      <c r="E64" s="689"/>
      <c r="F64" s="1152"/>
      <c r="G64" s="36"/>
    </row>
    <row r="65" spans="1:7">
      <c r="A65" s="1066"/>
      <c r="B65" s="701" t="str">
        <f>IF('Build Data'!B7&gt;=2,"DNS_HOST_NAME","")</f>
        <v>DNS_HOST_NAME</v>
      </c>
      <c r="C65" s="691" t="str">
        <f>IF('Build Data'!B7&gt;=2,('Build Data'!F4),"")</f>
        <v/>
      </c>
      <c r="D65" s="1069"/>
      <c r="E65" s="689"/>
      <c r="F65" s="1152"/>
      <c r="G65" s="36"/>
    </row>
    <row r="66" spans="1:7">
      <c r="A66" s="1066"/>
      <c r="B66" s="700" t="str">
        <f>IF('Build Data'!B7&gt;=2,"CUSTOMER_CODE","")</f>
        <v>CUSTOMER_CODE</v>
      </c>
      <c r="C66" s="670">
        <f>IF('Build Data'!B7&gt;=2,('Build Data'!F8),"")</f>
        <v>0</v>
      </c>
      <c r="D66" s="1069"/>
      <c r="E66" s="689"/>
      <c r="F66" s="1152"/>
      <c r="G66" s="36"/>
    </row>
    <row r="67" spans="1:7">
      <c r="A67" s="1066"/>
      <c r="B67" s="701" t="str">
        <f>IF('Build Data'!B7&gt;=2,"CUSTOMER_NAME","")</f>
        <v>CUSTOMER_NAME</v>
      </c>
      <c r="C67" s="691">
        <f>IF('Build Data'!B7&gt;=2,('Build Data'!F9),"")</f>
        <v>0</v>
      </c>
      <c r="D67" s="1069"/>
      <c r="E67" s="689"/>
      <c r="F67" s="1152"/>
      <c r="G67" s="36"/>
    </row>
    <row r="68" spans="1:7">
      <c r="A68" s="1066"/>
      <c r="B68" s="876" t="str">
        <f>IF('Build Data'!B7&gt;=2,"MAINTENANCE_DAY","")</f>
        <v>MAINTENANCE_DAY</v>
      </c>
      <c r="C68" s="670">
        <f>IF('Build Data'!B7&gt;=2,('Build Data'!F15),"")</f>
        <v>0</v>
      </c>
      <c r="D68" s="1069"/>
      <c r="E68" s="689"/>
      <c r="F68" s="1152"/>
      <c r="G68" s="36"/>
    </row>
    <row r="69" spans="1:7">
      <c r="A69" s="1066"/>
      <c r="B69" s="704" t="str">
        <f>IF('Build Data'!B7&gt;=2,"TIME_ZONE","")</f>
        <v>TIME_ZONE</v>
      </c>
      <c r="C69" s="691">
        <f>IF('Build Data'!B7&gt;=2,(C13),"")</f>
        <v>0</v>
      </c>
      <c r="D69" s="1069"/>
      <c r="E69" s="689"/>
      <c r="F69" s="1152"/>
      <c r="G69" s="36"/>
    </row>
    <row r="70" spans="1:7">
      <c r="A70" s="1067"/>
      <c r="B70" s="705" t="str">
        <f>IF('Build Data'!B7&gt;=2,"PVMASTER_PW","")</f>
        <v>PVMASTER_PW</v>
      </c>
      <c r="C70" s="692">
        <f>IF('Build Data'!B7&gt;=2,C34,"")</f>
        <v>0</v>
      </c>
      <c r="D70" s="1070"/>
      <c r="E70" s="693"/>
      <c r="F70" s="1153"/>
      <c r="G70" s="634"/>
    </row>
    <row r="71" spans="1:7">
      <c r="A71" s="1059">
        <f>IF('Build Data'!B7&gt;=3,7,"")</f>
        <v>7</v>
      </c>
      <c r="B71" s="96" t="str">
        <f>(IF('Build Data'!B7&lt;=2,"",IF('Build Data'!B3="New Logo","Run Web Pipe for PRM Web Server in Production","Run Web Pipe for PRM Web Server in PreProd")))</f>
        <v>Run Web Pipe for PRM Web Server in PreProd</v>
      </c>
      <c r="C71" s="168" t="str">
        <f>IF('Build Data'!B7&gt;=3,(C23),"")</f>
        <v>https://jenkins.eu.planview.world/job/prm18_web_pipe/build?delay=0sec</v>
      </c>
      <c r="D71" s="1062"/>
      <c r="E71" s="668" t="str">
        <f>IF(C72="","","1. Run to Post Build")</f>
        <v/>
      </c>
      <c r="F71" s="1148"/>
      <c r="G71" s="96"/>
    </row>
    <row r="72" spans="1:7">
      <c r="A72" s="1060"/>
      <c r="B72" s="669" t="str">
        <f>IF('Build Data'!B7&gt;=3,"TARGET_SERVER_NAME","")</f>
        <v>TARGET_SERVER_NAME</v>
      </c>
      <c r="C72" s="678" t="str">
        <f>('Build Data'!J5)</f>
        <v/>
      </c>
      <c r="D72" s="1063"/>
      <c r="E72" s="671"/>
      <c r="F72" s="1149"/>
      <c r="G72" s="441"/>
    </row>
    <row r="73" spans="1:7">
      <c r="A73" s="1060"/>
      <c r="B73" s="867" t="str">
        <f>IF(AND('Build Data'!B7&gt;=3,'Build Data'!F13="TRUE"),"AVAILABILITY_ZONE","")</f>
        <v/>
      </c>
      <c r="C73" s="868" t="str">
        <f>IF(AND('Build Data'!B7&gt;=3,'Build Data'!F13="TRUE"),C25,IF(C25="","",""))</f>
        <v/>
      </c>
      <c r="D73" s="1063"/>
      <c r="E73" s="671"/>
      <c r="F73" s="1149"/>
      <c r="G73" s="441"/>
    </row>
    <row r="74" spans="1:7">
      <c r="A74" s="1060"/>
      <c r="B74" s="669" t="str">
        <f>IF('Build Data'!B7&gt;=3,"SAS_SERVER_NAME","")</f>
        <v>SAS_SERVER_NAME</v>
      </c>
      <c r="C74" s="684" t="str">
        <f>IF('Build Data'!B7&gt;=3,IF('Build Data'!B6=TRUE,'Build Data'!I5,'Build Data'!I7),"")</f>
        <v/>
      </c>
      <c r="D74" s="1063"/>
      <c r="E74" s="671"/>
      <c r="F74" s="1149"/>
      <c r="G74" s="441"/>
    </row>
    <row r="75" spans="1:7">
      <c r="A75" s="1060"/>
      <c r="B75" s="867" t="str">
        <f>IF('Build Data'!B7&gt;=3,"SQL_SERVER_NAME","")</f>
        <v>SQL_SERVER_NAME</v>
      </c>
      <c r="C75" s="870" t="str">
        <f>IF('Build Data'!B7&gt;=3,('Build Data'!I5),"")</f>
        <v/>
      </c>
      <c r="D75" s="1063"/>
      <c r="E75" s="671"/>
      <c r="F75" s="1149"/>
      <c r="G75" s="441"/>
    </row>
    <row r="76" spans="1:7">
      <c r="A76" s="1060"/>
      <c r="B76" s="875" t="str">
        <f>IF('Build Data'!B7&gt;=3,"CTM_SERVER_NAME","")</f>
        <v>CTM_SERVER_NAME</v>
      </c>
      <c r="C76" s="684" t="str">
        <f>IF('Build Data'!B7&gt;=3,('Build Data'!I6),"")</f>
        <v/>
      </c>
      <c r="D76" s="1063"/>
      <c r="E76" s="671"/>
      <c r="F76" s="1149"/>
      <c r="G76" s="441"/>
    </row>
    <row r="77" spans="1:7">
      <c r="A77" s="1060"/>
      <c r="B77" s="867" t="str">
        <f>IF('Build Data'!B7&gt;=3,"DNS_HOST_NAME","")</f>
        <v>DNS_HOST_NAME</v>
      </c>
      <c r="C77" s="868" t="str">
        <f>IF('Build Data'!B7&gt;=3,('Build Data'!F3),"")</f>
        <v/>
      </c>
      <c r="D77" s="1063"/>
      <c r="E77" s="671"/>
      <c r="F77" s="1149"/>
      <c r="G77" s="441"/>
    </row>
    <row r="78" spans="1:7">
      <c r="A78" s="1060"/>
      <c r="B78" s="669" t="str">
        <f>IF('Build Data'!B7&gt;=3,"CUSTOMER_CODE","")</f>
        <v>CUSTOMER_CODE</v>
      </c>
      <c r="C78" s="678">
        <f>IF('Build Data'!B7&gt;=3,('Build Data'!F8),"")</f>
        <v>0</v>
      </c>
      <c r="D78" s="1063"/>
      <c r="E78" s="671"/>
      <c r="F78" s="1149"/>
      <c r="G78" s="441"/>
    </row>
    <row r="79" spans="1:7">
      <c r="A79" s="1060"/>
      <c r="B79" s="867" t="str">
        <f>IF('Build Data'!B7&gt;=3,"CUSTOMER_NAME","")</f>
        <v>CUSTOMER_NAME</v>
      </c>
      <c r="C79" s="868">
        <f>IF('Build Data'!B7&gt;=3,('Build Data'!F9),"")</f>
        <v>0</v>
      </c>
      <c r="D79" s="1063"/>
      <c r="E79" s="671"/>
      <c r="F79" s="1149"/>
      <c r="G79" s="441"/>
    </row>
    <row r="80" spans="1:7">
      <c r="A80" s="1060"/>
      <c r="B80" s="675" t="str">
        <f>IF('Build Data'!B7&gt;=3,"SKIP_NR_AGENT","")</f>
        <v>SKIP_NR_AGENT</v>
      </c>
      <c r="C80" s="678"/>
      <c r="D80" s="1063"/>
      <c r="E80" s="671"/>
      <c r="F80" s="1149"/>
      <c r="G80" s="441"/>
    </row>
    <row r="81" spans="1:7">
      <c r="A81" s="1060"/>
      <c r="B81" s="874" t="str">
        <f>IF('Build Data'!B7&gt;=3,"MAINTENANCE_DAY","")</f>
        <v>MAINTENANCE_DAY</v>
      </c>
      <c r="C81" s="868">
        <f>IF('Build Data'!B7&gt;=3,('Build Data'!F15),"")</f>
        <v>0</v>
      </c>
      <c r="D81" s="1063"/>
      <c r="E81" s="671"/>
      <c r="F81" s="1149"/>
      <c r="G81" s="441"/>
    </row>
    <row r="82" spans="1:7">
      <c r="A82" s="1060"/>
      <c r="B82" s="676" t="str">
        <f>IF('Build Data'!B7&gt;=3,"TIME_ZONE","")</f>
        <v>TIME_ZONE</v>
      </c>
      <c r="C82" s="678">
        <f>IF('Build Data'!B7&gt;=3,('Build Data'!F14),"")</f>
        <v>0</v>
      </c>
      <c r="D82" s="1063"/>
      <c r="E82" s="671"/>
      <c r="F82" s="1149"/>
      <c r="G82" s="441"/>
    </row>
    <row r="83" spans="1:7">
      <c r="A83" s="1061"/>
      <c r="B83" s="697" t="str">
        <f>IF('Build Data'!B7&gt;=3,"PVMASTER_PW","")</f>
        <v>PVMASTER_PW</v>
      </c>
      <c r="C83" s="698">
        <f>IF('Build Data'!B7&gt;=3,C34,"")</f>
        <v>0</v>
      </c>
      <c r="D83" s="1064"/>
      <c r="E83" s="687"/>
      <c r="F83" s="1150"/>
      <c r="G83" s="74"/>
    </row>
    <row r="84" spans="1:7">
      <c r="A84" s="1065">
        <f>IF('Build Data'!B7&gt;=3,8,"")</f>
        <v>8</v>
      </c>
      <c r="B84" s="662" t="str">
        <f>(IF('Build Data'!B7&lt;=2,"",IF('Build Data'!B3="New Logo","Run Web Pipe for PRM Web Server in Sandbox","Run Web Pipe for PRM Web Server in PreSandbox")))</f>
        <v>Run Web Pipe for PRM Web Server in PreSandbox</v>
      </c>
      <c r="C84" s="713" t="str">
        <f>IF('Build Data'!B7&gt;=3,(C35),"")</f>
        <v>https://jenkins.eu.planview.world/job/prm18_web_pipe/build?delay=0sec</v>
      </c>
      <c r="D84" s="1068"/>
      <c r="E84" s="662" t="str">
        <f>IF(C85="","","1. Run to Post Build")</f>
        <v/>
      </c>
      <c r="F84" s="1151"/>
      <c r="G84" s="38"/>
    </row>
    <row r="85" spans="1:7">
      <c r="A85" s="1066"/>
      <c r="B85" s="700" t="str">
        <f>IF('Build Data'!B7&gt;=3,"TARGET_SERVER_NAME","")</f>
        <v>TARGET_SERVER_NAME</v>
      </c>
      <c r="C85" s="670" t="str">
        <f>('Build Data'!J11)</f>
        <v/>
      </c>
      <c r="D85" s="1069"/>
      <c r="E85" s="689" t="str">
        <f>IF(B120="TIME_ZONE","",IF('Build Data'!B7&gt;=3,"2. Continue to Post Build tab below",""))</f>
        <v>2. Continue to Post Build tab below</v>
      </c>
      <c r="F85" s="1152"/>
      <c r="G85" s="36"/>
    </row>
    <row r="86" spans="1:7">
      <c r="A86" s="1066"/>
      <c r="B86" s="701" t="str">
        <f>IF(AND('Build Data'!B7&gt;=3,'Build Data'!F13="TRUE"),"AVAILABILITY_ZONE","")</f>
        <v/>
      </c>
      <c r="C86" s="691" t="str">
        <f>IF(C37="","",IF(AND('Build Data'!B7&gt;=3,'Build Data'!F13="TRUE"),C37,IF(C37="","","")))</f>
        <v/>
      </c>
      <c r="D86" s="1069"/>
      <c r="E86" s="689"/>
      <c r="F86" s="1152"/>
      <c r="G86" s="36"/>
    </row>
    <row r="87" spans="1:7">
      <c r="A87" s="1066"/>
      <c r="B87" s="700" t="str">
        <f>IF('Build Data'!B7&gt;=3,"SAS_SERVER_NAME","")</f>
        <v>SAS_SERVER_NAME</v>
      </c>
      <c r="C87" s="702" t="str">
        <f>IF('Build Data'!B7&gt;=3,IF('Build Data'!B6=TRUE,'Build Data'!I11,'Build Data'!I13),"")</f>
        <v/>
      </c>
      <c r="D87" s="1069"/>
      <c r="E87" s="689"/>
      <c r="F87" s="1152"/>
      <c r="G87" s="36"/>
    </row>
    <row r="88" spans="1:7">
      <c r="A88" s="1066"/>
      <c r="B88" s="701" t="str">
        <f>IF('Build Data'!B7&gt;=3,"SQL_SERVER_NAME","")</f>
        <v>SQL_SERVER_NAME</v>
      </c>
      <c r="C88" s="690" t="str">
        <f>IF('Build Data'!B7&gt;=3,('Build Data'!I11),"")</f>
        <v/>
      </c>
      <c r="D88" s="1069"/>
      <c r="E88" s="689"/>
      <c r="F88" s="1152"/>
      <c r="G88" s="36"/>
    </row>
    <row r="89" spans="1:7">
      <c r="A89" s="1066"/>
      <c r="B89" s="875" t="str">
        <f>IF('Build Data'!B7&gt;=3,"CTM_SERVER_NAME","")</f>
        <v>CTM_SERVER_NAME</v>
      </c>
      <c r="C89" s="684" t="str">
        <f>IF('Build Data'!B7&gt;=3,('Build Data'!I12),"")</f>
        <v/>
      </c>
      <c r="D89" s="1069"/>
      <c r="E89" s="689"/>
      <c r="F89" s="1152"/>
      <c r="G89" s="36"/>
    </row>
    <row r="90" spans="1:7">
      <c r="A90" s="1066"/>
      <c r="B90" s="701" t="str">
        <f>IF('Build Data'!B7&gt;=3,"DNS_HOST_NAME","")</f>
        <v>DNS_HOST_NAME</v>
      </c>
      <c r="C90" s="691" t="str">
        <f>IF('Build Data'!B7&gt;=3,('Build Data'!F4),"")</f>
        <v/>
      </c>
      <c r="D90" s="1069"/>
      <c r="E90" s="689"/>
      <c r="F90" s="1152"/>
      <c r="G90" s="36"/>
    </row>
    <row r="91" spans="1:7">
      <c r="A91" s="1066"/>
      <c r="B91" s="700" t="str">
        <f>IF('Build Data'!B7&gt;=3,"CUSTOMER_CODE","")</f>
        <v>CUSTOMER_CODE</v>
      </c>
      <c r="C91" s="670">
        <f>IF('Build Data'!B7&gt;=3,('Build Data'!F8),"")</f>
        <v>0</v>
      </c>
      <c r="D91" s="1069"/>
      <c r="E91" s="689"/>
      <c r="F91" s="1152"/>
      <c r="G91" s="36"/>
    </row>
    <row r="92" spans="1:7">
      <c r="A92" s="1066"/>
      <c r="B92" s="701" t="str">
        <f>IF('Build Data'!B7&gt;=3,"CUSTOMER_NAME","")</f>
        <v>CUSTOMER_NAME</v>
      </c>
      <c r="C92" s="691">
        <f>IF('Build Data'!B7&gt;=3,('Build Data'!F9),"")</f>
        <v>0</v>
      </c>
      <c r="D92" s="1069"/>
      <c r="E92" s="689"/>
      <c r="F92" s="1152"/>
      <c r="G92" s="36"/>
    </row>
    <row r="93" spans="1:7">
      <c r="A93" s="1066"/>
      <c r="B93" s="876" t="str">
        <f>IF('Build Data'!B7&gt;=3,"MAINTENANCE_DAY","")</f>
        <v>MAINTENANCE_DAY</v>
      </c>
      <c r="C93" s="670">
        <f>IF('Build Data'!B7&gt;=3,('Build Data'!F15),"")</f>
        <v>0</v>
      </c>
      <c r="D93" s="1069"/>
      <c r="E93" s="689"/>
      <c r="F93" s="1152"/>
      <c r="G93" s="36"/>
    </row>
    <row r="94" spans="1:7">
      <c r="A94" s="1066"/>
      <c r="B94" s="704" t="str">
        <f>IF('Build Data'!B7&gt;=3,"TIME_ZONE","")</f>
        <v>TIME_ZONE</v>
      </c>
      <c r="C94" s="691">
        <f>IF('Build Data'!B7&gt;=3,('Build Data'!F14),"")</f>
        <v>0</v>
      </c>
      <c r="D94" s="1069"/>
      <c r="E94" s="689"/>
      <c r="F94" s="1152"/>
      <c r="G94" s="36"/>
    </row>
    <row r="95" spans="1:7">
      <c r="A95" s="1067"/>
      <c r="B95" s="705" t="str">
        <f>IF('Build Data'!B7&gt;=3,"PVMASTER_PW","")</f>
        <v>PVMASTER_PW</v>
      </c>
      <c r="C95" s="692">
        <f>IF('Build Data'!B7&gt;=3,C34,"")</f>
        <v>0</v>
      </c>
      <c r="D95" s="1070"/>
      <c r="E95" s="693"/>
      <c r="F95" s="1153"/>
      <c r="G95" s="634"/>
    </row>
    <row r="96" spans="1:7">
      <c r="A96" s="1059">
        <f>IF('Build Data'!B7&gt;=4,9,"")</f>
        <v>9</v>
      </c>
      <c r="B96" s="96" t="str">
        <f>(IF('Build Data'!B7&lt;=3,"",IF('Build Data'!B3="New Logo","Run Web Pipe for PRM Web Server in Production","Run Web Pipe for PRM Web Server in PreProd")))</f>
        <v>Run Web Pipe for PRM Web Server in PreProd</v>
      </c>
      <c r="C96" s="168" t="str">
        <f>IF('Build Data'!B7&gt;=4,(C23),"")</f>
        <v>https://jenkins.eu.planview.world/job/prm18_web_pipe/build?delay=0sec</v>
      </c>
      <c r="D96" s="1062"/>
      <c r="E96" s="668" t="str">
        <f>IF(C97="","","1. Run to Post Build")</f>
        <v/>
      </c>
      <c r="F96" s="1148"/>
      <c r="G96" s="96"/>
    </row>
    <row r="97" spans="1:7">
      <c r="A97" s="1060"/>
      <c r="B97" s="669" t="str">
        <f>IF('Build Data'!B7&gt;=4,"TARGET_SERVER_NAME","")</f>
        <v>TARGET_SERVER_NAME</v>
      </c>
      <c r="C97" s="678" t="str">
        <f>('Build Data'!J6)</f>
        <v/>
      </c>
      <c r="D97" s="1063"/>
      <c r="E97" s="671"/>
      <c r="F97" s="1149"/>
      <c r="G97" s="441"/>
    </row>
    <row r="98" spans="1:7">
      <c r="A98" s="1060"/>
      <c r="B98" s="867" t="str">
        <f>IF(AND('Build Data'!B7&gt;=4,'Build Data'!F13="TRUE"),"AVAILABILITY_ZONE","")</f>
        <v/>
      </c>
      <c r="C98" s="868" t="str">
        <f>IF(AND('Build Data'!B7&gt;=4,'Build Data'!F13="TRUE"),C25,IF(C25="","",""))</f>
        <v/>
      </c>
      <c r="D98" s="1063"/>
      <c r="E98" s="671"/>
      <c r="F98" s="1149"/>
      <c r="G98" s="441"/>
    </row>
    <row r="99" spans="1:7">
      <c r="A99" s="1060"/>
      <c r="B99" s="669" t="str">
        <f>IF('Build Data'!B7&gt;=4,"SAS_SERVER_NAME","")</f>
        <v>SAS_SERVER_NAME</v>
      </c>
      <c r="C99" s="684" t="str">
        <f>IF('Build Data'!B7&gt;=4,IF('Build Data'!B6=TRUE,'Build Data'!I5,'Build Data'!I7),"")</f>
        <v/>
      </c>
      <c r="D99" s="1063"/>
      <c r="E99" s="671"/>
      <c r="F99" s="1149"/>
      <c r="G99" s="441"/>
    </row>
    <row r="100" spans="1:7">
      <c r="A100" s="1060"/>
      <c r="B100" s="867" t="str">
        <f>IF('Build Data'!B7&gt;=4,"SQL_SERVER_NAME","")</f>
        <v>SQL_SERVER_NAME</v>
      </c>
      <c r="C100" s="870" t="str">
        <f>IF('Build Data'!B7&gt;=4,('Build Data'!I5),"")</f>
        <v/>
      </c>
      <c r="D100" s="1063"/>
      <c r="E100" s="671"/>
      <c r="F100" s="1149"/>
      <c r="G100" s="441"/>
    </row>
    <row r="101" spans="1:7">
      <c r="A101" s="1060"/>
      <c r="B101" s="875" t="str">
        <f>IF('Build Data'!B7&gt;=4,"CTM_SERVER_NAME","")</f>
        <v>CTM_SERVER_NAME</v>
      </c>
      <c r="C101" s="684" t="str">
        <f>IF('Build Data'!B7&gt;=4,('Build Data'!I6),"")</f>
        <v/>
      </c>
      <c r="D101" s="1063"/>
      <c r="E101" s="671"/>
      <c r="F101" s="1149"/>
      <c r="G101" s="441"/>
    </row>
    <row r="102" spans="1:7">
      <c r="A102" s="1060"/>
      <c r="B102" s="867" t="str">
        <f>IF('Build Data'!B7&gt;=4,"DNS_HOST_NAME","")</f>
        <v>DNS_HOST_NAME</v>
      </c>
      <c r="C102" s="868" t="str">
        <f>IF('Build Data'!B7&gt;=4,('Build Data'!F3),"")</f>
        <v/>
      </c>
      <c r="D102" s="1063"/>
      <c r="E102" s="671"/>
      <c r="F102" s="1149"/>
      <c r="G102" s="441"/>
    </row>
    <row r="103" spans="1:7">
      <c r="A103" s="1060"/>
      <c r="B103" s="669" t="str">
        <f>IF('Build Data'!B7&gt;=4,"CUSTOMER_CODE","")</f>
        <v>CUSTOMER_CODE</v>
      </c>
      <c r="C103" s="678">
        <f>IF('Build Data'!B7&gt;=4,('Build Data'!F8),"")</f>
        <v>0</v>
      </c>
      <c r="D103" s="1063"/>
      <c r="E103" s="671"/>
      <c r="F103" s="1149"/>
      <c r="G103" s="441"/>
    </row>
    <row r="104" spans="1:7">
      <c r="A104" s="1060"/>
      <c r="B104" s="867" t="str">
        <f>IF('Build Data'!B7&gt;=4,"CUSTOMER_NAME","")</f>
        <v>CUSTOMER_NAME</v>
      </c>
      <c r="C104" s="868">
        <f>IF('Build Data'!B7&gt;=4,('Build Data'!F9),"")</f>
        <v>0</v>
      </c>
      <c r="D104" s="1063"/>
      <c r="E104" s="671"/>
      <c r="F104" s="1149"/>
      <c r="G104" s="441"/>
    </row>
    <row r="105" spans="1:7">
      <c r="A105" s="1060"/>
      <c r="B105" s="675" t="str">
        <f>IF('Build Data'!B7&gt;=4,"SKIP_NR_AGENT","")</f>
        <v>SKIP_NR_AGENT</v>
      </c>
      <c r="C105" s="678"/>
      <c r="D105" s="1063"/>
      <c r="E105" s="671"/>
      <c r="F105" s="1149"/>
      <c r="G105" s="441"/>
    </row>
    <row r="106" spans="1:7">
      <c r="A106" s="1060"/>
      <c r="B106" s="874" t="str">
        <f>IF('Build Data'!B7&gt;=4,"MAINTENANCE_DAY","")</f>
        <v>MAINTENANCE_DAY</v>
      </c>
      <c r="C106" s="868">
        <f>IF('Build Data'!B7&gt;=4,('Build Data'!F15),"")</f>
        <v>0</v>
      </c>
      <c r="D106" s="1063"/>
      <c r="E106" s="671"/>
      <c r="F106" s="1149"/>
      <c r="G106" s="441"/>
    </row>
    <row r="107" spans="1:7">
      <c r="A107" s="1060"/>
      <c r="B107" s="676" t="str">
        <f>IF('Build Data'!B7&gt;=4,"TIME_ZONE","")</f>
        <v>TIME_ZONE</v>
      </c>
      <c r="C107" s="678">
        <f>IF('Build Data'!B7&gt;=4,('Build Data'!F14),"")</f>
        <v>0</v>
      </c>
      <c r="D107" s="1063"/>
      <c r="E107" s="671"/>
      <c r="F107" s="1149"/>
      <c r="G107" s="441"/>
    </row>
    <row r="108" spans="1:7">
      <c r="A108" s="1061"/>
      <c r="B108" s="697" t="str">
        <f>IF('Build Data'!B7&gt;=4,"PVMASTER_PW","")</f>
        <v>PVMASTER_PW</v>
      </c>
      <c r="C108" s="698">
        <f>IF('Build Data'!B7&gt;=4,C34,"")</f>
        <v>0</v>
      </c>
      <c r="D108" s="1064"/>
      <c r="E108" s="687"/>
      <c r="F108" s="1150"/>
      <c r="G108" s="74"/>
    </row>
    <row r="109" spans="1:7">
      <c r="A109" s="1065">
        <f>IF('Build Data'!B7&gt;=4,10,"")</f>
        <v>10</v>
      </c>
      <c r="B109" s="662" t="str">
        <f>(IF('Build Data'!B7&lt;=3,"",IF('Build Data'!B3="New Logo","Run Web Pipe for PRM Web Server in Sandbox","Run Web Pipe for PRM Web Server in PreSandbox")))</f>
        <v>Run Web Pipe for PRM Web Server in PreSandbox</v>
      </c>
      <c r="C109" s="713" t="str">
        <f>IF('Build Data'!B7&gt;=4,(C35),"")</f>
        <v>https://jenkins.eu.planview.world/job/prm18_web_pipe/build?delay=0sec</v>
      </c>
      <c r="D109" s="1068"/>
      <c r="E109" s="662" t="str">
        <f>IF(C110="","","1. Run to Post Build")</f>
        <v/>
      </c>
      <c r="F109" s="1151"/>
      <c r="G109" s="38"/>
    </row>
    <row r="110" spans="1:7">
      <c r="A110" s="1066"/>
      <c r="B110" s="700" t="str">
        <f>IF('Build Data'!B7&gt;=4,"TARGET_SERVER_NAME","")</f>
        <v>TARGET_SERVER_NAME</v>
      </c>
      <c r="C110" s="670" t="str">
        <f>('Build Data'!J12)</f>
        <v/>
      </c>
      <c r="D110" s="1069"/>
      <c r="E110" s="689" t="str">
        <f>IF(B141="TIME_ZONE","",IF('Build Data'!B7&gt;=4,"2. Continue to Post Build tab below",""))</f>
        <v/>
      </c>
      <c r="F110" s="1152"/>
      <c r="G110" s="36"/>
    </row>
    <row r="111" spans="1:7">
      <c r="A111" s="1066"/>
      <c r="B111" s="701" t="str">
        <f>IF(AND('Build Data'!B7&gt;=4,'Build Data'!F13="TRUE"),"AVAILABILITY_ZONE","")</f>
        <v/>
      </c>
      <c r="C111" s="691" t="str">
        <f>IF(C37="","",IF(AND('Build Data'!B7&gt;=4,'Build Data'!F13="TRUE"),C37,IF(C37="","","")))</f>
        <v/>
      </c>
      <c r="D111" s="1069"/>
      <c r="E111" s="689"/>
      <c r="F111" s="1152"/>
      <c r="G111" s="36"/>
    </row>
    <row r="112" spans="1:7">
      <c r="A112" s="1066"/>
      <c r="B112" s="700" t="str">
        <f>IF('Build Data'!B7&gt;=4,"SAS_SERVER_NAME","")</f>
        <v>SAS_SERVER_NAME</v>
      </c>
      <c r="C112" s="702" t="str">
        <f>IF('Build Data'!B7&gt;=4,IF('Build Data'!B6=TRUE,'Build Data'!I11,'Build Data'!I13),"")</f>
        <v/>
      </c>
      <c r="D112" s="1069"/>
      <c r="E112" s="689"/>
      <c r="F112" s="1152"/>
      <c r="G112" s="36"/>
    </row>
    <row r="113" spans="1:7">
      <c r="A113" s="1066"/>
      <c r="B113" s="701" t="str">
        <f>IF('Build Data'!B7&gt;=4,"SQL_SERVER_NAME","")</f>
        <v>SQL_SERVER_NAME</v>
      </c>
      <c r="C113" s="690" t="str">
        <f>IF('Build Data'!B7&gt;=4,('Build Data'!I11),"")</f>
        <v/>
      </c>
      <c r="D113" s="1069"/>
      <c r="E113" s="689"/>
      <c r="F113" s="1152"/>
      <c r="G113" s="36"/>
    </row>
    <row r="114" spans="1:7">
      <c r="A114" s="1066"/>
      <c r="B114" s="875" t="str">
        <f>IF('Build Data'!B7&gt;=4,"CTM_SERVER_NAME","")</f>
        <v>CTM_SERVER_NAME</v>
      </c>
      <c r="C114" s="684" t="str">
        <f>IF('Build Data'!B7&gt;=4,('Build Data'!I12),"")</f>
        <v/>
      </c>
      <c r="D114" s="1069"/>
      <c r="E114" s="689"/>
      <c r="F114" s="1152"/>
      <c r="G114" s="36"/>
    </row>
    <row r="115" spans="1:7">
      <c r="A115" s="1066"/>
      <c r="B115" s="701" t="str">
        <f>IF('Build Data'!B7&gt;=4,"DNS_HOST_NAME","")</f>
        <v>DNS_HOST_NAME</v>
      </c>
      <c r="C115" s="691" t="str">
        <f>IF('Build Data'!B7&gt;=4,('Build Data'!F4),"")</f>
        <v/>
      </c>
      <c r="D115" s="1069"/>
      <c r="E115" s="689"/>
      <c r="F115" s="1152"/>
      <c r="G115" s="36"/>
    </row>
    <row r="116" spans="1:7">
      <c r="A116" s="1066"/>
      <c r="B116" s="700" t="str">
        <f>IF('Build Data'!B7&gt;=4,"CUSTOMER_CODE","")</f>
        <v>CUSTOMER_CODE</v>
      </c>
      <c r="C116" s="670">
        <f>IF('Build Data'!B7&gt;=4,('Build Data'!F8),"")</f>
        <v>0</v>
      </c>
      <c r="D116" s="1069"/>
      <c r="E116" s="689"/>
      <c r="F116" s="1152"/>
      <c r="G116" s="36"/>
    </row>
    <row r="117" spans="1:7">
      <c r="A117" s="1066"/>
      <c r="B117" s="701" t="str">
        <f>IF('Build Data'!B7&gt;=4,"CUSTOMER_NAME","")</f>
        <v>CUSTOMER_NAME</v>
      </c>
      <c r="C117" s="691">
        <f>IF('Build Data'!B7&gt;=4,('Build Data'!F9),"")</f>
        <v>0</v>
      </c>
      <c r="D117" s="1069"/>
      <c r="E117" s="689"/>
      <c r="F117" s="1152"/>
      <c r="G117" s="36"/>
    </row>
    <row r="118" spans="1:7">
      <c r="A118" s="1066"/>
      <c r="B118" s="876" t="str">
        <f>IF('Build Data'!B7&gt;=4,"MAINTENANCE_DAY","")</f>
        <v>MAINTENANCE_DAY</v>
      </c>
      <c r="C118" s="670">
        <f>IF('Build Data'!B7&gt;=4,('Build Data'!F15),"")</f>
        <v>0</v>
      </c>
      <c r="D118" s="1069"/>
      <c r="E118" s="689"/>
      <c r="F118" s="1152"/>
      <c r="G118" s="36"/>
    </row>
    <row r="119" spans="1:7">
      <c r="A119" s="1066"/>
      <c r="B119" s="704" t="str">
        <f>IF('Build Data'!B7&gt;=4,"TIME_ZONE","")</f>
        <v>TIME_ZONE</v>
      </c>
      <c r="C119" s="691">
        <f>IF('Build Data'!B7&gt;=4,('Build Data'!F14),"")</f>
        <v>0</v>
      </c>
      <c r="D119" s="1069"/>
      <c r="E119" s="689"/>
      <c r="F119" s="1152"/>
      <c r="G119" s="36"/>
    </row>
    <row r="120" spans="1:7">
      <c r="A120" s="1067"/>
      <c r="B120" s="705" t="str">
        <f>IF('Build Data'!B7&gt;=4,"PVMASTER_PW","")</f>
        <v>PVMASTER_PW</v>
      </c>
      <c r="C120" s="692">
        <f>IF('Build Data'!B7&gt;=4,C34,"")</f>
        <v>0</v>
      </c>
      <c r="D120" s="1070"/>
      <c r="E120" s="693"/>
      <c r="F120" s="1153"/>
      <c r="G120" s="634"/>
    </row>
    <row r="121" spans="1:7">
      <c r="A121" s="1059">
        <v>11</v>
      </c>
      <c r="B121" s="96" t="str">
        <f>(IF('Build Data'!B7&lt;=4,"",IF('Build Data'!B3="New Logo","Run Web Pipe for PRM Web Server in Production","Run Web Pipe for PRM Web Server in PreProd")))</f>
        <v>Run Web Pipe for PRM Web Server in PreProd</v>
      </c>
      <c r="C121" s="96" t="str">
        <f>IF('Build Data'!B7&gt;=5,(C23),"")</f>
        <v>https://jenkins.eu.planview.world/job/prm18_web_pipe/build?delay=0sec</v>
      </c>
      <c r="D121" s="1062"/>
      <c r="E121" s="668" t="str">
        <f>IF(C122="","","1. Run to Post Build")</f>
        <v/>
      </c>
      <c r="F121" s="96"/>
      <c r="G121" s="96"/>
    </row>
    <row r="122" spans="1:7">
      <c r="A122" s="1060"/>
      <c r="B122" s="669" t="str">
        <f>IF('Build Data'!B7&gt;=5,"TARGET_SERVER_NAME","")</f>
        <v>TARGET_SERVER_NAME</v>
      </c>
      <c r="C122" s="678" t="str">
        <f>IF('Build Data'!B7&gt;=5,('Build Data'!J6),"")</f>
        <v/>
      </c>
      <c r="D122" s="1063"/>
      <c r="E122" s="671"/>
      <c r="F122" s="441"/>
      <c r="G122" s="441"/>
    </row>
    <row r="123" spans="1:7">
      <c r="A123" s="1060"/>
      <c r="B123" s="672" t="str">
        <f>IF('Build Data'!B7&gt;=5,"SAS_SERVER_NAME","")</f>
        <v>SAS_SERVER_NAME</v>
      </c>
      <c r="C123" s="694" t="str">
        <f>IF('Build Data'!B7&gt;=5,IF('Build Data'!B6=TRUE,'Build Data'!I5,'Build Data'!I7),"")</f>
        <v/>
      </c>
      <c r="D123" s="1063"/>
      <c r="E123" s="671"/>
      <c r="F123" s="441"/>
      <c r="G123" s="441"/>
    </row>
    <row r="124" spans="1:7">
      <c r="A124" s="1060"/>
      <c r="B124" s="669" t="str">
        <f>IF('Build Data'!B7&gt;=5,"SQL_SERVER_NAME","")</f>
        <v>SQL_SERVER_NAME</v>
      </c>
      <c r="C124" s="684" t="str">
        <f>IF('Build Data'!B7&gt;=5,('Build Data'!I5),"")</f>
        <v/>
      </c>
      <c r="D124" s="1063"/>
      <c r="E124" s="671"/>
      <c r="F124" s="441"/>
      <c r="G124" s="441"/>
    </row>
    <row r="125" spans="1:7">
      <c r="A125" s="1060"/>
      <c r="B125" s="695" t="str">
        <f>IF('Build Data'!B7&gt;=5,"CTM_SERVER_NAME","")</f>
        <v>CTM_SERVER_NAME</v>
      </c>
      <c r="C125" s="694" t="str">
        <f>IF('Build Data'!B7&gt;=5,('Build Data'!I6),"")</f>
        <v/>
      </c>
      <c r="D125" s="1063"/>
      <c r="E125" s="671"/>
      <c r="F125" s="441"/>
      <c r="G125" s="441"/>
    </row>
    <row r="126" spans="1:7">
      <c r="A126" s="1060"/>
      <c r="B126" s="669" t="str">
        <f>IF('Build Data'!B7&gt;=5,"DNS_HOST_NAME","")</f>
        <v>DNS_HOST_NAME</v>
      </c>
      <c r="C126" s="678" t="str">
        <f>IF('Build Data'!B7&gt;=5,('Build Data'!E3),"")</f>
        <v>Prod Alias</v>
      </c>
      <c r="D126" s="1063"/>
      <c r="E126" s="671"/>
      <c r="F126" s="441"/>
      <c r="G126" s="441"/>
    </row>
    <row r="127" spans="1:7">
      <c r="A127" s="1060"/>
      <c r="B127" s="672" t="str">
        <f>IF('Build Data'!B7&gt;=5,"CUSTOMER_CODE","")</f>
        <v>CUSTOMER_CODE</v>
      </c>
      <c r="C127" s="683" t="str">
        <f>IF('Build Data'!B7&gt;=5,('Build Data'!E8),"")</f>
        <v>Customer Abbreviation</v>
      </c>
      <c r="D127" s="1063"/>
      <c r="E127" s="671"/>
      <c r="F127" s="441"/>
      <c r="G127" s="441"/>
    </row>
    <row r="128" spans="1:7">
      <c r="A128" s="1060"/>
      <c r="B128" s="669" t="str">
        <f>IF('Build Data'!B7&gt;=5,"CUSTOMER_NAME","")</f>
        <v>CUSTOMER_NAME</v>
      </c>
      <c r="C128" s="678" t="e">
        <f>IF('Build Data'!B7&gt;=5,('Build Data'!#REF!),"")</f>
        <v>#REF!</v>
      </c>
      <c r="D128" s="1063"/>
      <c r="E128" s="671"/>
      <c r="F128" s="441"/>
      <c r="G128" s="441"/>
    </row>
    <row r="129" spans="1:7">
      <c r="A129" s="1060"/>
      <c r="B129" s="696" t="str">
        <f>IF('Build Data'!B7&gt;=5,"SKIP_NR_AGENT","")</f>
        <v>SKIP_NR_AGENT</v>
      </c>
      <c r="C129" s="683"/>
      <c r="D129" s="1063"/>
      <c r="E129" s="671"/>
      <c r="F129" s="441"/>
      <c r="G129" s="441"/>
    </row>
    <row r="130" spans="1:7">
      <c r="A130" s="1060"/>
      <c r="B130" s="676" t="str">
        <f>IF('Build Data'!B7&gt;=5,"MAINTENANCE_DAY","")</f>
        <v>MAINTENANCE_DAY</v>
      </c>
      <c r="C130" s="678" t="str">
        <f>IF('Build Data'!B7&gt;=5,('Build Data'!E11),"")</f>
        <v>Unencrypted PVMaster Pass.</v>
      </c>
      <c r="D130" s="1063"/>
      <c r="E130" s="671"/>
      <c r="F130" s="441"/>
      <c r="G130" s="441"/>
    </row>
    <row r="131" spans="1:7">
      <c r="A131" s="1061"/>
      <c r="B131" s="697" t="str">
        <f>IF('Build Data'!B7&gt;=5,"TIME_ZONE","")</f>
        <v>TIME_ZONE</v>
      </c>
      <c r="C131" s="698" t="str">
        <f>IF('Build Data'!B7&gt;=5,('Build Data'!E12),"")</f>
        <v>Encrypted PVMaster Pass.</v>
      </c>
      <c r="D131" s="1064"/>
      <c r="E131" s="687"/>
      <c r="F131" s="74"/>
      <c r="G131" s="74"/>
    </row>
    <row r="132" spans="1:7">
      <c r="A132" s="1065">
        <v>12</v>
      </c>
      <c r="B132" s="662" t="str">
        <f>(IF('Build Data'!B7&lt;=4,"",IF('Build Data'!B3="New Logo","Run Web Pipe for PRM Web Server in Sandbox","Run Web Pipe for PRM Web Server in PreSandbox")))</f>
        <v>Run Web Pipe for PRM Web Server in PreSandbox</v>
      </c>
      <c r="C132" s="699" t="str">
        <f>IF('Build Data'!B7&gt;=5,(C35),"")</f>
        <v>https://jenkins.eu.planview.world/job/prm18_web_pipe/build?delay=0sec</v>
      </c>
      <c r="D132" s="1068"/>
      <c r="E132" s="662" t="str">
        <f>IF(C133="","","1. Run to Post Build")</f>
        <v/>
      </c>
      <c r="F132" s="38"/>
      <c r="G132" s="38"/>
    </row>
    <row r="133" spans="1:7">
      <c r="A133" s="1066"/>
      <c r="B133" s="700" t="str">
        <f>IF('Build Data'!B7&gt;=5,"TARGET_SERVER_NAME","")</f>
        <v>TARGET_SERVER_NAME</v>
      </c>
      <c r="C133" s="670" t="str">
        <f>IF('Build Data'!B7&gt;=5,('Build Data'!J12),"")</f>
        <v/>
      </c>
      <c r="D133" s="1069"/>
      <c r="E133" s="689" t="str">
        <f>IF('Build Data'!B7&gt;=5,"2. Continue to Checklist tab below","")</f>
        <v>2. Continue to Checklist tab below</v>
      </c>
      <c r="F133" s="36"/>
      <c r="G133" s="36"/>
    </row>
    <row r="134" spans="1:7">
      <c r="A134" s="1066"/>
      <c r="B134" s="701" t="str">
        <f>IF('Build Data'!B7&gt;=5,"SAS_SERVER_NAME","")</f>
        <v>SAS_SERVER_NAME</v>
      </c>
      <c r="C134" s="690" t="str">
        <f>IF('Build Data'!B7&gt;=5,IF('Build Data'!B6=TRUE,'Build Data'!I11,'Build Data'!I13),"")</f>
        <v/>
      </c>
      <c r="D134" s="1069"/>
      <c r="E134" s="689"/>
      <c r="F134" s="36"/>
      <c r="G134" s="36"/>
    </row>
    <row r="135" spans="1:7">
      <c r="A135" s="1066"/>
      <c r="B135" s="700" t="str">
        <f>IF('Build Data'!B7&gt;=5,"SQL_SERVER_NAME","")</f>
        <v>SQL_SERVER_NAME</v>
      </c>
      <c r="C135" s="702" t="str">
        <f>IF('Build Data'!B7&gt;=5,('Build Data'!I11),"")</f>
        <v/>
      </c>
      <c r="D135" s="1069"/>
      <c r="E135" s="689"/>
      <c r="F135" s="36"/>
      <c r="G135" s="36"/>
    </row>
    <row r="136" spans="1:7">
      <c r="A136" s="1066"/>
      <c r="B136" s="703" t="str">
        <f>IF('Build Data'!B7&gt;=5,"CTM_SERVER_NAME","")</f>
        <v>CTM_SERVER_NAME</v>
      </c>
      <c r="C136" s="690" t="str">
        <f>IF('Build Data'!B7&gt;=5,('Build Data'!I12),"")</f>
        <v/>
      </c>
      <c r="D136" s="1069"/>
      <c r="E136" s="689"/>
      <c r="F136" s="36"/>
      <c r="G136" s="36"/>
    </row>
    <row r="137" spans="1:7">
      <c r="A137" s="1066"/>
      <c r="B137" s="700" t="str">
        <f>IF('Build Data'!B7&gt;=5,"DNS_HOST_NAME","")</f>
        <v>DNS_HOST_NAME</v>
      </c>
      <c r="C137" s="670" t="str">
        <f>IF('Build Data'!B7&gt;=5,('Build Data'!E4),"")</f>
        <v/>
      </c>
      <c r="D137" s="1069"/>
      <c r="E137" s="689"/>
      <c r="F137" s="36"/>
      <c r="G137" s="36"/>
    </row>
    <row r="138" spans="1:7">
      <c r="A138" s="1066"/>
      <c r="B138" s="701" t="str">
        <f>IF('Build Data'!B7&gt;=5,"CUSTOMER_CODE","")</f>
        <v>CUSTOMER_CODE</v>
      </c>
      <c r="C138" s="691" t="str">
        <f>IF('Build Data'!B7&gt;=5,('Build Data'!E8),"")</f>
        <v>Customer Abbreviation</v>
      </c>
      <c r="D138" s="1069"/>
      <c r="E138" s="689"/>
      <c r="F138" s="36"/>
      <c r="G138" s="36"/>
    </row>
    <row r="139" spans="1:7">
      <c r="A139" s="1066"/>
      <c r="B139" s="700" t="str">
        <f>IF('Build Data'!B7&gt;=5,"CUSTOMER_NAME","")</f>
        <v>CUSTOMER_NAME</v>
      </c>
      <c r="C139" s="670" t="e">
        <f>IF('Build Data'!B7&gt;=5,('Build Data'!#REF!),"")</f>
        <v>#REF!</v>
      </c>
      <c r="D139" s="1069"/>
      <c r="E139" s="689"/>
      <c r="F139" s="36"/>
      <c r="G139" s="36"/>
    </row>
    <row r="140" spans="1:7">
      <c r="A140" s="1066"/>
      <c r="B140" s="704" t="str">
        <f>IF('Build Data'!B7&gt;=5,"MAINTENANCE_DAY","")</f>
        <v>MAINTENANCE_DAY</v>
      </c>
      <c r="C140" s="691" t="str">
        <f>IF('Build Data'!B7&gt;=5,('Build Data'!E11),"")</f>
        <v>Unencrypted PVMaster Pass.</v>
      </c>
      <c r="D140" s="1069"/>
      <c r="E140" s="689"/>
      <c r="F140" s="36"/>
      <c r="G140" s="36"/>
    </row>
    <row r="141" spans="1:7">
      <c r="A141" s="1067"/>
      <c r="B141" s="705" t="str">
        <f>IF('Build Data'!B7&gt;=5,"TIME_ZONE","")</f>
        <v>TIME_ZONE</v>
      </c>
      <c r="C141" s="692" t="str">
        <f>IF('Build Data'!B7&gt;=5,('Build Data'!E12),"")</f>
        <v>Encrypted PVMaster Pass.</v>
      </c>
      <c r="D141" s="1070"/>
      <c r="E141" s="693"/>
      <c r="F141" s="634"/>
      <c r="G141" s="634"/>
    </row>
  </sheetData>
  <mergeCells count="34">
    <mergeCell ref="F59:F70"/>
    <mergeCell ref="F71:F83"/>
    <mergeCell ref="F84:F95"/>
    <mergeCell ref="F96:F108"/>
    <mergeCell ref="F109:F120"/>
    <mergeCell ref="F2:F13"/>
    <mergeCell ref="F14:F22"/>
    <mergeCell ref="F23:F34"/>
    <mergeCell ref="F35:F45"/>
    <mergeCell ref="F46:F58"/>
    <mergeCell ref="A109:A120"/>
    <mergeCell ref="D109:D120"/>
    <mergeCell ref="A121:A131"/>
    <mergeCell ref="D121:D131"/>
    <mergeCell ref="A132:A141"/>
    <mergeCell ref="D132:D141"/>
    <mergeCell ref="A71:A83"/>
    <mergeCell ref="D71:D83"/>
    <mergeCell ref="A84:A95"/>
    <mergeCell ref="D84:D95"/>
    <mergeCell ref="A96:A108"/>
    <mergeCell ref="D96:D108"/>
    <mergeCell ref="A35:A45"/>
    <mergeCell ref="D35:D45"/>
    <mergeCell ref="A46:A58"/>
    <mergeCell ref="D46:D58"/>
    <mergeCell ref="A59:A70"/>
    <mergeCell ref="D59:D70"/>
    <mergeCell ref="A2:A13"/>
    <mergeCell ref="D2:D13"/>
    <mergeCell ref="A14:A22"/>
    <mergeCell ref="D14:D22"/>
    <mergeCell ref="A23:A34"/>
    <mergeCell ref="D23:D34"/>
  </mergeCells>
  <conditionalFormatting sqref="D109">
    <cfRule type="iconSet" priority="1">
      <iconSet iconSet="3Symbols2" showValue="0">
        <cfvo type="percent" val="0"/>
        <cfvo type="num" val="0"/>
        <cfvo type="num" val="1"/>
      </iconSet>
    </cfRule>
  </conditionalFormatting>
  <conditionalFormatting sqref="D2">
    <cfRule type="iconSet" priority="5">
      <iconSet iconSet="3Symbols2" showValue="0">
        <cfvo type="percent" val="0"/>
        <cfvo type="num" val="0"/>
        <cfvo type="num" val="1"/>
      </iconSet>
    </cfRule>
  </conditionalFormatting>
  <conditionalFormatting sqref="D14">
    <cfRule type="iconSet" priority="4">
      <iconSet iconSet="3Symbols2" showValue="0">
        <cfvo type="percent" val="0"/>
        <cfvo type="num" val="0"/>
        <cfvo type="num" val="1"/>
      </iconSet>
    </cfRule>
  </conditionalFormatting>
  <conditionalFormatting sqref="D46">
    <cfRule type="iconSet" priority="3">
      <iconSet iconSet="3Symbols2" showValue="0">
        <cfvo type="percent" val="0"/>
        <cfvo type="num" val="0"/>
        <cfvo type="num" val="1"/>
      </iconSet>
    </cfRule>
  </conditionalFormatting>
  <conditionalFormatting sqref="D84">
    <cfRule type="iconSet" priority="2">
      <iconSet iconSet="3Symbols2" showValue="0">
        <cfvo type="percent" val="0"/>
        <cfvo type="num" val="0"/>
        <cfvo type="num" val="1"/>
      </iconSet>
    </cfRule>
  </conditionalFormatting>
  <conditionalFormatting sqref="D14">
    <cfRule type="iconSet" priority="6">
      <iconSet iconSet="3Symbols2" showValue="0">
        <cfvo type="percent" val="0"/>
        <cfvo type="num" val="0"/>
        <cfvo type="num" val="1"/>
      </iconSet>
    </cfRule>
  </conditionalFormatting>
  <conditionalFormatting sqref="D35">
    <cfRule type="iconSet" priority="7">
      <iconSet iconSet="3Symbols2" showValue="0">
        <cfvo type="percent" val="0"/>
        <cfvo type="num" val="0"/>
        <cfvo type="num" val="1"/>
      </iconSet>
    </cfRule>
  </conditionalFormatting>
  <conditionalFormatting sqref="D23">
    <cfRule type="iconSet" priority="8">
      <iconSet iconSet="3Symbols2" showValue="0">
        <cfvo type="percent" val="0"/>
        <cfvo type="num" val="0"/>
        <cfvo type="num" val="1"/>
      </iconSet>
    </cfRule>
  </conditionalFormatting>
  <conditionalFormatting sqref="D46">
    <cfRule type="iconSet" priority="9">
      <iconSet iconSet="3Symbols2" showValue="0">
        <cfvo type="percent" val="0"/>
        <cfvo type="num" val="0"/>
        <cfvo type="num" val="1"/>
      </iconSet>
    </cfRule>
  </conditionalFormatting>
  <conditionalFormatting sqref="D59">
    <cfRule type="iconSet" priority="10">
      <iconSet iconSet="3Symbols2" showValue="0">
        <cfvo type="percent" val="0"/>
        <cfvo type="num" val="0"/>
        <cfvo type="num" val="1"/>
      </iconSet>
    </cfRule>
  </conditionalFormatting>
  <conditionalFormatting sqref="D71">
    <cfRule type="iconSet" priority="11">
      <iconSet iconSet="3Symbols2" showValue="0">
        <cfvo type="percent" val="0"/>
        <cfvo type="num" val="0"/>
        <cfvo type="num" val="1"/>
      </iconSet>
    </cfRule>
  </conditionalFormatting>
  <conditionalFormatting sqref="D96">
    <cfRule type="iconSet" priority="12">
      <iconSet iconSet="3Symbols2" showValue="0">
        <cfvo type="percent" val="0"/>
        <cfvo type="num" val="0"/>
        <cfvo type="num" val="1"/>
      </iconSet>
    </cfRule>
    <cfRule type="iconSet" priority="13">
      <iconSet showValue="0">
        <cfvo type="percent" val="0"/>
        <cfvo type="num" val="0"/>
        <cfvo type="num" val="1"/>
      </iconSet>
    </cfRule>
  </conditionalFormatting>
  <conditionalFormatting sqref="D121">
    <cfRule type="iconSet" priority="14">
      <iconSet iconSet="3Symbols2" showValue="0">
        <cfvo type="percent" val="0"/>
        <cfvo type="num" val="0"/>
        <cfvo type="num" val="1"/>
      </iconSet>
    </cfRule>
  </conditionalFormatting>
  <conditionalFormatting sqref="D132">
    <cfRule type="iconSet" priority="15">
      <iconSet iconSet="3Symbols2" showValue="0">
        <cfvo type="percent" val="0"/>
        <cfvo type="num" val="0"/>
        <cfvo type="num" val="1"/>
      </iconSet>
    </cfRule>
  </conditionalFormatting>
  <hyperlinks>
    <hyperlink ref="E3" location="'Post Build'!C38" display="2. Execute DB SQL"/>
    <hyperlink ref="E15" location="'Post Build'!C38" display="2. Execute DB SQL"/>
  </hyperlinks>
  <pageMargins left="0.7" right="0.7" top="0.75" bottom="0.75" header="0.3" footer="0.3"/>
  <pageSetup orientation="portrait" r:id="rId1"/>
  <ignoredErrors>
    <ignoredError sqref="C10"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Automation!$F$111:$F$117</xm:f>
          </x14:formula1>
          <xm:sqref>C25 C37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79"/>
  <sheetViews>
    <sheetView zoomScaleNormal="100" workbookViewId="0">
      <selection activeCell="D10" sqref="D10:D48"/>
    </sheetView>
  </sheetViews>
  <sheetFormatPr defaultRowHeight="15"/>
  <cols>
    <col min="1" max="1" width="8.7109375" style="7"/>
    <col min="2" max="2" width="41.28515625" customWidth="1"/>
    <col min="3" max="3" width="176" customWidth="1"/>
    <col min="4" max="4" width="26" bestFit="1" customWidth="1"/>
    <col min="5" max="5" width="28.7109375" bestFit="1" customWidth="1"/>
    <col min="6" max="6" width="142.42578125" bestFit="1" customWidth="1"/>
  </cols>
  <sheetData>
    <row r="1" spans="1:4" ht="36">
      <c r="A1" s="663"/>
      <c r="B1" s="664" t="s">
        <v>129</v>
      </c>
      <c r="C1" s="665" t="s">
        <v>114</v>
      </c>
      <c r="D1" s="666" t="s">
        <v>113</v>
      </c>
    </row>
    <row r="2" spans="1:4" ht="15.6" customHeight="1">
      <c r="A2" s="68">
        <v>1</v>
      </c>
      <c r="B2" s="706" t="str">
        <f>"Complete Jenkins pipeline to the step 'Ready for post build stuff?' before continuing."</f>
        <v>Complete Jenkins pipeline to the step 'Ready for post build stuff?' before continuing.</v>
      </c>
      <c r="C2" s="447" t="str">
        <f>IF('Build Data'!B3="New Logo", "For all servers in all environments","For all servers in all environments")</f>
        <v>For all servers in all environments</v>
      </c>
      <c r="D2" s="50"/>
    </row>
    <row r="3" spans="1:4" ht="15.6" customHeight="1">
      <c r="A3" s="1075">
        <v>2</v>
      </c>
      <c r="B3" s="967" t="s">
        <v>131</v>
      </c>
      <c r="C3" s="968"/>
      <c r="D3" s="1062"/>
    </row>
    <row r="4" spans="1:4" ht="15.6" customHeight="1">
      <c r="A4" s="1076"/>
      <c r="B4" s="970" t="s">
        <v>132</v>
      </c>
      <c r="C4" s="974" t="e">
        <f ca="1">IF(OR('Build Data'!F7="FR",'Build Data'!F7="AU"),CONCAT(Automation!H8,Automation!H16,Automation!D26,Automation!F3),CONCAT(Automation!H9,Automation!H17,Automation!D26,Automation!F2))</f>
        <v>#NAME?</v>
      </c>
      <c r="D4" s="1063"/>
    </row>
    <row r="5" spans="1:4" ht="15.6" customHeight="1">
      <c r="A5" s="1076"/>
      <c r="B5" s="972" t="s">
        <v>133</v>
      </c>
      <c r="C5" s="974" t="e">
        <f ca="1">IF(OR('Build Data'!F7="FR",'Build Data'!F7="AU"),CONCAT(Automation!F3),CONCAT(Automation!F2))</f>
        <v>#NAME?</v>
      </c>
      <c r="D5" s="1063"/>
    </row>
    <row r="6" spans="1:4">
      <c r="A6" s="1076"/>
      <c r="B6" s="971" t="s">
        <v>134</v>
      </c>
      <c r="C6" s="974" t="e">
        <f ca="1">IF('Build Data'!F13=TRUE,Automation!H26,Automation!H25)</f>
        <v>#NAME?</v>
      </c>
      <c r="D6" s="1063"/>
    </row>
    <row r="7" spans="1:4">
      <c r="A7" s="1076"/>
      <c r="B7" s="971" t="s">
        <v>135</v>
      </c>
      <c r="C7" s="974" t="e">
        <f ca="1">IF(OR('Build Data'!F7="FR",'Build Data'!F7="AU"),CONCAT(Automation!D72,Automation!F41,Automation!D23,Automation!F42,Automation!D72,),CONCAT(Automation!H24))</f>
        <v>#NAME?</v>
      </c>
      <c r="D7" s="1063"/>
    </row>
    <row r="8" spans="1:4">
      <c r="A8" s="1076"/>
      <c r="B8" s="971" t="s">
        <v>802</v>
      </c>
      <c r="C8" s="974" t="str">
        <f>(Automation!E142)</f>
        <v>"Registry::HKEY_LOCAL_MACHINE\SOFTWARE\WOW6432Node\Microsoft\Windows\CurrentVersion\Uninstall\Planview IT MGUPD"</v>
      </c>
      <c r="D8" s="1063"/>
    </row>
    <row r="9" spans="1:4">
      <c r="A9" s="1077"/>
      <c r="B9" s="969" t="s">
        <v>803</v>
      </c>
      <c r="C9" s="974" t="str">
        <f>(Automation!E143)</f>
        <v>"DisplayName"</v>
      </c>
      <c r="D9" s="1064"/>
    </row>
    <row r="10" spans="1:4">
      <c r="A10" s="1059">
        <v>3</v>
      </c>
      <c r="B10" s="1080" t="str">
        <f>IF(AND('Build Data'!B3="New Logo",'Build Data'!F13="TRUE"),"","Organize AD OU's and Servers")</f>
        <v>Organize AD OU's and Servers</v>
      </c>
      <c r="C10" s="183" t="e">
        <f ca="1">CONCAT(Automation!C59,Automation!C58,Automation!D125,Automation!C34,Automation!D126,Automation!D123,'Build Data'!F9,Automation!D127,Automation!D124,Automation!D126)</f>
        <v>#NAME?</v>
      </c>
      <c r="D10" s="1062"/>
    </row>
    <row r="11" spans="1:4">
      <c r="A11" s="1060"/>
      <c r="B11" s="1081"/>
      <c r="C11" s="976" t="e">
        <f ca="1">CONCAT(Automation!C59,Automation!C58,Automation!D118,Automation!C34,Automation!D126,Automation!D123,'Build Data'!F9,Automation!D127,Automation!D124,Automation!D126)</f>
        <v>#NAME?</v>
      </c>
      <c r="D11" s="1063"/>
    </row>
    <row r="12" spans="1:4">
      <c r="A12" s="1060"/>
      <c r="B12" s="1081"/>
      <c r="C12" s="978" t="str">
        <f>IF('Build Data'!B3="New Logo","",IF('Build Data'!B3="Sandbox 2 Only","",IF('Build Data'!B3="Sandbox 3 Only","",IF(AND('Build Data'!B3="PreBuild",'Build Data'!B5&gt;=3),CONCAT(Automation!C59,Automation!C58,Automation!D119,Automation!C34,Automation!D126,Automation!D123,'Build Data'!F9,Automation!D127,Automation!D124,Automation!D126),""))))</f>
        <v/>
      </c>
      <c r="D12" s="1063"/>
    </row>
    <row r="13" spans="1:4">
      <c r="A13" s="1060"/>
      <c r="B13" s="1081"/>
      <c r="C13" s="977" t="str">
        <f>IF('Build Data'!B3="New Logo","",IF('Build Data'!B3="Sandbox 2 Only","",IF('Build Data'!B3="Sandbox 3 Only","",IF(AND('Build Data'!B3="PreBuild",'Build Data'!B5&gt;=4),CONCAT(Automation!C59,Automation!C58,Automation!D120,Automation!C34,Automation!D126,Automation!D123,'Build Data'!F9,Automation!D127,Automation!D124,Automation!D126),""))))</f>
        <v/>
      </c>
      <c r="D13" s="1063"/>
    </row>
    <row r="14" spans="1:4">
      <c r="A14" s="1060"/>
      <c r="B14" s="1081"/>
      <c r="C14" s="978" t="e">
        <f ca="1">CONCAT(Automation!B8,'Build Data'!I9,Automation!D15,Automation!D34,Automation!D15,Automation!C15,Automation!C16,Automation!D14,Automation!D123,Automation!D118,Automation!D127,Automation!D123,'Build Data'!F9,Automation!D127,Automation!D124,Automation!D126)</f>
        <v>#NAME?</v>
      </c>
      <c r="D14" s="1063"/>
    </row>
    <row r="15" spans="1:4">
      <c r="A15" s="1060"/>
      <c r="B15" s="1081"/>
      <c r="C15" s="978" t="e">
        <f ca="1">CONCAT(Automation!B8,'Build Data'!I10,Automation!D15,Automation!D34,Automation!D15,Automation!C15,Automation!C16,Automation!D14,Automation!D123,Automation!D118,Automation!D127,Automation!D123,'Build Data'!F9,Automation!D127,Automation!D124,Automation!D126)</f>
        <v>#NAME?</v>
      </c>
      <c r="D15" s="1063"/>
    </row>
    <row r="16" spans="1:4">
      <c r="A16" s="1060"/>
      <c r="B16" s="1081"/>
      <c r="C16" s="978" t="e">
        <f ca="1">CONCAT(Automation!B8,'Build Data'!I11,Automation!D15,Automation!D34,Automation!D15,Automation!C15,Automation!C16,Automation!D14,Automation!D123,Automation!D118,Automation!D127,Automation!D123,'Build Data'!F9,Automation!D127,Automation!D124,Automation!D126)</f>
        <v>#NAME?</v>
      </c>
      <c r="D16" s="1063"/>
    </row>
    <row r="17" spans="1:4">
      <c r="A17" s="1060"/>
      <c r="B17" s="1081"/>
      <c r="C17" s="978" t="e">
        <f ca="1">CONCAT(Automation!B8,'Build Data'!I12,Automation!D15,Automation!D34,Automation!D15,Automation!C15,Automation!C16,Automation!D14,Automation!D123,Automation!D118,Automation!D127,Automation!D123,'Build Data'!F9,Automation!D127,Automation!D124,Automation!D126)</f>
        <v>#NAME?</v>
      </c>
      <c r="D17" s="1063"/>
    </row>
    <row r="18" spans="1:4">
      <c r="A18" s="1060"/>
      <c r="B18" s="1081"/>
      <c r="C18" s="978" t="e">
        <f ca="1">IF('Build Data'!I13="N/A","",CONCAT(Automation!B8,'Build Data'!I13,Automation!D15,Automation!D34,Automation!D15,Automation!C15,Automation!C16,Automation!D14,Automation!D123,Automation!D118,Automation!D127,Automation!D123,'Build Data'!F9,Automation!D127,Automation!D124,Automation!D126))</f>
        <v>#NAME?</v>
      </c>
      <c r="D18" s="1063"/>
    </row>
    <row r="19" spans="1:4">
      <c r="A19" s="1060"/>
      <c r="B19" s="1081"/>
      <c r="C19" s="978" t="str">
        <f>IF('Build Data'!J10="","",CONCAT(Automation!B8,'Build Data'!J10,Automation!D15,Automation!D34,Automation!D15,Automation!C15,Automation!C16,Automation!D14,Automation!D123,Automation!D118,Automation!D127,Automation!D123,'Build Data'!F9,Automation!D127,Automation!D124,Automation!D126))</f>
        <v/>
      </c>
      <c r="D19" s="1063"/>
    </row>
    <row r="20" spans="1:4">
      <c r="A20" s="1060"/>
      <c r="B20" s="1081"/>
      <c r="C20" s="977" t="str">
        <f>IF('Build Data'!J11="","",CONCAT(Automation!B8,'Build Data'!J11,Automation!D15,Automation!D34,Automation!D15,Automation!C15,Automation!C16,Automation!D14,Automation!D123,Automation!D118,Automation!D127,Automation!D123,'Build Data'!F9,Automation!D127,Automation!D124,Automation!D126))</f>
        <v/>
      </c>
      <c r="D20" s="1063"/>
    </row>
    <row r="21" spans="1:4">
      <c r="A21" s="1060"/>
      <c r="B21" s="1081"/>
      <c r="C21" s="976" t="str">
        <f>IF('Build Data'!J12="","",CONCAT(Automation!B8,'Build Data'!J12,Automation!D15,Automation!D34,Automation!D15,Automation!C15,Automation!C16,Automation!D14,Automation!D123,Automation!D118,Automation!D127,Automation!D123,'Build Data'!F9,Automation!D127,Automation!D124,Automation!D126))</f>
        <v/>
      </c>
      <c r="D21" s="1063"/>
    </row>
    <row r="22" spans="1:4">
      <c r="A22" s="1060"/>
      <c r="B22" s="1081"/>
      <c r="C22" s="976" t="str">
        <f>IF('Build Data'!B3&lt;&gt;"PreBuild","",CONCAT(Automation!B8,'Build Data'!I3,Automation!D15,Automation!D34,Automation!D15,Automation!C15,Automation!C16,Automation!D14,Automation!D123,Automation!D125,Automation!D127,Automation!D123,'Build Data'!F9,Automation!D127,Automation!D124,Automation!D126))</f>
        <v/>
      </c>
      <c r="D22" s="1063"/>
    </row>
    <row r="23" spans="1:4">
      <c r="A23" s="1060"/>
      <c r="B23" s="1081"/>
      <c r="C23" s="976" t="str">
        <f>IF('Build Data'!B3&lt;&gt;"PreBuild","",CONCAT(Automation!B8,'Build Data'!I4,Automation!D15,Automation!D34,Automation!D15,Automation!C15,Automation!C16,Automation!D14,Automation!D123,Automation!D125,Automation!D127,Automation!D123,'Build Data'!F9,Automation!D127,Automation!D124,Automation!D126))</f>
        <v/>
      </c>
      <c r="D23" s="1063"/>
    </row>
    <row r="24" spans="1:4">
      <c r="A24" s="1060"/>
      <c r="B24" s="1081"/>
      <c r="C24" s="978" t="str">
        <f>IF('Build Data'!B3&lt;&gt;"PreBuild","",CONCAT(Automation!B8,'Build Data'!I5,Automation!D15,Automation!D34,Automation!D15,Automation!C15,Automation!C16,Automation!D14,Automation!D123,Automation!D125,Automation!D127,Automation!D123,'Build Data'!F9,Automation!D127,Automation!D124,Automation!D126))</f>
        <v/>
      </c>
      <c r="D24" s="1063"/>
    </row>
    <row r="25" spans="1:4">
      <c r="A25" s="1060"/>
      <c r="B25" s="1081"/>
      <c r="C25" s="977" t="str">
        <f>IF('Build Data'!B3&lt;&gt;"PreBuild","",CONCAT(Automation!B8,'Build Data'!I6,Automation!D15,Automation!D34,Automation!D15,Automation!C15,Automation!C16,Automation!D14,Automation!D123,Automation!D125,Automation!D127,Automation!D123,'Build Data'!F9,Automation!D127,Automation!D124,Automation!D126))</f>
        <v/>
      </c>
      <c r="D25" s="1063"/>
    </row>
    <row r="26" spans="1:4">
      <c r="A26" s="1060"/>
      <c r="B26" s="1081"/>
      <c r="C26" s="978" t="str">
        <f>IF('Build Data'!B3&lt;&gt;"PreBuild","",IF('Build Data'!I7="N/A","",CONCAT(Automation!B8,'Build Data'!I7,Automation!D15,Automation!D34,Automation!D15,Automation!C15,Automation!C16,Automation!D14,Automation!D123,Automation!D125,Automation!D127,Automation!D123,'Build Data'!F9,Automation!D127,Automation!D124,Automation!D126)))</f>
        <v/>
      </c>
      <c r="D26" s="1063"/>
    </row>
    <row r="27" spans="1:4">
      <c r="A27" s="1060"/>
      <c r="B27" s="1081"/>
      <c r="C27" s="978" t="str">
        <f>IF('Build Data'!J4="","",IF('Build Data'!B3&lt;&gt;"PreBuild","",CONCAT(Automation!B8,'Build Data'!J4,Automation!D15,Automation!D34,Automation!D15,Automation!C15,Automation!C16,Automation!D14,Automation!D123,Automation!D125,Automation!D127,Automation!D123,'Build Data'!F9,Automation!D127,Automation!D124,Automation!D126)))</f>
        <v/>
      </c>
      <c r="D27" s="1063"/>
    </row>
    <row r="28" spans="1:4">
      <c r="A28" s="1060"/>
      <c r="B28" s="1081"/>
      <c r="C28" s="977" t="str">
        <f>IF('Build Data'!J5="","",IF('Build Data'!B3&lt;&gt;"PreBuild","",IF('Build Data'!F13=TRUE,CONCAT(Automation!B8,'Build Data'!J5,Automation!D15,Automation!D34,Automation!D15,Automation!C15,Automation!C16,Automation!D14,Automation!D123,Automation!D125,Automation!D127,Automation!D123,'Build Data'!F9,Automation!D127,Automation!D124,Automation!D126),"")))</f>
        <v/>
      </c>
      <c r="D28" s="1063"/>
    </row>
    <row r="29" spans="1:4">
      <c r="A29" s="1060"/>
      <c r="B29" s="1081"/>
      <c r="C29" s="976" t="str">
        <f>IF('Build Data'!J6="","",IF('Build Data'!B3&lt;&gt;"PreBuild","",IF('Build Data'!F13=TRUE,CONCAT(Automation!B8,'Build Data'!J6,Automation!D15,Automation!D34,Automation!D15,Automation!C15,Automation!C16,Automation!D14,Automation!D123,Automation!D125,Automation!D127,Automation!D123,'Build Data'!F9,Automation!D127,Automation!D124,Automation!D126),"")))</f>
        <v/>
      </c>
      <c r="D29" s="1063"/>
    </row>
    <row r="30" spans="1:4">
      <c r="A30" s="1060"/>
      <c r="B30" s="1081"/>
      <c r="C30" s="978"/>
      <c r="D30" s="1063"/>
    </row>
    <row r="31" spans="1:4">
      <c r="A31" s="1060"/>
      <c r="B31" s="1081"/>
      <c r="C31" s="977"/>
      <c r="D31" s="1063"/>
    </row>
    <row r="32" spans="1:4">
      <c r="A32" s="1060"/>
      <c r="B32" s="1081"/>
      <c r="C32" s="976"/>
      <c r="D32" s="1063"/>
    </row>
    <row r="33" spans="1:4">
      <c r="A33" s="1060"/>
      <c r="B33" s="1081"/>
      <c r="C33" s="976"/>
      <c r="D33" s="1063"/>
    </row>
    <row r="34" spans="1:4">
      <c r="A34" s="1060"/>
      <c r="B34" s="1081"/>
      <c r="C34" s="978"/>
      <c r="D34" s="1063"/>
    </row>
    <row r="35" spans="1:4">
      <c r="A35" s="1060"/>
      <c r="B35" s="1081"/>
      <c r="C35" s="977"/>
      <c r="D35" s="1063"/>
    </row>
    <row r="36" spans="1:4">
      <c r="A36" s="1060"/>
      <c r="B36" s="1081"/>
      <c r="C36" s="978"/>
      <c r="D36" s="1063"/>
    </row>
    <row r="37" spans="1:4">
      <c r="A37" s="1060"/>
      <c r="B37" s="1081"/>
      <c r="C37" s="978"/>
      <c r="D37" s="1063"/>
    </row>
    <row r="38" spans="1:4">
      <c r="A38" s="1060"/>
      <c r="B38" s="1081"/>
      <c r="C38" s="978"/>
      <c r="D38" s="1063"/>
    </row>
    <row r="39" spans="1:4">
      <c r="A39" s="1060"/>
      <c r="B39" s="1081"/>
      <c r="C39" s="978"/>
      <c r="D39" s="1063"/>
    </row>
    <row r="40" spans="1:4">
      <c r="A40" s="1060"/>
      <c r="B40" s="1081"/>
      <c r="C40" s="978"/>
      <c r="D40" s="1063"/>
    </row>
    <row r="41" spans="1:4">
      <c r="A41" s="1060"/>
      <c r="B41" s="1081"/>
      <c r="C41" s="977"/>
      <c r="D41" s="1063"/>
    </row>
    <row r="42" spans="1:4">
      <c r="A42" s="1060"/>
      <c r="B42" s="1081"/>
      <c r="C42" s="976"/>
      <c r="D42" s="1063"/>
    </row>
    <row r="43" spans="1:4">
      <c r="A43" s="1060"/>
      <c r="B43" s="1081"/>
      <c r="C43" s="976"/>
      <c r="D43" s="1063"/>
    </row>
    <row r="44" spans="1:4">
      <c r="A44" s="1060"/>
      <c r="B44" s="1081"/>
      <c r="C44" s="976"/>
      <c r="D44" s="1063"/>
    </row>
    <row r="45" spans="1:4">
      <c r="A45" s="1060"/>
      <c r="B45" s="1081"/>
      <c r="C45" s="976"/>
      <c r="D45" s="1063"/>
    </row>
    <row r="46" spans="1:4">
      <c r="A46" s="1060"/>
      <c r="B46" s="1081"/>
      <c r="C46" s="976"/>
      <c r="D46" s="1063"/>
    </row>
    <row r="47" spans="1:4">
      <c r="A47" s="1060"/>
      <c r="B47" s="1081"/>
      <c r="C47" s="978"/>
      <c r="D47" s="1063"/>
    </row>
    <row r="48" spans="1:4">
      <c r="A48" s="1061"/>
      <c r="B48" s="1082"/>
      <c r="C48" s="977"/>
      <c r="D48" s="1064"/>
    </row>
    <row r="49" spans="1:4">
      <c r="A49" s="1075">
        <v>4</v>
      </c>
      <c r="B49" s="967" t="s">
        <v>136</v>
      </c>
      <c r="C49" s="985" t="str">
        <f>IF('Build Data'!F8="","",IF(AND('Build Data'!F13=TRUE,'Build Data'!F7="au"),CONCAT(AutoPop!B510,'Build Data'!F8,AutoPop!C509),IF(AND('Build Data'!F13=TRUE,'Build Data'!F7="fr"),CONCAT(AutoPop!B511,'Build Data'!F8,AutoPop!C509),IF('Build Data'!F7="sg",CONCAT(AutoPop!B508,'Build Data'!F8,AutoPop!C508),CONCAT(AutoPop!B509,'Build Data'!F8,AutoPop!C508)))))</f>
        <v/>
      </c>
      <c r="D49" s="1062"/>
    </row>
    <row r="50" spans="1:4">
      <c r="A50" s="1076"/>
      <c r="B50" s="970" t="s">
        <v>137</v>
      </c>
      <c r="C50" s="986" t="e">
        <f ca="1">CONCAT(Automation!D24,Automation!D24,Automation!B21,Automation!C34,Automation!D105,Automation!D109,Automation!D107,Automation!C60,Automation!D25,Automation!C61,Automation!D15,Automation!D72,Automation!D128,Automation!D23,'Build Data'!F8,Automation!D72,Automation!D25,Automation!D15,Automation!D34,Automation!D15,Automation!B22,Automation!C34,Automation!D105,Automation!D109,Automation!D107,Automation!C4)</f>
        <v>#NAME?</v>
      </c>
      <c r="D50" s="1063"/>
    </row>
    <row r="51" spans="1:4">
      <c r="A51" s="1076"/>
      <c r="B51" s="981"/>
      <c r="C51" s="984" t="str">
        <f>IF('Build Data'!F7="","",IF('Build Data'!F7="fr",CONCAT(Automation!B18,Automation!D105,Automation!D109,Automation!D107,Automation!D15,Automation!D9,Automation!F44,Automation!D10,Automation!D108,Automation!D109,Automation!D110),IF('Build Data'!F7="au",CONCAT(Automation!B18,Automation!D105,Automation!D109,Automation!D107,Automation!D15,Automation!D9,Automation!F46,Automation!D10,Automation!D108,Automation!D109,Automation!D110),"")))</f>
        <v/>
      </c>
      <c r="D51" s="1063"/>
    </row>
    <row r="52" spans="1:4">
      <c r="A52" s="1076"/>
      <c r="B52" s="983"/>
      <c r="C52" s="987" t="str">
        <f>IF('Build Data'!F7="","",IF('Build Data'!F7="fr",CONCAT(Automation!B18,Automation!D105,Automation!D109,Automation!D107,Automation!D15,Automation!D9,Automation!F43,Automation!D10,Automation!D108,Automation!D109,Automation!D110),IF('Build Data'!F7="au",CONCAT(Automation!B18,Automation!D105,Automation!D109,Automation!D107,Automation!D15,Automation!D9,Automation!F45,Automation!D10,Automation!D108,Automation!D109,Automation!D110),"")))</f>
        <v/>
      </c>
      <c r="D52" s="1063"/>
    </row>
    <row r="53" spans="1:4">
      <c r="A53" s="1076"/>
      <c r="B53" s="983"/>
      <c r="C53" s="987" t="e">
        <f ca="1">CONCAT(Automation!D24,Automation!D24,Automation!B21,Automation!C34,Automation!D105,Automation!D109,Automation!D107,Automation!C60,Automation!D25,Automation!C61,Automation!D15,Automation!D72,'Build Data'!F8,Automation!D23,Automation!D128,Automation!D72,Automation!D25,Automation!D15,Automation!D34,Automation!D15,Automation!B22,Automation!C34,Automation!D105,Automation!D109,Automation!D107,Automation!C4)</f>
        <v>#NAME?</v>
      </c>
      <c r="D53" s="1063"/>
    </row>
    <row r="54" spans="1:4">
      <c r="A54" s="1076"/>
      <c r="B54" s="982"/>
      <c r="C54" s="987" t="s">
        <v>138</v>
      </c>
      <c r="D54" s="1063"/>
    </row>
    <row r="55" spans="1:4">
      <c r="A55" s="1077"/>
      <c r="B55" s="980"/>
      <c r="C55" s="973"/>
      <c r="D55" s="1064"/>
    </row>
    <row r="56" spans="1:4">
      <c r="A56" s="1059">
        <v>5</v>
      </c>
      <c r="B56" s="1080" t="str">
        <f>IF('Build Data'!B3="PreBuild", "PreBuild","Run SQL Script")</f>
        <v>Run SQL Script</v>
      </c>
      <c r="C56" s="467" t="e">
        <f ca="1">IF('Build Data'!B3="New Logo","",IF(OR('Build Data'!B76="Yes",'Build Data'!F13=TRUE),"",CONCAT(Automation!B16,'Build Data'!I4)))</f>
        <v>#NAME?</v>
      </c>
      <c r="D56" s="1062"/>
    </row>
    <row r="57" spans="1:4">
      <c r="A57" s="1060"/>
      <c r="B57" s="1081"/>
      <c r="C57" s="342" t="e">
        <f ca="1">IF('Build Data'!B3="New Logo","",IF(OR('Build Data'!B76="Yes",'Build Data'!F13=TRUE),"",CONCAT(Automation!B19,Automation!C38,'Build Data'!I17,Automation!C37,'Build Data'!I18,Automation!C39,'Build Data'!I4,Automation!C40,'Build Data'!I5,Automation!C41,'Build Data'!I28,Automation!C42,'Build Data'!I28,Automation!C57,Automation!C4)))</f>
        <v>#NAME?</v>
      </c>
      <c r="D57" s="1063"/>
    </row>
    <row r="58" spans="1:4">
      <c r="A58" s="1060"/>
      <c r="B58" s="1081"/>
      <c r="C58" s="104" t="str">
        <f>IF('Build Data'!B3="New Logo","",IF(OR('Build Data'!B76="Yes",'Build Data'!F13=TRUE),"#AWS or Encryption Enabled",""))</f>
        <v/>
      </c>
      <c r="D58" s="1063"/>
    </row>
    <row r="59" spans="1:4">
      <c r="A59" s="1060"/>
      <c r="B59" s="1081"/>
      <c r="C59" s="377" t="str">
        <f>IF('Build Data'!B3="New Logo","",IF(OR('Build Data'!B76="Yes",'Build Data'!F13=TRUE),CONCAT(Automation!B3,Automation!C23,Automation!D144,Automation!D15,Automation!C24,Automation!D129),""))</f>
        <v/>
      </c>
      <c r="D59" s="1063"/>
    </row>
    <row r="60" spans="1:4">
      <c r="A60" s="1060"/>
      <c r="B60" s="1081"/>
      <c r="C60" s="377" t="str">
        <f>IF('Build Data'!B3="New Logo","",IF(OR('Build Data'!B76="Yes",'Build Data'!F13=TRUE),CONCAT(Automation!C53,Automation!F42,Automation!C54,AutoPop!A5,Automation!C55,Automation!F42,Automation!D130,AutoPop!A5,Automation!D132,Automation!D79),""))</f>
        <v/>
      </c>
      <c r="D60" s="1063"/>
    </row>
    <row r="61" spans="1:4">
      <c r="A61" s="1060"/>
      <c r="B61" s="1081"/>
      <c r="C61" s="342" t="str">
        <f>IF('Build Data'!B3="New Logo","",IF(OR('Build Data'!B76="Yes",'Build Data'!F13=TRUE),CONCAT(Automation!C53,Automation!F41,Automation!C54,'Build Data'!I28,Automation!C55,Automation!F41,Automation!D130,'Build Data'!I28,Automation!D132,Automation!D79),""))</f>
        <v/>
      </c>
      <c r="D61" s="1063"/>
    </row>
    <row r="62" spans="1:4">
      <c r="A62" s="1060"/>
      <c r="B62" s="1081"/>
      <c r="C62" s="342" t="str">
        <f>IF('Build Data'!B3="New Logo","",IF(OR('Build Data'!B76="Yes",'Build Data'!F13=TRUE),CONCAT(Automation!B15,Automation!C9,Automation!D96,Automation!C10,Automation!F41,Automation!C54,Automation!D80,Automation!C56,Automation!D14,Automation!D81,'Build Data'!I28),""))</f>
        <v/>
      </c>
      <c r="D62" s="1063"/>
    </row>
    <row r="63" spans="1:4">
      <c r="A63" s="1060"/>
      <c r="B63" s="1081"/>
      <c r="C63" s="342" t="str">
        <f>IF('Build Data'!B3="New Logo","",IF(OR('Build Data'!B76="Yes",'Build Data'!F13=TRUE),CONCAT(Automation!D82),""))</f>
        <v/>
      </c>
      <c r="D63" s="1063"/>
    </row>
    <row r="64" spans="1:4">
      <c r="A64" s="1060"/>
      <c r="B64" s="1081"/>
      <c r="C64" s="342" t="str">
        <f>IF('Build Data'!B3="New Logo","",IF(OR('Build Data'!B76="Yes",'Build Data'!F13=TRUE),CONCAT(Automation!D83,'Build Data'!I28),""))</f>
        <v/>
      </c>
      <c r="D64" s="1063"/>
    </row>
    <row r="65" spans="1:4">
      <c r="A65" s="1060"/>
      <c r="B65" s="1081"/>
      <c r="C65" s="342" t="str">
        <f>IF('Build Data'!B3="New Logo","",IF(OR('Build Data'!B76="Yes",'Build Data'!F13=TRUE),CONCAT(Automation!D84,'Build Data'!I28),""))</f>
        <v/>
      </c>
      <c r="D65" s="1063"/>
    </row>
    <row r="66" spans="1:4">
      <c r="A66" s="1060"/>
      <c r="B66" s="1081"/>
      <c r="C66" s="342" t="str">
        <f>IF('Build Data'!B3="New Logo","",IF(OR('Build Data'!B76="Yes",'Build Data'!F13=TRUE),CONCAT(Automation!D85,'Build Data'!I28,Automation!D90),""))</f>
        <v/>
      </c>
      <c r="D66" s="1063"/>
    </row>
    <row r="67" spans="1:4">
      <c r="A67" s="1060"/>
      <c r="B67" s="1081"/>
      <c r="C67" s="104" t="str">
        <f>IF('Build Data'!B3="New Logo","",IF(OR('Build Data'!B76="Yes",'Build Data'!F13=TRUE),CONCAT(Automation!D86,'Build Data'!F16,Automation!D87),""))</f>
        <v/>
      </c>
      <c r="D67" s="1063"/>
    </row>
    <row r="68" spans="1:4">
      <c r="A68" s="1060"/>
      <c r="B68" s="1081"/>
      <c r="C68" s="342" t="str">
        <f>IF('Build Data'!B3="New Logo","",IF(OR('Build Data'!B76="Yes",'Build Data'!F13=TRUE),CONCAT(Automation!D88,'Build Data'!F16,Automation!D89),""))</f>
        <v/>
      </c>
      <c r="D68" s="1063"/>
    </row>
    <row r="69" spans="1:4">
      <c r="A69" s="1060"/>
      <c r="B69" s="1081"/>
      <c r="C69" s="104"/>
      <c r="D69" s="1063"/>
    </row>
    <row r="70" spans="1:4">
      <c r="A70" s="1060"/>
      <c r="B70" s="1081"/>
      <c r="C70" s="342" t="str">
        <f>"USE " &amp;AutoPop!A3</f>
        <v>USE PROD</v>
      </c>
      <c r="D70" s="1063"/>
    </row>
    <row r="71" spans="1:4">
      <c r="A71" s="1060"/>
      <c r="B71" s="1081"/>
      <c r="C71" s="104" t="str">
        <f>(Automation!D303)</f>
        <v>exec sp_change_users_login 'Auto_fix', 'pv_report_user';</v>
      </c>
      <c r="D71" s="1063"/>
    </row>
    <row r="72" spans="1:4">
      <c r="A72" s="1060"/>
      <c r="B72" s="1081"/>
      <c r="C72" s="342" t="str">
        <f>(Automation!D304)</f>
        <v>exec sp_change_users_login 'Auto_fix', 'ip';</v>
      </c>
      <c r="D72" s="1063"/>
    </row>
    <row r="73" spans="1:4">
      <c r="A73" s="1060"/>
      <c r="B73" s="1081"/>
      <c r="C73" s="104" t="e">
        <f ca="1">CONCAT(Automation!D305)</f>
        <v>#NAME?</v>
      </c>
      <c r="D73" s="1063"/>
    </row>
    <row r="74" spans="1:4">
      <c r="A74" s="1060"/>
      <c r="B74" s="1081"/>
      <c r="C74" s="342" t="e">
        <f ca="1">CONCAT(Automation!D306,'Build Data'!F12,Automation!E306)</f>
        <v>#NAME?</v>
      </c>
      <c r="D74" s="1063"/>
    </row>
    <row r="75" spans="1:4">
      <c r="A75" s="1060"/>
      <c r="B75" s="1081"/>
      <c r="C75" s="104" t="str">
        <f>(Automation!D307)</f>
        <v>UPDATE ip.tile SET URL = REPLACE(URL, Left(URL, CHARINDEX('/PowerBI', URL) - 1), '') WHERE tile_type = 'PBIX' AND URL NOT LIKE '/PowerBI%';</v>
      </c>
      <c r="D75" s="1063"/>
    </row>
    <row r="76" spans="1:4">
      <c r="A76" s="1060"/>
      <c r="B76" s="1081"/>
      <c r="C76" s="377" t="str">
        <f>(Automation!D308)</f>
        <v>UPDATE ip.tile SET URL = REPLACE(URL, Left(URL, CHARINDEX('/Reports', URL) - 1), '') WHERE tile_type = 'REPORT' AND URL NOT LIKE '/Reports%';</v>
      </c>
      <c r="D76" s="1063"/>
    </row>
    <row r="77" spans="1:4">
      <c r="A77" s="1060"/>
      <c r="B77" s="1081"/>
      <c r="C77" s="342" t="str">
        <f>(Automation!D309)</f>
        <v>Update ip.global_options set option_value = 'Y' where option_id = '2245';</v>
      </c>
      <c r="D77" s="1063"/>
    </row>
    <row r="78" spans="1:4">
      <c r="A78" s="1060"/>
      <c r="B78" s="1081"/>
      <c r="C78" s="104" t="str">
        <f>(Automation!D310)</f>
        <v>update ip.global_options set option_value = 'N' where option_id = '7700';</v>
      </c>
      <c r="D78" s="1063"/>
    </row>
    <row r="79" spans="1:4">
      <c r="A79" s="1060"/>
      <c r="B79" s="1081"/>
      <c r="C79" s="377" t="str">
        <f>(Automation!D311)</f>
        <v>Update ip.global_options set option_value = '/ng/ctm' where option_id = '2242';</v>
      </c>
      <c r="D79" s="1063"/>
    </row>
    <row r="80" spans="1:4">
      <c r="A80" s="1060"/>
      <c r="B80" s="1081"/>
      <c r="C80" s="377" t="str">
        <f>(Automation!D312)</f>
        <v>--delete from ip.jobq_fired_triggers</v>
      </c>
      <c r="D80" s="1063"/>
    </row>
    <row r="81" spans="1:4">
      <c r="A81" s="1060"/>
      <c r="B81" s="1081"/>
      <c r="C81" s="377" t="str">
        <f>(Automation!D313)</f>
        <v>--delete from ip.jobq_paused_trigger_grps;</v>
      </c>
      <c r="D81" s="1063"/>
    </row>
    <row r="82" spans="1:4">
      <c r="A82" s="1060"/>
      <c r="B82" s="1081"/>
      <c r="C82" s="342" t="str">
        <f>(Automation!D314)</f>
        <v>--delete from ip.jobq_scheduler_state;</v>
      </c>
      <c r="D82" s="1063"/>
    </row>
    <row r="83" spans="1:4">
      <c r="A83" s="1060"/>
      <c r="B83" s="1081"/>
      <c r="C83" s="342" t="str">
        <f>(Automation!D315)</f>
        <v>--delete from ip.jobq_locks;</v>
      </c>
      <c r="D83" s="1063"/>
    </row>
    <row r="84" spans="1:4">
      <c r="A84" s="1060"/>
      <c r="B84" s="1081"/>
      <c r="C84" s="104" t="str">
        <f>(Automation!D316)</f>
        <v>--delete from ip.jobq_simple_triggers;</v>
      </c>
      <c r="D84" s="1063"/>
    </row>
    <row r="85" spans="1:4">
      <c r="A85" s="1060"/>
      <c r="B85" s="1081"/>
      <c r="C85" s="377" t="str">
        <f>(Automation!D317)</f>
        <v>--delete from ip.jobq_simprop_triggers;</v>
      </c>
      <c r="D85" s="1063"/>
    </row>
    <row r="86" spans="1:4">
      <c r="A86" s="1060"/>
      <c r="B86" s="1081"/>
      <c r="C86" s="377" t="str">
        <f>(Automation!D318)</f>
        <v>--delete from ip.jobq_blob_triggers;</v>
      </c>
      <c r="D86" s="1063"/>
    </row>
    <row r="87" spans="1:4">
      <c r="A87" s="1060"/>
      <c r="B87" s="1081"/>
      <c r="C87" s="342" t="str">
        <f>(Automation!D319)</f>
        <v>--delete from ip.jobq_cron_triggers;</v>
      </c>
      <c r="D87" s="1063"/>
    </row>
    <row r="88" spans="1:4">
      <c r="A88" s="1060"/>
      <c r="B88" s="1081"/>
      <c r="C88" s="104" t="str">
        <f>(Automation!D320)</f>
        <v>--delete from ip.jobq_triggers;</v>
      </c>
      <c r="D88" s="1063"/>
    </row>
    <row r="89" spans="1:4">
      <c r="A89" s="1060"/>
      <c r="B89" s="1081"/>
      <c r="C89" s="377" t="str">
        <f>(Automation!D321)</f>
        <v>--delete from ip.jobq_job_details;</v>
      </c>
      <c r="D89" s="1063"/>
    </row>
    <row r="90" spans="1:4">
      <c r="A90" s="1060"/>
      <c r="B90" s="1081"/>
      <c r="C90" s="342" t="str">
        <f>(Automation!D322)</f>
        <v>--delete from ip.jobq_calendars;</v>
      </c>
      <c r="D90" s="1063"/>
    </row>
    <row r="91" spans="1:4">
      <c r="A91" s="1060"/>
      <c r="B91" s="1081"/>
      <c r="C91" s="104" t="str">
        <f>(Automation!D323)</f>
        <v>--delete from ip.job_stream_schedule;</v>
      </c>
      <c r="D91" s="1063"/>
    </row>
    <row r="92" spans="1:4">
      <c r="A92" s="1060"/>
      <c r="B92" s="1081"/>
      <c r="C92" s="342" t="str">
        <f>(Automation!D324)</f>
        <v>--delete from ip.pv_process_log where logger='Admin.JobStream';</v>
      </c>
      <c r="D92" s="1063"/>
    </row>
    <row r="93" spans="1:4">
      <c r="A93" s="1060"/>
      <c r="B93" s="1081"/>
      <c r="C93" s="104" t="str">
        <f>(Automation!D325)</f>
        <v>--exec('update ip.planning_entity set [pp_sync] = ''PP`$SyncNo'' where pp_sync in (''PP`$SyncPP'',''PP`$SyncPVE'') ')</v>
      </c>
      <c r="D93" s="1063"/>
    </row>
    <row r="94" spans="1:4">
      <c r="A94" s="1060"/>
      <c r="B94" s="1081"/>
      <c r="C94" s="342"/>
      <c r="D94" s="1063"/>
    </row>
    <row r="95" spans="1:4">
      <c r="A95" s="1060"/>
      <c r="B95" s="1081"/>
      <c r="C95" s="104" t="str">
        <f>"USE " &amp;AutoPop!A4</f>
        <v>USE CONFIG</v>
      </c>
      <c r="D95" s="1063"/>
    </row>
    <row r="96" spans="1:4">
      <c r="A96" s="1060"/>
      <c r="B96" s="1081"/>
      <c r="C96" s="377" t="str">
        <f>(Automation!D303)</f>
        <v>exec sp_change_users_login 'Auto_fix', 'pv_report_user';</v>
      </c>
      <c r="D96" s="1063"/>
    </row>
    <row r="97" spans="1:4">
      <c r="A97" s="1060"/>
      <c r="B97" s="1081"/>
      <c r="C97" s="342" t="str">
        <f>(Automation!D304)</f>
        <v>exec sp_change_users_login 'Auto_fix', 'ip';</v>
      </c>
      <c r="D97" s="1063"/>
    </row>
    <row r="98" spans="1:4">
      <c r="A98" s="1060"/>
      <c r="B98" s="1081"/>
      <c r="C98" s="342" t="str">
        <f>(Automation!D305)</f>
        <v>exec sp_change_users_login 'Auto_fix', 'ro';</v>
      </c>
      <c r="D98" s="1063"/>
    </row>
    <row r="99" spans="1:4">
      <c r="A99" s="1060"/>
      <c r="B99" s="1081"/>
      <c r="C99" s="104" t="e">
        <f ca="1">(C74)</f>
        <v>#NAME?</v>
      </c>
      <c r="D99" s="1063"/>
    </row>
    <row r="100" spans="1:4">
      <c r="A100" s="1060"/>
      <c r="B100" s="1081"/>
      <c r="C100" s="342"/>
      <c r="D100" s="1063"/>
    </row>
    <row r="101" spans="1:4">
      <c r="A101" s="1060"/>
      <c r="B101" s="1081"/>
      <c r="C101" s="342" t="str">
        <f>"USE " &amp;AutoPop!A5</f>
        <v>USE SANDBOX1</v>
      </c>
      <c r="D101" s="1063"/>
    </row>
    <row r="102" spans="1:4">
      <c r="A102" s="1060"/>
      <c r="B102" s="1081"/>
      <c r="C102" s="104" t="str">
        <f>(Automation!D303)</f>
        <v>exec sp_change_users_login 'Auto_fix', 'pv_report_user';</v>
      </c>
      <c r="D102" s="1063"/>
    </row>
    <row r="103" spans="1:4">
      <c r="A103" s="1060"/>
      <c r="B103" s="1081"/>
      <c r="C103" s="342" t="str">
        <f>(Automation!D304)</f>
        <v>exec sp_change_users_login 'Auto_fix', 'ip';</v>
      </c>
      <c r="D103" s="1063"/>
    </row>
    <row r="104" spans="1:4">
      <c r="A104" s="1060"/>
      <c r="B104" s="1081"/>
      <c r="C104" s="104" t="str">
        <f>(Automation!D305)</f>
        <v>exec sp_change_users_login 'Auto_fix', 'ro';</v>
      </c>
      <c r="D104" s="1063"/>
    </row>
    <row r="105" spans="1:4">
      <c r="A105" s="1060"/>
      <c r="B105" s="1081"/>
      <c r="C105" s="377" t="e">
        <f ca="1">(C74)</f>
        <v>#NAME?</v>
      </c>
      <c r="D105" s="1063"/>
    </row>
    <row r="106" spans="1:4">
      <c r="A106" s="1060"/>
      <c r="B106" s="1081"/>
      <c r="C106" s="377" t="str">
        <f>(C78)</f>
        <v>update ip.global_options set option_value = 'N' where option_id = '7700';</v>
      </c>
      <c r="D106" s="1063"/>
    </row>
    <row r="107" spans="1:4">
      <c r="A107" s="1060"/>
      <c r="B107" s="1081"/>
      <c r="C107" s="342"/>
      <c r="D107" s="1063"/>
    </row>
    <row r="108" spans="1:4">
      <c r="A108" s="1060"/>
      <c r="B108" s="1081"/>
      <c r="C108" s="342" t="str">
        <f>"USE " &amp;AutoPop!A6</f>
        <v>USE SANDBOX2</v>
      </c>
      <c r="D108" s="1063"/>
    </row>
    <row r="109" spans="1:4">
      <c r="A109" s="1060"/>
      <c r="B109" s="1081"/>
      <c r="C109" s="342" t="str">
        <f>(Automation!D303)</f>
        <v>exec sp_change_users_login 'Auto_fix', 'pv_report_user';</v>
      </c>
      <c r="D109" s="1063"/>
    </row>
    <row r="110" spans="1:4">
      <c r="A110" s="1060"/>
      <c r="B110" s="1081"/>
      <c r="C110" s="342" t="str">
        <f>(Automation!D304)</f>
        <v>exec sp_change_users_login 'Auto_fix', 'ip';</v>
      </c>
      <c r="D110" s="1063"/>
    </row>
    <row r="111" spans="1:4">
      <c r="A111" s="1060"/>
      <c r="B111" s="1081"/>
      <c r="C111" s="342" t="str">
        <f>(Automation!D305)</f>
        <v>exec sp_change_users_login 'Auto_fix', 'ro';</v>
      </c>
      <c r="D111" s="1063"/>
    </row>
    <row r="112" spans="1:4">
      <c r="A112" s="1060"/>
      <c r="B112" s="1081"/>
      <c r="C112" s="104" t="e">
        <f ca="1">(C74)</f>
        <v>#NAME?</v>
      </c>
      <c r="D112" s="1063"/>
    </row>
    <row r="113" spans="1:4">
      <c r="A113" s="1060"/>
      <c r="B113" s="1081"/>
      <c r="C113" s="377" t="str">
        <f>(C78)</f>
        <v>update ip.global_options set option_value = 'N' where option_id = '7700';</v>
      </c>
      <c r="D113" s="1063"/>
    </row>
    <row r="114" spans="1:4">
      <c r="A114" s="1060"/>
      <c r="B114" s="1081"/>
      <c r="C114" s="377"/>
      <c r="D114" s="1063"/>
    </row>
    <row r="115" spans="1:4">
      <c r="A115" s="1060"/>
      <c r="B115" s="1081"/>
      <c r="C115" s="377" t="str">
        <f>"USE " &amp;AutoPop!A7</f>
        <v>USE SANDBOX3</v>
      </c>
      <c r="D115" s="1063"/>
    </row>
    <row r="116" spans="1:4">
      <c r="A116" s="1060"/>
      <c r="B116" s="1081"/>
      <c r="C116" s="377" t="str">
        <f>(Automation!D303)</f>
        <v>exec sp_change_users_login 'Auto_fix', 'pv_report_user';</v>
      </c>
      <c r="D116" s="1063"/>
    </row>
    <row r="117" spans="1:4">
      <c r="A117" s="1060"/>
      <c r="B117" s="1081"/>
      <c r="C117" s="377" t="str">
        <f>(Automation!D304)</f>
        <v>exec sp_change_users_login 'Auto_fix', 'ip';</v>
      </c>
      <c r="D117" s="1063"/>
    </row>
    <row r="118" spans="1:4">
      <c r="A118" s="1060"/>
      <c r="B118" s="1081"/>
      <c r="C118" s="342" t="str">
        <f>(Automation!D305)</f>
        <v>exec sp_change_users_login 'Auto_fix', 'ro';</v>
      </c>
      <c r="D118" s="1063"/>
    </row>
    <row r="119" spans="1:4">
      <c r="A119" s="1060"/>
      <c r="B119" s="1081"/>
      <c r="C119" s="342" t="e">
        <f ca="1">(C74)</f>
        <v>#NAME?</v>
      </c>
      <c r="D119" s="1063"/>
    </row>
    <row r="120" spans="1:4">
      <c r="A120" s="1060"/>
      <c r="B120" s="1081"/>
      <c r="C120" s="104" t="str">
        <f>(C78)</f>
        <v>update ip.global_options set option_value = 'N' where option_id = '7700';</v>
      </c>
      <c r="D120" s="1063"/>
    </row>
    <row r="121" spans="1:4">
      <c r="A121" s="1060"/>
      <c r="B121" s="1081"/>
      <c r="C121" s="377"/>
      <c r="D121" s="1063"/>
    </row>
    <row r="122" spans="1:4">
      <c r="A122" s="1060"/>
      <c r="B122" s="1081"/>
      <c r="C122" s="377" t="str">
        <f>"USE FASTTRACK"</f>
        <v>USE FASTTRACK</v>
      </c>
      <c r="D122" s="1063"/>
    </row>
    <row r="123" spans="1:4">
      <c r="A123" s="1060"/>
      <c r="B123" s="1081"/>
      <c r="C123" s="377" t="str">
        <f>(Automation!D303)</f>
        <v>exec sp_change_users_login 'Auto_fix', 'pv_report_user';</v>
      </c>
      <c r="D123" s="1063"/>
    </row>
    <row r="124" spans="1:4">
      <c r="A124" s="1060"/>
      <c r="B124" s="1081"/>
      <c r="C124" s="342" t="str">
        <f>(Automation!D304)</f>
        <v>exec sp_change_users_login 'Auto_fix', 'ip';</v>
      </c>
      <c r="D124" s="1063"/>
    </row>
    <row r="125" spans="1:4">
      <c r="A125" s="1060"/>
      <c r="B125" s="1081"/>
      <c r="C125" s="342" t="str">
        <f>(Automation!D305)</f>
        <v>exec sp_change_users_login 'Auto_fix', 'ro';</v>
      </c>
      <c r="D125" s="1063"/>
    </row>
    <row r="126" spans="1:4">
      <c r="A126" s="1060"/>
      <c r="B126" s="1081"/>
      <c r="C126" s="104" t="e">
        <f ca="1">(C74)</f>
        <v>#NAME?</v>
      </c>
      <c r="D126" s="1063"/>
    </row>
    <row r="127" spans="1:4">
      <c r="A127" s="1060"/>
      <c r="B127" s="1081"/>
      <c r="C127" s="342" t="str">
        <f>(C78)</f>
        <v>update ip.global_options set option_value = 'N' where option_id = '7700';</v>
      </c>
      <c r="D127" s="1063"/>
    </row>
    <row r="128" spans="1:4">
      <c r="A128" s="1061"/>
      <c r="B128" s="1082"/>
      <c r="C128" s="104"/>
      <c r="D128" s="1064"/>
    </row>
    <row r="129" spans="1:4">
      <c r="A129" s="1075">
        <v>6</v>
      </c>
      <c r="B129" s="967" t="str">
        <f>IF('Build Data'!B3="PreBuild", "Refresh Olap Properties","Refresh Olap Properties")</f>
        <v>Refresh Olap Properties</v>
      </c>
      <c r="C129" s="600" t="str">
        <f>IF('Build Data'!F13=TRUE,"https://jenkins.planviewcloud.net/job/refresh_olap_properties_table/build?delay=0sec",IF('Build Data'!F7="sg","https://jenkins.us.planview.world/job/refresh_olap_properties_table/build?delay=0sec",IF('Build Data'!F7="ln","https://jenkins.eu.planview.world/job/refresh_olap_properties_table/build?delay=0sec","")))</f>
        <v/>
      </c>
      <c r="D129" s="1062"/>
    </row>
    <row r="130" spans="1:4">
      <c r="A130" s="1076"/>
      <c r="B130" s="994" t="str">
        <f>IF('Build Data'!I5="","","SAS_SERVER_NAME")</f>
        <v/>
      </c>
      <c r="C130" s="988" t="str">
        <f>IF('Build Data'!I5="","",IF(OR('Build Data'!F7="fr",'Build Data'!F7="au"),'Build Data'!I5,'Build Data'!I7))</f>
        <v/>
      </c>
      <c r="D130" s="1063"/>
    </row>
    <row r="131" spans="1:4">
      <c r="A131" s="1076"/>
      <c r="B131" s="994" t="str">
        <f>IF('Build Data'!I5="","","PVE_VERSION")</f>
        <v/>
      </c>
      <c r="C131" s="989" t="str">
        <f>IF('Build Data'!I5="","","18")</f>
        <v/>
      </c>
      <c r="D131" s="1063"/>
    </row>
    <row r="132" spans="1:4">
      <c r="A132" s="1076"/>
      <c r="B132" s="994" t="str">
        <f>IF('Build Data'!I3="","","NODE_NAME_ROPT")</f>
        <v/>
      </c>
      <c r="C132" s="988" t="str">
        <f>IF('Build Data'!I3="","",'Build Data'!I3)</f>
        <v/>
      </c>
      <c r="D132" s="1063"/>
    </row>
    <row r="133" spans="1:4">
      <c r="A133" s="1076"/>
      <c r="B133" s="995"/>
      <c r="C133" s="973"/>
      <c r="D133" s="1064"/>
    </row>
    <row r="134" spans="1:4">
      <c r="A134" s="1076"/>
      <c r="B134" s="996"/>
      <c r="C134" s="452" t="str">
        <f>IF('Build Data'!F13=TRUE,"https://jenkins.planviewcloud.net/job/refresh_olap_properties_table/build?delay=0sec",IF('Build Data'!F7="sg","https://jenkins.us.planview.world/job/refresh_olap_properties_table/build?delay=0sec",IF('Build Data'!F7="ln","https://jenkins.eu.planview.world/job/refresh_olap_properties_table/build?delay=0sec","")))</f>
        <v/>
      </c>
      <c r="D134" s="1062"/>
    </row>
    <row r="135" spans="1:4">
      <c r="A135" s="1076"/>
      <c r="B135" s="998" t="str">
        <f>IF('Build Data'!I11="","","SAS_SERVER_NAME")</f>
        <v/>
      </c>
      <c r="C135" s="1000" t="str">
        <f>IF('Build Data'!I11="","",IF(OR('Build Data'!F7="fr",'Build Data'!F7="au"),'Build Data'!I11,'Build Data'!I13))</f>
        <v/>
      </c>
      <c r="D135" s="1063"/>
    </row>
    <row r="136" spans="1:4">
      <c r="A136" s="1076"/>
      <c r="B136" s="998" t="str">
        <f>IF('Build Data'!I11="","","PVE_VERSION")</f>
        <v/>
      </c>
      <c r="C136" s="1000" t="str">
        <f>IF('Build Data'!I11="","","18")</f>
        <v/>
      </c>
      <c r="D136" s="1063"/>
    </row>
    <row r="137" spans="1:4">
      <c r="A137" s="1076"/>
      <c r="B137" s="999" t="str">
        <f>IF('Build Data'!I9="","","NODE_NAME_ROPT")</f>
        <v/>
      </c>
      <c r="C137" s="1001" t="str">
        <f>IF('Build Data'!I9="","",'Build Data'!I9)</f>
        <v/>
      </c>
      <c r="D137" s="1064"/>
    </row>
    <row r="138" spans="1:4">
      <c r="A138" s="936">
        <v>7</v>
      </c>
      <c r="B138" s="707" t="str">
        <f>IF('Build Data'!B3="PreBuild", "Skip this step - PreBuild","Apply Key disk to following databases")</f>
        <v>Apply Key disk to following databases</v>
      </c>
      <c r="C138" s="183" t="s">
        <v>139</v>
      </c>
      <c r="D138" s="50"/>
    </row>
    <row r="139" spans="1:4">
      <c r="A139" s="1075">
        <v>8</v>
      </c>
      <c r="B139" s="1078" t="str">
        <f>IF('Build Data'!F13="FALSE","Skip this objective - COLO build","Update DNS")</f>
        <v>Update DNS</v>
      </c>
      <c r="C139" s="968" t="e">
        <f ca="1">CONCAT(Automation!D46,Automation!D10,Automation!D109,Automation!D111,'Build Data'!F3,Automation!D112)</f>
        <v>#NAME?</v>
      </c>
      <c r="D139" s="1062"/>
    </row>
    <row r="140" spans="1:4">
      <c r="A140" s="1077"/>
      <c r="B140" s="1079"/>
      <c r="C140" s="973" t="e">
        <f ca="1">CONCAT(Automation!D46,Automation!D10,Automation!D109,Automation!D111,'Build Data'!F4,Automation!D112)</f>
        <v>#NAME?</v>
      </c>
      <c r="D140" s="1064"/>
    </row>
    <row r="141" spans="1:4">
      <c r="A141" s="1059">
        <v>9</v>
      </c>
      <c r="B141" s="707" t="str">
        <f>IF('Build Data'!F13="FALSE","Skip this objective - COLO build","Delete SQL Temp Files")</f>
        <v>Delete SQL Temp Files</v>
      </c>
      <c r="C141" s="906" t="s">
        <v>140</v>
      </c>
      <c r="D141" s="1062"/>
    </row>
    <row r="142" spans="1:4">
      <c r="A142" s="1061"/>
      <c r="B142" s="975"/>
      <c r="C142" s="169"/>
      <c r="D142" s="1064"/>
    </row>
    <row r="143" spans="1:4">
      <c r="A143" s="979">
        <v>10</v>
      </c>
      <c r="B143" s="967" t="str">
        <f>IF('Build Data'!F13=TRUE,"Skip this objective - AWS build","Setup DPM")</f>
        <v>Setup DPM</v>
      </c>
      <c r="C143" s="968"/>
      <c r="D143" s="50"/>
    </row>
    <row r="144" spans="1:4">
      <c r="A144" s="936">
        <v>11</v>
      </c>
      <c r="B144" s="707" t="str">
        <f>IF('Build Data'!F13=TRUE,"Skip this objective - AWS build","Move VM's to proper cluster")</f>
        <v>Move VM's to proper cluster</v>
      </c>
      <c r="C144" s="183"/>
      <c r="D144" s="50"/>
    </row>
    <row r="145" spans="1:4">
      <c r="A145" s="979">
        <v>12</v>
      </c>
      <c r="B145" s="967" t="str">
        <f>IF('Build Data'!B76="Yes","Database Encryption","Skip this objective, Encryption not configured")</f>
        <v>Skip this objective, Encryption not configured</v>
      </c>
      <c r="C145" s="968"/>
      <c r="D145" s="50"/>
    </row>
    <row r="146" spans="1:4">
      <c r="A146" s="936">
        <v>13</v>
      </c>
      <c r="B146" s="707" t="str">
        <f>IF('Build Data'!B3="New Logo","Skip this step - New Logo","Backup and restore source prod database to target sql server")</f>
        <v>Backup and restore source prod database to target sql server</v>
      </c>
      <c r="C146" s="183"/>
      <c r="D146" s="50"/>
    </row>
    <row r="147" spans="1:4">
      <c r="A147" s="1075">
        <v>14</v>
      </c>
      <c r="B147" s="967" t="str">
        <f>IF('Build Data'!B3="New Logo","Skip this step - New Logo","Migrate Reports")</f>
        <v>Migrate Reports</v>
      </c>
      <c r="C147" s="1012" t="str">
        <f>IF('Build Data'!B3="New Logo", "SKIP THIS STEP",IF('Build Data'!F5="sg",AutoPop!M95,IF('Build Data'!F5="ln",AutoPop!M96,AutoPop!M97)))</f>
        <v>https://jenkins.planviewcloud.net/job/manage_reports_pipe/build?delay=0sec</v>
      </c>
      <c r="D147" s="1062"/>
    </row>
    <row r="148" spans="1:4">
      <c r="A148" s="1076"/>
      <c r="B148" s="972" t="s">
        <v>122</v>
      </c>
      <c r="C148" s="1006">
        <f>IF('Build Data'!B3="New Logo", "",'Build Data'!F8)</f>
        <v>0</v>
      </c>
      <c r="D148" s="1063"/>
    </row>
    <row r="149" spans="1:4">
      <c r="A149" s="1076"/>
      <c r="B149" s="971" t="s">
        <v>780</v>
      </c>
      <c r="C149" s="1007" t="str">
        <f>IF(AutoPop!A152=AutoPop!A153,"E1_Copy_Same_Farm",IF(MasterConfig!B19&gt;14,"E1_Copy_Same_Farm","E1_Copy_Different_Farm"))</f>
        <v>E1_Copy_Same_Farm</v>
      </c>
      <c r="D149" s="1063"/>
    </row>
    <row r="150" spans="1:4">
      <c r="A150" s="1076"/>
      <c r="B150" s="972" t="s">
        <v>781</v>
      </c>
      <c r="C150" s="1008" t="b">
        <f>IF(MasterConfig!B52="https://eureportfarm01.pvcloud.com/reports","https://eureportfarm01.pvcloud.com/ReportServer")</f>
        <v>0</v>
      </c>
      <c r="D150" s="1063"/>
    </row>
    <row r="151" spans="1:4">
      <c r="A151" s="1076"/>
      <c r="B151" s="971" t="s">
        <v>782</v>
      </c>
      <c r="C151" s="1006" t="s">
        <v>785</v>
      </c>
      <c r="D151" s="1063"/>
    </row>
    <row r="152" spans="1:4">
      <c r="A152" s="1076"/>
      <c r="B152" s="970" t="s">
        <v>783</v>
      </c>
      <c r="C152" s="1008" t="str">
        <f>IF(AutoPop!A153="FR","https://pbrisfarm01fr.pvcloud.com/ReportServer","")</f>
        <v/>
      </c>
      <c r="D152" s="1063"/>
    </row>
    <row r="153" spans="1:4">
      <c r="A153" s="1076"/>
      <c r="B153" s="972" t="s">
        <v>784</v>
      </c>
      <c r="C153" s="1006" t="str">
        <f>IF('Build Data'!B10="No","",UPPER('Build Data'!F3&amp;".PVCLOUD.COM"))</f>
        <v>.PVCLOUD.COM</v>
      </c>
      <c r="D153" s="1063"/>
    </row>
    <row r="154" spans="1:4">
      <c r="A154" s="1077"/>
      <c r="B154" s="971"/>
      <c r="C154" s="973"/>
      <c r="D154" s="1064"/>
    </row>
    <row r="155" spans="1:4">
      <c r="A155" s="1059">
        <v>15</v>
      </c>
      <c r="B155" s="1018" t="str">
        <f>IF('Build Data'!B3="New Logo","Skip this step - New Logo","Update Datasources")</f>
        <v>Update Datasources</v>
      </c>
      <c r="C155" s="467"/>
      <c r="D155" s="1062"/>
    </row>
    <row r="156" spans="1:4">
      <c r="A156" s="1060"/>
      <c r="B156" s="1019" t="s">
        <v>164</v>
      </c>
      <c r="C156" s="1020" t="e">
        <f ca="1">CONCAT('Build Data'!F25,Automation!D133,'Build Data'!F3,Automation!D134)</f>
        <v>#NAME?</v>
      </c>
      <c r="D156" s="1063"/>
    </row>
    <row r="157" spans="1:4">
      <c r="A157" s="1060"/>
      <c r="B157" s="1019" t="s">
        <v>806</v>
      </c>
      <c r="C157" s="342" t="e">
        <f ca="1">CONCAT(Other!D46,'Build Data'!I5,Other!D48,Other!D47,AutoPop!A3)</f>
        <v>#NAME?</v>
      </c>
      <c r="D157" s="1063"/>
    </row>
    <row r="158" spans="1:4">
      <c r="A158" s="1060"/>
      <c r="B158" s="1019" t="s">
        <v>809</v>
      </c>
      <c r="C158" s="342" t="e">
        <f ca="1">CONCAT(Other!D46,'Build Data'!I5,Other!D48,Other!D47,AutoPop!A9)</f>
        <v>#NAME?</v>
      </c>
      <c r="D158" s="1063"/>
    </row>
    <row r="159" spans="1:4">
      <c r="A159" s="1060"/>
      <c r="B159" s="1019" t="s">
        <v>807</v>
      </c>
      <c r="C159" s="342" t="e">
        <f ca="1">CONCAT(Other!D46,'Build Data'!I5,Other!D48,Other!D47,AutoPop!A5)</f>
        <v>#NAME?</v>
      </c>
      <c r="D159" s="1063"/>
    </row>
    <row r="160" spans="1:4">
      <c r="A160" s="1060"/>
      <c r="B160" s="1019" t="s">
        <v>808</v>
      </c>
      <c r="C160" s="342" t="e">
        <f ca="1">CONCAT(Other!D46,'Build Data'!I5,Other!D48,Other!D47,AutoPop!A10)</f>
        <v>#NAME?</v>
      </c>
      <c r="D160" s="1063"/>
    </row>
    <row r="161" spans="1:4">
      <c r="A161" s="1061"/>
      <c r="B161" s="1017" t="s">
        <v>166</v>
      </c>
      <c r="C161" s="1021" t="s">
        <v>145</v>
      </c>
      <c r="D161" s="1064"/>
    </row>
    <row r="162" spans="1:4">
      <c r="A162" s="1075">
        <v>16</v>
      </c>
      <c r="B162" s="967" t="str">
        <f>IF('Build Data'!B3="New Logo","Skip this step - New Logo","Upload FTA")</f>
        <v>Upload FTA</v>
      </c>
      <c r="C162" s="968"/>
      <c r="D162" s="1062"/>
    </row>
    <row r="163" spans="1:4">
      <c r="A163" s="1076"/>
      <c r="B163" s="970" t="s">
        <v>164</v>
      </c>
      <c r="C163" s="1016" t="str">
        <f>IF('Build Data'!F13=TRUE,"https://jenkins.planviewcloud.net/job/install_e1_fasttrack/build?delay=0sec",IF('Build Data'!F7="SG","https://jenkins.us.planview.world/job/install_e1_fasttrack/build?delay=0sec","https://jenkins.eu.planview.world/job/install_e1_fasttrack/build?delay=0sec"))</f>
        <v>https://jenkins.eu.planview.world/job/install_e1_fasttrack/build?delay=0sec</v>
      </c>
      <c r="D163" s="1063"/>
    </row>
    <row r="164" spans="1:4">
      <c r="A164" s="1076"/>
      <c r="B164" s="972" t="s">
        <v>812</v>
      </c>
      <c r="C164" s="989">
        <f>('Build Data'!B8)</f>
        <v>0</v>
      </c>
      <c r="D164" s="1063"/>
    </row>
    <row r="165" spans="1:4">
      <c r="A165" s="1077"/>
      <c r="B165" s="971" t="s">
        <v>202</v>
      </c>
      <c r="C165" s="988" t="str">
        <f>('Build Data'!I3)</f>
        <v/>
      </c>
      <c r="D165" s="1064"/>
    </row>
    <row r="166" spans="1:4">
      <c r="A166" s="936">
        <v>17</v>
      </c>
      <c r="B166" s="707" t="str">
        <f>IF('Build Data'!B3="New Logo","Skip this step - New Logo",IF(AND('Build Data'!B3="PreBuild",MasterConfig!B34=0),"No Custom Models","Custom Models"))</f>
        <v>Custom Models</v>
      </c>
      <c r="C166" s="183"/>
      <c r="D166" s="50">
        <v>1</v>
      </c>
    </row>
    <row r="167" spans="1:4">
      <c r="A167" s="979">
        <v>18</v>
      </c>
      <c r="B167" s="967" t="str">
        <f>IF('Build Data'!B3="New Logo","Skip this step - New Logo",IF(AND('Build Data'!B3="PreBuild",MasterConfig!B34=0),"No Custom Cubes","Custom Cubes"))</f>
        <v>Custom Cubes</v>
      </c>
      <c r="C167" s="968"/>
      <c r="D167" s="50">
        <v>1</v>
      </c>
    </row>
    <row r="168" spans="1:4">
      <c r="A168" s="936">
        <v>19</v>
      </c>
      <c r="B168" s="707" t="str">
        <f>IF('Build Data'!B3="New Logo","Skip this step - New Logo","Custom scheduled Tasks")</f>
        <v>Custom scheduled Tasks</v>
      </c>
      <c r="C168" s="183"/>
      <c r="D168" s="50">
        <v>1</v>
      </c>
    </row>
    <row r="169" spans="1:4">
      <c r="A169" s="979">
        <v>20</v>
      </c>
      <c r="B169" s="967" t="str">
        <f>IF('Build Data'!B3="New Logo","Skip this step - New Logo","Custom SQL Jobs")</f>
        <v>Custom SQL Jobs</v>
      </c>
      <c r="C169" s="968"/>
      <c r="D169" s="50">
        <v>1</v>
      </c>
    </row>
    <row r="170" spans="1:4">
      <c r="A170" s="936">
        <v>21</v>
      </c>
      <c r="B170" s="707" t="str">
        <f>IF('Build Data'!B3="New Logo","Skip this step - New Logo","Custom web.config values")</f>
        <v>Custom web.config values</v>
      </c>
      <c r="C170" s="183"/>
      <c r="D170" s="50">
        <v>1</v>
      </c>
    </row>
    <row r="171" spans="1:4">
      <c r="A171" s="979">
        <v>22</v>
      </c>
      <c r="B171" s="967" t="str">
        <f>IF('Build Data'!B3="New Logo","Skip this step - New Logo","Custom worker processes")</f>
        <v>Custom worker processes</v>
      </c>
      <c r="C171" s="968"/>
      <c r="D171" s="50">
        <v>1</v>
      </c>
    </row>
    <row r="172" spans="1:4">
      <c r="A172" s="1009">
        <v>23</v>
      </c>
      <c r="B172" s="707" t="str">
        <f>IF('Build Data'!B3="New Logo","Skip this step - New Logo","Restore CTM")</f>
        <v>Restore CTM</v>
      </c>
      <c r="C172" s="183"/>
      <c r="D172" s="1010"/>
    </row>
    <row r="173" spans="1:4">
      <c r="A173" s="1011">
        <v>24</v>
      </c>
      <c r="B173" s="967" t="s">
        <v>44</v>
      </c>
      <c r="C173" s="968"/>
      <c r="D173" s="50"/>
    </row>
    <row r="174" spans="1:4">
      <c r="A174" s="936">
        <v>23</v>
      </c>
      <c r="B174" s="883" t="s">
        <v>141</v>
      </c>
      <c r="C174" s="183"/>
      <c r="D174" s="50">
        <v>1</v>
      </c>
    </row>
    <row r="175" spans="1:4">
      <c r="A175" s="1075">
        <v>25</v>
      </c>
      <c r="B175" s="355" t="str">
        <f>IF('Build Data'!B9="N/A","No Prod PPSA ID Defined","PRM Adapter - Project Place Connector")</f>
        <v>PRM Adapter - Project Place Connector</v>
      </c>
      <c r="C175" s="598" t="str">
        <f>IF(B175="No Prod PPSA ID Defined","",IF('Build Data'!F13=TRUE,"https://jenkins.planviewcloud.net/job/deploy_prm_adapter/build?delay=0sec",IF('Build Data'!F7="SG","https://jenkins.us.planview.world/job/deploy_prm_adapter/build?delay=0sec","https://jenkins.eu.planview.world/job/deploy_prm_adapter/build?delay=0sec")))</f>
        <v>https://jenkins.eu.planview.world/job/deploy_prm_adapter/build?delay=0sec</v>
      </c>
      <c r="D175" s="1062"/>
    </row>
    <row r="176" spans="1:4">
      <c r="A176" s="1076"/>
      <c r="B176" s="972" t="str">
        <f>IF(B175="No Prod PPSA ID Defined","","TARGET_SERVER_FQDN")</f>
        <v>TARGET_SERVER_FQDN</v>
      </c>
      <c r="C176" s="989" t="e">
        <f ca="1">IF(C175="","",CONCAT('Build Data'!I4,Automation!D113))</f>
        <v>#NAME?</v>
      </c>
      <c r="D176" s="1063"/>
    </row>
    <row r="177" spans="1:4">
      <c r="A177" s="1076"/>
      <c r="B177" s="972" t="str">
        <f>IF(B175="No Prod PPSA ID Defined","","DSN")</f>
        <v>DSN</v>
      </c>
      <c r="C177" s="989" t="str">
        <f>IF(C175="","",(AutoPop!A3))</f>
        <v>PROD</v>
      </c>
      <c r="D177" s="1063"/>
    </row>
    <row r="178" spans="1:4">
      <c r="A178" s="1076"/>
      <c r="B178" s="971" t="str">
        <f>IF(B175="No Prod PPSA ID Defined","","CUSTOMER_CODE")</f>
        <v>CUSTOMER_CODE</v>
      </c>
      <c r="C178" s="988">
        <f>IF(C175="","",'Build Data'!F8)</f>
        <v>0</v>
      </c>
      <c r="D178" s="1063"/>
    </row>
    <row r="179" spans="1:4">
      <c r="A179" s="1076"/>
      <c r="B179" s="972" t="str">
        <f>IF(B175="No Prod PPSA ID Defined","","INTHUB_NONPRM_PRODUCT_CODE")</f>
        <v>INTHUB_NONPRM_PRODUCT_CODE</v>
      </c>
      <c r="C179" s="989" t="str">
        <f>IF(C175="","","pp")</f>
        <v>pp</v>
      </c>
      <c r="D179" s="1063"/>
    </row>
    <row r="180" spans="1:4">
      <c r="A180" s="1076"/>
      <c r="B180" s="971" t="str">
        <f>IF(B175="No Prod PPSA ID Defined","","INTHUB_NONPRM_PRODUCT_ENV_ID")</f>
        <v>INTHUB_NONPRM_PRODUCT_ENV_ID</v>
      </c>
      <c r="C180" s="988" t="str">
        <f>IF(C175="","",(Automation!F121))</f>
        <v>projectplace-site-us</v>
      </c>
      <c r="D180" s="1063"/>
    </row>
    <row r="181" spans="1:4">
      <c r="A181" s="1076"/>
      <c r="B181" s="970" t="str">
        <f>IF(B175="No Prod PPSA ID Defined","","INTHUB_NONPRM_PRODUCT_TENANT_ID")</f>
        <v>INTHUB_NONPRM_PRODUCT_TENANT_ID</v>
      </c>
      <c r="C181" s="990">
        <f>IF(C175="","",'Build Data'!B9)</f>
        <v>0</v>
      </c>
      <c r="D181" s="1063"/>
    </row>
    <row r="182" spans="1:4">
      <c r="A182" s="1076"/>
      <c r="B182" s="969" t="str">
        <f>IF(B175="No Prod PPSA ID Defined","","INTHUB")</f>
        <v>INTHUB</v>
      </c>
      <c r="C182" s="988" t="str">
        <f>IF(C175="","",(Automation!F129))</f>
        <v>US (prod.integrations.net)</v>
      </c>
      <c r="D182" s="1063"/>
    </row>
    <row r="183" spans="1:4">
      <c r="A183" s="1076"/>
      <c r="B183" s="1015" t="str">
        <f>IF('Build Data'!B10="N/A","No SB PPSA ID Defined","PRM Adapter - Project Place Connector")</f>
        <v>PRM Adapter - Project Place Connector</v>
      </c>
      <c r="C183" s="81" t="str">
        <f>IF(B183="No SB PPSA ID Defined","",IF('Build Data'!F13=TRUE,"https://jenkins.planviewcloud.net/job/deploy_prm_adapter/build?delay=0sec",IF('Build Data'!F7="SG","https://jenkins.us.planview.world/job/deploy_prm_adapter/build?delay=0sec","https://jenkins.eu.planview.world/job/deploy_prm_adapter/build?delay=0sec")))</f>
        <v>https://jenkins.eu.planview.world/job/deploy_prm_adapter/build?delay=0sec</v>
      </c>
      <c r="D183" s="1068"/>
    </row>
    <row r="184" spans="1:4">
      <c r="A184" s="1076"/>
      <c r="B184" s="1003" t="str">
        <f>IF(B183="No SB PPSA ID Defined","","TARGET_SERVER_FQDN")</f>
        <v>TARGET_SERVER_FQDN</v>
      </c>
      <c r="C184" s="1000" t="e">
        <f ca="1">IF(C183="","",CONCAT('Build Data'!I10,Automation!D113))</f>
        <v>#NAME?</v>
      </c>
      <c r="D184" s="1069"/>
    </row>
    <row r="185" spans="1:4">
      <c r="A185" s="1076"/>
      <c r="B185" s="1003" t="str">
        <f>IF(B183="No SB PPSA ID Defined","","DSN")</f>
        <v>DSN</v>
      </c>
      <c r="C185" s="997" t="str">
        <f>IF(C183="","",(AutoPop!A5))</f>
        <v>SANDBOX1</v>
      </c>
      <c r="D185" s="1069"/>
    </row>
    <row r="186" spans="1:4">
      <c r="A186" s="1076"/>
      <c r="B186" s="1004" t="str">
        <f>IF(B183="No SB PPSA ID Defined","","CUSTOMER_CODE")</f>
        <v>CUSTOMER_CODE</v>
      </c>
      <c r="C186" s="1005">
        <f>IF(C183="","",'Build Data'!F8)</f>
        <v>0</v>
      </c>
      <c r="D186" s="1069"/>
    </row>
    <row r="187" spans="1:4">
      <c r="A187" s="1076"/>
      <c r="B187" s="1002" t="str">
        <f>IF(B183="No SB PPSA ID Defined","","INTHUB_NONPRM_PRODUCT_CODE")</f>
        <v>INTHUB_NONPRM_PRODUCT_CODE</v>
      </c>
      <c r="C187" s="1000" t="str">
        <f>IF(C183="","","pp")</f>
        <v>pp</v>
      </c>
      <c r="D187" s="1069"/>
    </row>
    <row r="188" spans="1:4">
      <c r="A188" s="1076"/>
      <c r="B188" s="1003" t="str">
        <f>IF(B183="No SB PPSA ID Defined","","INTHUB_NONPRM_PRODUCT_ENV_ID")</f>
        <v>INTHUB_NONPRM_PRODUCT_ENV_ID</v>
      </c>
      <c r="C188" s="997" t="str">
        <f>IF(C183="","",(Automation!F123))</f>
        <v>projectplace-site-us-sb</v>
      </c>
      <c r="D188" s="1069"/>
    </row>
    <row r="189" spans="1:4">
      <c r="A189" s="1076"/>
      <c r="B189" s="1004" t="str">
        <f>IF(B183="No SB PPSA ID Defined","","INTHUB_NONPRM_PRODUCT_TENANT_ID")</f>
        <v>INTHUB_NONPRM_PRODUCT_TENANT_ID</v>
      </c>
      <c r="C189" s="1000">
        <f>IF(C183="","",'Build Data'!B10)</f>
        <v>0</v>
      </c>
      <c r="D189" s="1069"/>
    </row>
    <row r="190" spans="1:4">
      <c r="A190" s="1076"/>
      <c r="B190" s="1002" t="str">
        <f>IF(B183="No SB PPSA ID Defined","","INTHUB")</f>
        <v>INTHUB</v>
      </c>
      <c r="C190" s="997" t="str">
        <f>(C182)</f>
        <v>US (prod.integrations.net)</v>
      </c>
      <c r="D190" s="1069"/>
    </row>
    <row r="191" spans="1:4">
      <c r="A191" s="1076"/>
      <c r="B191" s="355" t="str">
        <f>IF('Build Data'!B11="N/A","No Prod LK ID Defined","PRM Adapter - Lean Kit Connector")</f>
        <v>PRM Adapter - Lean Kit Connector</v>
      </c>
      <c r="C191" s="600" t="str">
        <f>IF(B191="No Prod LK ID Defined","",IF('Build Data'!F13=TRUE,"https://jenkins.planviewcloud.net/job/deploy_prm_adapter/build?delay=0sec",IF('Build Data'!F7="SG","https://jenkins.us.planview.world/job/deploy_prm_adapter/build?delay=0sec","https://jenkins.eu.planview.world/job/deploy_prm_adapter/build?delay=0sec")))</f>
        <v>https://jenkins.eu.planview.world/job/deploy_prm_adapter/build?delay=0sec</v>
      </c>
      <c r="D191" s="1062"/>
    </row>
    <row r="192" spans="1:4">
      <c r="A192" s="1076"/>
      <c r="B192" s="972" t="str">
        <f>IF(B191="No Prod LK ID Defined","","TARGET_SERVER_FQDN")</f>
        <v>TARGET_SERVER_FQDN</v>
      </c>
      <c r="C192" s="988" t="e">
        <f ca="1">IF(C191="","",C176)</f>
        <v>#NAME?</v>
      </c>
      <c r="D192" s="1063"/>
    </row>
    <row r="193" spans="1:4">
      <c r="A193" s="1076"/>
      <c r="B193" s="970" t="str">
        <f>IF(B191="No Prod LK ID Defined","","DSN")</f>
        <v>DSN</v>
      </c>
      <c r="C193" s="989" t="str">
        <f>IF(C191="","",C177)</f>
        <v>PROD</v>
      </c>
      <c r="D193" s="1063"/>
    </row>
    <row r="194" spans="1:4">
      <c r="A194" s="1076"/>
      <c r="B194" s="972" t="str">
        <f>IF(B191="No Prod LK ID Defined","","CUSTOMER_CODE")</f>
        <v>CUSTOMER_CODE</v>
      </c>
      <c r="C194" s="989">
        <f>IF(C191="","",C178)</f>
        <v>0</v>
      </c>
      <c r="D194" s="1063"/>
    </row>
    <row r="195" spans="1:4">
      <c r="A195" s="1076"/>
      <c r="B195" s="971" t="str">
        <f>IF(B191="No Prod LK ID Defined","","INTHUB_NONPRM_PRODUCT_CODE")</f>
        <v>INTHUB_NONPRM_PRODUCT_CODE</v>
      </c>
      <c r="C195" s="989" t="str">
        <f>IF(C191="","","lk")</f>
        <v>lk</v>
      </c>
      <c r="D195" s="1063"/>
    </row>
    <row r="196" spans="1:4">
      <c r="A196" s="1076"/>
      <c r="B196" s="970" t="str">
        <f>IF(B191="No Prod LK ID Defined","","INTHUB_NONPRM_PRODUCT_ENV_ID")</f>
        <v>INTHUB_NONPRM_PRODUCT_ENV_ID</v>
      </c>
      <c r="C196" s="989" t="str">
        <f>IF(C191="","","pd")</f>
        <v>pd</v>
      </c>
      <c r="D196" s="1063"/>
    </row>
    <row r="197" spans="1:4">
      <c r="A197" s="1076"/>
      <c r="B197" s="972" t="str">
        <f>IF(B191="No Prod LK ID Defined","","INTHUB_NONPRM_PRODUCT_TENANT_ID")</f>
        <v>INTHUB_NONPRM_PRODUCT_TENANT_ID</v>
      </c>
      <c r="C197" s="988">
        <f>IF(C191="","",'Build Data'!B11)</f>
        <v>0</v>
      </c>
      <c r="D197" s="1063"/>
    </row>
    <row r="198" spans="1:4">
      <c r="A198" s="1076"/>
      <c r="B198" s="972" t="str">
        <f>IF(B191="No Prod LK ID Defined","","INTHUB")</f>
        <v>INTHUB</v>
      </c>
      <c r="C198" s="991" t="str">
        <f>IF(C191="","",C182)</f>
        <v>US (prod.integrations.net)</v>
      </c>
      <c r="D198" s="1063"/>
    </row>
    <row r="199" spans="1:4">
      <c r="A199" s="1076"/>
      <c r="B199" s="993" t="str">
        <f>IF(B191="No Prod LK ID Defined","","Rebuild after failure")</f>
        <v>Rebuild after failure</v>
      </c>
      <c r="C199" s="992" t="str">
        <f>IF(C191="","","Rebuild after failure")</f>
        <v>Rebuild after failure</v>
      </c>
      <c r="D199" s="1064"/>
    </row>
    <row r="200" spans="1:4">
      <c r="A200" s="1076"/>
      <c r="B200" s="1015" t="str">
        <f>IF('Build Data'!B12="N/A","No SB LK ID Defined","PRM Adapter - Lean Kit Connector")</f>
        <v>PRM Adapter - Lean Kit Connector</v>
      </c>
      <c r="C200" s="1014" t="str">
        <f>IF(B200="No SB LK ID Defined","",IF('Build Data'!F13=TRUE,"https://jenkins.planviewcloud.net/job/deploy_prm_adapter/build?delay=0sec",IF('Build Data'!F7="SG","https://jenkins.us.planview.world/job/deploy_prm_adapter/build?delay=0sec","https://jenkins.eu.planview.world/job/deploy_prm_adapter/build?delay=0sec")))</f>
        <v>https://jenkins.eu.planview.world/job/deploy_prm_adapter/build?delay=0sec</v>
      </c>
      <c r="D200" s="1068"/>
    </row>
    <row r="201" spans="1:4">
      <c r="A201" s="1076"/>
      <c r="B201" s="1003" t="str">
        <f>IF(B200="No SB LK ID Defined","","TARGET_SERVER_FQDN")</f>
        <v>TARGET_SERVER_FQDN</v>
      </c>
      <c r="C201" s="997" t="e">
        <f ca="1">IF(C200="","",C184)</f>
        <v>#NAME?</v>
      </c>
      <c r="D201" s="1069"/>
    </row>
    <row r="202" spans="1:4">
      <c r="A202" s="1076"/>
      <c r="B202" s="1003" t="str">
        <f>IF(B200="No SB LK ID Defined","","DSN")</f>
        <v>DSN</v>
      </c>
      <c r="C202" s="1005" t="str">
        <f>IF(C200="","",C185)</f>
        <v>SANDBOX1</v>
      </c>
      <c r="D202" s="1069"/>
    </row>
    <row r="203" spans="1:4">
      <c r="A203" s="1076"/>
      <c r="B203" s="1003" t="str">
        <f>IF(B200="No SB LK ID Defined","","CUSTOMER_CODE")</f>
        <v>CUSTOMER_CODE</v>
      </c>
      <c r="C203" s="1000">
        <f>IF(C200="","",C186)</f>
        <v>0</v>
      </c>
      <c r="D203" s="1069"/>
    </row>
    <row r="204" spans="1:4">
      <c r="A204" s="1076"/>
      <c r="B204" s="1003" t="str">
        <f>IF(B200="No SB LK ID Defined","","INTHUB_NONPRM_PRODUCT_CODE")</f>
        <v>INTHUB_NONPRM_PRODUCT_CODE</v>
      </c>
      <c r="C204" s="1000" t="str">
        <f>IF(C200="","","lk")</f>
        <v>lk</v>
      </c>
      <c r="D204" s="1069"/>
    </row>
    <row r="205" spans="1:4">
      <c r="A205" s="1076"/>
      <c r="B205" s="1003" t="str">
        <f>IF(B200="No SB LK ID Defined","","INTHUB_NONPRM_PRODUCT_ENV_ID")</f>
        <v>INTHUB_NONPRM_PRODUCT_ENV_ID</v>
      </c>
      <c r="C205" s="1000" t="str">
        <f>IF(C200="","","pd")</f>
        <v>pd</v>
      </c>
      <c r="D205" s="1069"/>
    </row>
    <row r="206" spans="1:4">
      <c r="A206" s="1076"/>
      <c r="B206" s="1004" t="str">
        <f>IF(B200="No SB LK ID Defined","","INTHUB_NONPRM_PRODUCT_TENANT_ID")</f>
        <v>INTHUB_NONPRM_PRODUCT_TENANT_ID</v>
      </c>
      <c r="C206" s="1000">
        <f>IF(C200="","",'Build Data'!B12)</f>
        <v>0</v>
      </c>
      <c r="D206" s="1069"/>
    </row>
    <row r="207" spans="1:4">
      <c r="A207" s="1076"/>
      <c r="B207" s="1004" t="str">
        <f>IF(B200="No SB LK ID Defined","","INTHUB")</f>
        <v>INTHUB</v>
      </c>
      <c r="C207" s="1000" t="str">
        <f>IF(C200="","",C190)</f>
        <v>US (prod.integrations.net)</v>
      </c>
      <c r="D207" s="1069"/>
    </row>
    <row r="208" spans="1:4">
      <c r="A208" s="1077"/>
      <c r="B208" s="1013" t="str">
        <f>IF(B200="No SB LK ID Defined","","Rebuild after failure")</f>
        <v>Rebuild after failure</v>
      </c>
      <c r="C208" s="1013" t="str">
        <f>IF(C200="","","Rebuild after failure")</f>
        <v>Rebuild after failure</v>
      </c>
      <c r="D208" s="1070"/>
    </row>
    <row r="209" spans="1:5">
      <c r="A209" s="1071">
        <v>27</v>
      </c>
      <c r="B209" t="s">
        <v>142</v>
      </c>
      <c r="C209" t="str">
        <f>('Build Data'!I2)&amp;"/planview/login/body.asp?manual=Y"</f>
        <v>/planview/login/body.asp?manual=Y</v>
      </c>
      <c r="D209" s="1073"/>
      <c r="E209">
        <f>'Build Data'!F11</f>
        <v>0</v>
      </c>
    </row>
    <row r="210" spans="1:5">
      <c r="A210" s="1072"/>
      <c r="C210" t="e">
        <f ca="1">CONCAT(AutoPop!M112,'Build Data'!F3,AutoPop!N112)</f>
        <v>#NAME?</v>
      </c>
      <c r="D210" s="1074"/>
    </row>
    <row r="211" spans="1:5">
      <c r="A211" s="1072"/>
      <c r="C211" t="e">
        <f ca="1">CONCAT(AutoPop!M112,'Build Data'!F3,AutoPop!N113)</f>
        <v>#NAME?</v>
      </c>
      <c r="D211" s="1074"/>
    </row>
    <row r="212" spans="1:5">
      <c r="A212" s="1072"/>
      <c r="C212" t="e">
        <f ca="1">CONCAT(AutoPop!M112,'Build Data'!F3,AutoPop!N114)</f>
        <v>#NAME?</v>
      </c>
      <c r="D212" s="1074"/>
    </row>
    <row r="213" spans="1:5">
      <c r="A213" s="1072"/>
      <c r="C213" t="e">
        <f ca="1">CONCAT(AutoPop!M112,'Build Data'!F3,AutoPop!N115)</f>
        <v>#NAME?</v>
      </c>
      <c r="D213" s="1074"/>
    </row>
    <row r="214" spans="1:5">
      <c r="A214" s="1072"/>
      <c r="C214" t="e">
        <f ca="1">CONCAT(AutoPop!M112,'Build Data'!F3,AutoPop!N116)</f>
        <v>#NAME?</v>
      </c>
      <c r="D214" s="1074"/>
    </row>
    <row r="215" spans="1:5">
      <c r="A215" s="1072"/>
      <c r="C215" t="e">
        <f ca="1">CONCAT(AutoPop!M112,'Build Data'!F3,AutoPop!N117)</f>
        <v>#NAME?</v>
      </c>
      <c r="D215" s="1074"/>
    </row>
    <row r="216" spans="1:5">
      <c r="A216" s="1072"/>
      <c r="C216" t="e">
        <f ca="1">CONCAT(AutoPop!M112,'Build Data'!F3,AutoPop!N118)</f>
        <v>#NAME?</v>
      </c>
      <c r="D216" s="1074"/>
    </row>
    <row r="217" spans="1:5">
      <c r="A217" s="1072"/>
      <c r="C217" t="e">
        <f ca="1">CONCAT(AutoPop!M112,'Build Data'!F3,AutoPop!N119)</f>
        <v>#NAME?</v>
      </c>
      <c r="D217" s="1074"/>
    </row>
    <row r="218" spans="1:5">
      <c r="A218" s="1072"/>
      <c r="C218" t="e">
        <f ca="1">CONCAT(AutoPop!M112,'Build Data'!F3,AutoPop!N120)</f>
        <v>#NAME?</v>
      </c>
      <c r="D218" s="1074"/>
    </row>
    <row r="219" spans="1:5">
      <c r="A219" s="1072"/>
      <c r="D219" s="1074"/>
    </row>
    <row r="220" spans="1:5">
      <c r="A220" s="1072"/>
      <c r="C220" t="e">
        <f ca="1">IF('Build Data'!F13=TRUE,CONCAT(AutoPop!M113,Automation!F47,AutoPop!N122),CONCAT(AutoPop!M113,'Build Data'!I6,AutoPop!N122))</f>
        <v>#NAME?</v>
      </c>
      <c r="D220" s="1074"/>
    </row>
    <row r="221" spans="1:5">
      <c r="A221" s="1072"/>
      <c r="C221" t="e">
        <f ca="1">IF('Build Data'!F13=TRUE,CONCAT(AutoPop!M113,Automation!F47,AutoPop!N123),CONCAT(AutoPop!M113,'Build Data'!I6,AutoPop!N123))</f>
        <v>#NAME?</v>
      </c>
      <c r="D221" s="1074"/>
    </row>
    <row r="222" spans="1:5">
      <c r="A222" s="1072"/>
      <c r="C222" t="e">
        <f ca="1">IF('Build Data'!F13=TRUE,CONCAT(AutoPop!M113,Automation!F47,AutoPop!N124),CONCAT(AutoPop!M113,'Build Data'!I6,AutoPop!N124))</f>
        <v>#NAME?</v>
      </c>
      <c r="D222" s="1074"/>
    </row>
    <row r="223" spans="1:5">
      <c r="A223" s="1072"/>
      <c r="D223" s="1074"/>
    </row>
    <row r="224" spans="1:5">
      <c r="A224" s="1072"/>
      <c r="C224" t="str">
        <f>('Build Data'!I8)&amp;"/planview/login/body.asp?manual=Y"</f>
        <v>/planview/login/body.asp?manual=Y</v>
      </c>
      <c r="D224" s="1074"/>
      <c r="E224">
        <f>'Build Data'!F11</f>
        <v>0</v>
      </c>
    </row>
    <row r="225" spans="1:4">
      <c r="A225" s="1072"/>
      <c r="C225" t="e">
        <f ca="1">CONCAT(AutoPop!M112,'Build Data'!F4,AutoPop!N113)</f>
        <v>#NAME?</v>
      </c>
      <c r="D225" s="1074"/>
    </row>
    <row r="226" spans="1:4">
      <c r="A226" s="1072"/>
      <c r="C226" t="e">
        <f ca="1">CONCAT(AutoPop!M112,'Build Data'!F4,AutoPop!N114)</f>
        <v>#NAME?</v>
      </c>
      <c r="D226" s="1074"/>
    </row>
    <row r="227" spans="1:4">
      <c r="A227" s="1072"/>
      <c r="C227" t="e">
        <f ca="1">CONCAT(AutoPop!M112,'Build Data'!F4,AutoPop!N115)</f>
        <v>#NAME?</v>
      </c>
      <c r="D227" s="1074"/>
    </row>
    <row r="228" spans="1:4">
      <c r="A228" s="1072"/>
      <c r="C228" t="e">
        <f ca="1">CONCAT(AutoPop!M112,'Build Data'!F4,AutoPop!N116)</f>
        <v>#NAME?</v>
      </c>
      <c r="D228" s="1074"/>
    </row>
    <row r="229" spans="1:4">
      <c r="A229" s="1072"/>
      <c r="C229" t="e">
        <f ca="1">CONCAT(AutoPop!M112,'Build Data'!F4,AutoPop!N117)</f>
        <v>#NAME?</v>
      </c>
      <c r="D229" s="1074"/>
    </row>
    <row r="230" spans="1:4">
      <c r="A230" s="1072"/>
      <c r="C230" t="e">
        <f ca="1">CONCAT(AutoPop!M112,'Build Data'!F4,AutoPop!N118)</f>
        <v>#NAME?</v>
      </c>
      <c r="D230" s="1074"/>
    </row>
    <row r="231" spans="1:4">
      <c r="A231" s="1072"/>
      <c r="C231" t="e">
        <f ca="1">CONCAT(AutoPop!M112,'Build Data'!F4,AutoPop!N119)</f>
        <v>#NAME?</v>
      </c>
      <c r="D231" s="1074"/>
    </row>
    <row r="232" spans="1:4">
      <c r="A232" s="1072"/>
      <c r="C232" t="e">
        <f ca="1">CONCAT(AutoPop!M112,'Build Data'!F4,AutoPop!N120)</f>
        <v>#NAME?</v>
      </c>
      <c r="D232" s="1074"/>
    </row>
    <row r="233" spans="1:4">
      <c r="A233" s="1072"/>
      <c r="D233" s="1074"/>
    </row>
    <row r="234" spans="1:4">
      <c r="A234" s="1072"/>
      <c r="C234" t="e">
        <f ca="1">IF('Build Data'!F13=TRUE,CONCAT(AutoPop!M113,Automation!F48,AutoPop!N122),CONCAT(AutoPop!M113,'Build Data'!I12,AutoPop!N122))</f>
        <v>#NAME?</v>
      </c>
      <c r="D234" s="1074"/>
    </row>
    <row r="235" spans="1:4">
      <c r="A235" s="1072"/>
      <c r="C235" t="e">
        <f ca="1">IF('Build Data'!F13=TRUE,CONCAT(AutoPop!M113,Automation!F48,AutoPop!N123),CONCAT(AutoPop!M113,'Build Data'!I12,AutoPop!N123))</f>
        <v>#NAME?</v>
      </c>
      <c r="D235" s="1074"/>
    </row>
    <row r="236" spans="1:4">
      <c r="A236" s="1072"/>
      <c r="C236" t="e">
        <f ca="1">IF('Build Data'!F13=TRUE,CONCAT(AutoPop!M113,Automation!F48,AutoPop!N124),CONCAT(AutoPop!M113,'Build Data'!I12,AutoPop!N124))</f>
        <v>#NAME?</v>
      </c>
      <c r="D236" s="1074"/>
    </row>
    <row r="237" spans="1:4">
      <c r="A237" s="1072"/>
      <c r="D237" s="1074"/>
    </row>
    <row r="238" spans="1:4">
      <c r="A238" s="1072"/>
      <c r="B238" t="s">
        <v>787</v>
      </c>
      <c r="C238" t="s">
        <v>799</v>
      </c>
      <c r="D238" s="1074"/>
    </row>
    <row r="239" spans="1:4">
      <c r="A239" s="1072"/>
      <c r="B239" t="s">
        <v>786</v>
      </c>
      <c r="C239" t="s">
        <v>793</v>
      </c>
      <c r="D239" s="1074"/>
    </row>
    <row r="240" spans="1:4">
      <c r="A240" s="1072"/>
      <c r="B240" t="s">
        <v>788</v>
      </c>
      <c r="C240" t="s">
        <v>795</v>
      </c>
      <c r="D240" s="1074"/>
    </row>
    <row r="241" spans="1:4">
      <c r="A241" s="1072"/>
      <c r="B241" t="s">
        <v>790</v>
      </c>
      <c r="C241" t="s">
        <v>792</v>
      </c>
      <c r="D241" s="1074"/>
    </row>
    <row r="242" spans="1:4">
      <c r="A242" s="1072"/>
      <c r="B242" t="s">
        <v>791</v>
      </c>
      <c r="C242" t="s">
        <v>794</v>
      </c>
      <c r="D242" s="1074"/>
    </row>
    <row r="243" spans="1:4">
      <c r="A243" s="1072"/>
      <c r="B243" t="s">
        <v>797</v>
      </c>
      <c r="C243" t="s">
        <v>796</v>
      </c>
      <c r="D243" s="1074"/>
    </row>
    <row r="244" spans="1:4">
      <c r="A244" s="1072"/>
      <c r="B244" t="s">
        <v>143</v>
      </c>
      <c r="C244" t="s">
        <v>798</v>
      </c>
      <c r="D244" s="1074"/>
    </row>
    <row r="245" spans="1:4">
      <c r="A245" s="1072"/>
      <c r="B245" t="s">
        <v>21</v>
      </c>
      <c r="C245" t="s">
        <v>804</v>
      </c>
      <c r="D245" s="1074"/>
    </row>
    <row r="246" spans="1:4">
      <c r="A246" s="1072"/>
      <c r="B246" t="s">
        <v>789</v>
      </c>
      <c r="C246" t="s">
        <v>805</v>
      </c>
      <c r="D246" s="1074"/>
    </row>
    <row r="260" spans="1:3">
      <c r="A260" s="7" t="s">
        <v>144</v>
      </c>
    </row>
    <row r="262" spans="1:3">
      <c r="C262" t="s">
        <v>145</v>
      </c>
    </row>
    <row r="263" spans="1:3">
      <c r="B263" t="s">
        <v>146</v>
      </c>
    </row>
    <row r="264" spans="1:3">
      <c r="B264" t="s">
        <v>147</v>
      </c>
    </row>
    <row r="265" spans="1:3">
      <c r="B265" t="s">
        <v>148</v>
      </c>
      <c r="C265" t="s">
        <v>149</v>
      </c>
    </row>
    <row r="266" spans="1:3">
      <c r="B266" t="s">
        <v>150</v>
      </c>
    </row>
    <row r="267" spans="1:3">
      <c r="B267" t="s">
        <v>151</v>
      </c>
      <c r="C267" t="s">
        <v>152</v>
      </c>
    </row>
    <row r="268" spans="1:3">
      <c r="B268" t="s">
        <v>153</v>
      </c>
    </row>
    <row r="279" spans="2:2" ht="16.5">
      <c r="B279" s="708" t="s">
        <v>154</v>
      </c>
    </row>
  </sheetData>
  <sheetProtection formatCells="0" selectLockedCells="1" selectUnlockedCells="1"/>
  <dataConsolidate/>
  <mergeCells count="31">
    <mergeCell ref="A3:A9"/>
    <mergeCell ref="A10:A48"/>
    <mergeCell ref="A49:A55"/>
    <mergeCell ref="A56:A128"/>
    <mergeCell ref="A129:A137"/>
    <mergeCell ref="D3:D9"/>
    <mergeCell ref="D10:D48"/>
    <mergeCell ref="D49:D55"/>
    <mergeCell ref="B56:B128"/>
    <mergeCell ref="B10:B48"/>
    <mergeCell ref="D155:D161"/>
    <mergeCell ref="D56:D128"/>
    <mergeCell ref="D129:D133"/>
    <mergeCell ref="D134:D137"/>
    <mergeCell ref="A141:A142"/>
    <mergeCell ref="A209:A246"/>
    <mergeCell ref="D209:D246"/>
    <mergeCell ref="A175:A208"/>
    <mergeCell ref="D139:D140"/>
    <mergeCell ref="D141:D142"/>
    <mergeCell ref="A139:A140"/>
    <mergeCell ref="B139:B140"/>
    <mergeCell ref="A147:A154"/>
    <mergeCell ref="D147:D154"/>
    <mergeCell ref="D175:D182"/>
    <mergeCell ref="D183:D190"/>
    <mergeCell ref="D191:D199"/>
    <mergeCell ref="D200:D208"/>
    <mergeCell ref="A162:A165"/>
    <mergeCell ref="D162:D165"/>
    <mergeCell ref="A155:A161"/>
  </mergeCells>
  <conditionalFormatting sqref="D2">
    <cfRule type="iconSet" priority="22">
      <iconSet iconSet="3Symbols2" showValue="0">
        <cfvo type="percent" val="0"/>
        <cfvo type="num" val="0"/>
        <cfvo type="num" val="1"/>
      </iconSet>
    </cfRule>
  </conditionalFormatting>
  <conditionalFormatting sqref="D138">
    <cfRule type="iconSet" priority="21">
      <iconSet iconSet="3Symbols2" showValue="0">
        <cfvo type="percent" val="0"/>
        <cfvo type="num" val="0"/>
        <cfvo type="num" val="1"/>
      </iconSet>
    </cfRule>
  </conditionalFormatting>
  <conditionalFormatting sqref="D143">
    <cfRule type="iconSet" priority="20">
      <iconSet iconSet="3Symbols2" showValue="0">
        <cfvo type="percent" val="0"/>
        <cfvo type="num" val="0"/>
        <cfvo type="num" val="1"/>
      </iconSet>
    </cfRule>
  </conditionalFormatting>
  <conditionalFormatting sqref="D144">
    <cfRule type="iconSet" priority="19">
      <iconSet iconSet="3Symbols2" showValue="0">
        <cfvo type="percent" val="0"/>
        <cfvo type="num" val="0"/>
        <cfvo type="num" val="1"/>
      </iconSet>
    </cfRule>
  </conditionalFormatting>
  <conditionalFormatting sqref="D145">
    <cfRule type="iconSet" priority="18">
      <iconSet iconSet="3Symbols2" showValue="0">
        <cfvo type="percent" val="0"/>
        <cfvo type="num" val="0"/>
        <cfvo type="num" val="1"/>
      </iconSet>
    </cfRule>
  </conditionalFormatting>
  <conditionalFormatting sqref="D146">
    <cfRule type="iconSet" priority="17">
      <iconSet iconSet="3Symbols2" showValue="0">
        <cfvo type="percent" val="0"/>
        <cfvo type="num" val="0"/>
        <cfvo type="num" val="1"/>
      </iconSet>
    </cfRule>
  </conditionalFormatting>
  <conditionalFormatting sqref="D155">
    <cfRule type="iconSet" priority="16">
      <iconSet iconSet="3Symbols2" showValue="0">
        <cfvo type="percent" val="0"/>
        <cfvo type="num" val="0"/>
        <cfvo type="num" val="1"/>
      </iconSet>
    </cfRule>
  </conditionalFormatting>
  <conditionalFormatting sqref="D166">
    <cfRule type="iconSet" priority="14">
      <iconSet iconSet="3Symbols2" showValue="0">
        <cfvo type="percent" val="0"/>
        <cfvo type="num" val="0"/>
        <cfvo type="num" val="1"/>
      </iconSet>
    </cfRule>
  </conditionalFormatting>
  <conditionalFormatting sqref="D167">
    <cfRule type="iconSet" priority="13">
      <iconSet iconSet="3Symbols2" showValue="0">
        <cfvo type="percent" val="0"/>
        <cfvo type="num" val="0"/>
        <cfvo type="num" val="1"/>
      </iconSet>
    </cfRule>
  </conditionalFormatting>
  <conditionalFormatting sqref="D168">
    <cfRule type="iconSet" priority="12">
      <iconSet iconSet="3Symbols2" showValue="0">
        <cfvo type="percent" val="0"/>
        <cfvo type="num" val="0"/>
        <cfvo type="num" val="1"/>
      </iconSet>
    </cfRule>
  </conditionalFormatting>
  <conditionalFormatting sqref="D169">
    <cfRule type="iconSet" priority="11">
      <iconSet iconSet="3Symbols2" showValue="0">
        <cfvo type="percent" val="0"/>
        <cfvo type="num" val="0"/>
        <cfvo type="num" val="1"/>
      </iconSet>
    </cfRule>
  </conditionalFormatting>
  <conditionalFormatting sqref="D170">
    <cfRule type="iconSet" priority="10">
      <iconSet iconSet="3Symbols2" showValue="0">
        <cfvo type="percent" val="0"/>
        <cfvo type="num" val="0"/>
        <cfvo type="num" val="1"/>
      </iconSet>
    </cfRule>
  </conditionalFormatting>
  <conditionalFormatting sqref="D171 D173">
    <cfRule type="iconSet" priority="9">
      <iconSet iconSet="3Symbols2" showValue="0">
        <cfvo type="percent" val="0"/>
        <cfvo type="num" val="0"/>
        <cfvo type="num" val="1"/>
      </iconSet>
    </cfRule>
  </conditionalFormatting>
  <conditionalFormatting sqref="D174">
    <cfRule type="iconSet" priority="8">
      <iconSet iconSet="3Symbols2" showValue="0">
        <cfvo type="percent" val="0"/>
        <cfvo type="num" val="0"/>
        <cfvo type="num" val="1"/>
      </iconSet>
    </cfRule>
  </conditionalFormatting>
  <conditionalFormatting sqref="D200">
    <cfRule type="iconSet" priority="6">
      <iconSet iconSet="3Symbols2" showValue="0">
        <cfvo type="percent" val="0"/>
        <cfvo type="num" val="0"/>
        <cfvo type="num" val="1"/>
      </iconSet>
    </cfRule>
  </conditionalFormatting>
  <conditionalFormatting sqref="D191:D199">
    <cfRule type="iconSet" priority="5">
      <iconSet iconSet="3Symbols2" showValue="0">
        <cfvo type="percent" val="0"/>
        <cfvo type="num" val="0"/>
        <cfvo type="num" val="1"/>
      </iconSet>
    </cfRule>
  </conditionalFormatting>
  <conditionalFormatting sqref="D172">
    <cfRule type="iconSet" priority="1">
      <iconSet iconSet="3Symbols2" showValue="0">
        <cfvo type="percent" val="0"/>
        <cfvo type="num" val="0"/>
        <cfvo type="num" val="1"/>
      </iconSet>
    </cfRule>
    <cfRule type="iconSet" priority="2">
      <iconSet iconSet="3Symbols2">
        <cfvo type="percent" val="0"/>
        <cfvo type="num" val="0"/>
        <cfvo type="num" val="1"/>
      </iconSet>
    </cfRule>
    <cfRule type="iconSet" priority="3">
      <iconSet showValue="0">
        <cfvo type="percent" val="0"/>
        <cfvo type="percent" val="33"/>
        <cfvo type="percent" val="67"/>
      </iconSet>
    </cfRule>
    <cfRule type="iconSet" priority="4">
      <iconSet iconSet="3Symbols2">
        <cfvo type="percent" val="0"/>
        <cfvo type="num" val="0"/>
        <cfvo type="num" val="1"/>
      </iconSet>
    </cfRule>
  </conditionalFormatting>
  <conditionalFormatting sqref="D173:D175 D141 D2:D3 D129 D10 D49 D56 D134 D138:D139 D143:D147 D155 D162 D166:D171">
    <cfRule type="iconSet" priority="1505">
      <iconSet iconSet="3Symbols2" showValue="0">
        <cfvo type="percent" val="0"/>
        <cfvo type="num" val="0"/>
        <cfvo type="num" val="1"/>
      </iconSet>
    </cfRule>
    <cfRule type="iconSet" priority="1506">
      <iconSet iconSet="3Symbols2">
        <cfvo type="percent" val="0"/>
        <cfvo type="num" val="0"/>
        <cfvo type="num" val="1"/>
      </iconSet>
    </cfRule>
    <cfRule type="iconSet" priority="1507">
      <iconSet showValue="0">
        <cfvo type="percent" val="0"/>
        <cfvo type="percent" val="33"/>
        <cfvo type="percent" val="67"/>
      </iconSet>
    </cfRule>
    <cfRule type="iconSet" priority="1508">
      <iconSet iconSet="3Symbols2">
        <cfvo type="percent" val="0"/>
        <cfvo type="num" val="0"/>
        <cfvo type="num" val="1"/>
      </iconSet>
    </cfRule>
  </conditionalFormatting>
  <conditionalFormatting sqref="D162">
    <cfRule type="iconSet" priority="1509">
      <iconSet iconSet="3Symbols2" showValue="0">
        <cfvo type="percent" val="0"/>
        <cfvo type="num" val="0"/>
        <cfvo type="num" val="1"/>
      </iconSet>
    </cfRule>
  </conditionalFormatting>
  <conditionalFormatting sqref="D183:D190">
    <cfRule type="iconSet" priority="1511">
      <iconSet iconSet="3Symbols2" showValue="0">
        <cfvo type="percent" val="0"/>
        <cfvo type="num" val="0"/>
        <cfvo type="num" val="1"/>
      </iconSet>
    </cfRule>
  </conditionalFormatting>
  <hyperlinks>
    <hyperlink ref="C191" r:id="rId1" display="https://jenkins.us.planview.world/job/deploy_prm_adapter/build?delay=0sec"/>
    <hyperlink ref="C200" r:id="rId2" display="https://jenkins.us.planview.world/job/deploy_prm_adapter/build?delay=0sec"/>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
  <sheetViews>
    <sheetView workbookViewId="0">
      <selection activeCell="A3" sqref="A3"/>
    </sheetView>
  </sheetViews>
  <sheetFormatPr defaultRowHeight="15"/>
  <cols>
    <col min="1" max="1" width="1.85546875" bestFit="1" customWidth="1"/>
    <col min="2" max="2" width="74.7109375" bestFit="1" customWidth="1"/>
    <col min="3" max="3" width="30.140625" bestFit="1" customWidth="1"/>
    <col min="4" max="4" width="24.85546875" bestFit="1" customWidth="1"/>
  </cols>
  <sheetData>
    <row r="1" spans="1:4" ht="36">
      <c r="A1" s="663"/>
      <c r="B1" s="664" t="s">
        <v>129</v>
      </c>
      <c r="C1" s="665" t="s">
        <v>114</v>
      </c>
      <c r="D1" s="666" t="s">
        <v>113</v>
      </c>
    </row>
    <row r="2" spans="1:4">
      <c r="A2" s="68">
        <v>1</v>
      </c>
      <c r="B2" s="706"/>
      <c r="C2" s="447"/>
      <c r="D2" s="50"/>
    </row>
    <row r="3" spans="1:4">
      <c r="A3" s="936">
        <v>2</v>
      </c>
      <c r="B3" s="707"/>
      <c r="C3" s="183"/>
      <c r="D3" s="939"/>
    </row>
    <row r="4" spans="1:4">
      <c r="A4" s="936">
        <v>3</v>
      </c>
      <c r="B4" s="707"/>
      <c r="C4" s="183"/>
      <c r="D4" s="939"/>
    </row>
    <row r="5" spans="1:4">
      <c r="A5" s="936"/>
      <c r="B5" s="707"/>
      <c r="C5" s="183"/>
      <c r="D5" s="939"/>
    </row>
    <row r="6" spans="1:4">
      <c r="A6" s="936"/>
      <c r="B6" s="707"/>
      <c r="C6" s="183"/>
      <c r="D6" s="939"/>
    </row>
  </sheetData>
  <conditionalFormatting sqref="D2:D6">
    <cfRule type="iconSet" priority="1">
      <iconSet iconSet="3Symbols2" showValue="0">
        <cfvo type="percent" val="0"/>
        <cfvo type="num" val="0"/>
        <cfvo type="num" val="1"/>
      </iconSet>
    </cfRule>
    <cfRule type="iconSet" priority="2">
      <iconSet iconSet="3Symbols2">
        <cfvo type="percent" val="0"/>
        <cfvo type="num" val="0"/>
        <cfvo type="num" val="1"/>
      </iconSet>
    </cfRule>
    <cfRule type="iconSet" priority="3">
      <iconSet showValue="0">
        <cfvo type="percent" val="0"/>
        <cfvo type="percent" val="33"/>
        <cfvo type="percent" val="67"/>
      </iconSet>
    </cfRule>
    <cfRule type="iconSet" priority="4">
      <iconSet iconSet="3Symbols2">
        <cfvo type="percent" val="0"/>
        <cfvo type="num" val="0"/>
        <cfvo type="num" val="1"/>
      </iconSet>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'https://planview.sharepoint.com/sites/E1BuildCutover/Shared Documents/Customer Builds/1_FolderTemplate/18/[NewLogo_Upgrade_v3.0.xlsx]AutoPop'!#REF!</xm:f>
          </x14:formula1>
          <xm:sqref>D2:D6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89"/>
  <sheetViews>
    <sheetView zoomScale="85" zoomScaleNormal="85" workbookViewId="0">
      <selection activeCell="C92" sqref="C92"/>
    </sheetView>
  </sheetViews>
  <sheetFormatPr defaultRowHeight="15"/>
  <cols>
    <col min="1" max="1" width="4.140625" bestFit="1" customWidth="1"/>
    <col min="2" max="2" width="55.5703125" style="159" bestFit="1" customWidth="1"/>
    <col min="3" max="3" width="208.140625" style="157" bestFit="1" customWidth="1"/>
    <col min="4" max="4" width="26" bestFit="1" customWidth="1"/>
  </cols>
  <sheetData>
    <row r="1" spans="1:4" ht="18">
      <c r="A1" s="260"/>
      <c r="B1" s="239" t="s">
        <v>129</v>
      </c>
      <c r="C1" s="239" t="s">
        <v>114</v>
      </c>
      <c r="D1" s="240" t="s">
        <v>113</v>
      </c>
    </row>
    <row r="2" spans="1:4" ht="30">
      <c r="A2" s="541">
        <v>1</v>
      </c>
      <c r="B2" s="542" t="s">
        <v>155</v>
      </c>
      <c r="C2" s="543" t="s">
        <v>156</v>
      </c>
      <c r="D2" s="661"/>
    </row>
    <row r="3" spans="1:4" ht="15" customHeight="1">
      <c r="A3" s="1065">
        <v>1</v>
      </c>
      <c r="B3" s="164" t="s">
        <v>157</v>
      </c>
      <c r="C3" s="152"/>
      <c r="D3" s="945"/>
    </row>
    <row r="4" spans="1:4" ht="15" customHeight="1">
      <c r="A4" s="1066"/>
      <c r="B4" s="511" t="str">
        <f>IF(MasterConfig!B25=TRUE,IF('Build Data'!B22&lt;&gt;'Build Data'!C22,"Align PVE CPU's","No PVE CPU Alignment Required"),"Skip this step")</f>
        <v>Skip this step</v>
      </c>
      <c r="C4" s="471" t="str">
        <f>IF(MasterConfig!B25=TRUE,IF(B17="No SQL RAM Alignment Required","No Action Needed",'Build Data'!B21&amp;" "&amp;'Build Data'!B22&amp;" - "&amp;'Build Data'!C21&amp;" "&amp;'Build Data'!C22),"Skip this step - No PVE Server")</f>
        <v>Skip this step - No PVE Server</v>
      </c>
      <c r="D4" s="1084">
        <f>IF(B4="Skip this step",1,"")</f>
        <v>1</v>
      </c>
    </row>
    <row r="5" spans="1:4" ht="15" customHeight="1">
      <c r="A5" s="1066"/>
      <c r="B5" s="512" t="str">
        <f>IF(MasterConfig!B25=TRUE,IF('Build Data'!B37&lt;&gt;'Build Data'!C37,"Align PVE RAM","No PVE RAM Alignment Required"),"")</f>
        <v/>
      </c>
      <c r="C5" s="471" t="str">
        <f>IF(MasterConfig!B25=TRUE,IF(B17="No SQL RAM Alignment Required","No Action Needed",'Build Data'!B21&amp;" "&amp;'Build Data'!B37&amp;" - "&amp;'Build Data'!C21&amp;" "&amp;'Build Data'!C37),"")</f>
        <v/>
      </c>
      <c r="D5" s="1084"/>
    </row>
    <row r="6" spans="1:4">
      <c r="A6" s="1066"/>
      <c r="B6" s="513" t="str">
        <f>IF(MasterConfig!B25=TRUE,IF('Build Data'!B38&lt;&gt;'Build Data'!C38,"Align PVE Disk","No PVE Disk Alignment Required"),"")</f>
        <v/>
      </c>
      <c r="C6" s="471" t="str">
        <f>IF(MasterConfig!B25=TRUE,IF(B6="No PVE Disk Alignment Required","No Action Needed","Align Prod and SB PVE Disk"),"")</f>
        <v/>
      </c>
      <c r="D6" s="1084"/>
    </row>
    <row r="7" spans="1:4">
      <c r="A7" s="1066"/>
      <c r="B7" s="514" t="str">
        <f>IF(MasterConfig!B25=TRUE,"Skip this step",IF('Build Data'!B39&lt;&gt;'Build Data'!C39,"Align Web CPU's","No Web CPU Alignment Required"))</f>
        <v>No Web CPU Alignment Required</v>
      </c>
      <c r="C7" s="153" t="str">
        <f>IF(MasterConfig!B25=TRUE,"Skip this step - No Web Server",IF(B7="No Web CPU Alignment Required","No Action Needed",'Build Data'!B21&amp;" "&amp;'Build Data'!B39&amp;" - "&amp;'Build Data'!C21&amp;" "&amp;'Build Data'!C39))</f>
        <v>No Action Needed</v>
      </c>
      <c r="D7" s="1087"/>
    </row>
    <row r="8" spans="1:4" ht="18" customHeight="1">
      <c r="A8" s="1066"/>
      <c r="B8" s="514" t="str">
        <f>IF(MasterConfig!B25=TRUE,"",IF('Build Data'!B40&lt;&gt;'Build Data'!C40,"Align Web RAM","No Web RAM Alignment Required"))</f>
        <v>No Web RAM Alignment Required</v>
      </c>
      <c r="C8" s="153" t="str">
        <f>IF(MasterConfig!B25=TRUE,"",IF(B8="No Web RAM Alignment Required","No Action Needed",'Build Data'!B21&amp;" "&amp;'Build Data'!B40&amp;" - "&amp;'Build Data'!C21&amp;" "&amp;'Build Data'!C40))</f>
        <v>No Action Needed</v>
      </c>
      <c r="D8" s="1087"/>
    </row>
    <row r="9" spans="1:4">
      <c r="A9" s="1066"/>
      <c r="B9" s="514" t="str">
        <f>IF(MasterConfig!B25=TRUE,"",IF('Build Data'!B46&lt;&gt;'Build Data'!C46,"Align Web Disk","No Web Disk Alignment Required"))</f>
        <v>No Web Disk Alignment Required</v>
      </c>
      <c r="C9" s="153" t="str">
        <f>IF(MasterConfig!B25=TRUE,"",IF(B9="No Web Disk Alignment Required","No Action Needed","Align Prod and SB Web Disk"))</f>
        <v>No Action Needed</v>
      </c>
      <c r="D9" s="1087"/>
    </row>
    <row r="10" spans="1:4">
      <c r="A10" s="1066"/>
      <c r="B10" s="511" t="str">
        <f>IF(MasterConfig!B25=TRUE,"Skip this step",IF('Build Data'!B47&lt;&gt;'Build Data'!C47,"Align App CPU's","No App CPU Alignment Required"))</f>
        <v>No App CPU Alignment Required</v>
      </c>
      <c r="C10" s="471" t="str">
        <f>IF(MasterConfig!B25=TRUE,"Skip this step - No App Server",IF(B10="No App CPU Alignment Required","No Action Needed",'Build Data'!B21&amp;" "&amp;'Build Data'!B47&amp;" - "&amp;'Build Data'!C21&amp;" "&amp;'Build Data'!C47))</f>
        <v>No Action Needed</v>
      </c>
      <c r="D10" s="1084"/>
    </row>
    <row r="11" spans="1:4">
      <c r="A11" s="1066"/>
      <c r="B11" s="512" t="str">
        <f>IF(MasterConfig!B25=TRUE,"",IF('Build Data'!B48&lt;&gt;'Build Data'!C48,"Align App RAM","No App RAM Alignment Required"))</f>
        <v>No App RAM Alignment Required</v>
      </c>
      <c r="C11" s="471" t="str">
        <f>IF(MasterConfig!B25=TRUE,"",IF(B11="No App RAM Alignment Required","No Action Needed",'Build Data'!B21&amp;" "&amp;'Build Data'!B48&amp;" - "&amp;'Build Data'!C21&amp;" "&amp;'Build Data'!C48))</f>
        <v>No Action Needed</v>
      </c>
      <c r="D11" s="1084"/>
    </row>
    <row r="12" spans="1:4">
      <c r="A12" s="1066"/>
      <c r="B12" s="513" t="str">
        <f>IF(MasterConfig!B25=TRUE,"",IF('Build Data'!B50&lt;&gt;'Build Data'!C50,"Align App Disk","No App Disk Alignment Required"))</f>
        <v>No App Disk Alignment Required</v>
      </c>
      <c r="C12" s="471" t="str">
        <f>IF(MasterConfig!B25=TRUE,"",IF(B12="No App Disk Alignment Required","No Action Needed","Align Prod and SB App CPU's"))</f>
        <v>No Action Needed</v>
      </c>
      <c r="D12" s="1084"/>
    </row>
    <row r="13" spans="1:4">
      <c r="A13" s="1066"/>
      <c r="B13" s="514" t="str">
        <f>IF(MasterConfig!B24=TRUE,"Skip this step",IF('Build Data'!B52&lt;&gt;'Build Data'!C52,"Align SAS CPU's","No SAS CPU Alignment Required"))</f>
        <v>No SAS CPU Alignment Required</v>
      </c>
      <c r="C13" s="153" t="str">
        <f>IF(MasterConfig!B24=TRUE,"Skip this step - No SAS Server",IF(B13="No SAS CPU Alignment Required","No Action Needed",'Build Data'!B21&amp;" "&amp;'Build Data'!B52&amp;" - "&amp;'Build Data'!C21&amp;" "&amp;'Build Data'!C52))</f>
        <v>No Action Needed</v>
      </c>
      <c r="D13" s="1087"/>
    </row>
    <row r="14" spans="1:4">
      <c r="A14" s="1066"/>
      <c r="B14" s="514" t="str">
        <f>IF(MasterConfig!B24=TRUE,"",IF('Build Data'!B53&lt;&gt;'Build Data'!C53,"Align SAS RAM","No SAS RAM Alignment Required"))</f>
        <v>No SAS RAM Alignment Required</v>
      </c>
      <c r="C14" s="153" t="str">
        <f>IF(MasterConfig!B24=TRUE,"",IF(B14="No SAS RAM Alignment Required","No Action Needed",'Build Data'!B21&amp;" "&amp;'Build Data'!B53&amp;" - "&amp;'Build Data'!C21&amp;" "&amp;'Build Data'!C53))</f>
        <v>No Action Needed</v>
      </c>
      <c r="D14" s="1087"/>
    </row>
    <row r="15" spans="1:4">
      <c r="A15" s="1066"/>
      <c r="B15" s="514" t="str">
        <f>IF(MasterConfig!B24=TRUE,"",IF('Build Data'!B54&lt;&gt;'Build Data'!C54,"Align SAS Disk","No SAS Disk Alignment Required"))</f>
        <v>No SAS Disk Alignment Required</v>
      </c>
      <c r="C15" s="153" t="str">
        <f>IF(MasterConfig!B24=TRUE,"",IF(B15="No SAS Disk Alignment Required","No Action Needed","Align Prod and SB SAS CPU's"))</f>
        <v>No Action Needed</v>
      </c>
      <c r="D15" s="1087"/>
    </row>
    <row r="16" spans="1:4">
      <c r="A16" s="1066"/>
      <c r="B16" s="511" t="str">
        <f>IF('Build Data'!B59&lt;&gt;'Build Data'!C59,"Align SQL CPU's","No SQL CPU Alignment Required")</f>
        <v>No SQL CPU Alignment Required</v>
      </c>
      <c r="C16" s="471" t="str">
        <f>IF(B16="No SQL CPU Alignment Required","No Action Needed",'Build Data'!B21&amp;" "&amp;'Build Data'!B59&amp;" - "&amp;'Build Data'!C21&amp;" "&amp;'Build Data'!C59)</f>
        <v>No Action Needed</v>
      </c>
      <c r="D16" s="1084"/>
    </row>
    <row r="17" spans="1:4">
      <c r="A17" s="1066"/>
      <c r="B17" s="512" t="str">
        <f>IF('Build Data'!B60&lt;&gt;'Build Data'!C60,"Align SQL RAM","No SQL RAM Alignment Required")</f>
        <v>No SQL RAM Alignment Required</v>
      </c>
      <c r="C17" s="471" t="str">
        <f>IF(B17="No SQL RAM Alignment Required","No Action Needed",'Build Data'!B21&amp;" "&amp;'Build Data'!B60&amp;" - "&amp;'Build Data'!C21&amp;" "&amp;'Build Data'!C60)</f>
        <v>No Action Needed</v>
      </c>
      <c r="D17" s="1084"/>
    </row>
    <row r="18" spans="1:4">
      <c r="A18" s="1066"/>
      <c r="B18" s="515" t="str">
        <f>IF('Build Data'!B61&lt;&gt;'Build Data'!C61,"Align SQL Disks","No SQL Disk Alignment Required")</f>
        <v>No SQL Disk Alignment Required</v>
      </c>
      <c r="C18" s="471" t="str">
        <f>IF(B18="No SQL Disk Alignment Required","No Action Needed","Align Prod and SB SQL Disk")</f>
        <v>No Action Needed</v>
      </c>
      <c r="D18" s="1084"/>
    </row>
    <row r="19" spans="1:4">
      <c r="A19" s="1066"/>
      <c r="B19" s="321" t="str">
        <f>IF('Build Data'!B62&lt;&gt;'Build Data'!C62,"Align SQL MAX DOP","No SQL MAX DOP Alignment Required")</f>
        <v>No SQL MAX DOP Alignment Required</v>
      </c>
      <c r="C19" s="471" t="str">
        <f>IF(B19="No SQL MAX DOP Alignment Required","No Action Needed",'Build Data'!B21&amp;" "&amp;'Build Data'!B62&amp;" - "&amp;'Build Data'!C21&amp;" "&amp;'Build Data'!C62)</f>
        <v>No Action Needed</v>
      </c>
      <c r="D19" s="1084"/>
    </row>
    <row r="20" spans="1:4">
      <c r="A20" s="1066"/>
      <c r="B20" s="513" t="str">
        <f>IF('Build Data'!B63&lt;&gt;'Build Data'!C63,"Align SQL COST THRESHOLD","No SQL COST THRESHOLD Alignment Required")</f>
        <v>No SQL COST THRESHOLD Alignment Required</v>
      </c>
      <c r="C20" s="471" t="str">
        <f>IF(B20="No SQL COST THRESHOLD Alignment Required","No Action Needed",'Build Data'!B21&amp;" "&amp;'Build Data'!B63&amp;" - "&amp;'Build Data'!C21&amp;" "&amp;'Build Data'!C63)</f>
        <v>No Action Needed</v>
      </c>
      <c r="D20" s="1084"/>
    </row>
    <row r="21" spans="1:4">
      <c r="A21" s="1066"/>
      <c r="B21" s="514" t="str">
        <f>IF('Build Data'!B67&lt;&gt;'Build Data'!C67,"Align CTM CPU's","No CTM CPU Alignment Required")</f>
        <v>No CTM CPU Alignment Required</v>
      </c>
      <c r="C21" s="153" t="str">
        <f>IF(B21="No CTM CPU Alignment Required","No Action Needed",'Build Data'!B21&amp;" "&amp;'Build Data'!B67&amp;" - "&amp;'Build Data'!C21&amp;" "&amp;'Build Data'!C67)</f>
        <v>No Action Needed</v>
      </c>
      <c r="D21" s="1087"/>
    </row>
    <row r="22" spans="1:4">
      <c r="A22" s="1066"/>
      <c r="B22" s="514" t="str">
        <f>IF('Build Data'!B68&lt;&gt;'Build Data'!C68,"Align CTM RAM","No CTM RAM Alignment Required")</f>
        <v>No CTM RAM Alignment Required</v>
      </c>
      <c r="C22" s="153" t="str">
        <f>IF(B22="No CTM RAM Alignment Required","No Action Needed",'Build Data'!B21&amp;" "&amp;'Build Data'!B68&amp;" - "&amp;'Build Data'!C21&amp;" "&amp;'Build Data'!C68)</f>
        <v>No Action Needed</v>
      </c>
      <c r="D22" s="1087"/>
    </row>
    <row r="23" spans="1:4">
      <c r="A23" s="1067"/>
      <c r="B23" s="514" t="str">
        <f>IF('Build Data'!B71&lt;&gt;'Build Data'!C71,"Align CTM Disk","No CTM Disk Alignment Required")</f>
        <v>No CTM Disk Alignment Required</v>
      </c>
      <c r="C23" s="153" t="str">
        <f>IF(B23="No CTM Disk Alignment Required","No Action Needed","Align Prod and SB CTM Disk")</f>
        <v>No Action Needed</v>
      </c>
      <c r="D23" s="1087"/>
    </row>
    <row r="24" spans="1:4">
      <c r="A24" s="1085">
        <v>2</v>
      </c>
      <c r="B24" s="549" t="str">
        <f>IF(MasterConfig!B24=TRUE,"Take AMIs of the following server","Snapshots")</f>
        <v>Snapshots</v>
      </c>
      <c r="C24" s="555" t="str">
        <f>IF('Build Data'!F13=TRUE,"https://jenkins.planviewcloud.net/job/create_ami_pipe/build?delay=0sec",IF('Build Data'!F7="ln","https://jenkins.eu.planview.world/job/vmguest_create_snapshot/build?delay=0sec",IF('Build Data'!F7="sg","https://jenkins.us.planview.world/job/vmguest_create_snapshot/build?delay=0sec","")))</f>
        <v/>
      </c>
      <c r="D24" s="1083"/>
    </row>
    <row r="25" spans="1:4">
      <c r="A25" s="1086"/>
      <c r="B25" s="547" t="str">
        <f>IF('Build Data'!F13=TRUE,"TARGET_SERVER_NAME",IF('Build Data'!F13=FALSE,"VM_GUEST_NAME",""))</f>
        <v>VM_GUEST_NAME</v>
      </c>
      <c r="C25" s="552" t="str">
        <f>IF('Build Data'!I11&lt;&gt;"",'Build Data'!I11,"")</f>
        <v/>
      </c>
      <c r="D25" s="1084"/>
    </row>
    <row r="26" spans="1:4">
      <c r="A26" s="1086"/>
      <c r="B26" s="516" t="str">
        <f>IF('Build Data'!F13=TRUE,"AMI_TYPE",IF('Build Data'!F13=FALSE,"SNAPSHOT_NAME",""))</f>
        <v>SNAPSHOT_NAME</v>
      </c>
      <c r="C26" s="552" t="str">
        <f>IF('Build Data'!F13&lt;&gt;"","Pre_e1r17_SB_Alignment","")</f>
        <v/>
      </c>
      <c r="D26" s="1084"/>
    </row>
    <row r="27" spans="1:4">
      <c r="A27" s="1086"/>
      <c r="B27" s="516" t="str">
        <f>IF('Build Data'!F13=TRUE,"NODE_LABEL",IF('Build Data'!F13=FALSE,"",""))</f>
        <v/>
      </c>
      <c r="C27" s="548" t="str">
        <f>IF(AND('Build Data'!F13=TRUE,'Build Data'!F7="au"),Automation!F76,IF(AND('Build Data'!F13=TRUE,'Build Data'!F7="fr"),Automation!F77,""))</f>
        <v/>
      </c>
      <c r="D27" s="1084"/>
    </row>
    <row r="28" spans="1:4">
      <c r="A28" s="1086"/>
      <c r="B28" s="550"/>
      <c r="C28" s="554" t="str">
        <f>IF('Build Data'!F13=TRUE,"",IF('Build Data'!F7="ln","https://jenkins.eu.planview.world/job/vmguest_create_snapshot/build?delay=0sec",IF('Build Data'!F7="sg","https://jenkins.us.planview.world/job/vmguest_create_snapshot/build?delay=0sec","")))</f>
        <v/>
      </c>
      <c r="D28" s="1084"/>
    </row>
    <row r="29" spans="1:4">
      <c r="A29" s="1086"/>
      <c r="B29" s="550" t="str">
        <f>IF('Build Data'!F13=TRUE,"",IF('Build Data'!F13=FALSE,"VM_GUEST_NAME",""))</f>
        <v>VM_GUEST_NAME</v>
      </c>
      <c r="C29" s="553" t="str">
        <f>IF('Build Data'!F13=TRUE,"",IF('Build Data'!F13=FALSE,'Build Data'!I13,""))</f>
        <v/>
      </c>
      <c r="D29" s="1084"/>
    </row>
    <row r="30" spans="1:4">
      <c r="A30" s="1086"/>
      <c r="B30" s="551" t="str">
        <f>IF('Build Data'!F13=TRUE,"",IF('Build Data'!F13=FALSE,"SNAPSHOT_NAME",""))</f>
        <v>SNAPSHOT_NAME</v>
      </c>
      <c r="C30" s="548" t="str">
        <f>IF('Build Data'!F13=TRUE,"","Pre_e1r17_SB_Alignment")</f>
        <v>Pre_e1r17_SB_Alignment</v>
      </c>
      <c r="D30" s="1084"/>
    </row>
    <row r="31" spans="1:4">
      <c r="A31" s="1086"/>
      <c r="B31" s="547"/>
      <c r="C31" s="502"/>
      <c r="D31" s="1084"/>
    </row>
    <row r="32" spans="1:4">
      <c r="A32" s="1065">
        <v>3</v>
      </c>
      <c r="B32" s="530" t="s">
        <v>158</v>
      </c>
      <c r="C32" s="527" t="str">
        <f>IF('Build Data'!F13=TRUE,"$Files = Get-ChildItem F:\Deploy\*.sql -rec","")</f>
        <v/>
      </c>
      <c r="D32" s="1090"/>
    </row>
    <row r="33" spans="1:4">
      <c r="A33" s="1066"/>
      <c r="B33" s="531" t="str">
        <f>IF(AND('Build Data'!F13=TRUE,'Build Data'!F7="fr"),"Run from Frankfurt Jumpbox, jumpbox01fr",IF(AND('Build Data'!F13=TRUE,'Build Data'!F7="au"),"Run from Sydney Jumpbox, jumpbox01",""))</f>
        <v/>
      </c>
      <c r="C33" s="61" t="str">
        <f>IF('Build Data'!F13=TRUE,"foreach ($file in $Files)","")</f>
        <v/>
      </c>
      <c r="D33" s="1087"/>
    </row>
    <row r="34" spans="1:4">
      <c r="A34" s="1066"/>
      <c r="B34" s="964"/>
      <c r="C34" s="61" t="str">
        <f>IF('Build Data'!F13=TRUE,"{","")</f>
        <v/>
      </c>
      <c r="D34" s="1087"/>
    </row>
    <row r="35" spans="1:4">
      <c r="A35" s="1066"/>
      <c r="B35" s="964"/>
      <c r="C35" s="61" t="str">
        <f>IF('Build Data'!F13=TRUE,"(Get-Content $file.PSPath) |","")</f>
        <v/>
      </c>
      <c r="D35" s="1087"/>
    </row>
    <row r="36" spans="1:4">
      <c r="A36" s="1066"/>
      <c r="B36" s="964"/>
      <c r="C36" s="61" t="str">
        <f>IF('Build Data'!F13=TRUE,_xlfn.CONCAT(Automation!D73,Automation!D14,'Build Data'!F8,Automation!D14,Automation!D17,Automation!D34),"")</f>
        <v/>
      </c>
      <c r="D36" s="1087"/>
    </row>
    <row r="37" spans="1:4">
      <c r="A37" s="1066"/>
      <c r="B37" s="964"/>
      <c r="C37" s="61" t="str">
        <f>IF('Build Data'!F13=TRUE,"Set-Content $file.PSPath","")</f>
        <v/>
      </c>
      <c r="D37" s="1087"/>
    </row>
    <row r="38" spans="1:4">
      <c r="A38" s="1066"/>
      <c r="B38" s="964"/>
      <c r="C38" s="61" t="str">
        <f>IF('Build Data'!F13=TRUE,"}","")</f>
        <v/>
      </c>
      <c r="D38" s="1087"/>
    </row>
    <row r="39" spans="1:4">
      <c r="A39" s="1066"/>
      <c r="B39" s="964" t="str">
        <f>IF('Build Data'!F13=TRUE,"","Run from US Jumpbox, sgcvmrdp02")</f>
        <v>Run from US Jumpbox, sgcvmrdp02</v>
      </c>
      <c r="C39" s="61" t="e">
        <f ca="1">IF('Build Data'!F13=TRUE,_xlfn.CONCAT(Automation!B15,Automation!C9,Automation!D96,Automation!C10,Automation!D14,Automation!F42,Automation!D14,Automation!D15,Automation!C11,Automation!D6,Automation!C4),_xlfn.CONCAT(Automation!B15,Automation!C9,Automation!D2,Automation!C10,Automation!D14,'Build Data'!I11,Automation!D14,Automation!D15,Automation!C11,Automation!D6,Automation!C4))</f>
        <v>#NAME?</v>
      </c>
      <c r="D39" s="1087"/>
    </row>
    <row r="40" spans="1:4">
      <c r="A40" s="1066"/>
      <c r="B40" s="964"/>
      <c r="C40" s="61" t="str">
        <f>IF('Build Data'!F13=TRUE,"foreach ($file in $Files)","")</f>
        <v/>
      </c>
      <c r="D40" s="1087"/>
    </row>
    <row r="41" spans="1:4">
      <c r="A41" s="1066"/>
      <c r="B41" s="964"/>
      <c r="C41" s="556" t="str">
        <f>IF('Build Data'!F13=TRUE,"{","")</f>
        <v/>
      </c>
      <c r="D41" s="1087"/>
    </row>
    <row r="42" spans="1:4">
      <c r="A42" s="1066"/>
      <c r="B42" s="964"/>
      <c r="C42" s="61" t="str">
        <f>IF('Build Data'!F13=TRUE,"(Get-Content $file.PSPath) |","")</f>
        <v/>
      </c>
      <c r="D42" s="1087"/>
    </row>
    <row r="43" spans="1:4">
      <c r="A43" s="1066"/>
      <c r="B43" s="964"/>
      <c r="C43" s="61" t="str">
        <f>IF('Build Data'!F13=TRUE,_xlfn.CONCAT(Automation!D74,Automation!D14,'Build Data'!F8,Automation!D14,Automation!D75,Automation!D17,Automation!D34),"")</f>
        <v/>
      </c>
      <c r="D43" s="1087"/>
    </row>
    <row r="44" spans="1:4">
      <c r="A44" s="1066"/>
      <c r="B44" s="964"/>
      <c r="C44" s="61" t="str">
        <f>IF('Build Data'!F13=TRUE,"Set-Content $file.PSPath","")</f>
        <v/>
      </c>
      <c r="D44" s="1087"/>
    </row>
    <row r="45" spans="1:4">
      <c r="A45" s="1066"/>
      <c r="B45" s="964"/>
      <c r="C45" s="61" t="str">
        <f>IF('Build Data'!F13=TRUE,"}","")</f>
        <v/>
      </c>
      <c r="D45" s="1087"/>
    </row>
    <row r="46" spans="1:4">
      <c r="A46" s="1066"/>
      <c r="B46" s="964"/>
      <c r="C46" s="61" t="e">
        <f ca="1">IF('Build Data'!F13=TRUE,_xlfn.CONCAT(Automation!B3,Automation!C23,Automation!F42,Automation!D15,Automation!C24,Automation!C45),_xlfn.CONCAT(Automation!B3,Automation!C23,Automation!F21,Automation!D15,Automation!C24,Automation!C45))</f>
        <v>#NAME?</v>
      </c>
      <c r="D46" s="1087"/>
    </row>
    <row r="47" spans="1:4">
      <c r="A47" s="1066"/>
      <c r="B47" s="964"/>
      <c r="C47" s="61" t="str">
        <f>_xlfn.CONCAT(Automation!D42,Automation!D43)</f>
        <v xml:space="preserve">cd SQLSERVER: </v>
      </c>
      <c r="D47" s="1087"/>
    </row>
    <row r="48" spans="1:4">
      <c r="A48" s="1066"/>
      <c r="B48" s="964"/>
      <c r="C48" s="61" t="s">
        <v>159</v>
      </c>
      <c r="D48" s="1087"/>
    </row>
    <row r="49" spans="1:4">
      <c r="A49" s="1066"/>
      <c r="B49" s="964"/>
      <c r="C49" s="62" t="e">
        <f ca="1">IF('Build Data'!F13=TRUE,_xlfn.CONCAT(Automation!D42,Automation!D44,Automation!F42,Automation!D45),_xlfn.CONCAT(Automation!D42,Automation!D44,Automation!F13,Automation!D45))</f>
        <v>#NAME?</v>
      </c>
      <c r="D49" s="1087"/>
    </row>
    <row r="50" spans="1:4">
      <c r="A50" s="1066"/>
      <c r="B50" s="964"/>
      <c r="C50" s="528" t="s">
        <v>160</v>
      </c>
      <c r="D50" s="1087"/>
    </row>
    <row r="51" spans="1:4">
      <c r="A51" s="1066"/>
      <c r="B51" s="964"/>
      <c r="C51" s="62" t="str">
        <f>_xlfn.CONCAT(Automation!C46,Automation!D47,Automation!D25)</f>
        <v>(get-item DBBackups.0 | FT CurrentRunStatus)</v>
      </c>
      <c r="D51" s="1087"/>
    </row>
    <row r="52" spans="1:4">
      <c r="A52" s="1066"/>
      <c r="B52" s="532"/>
      <c r="C52" s="529" t="str">
        <f>(Automation!B14) &amp; "300"</f>
        <v>start-sleep 300</v>
      </c>
      <c r="D52" s="1087"/>
    </row>
    <row r="53" spans="1:4">
      <c r="A53" s="1066"/>
      <c r="B53" s="964"/>
      <c r="C53" s="61" t="s">
        <v>161</v>
      </c>
      <c r="D53" s="1087"/>
    </row>
    <row r="54" spans="1:4">
      <c r="A54" s="1066"/>
      <c r="B54" s="964"/>
      <c r="C54" s="62" t="s">
        <v>162</v>
      </c>
      <c r="D54" s="1087"/>
    </row>
    <row r="55" spans="1:4">
      <c r="A55" s="1066"/>
      <c r="B55" s="965"/>
      <c r="C55" s="528" t="e">
        <f ca="1">IF('Build Data'!F13=TRUE,_xlfn.CONCAT(Automation!B3,Automation!C23,Automation!F42,Automation!D15,Automation!C24,Automation!C45),_xlfn.CONCAT(Automation!B3,Automation!C23,Automation!F21,Automation!D15,Automation!C24,Automation!C45))</f>
        <v>#NAME?</v>
      </c>
      <c r="D55" s="1087"/>
    </row>
    <row r="56" spans="1:4">
      <c r="A56" s="1059">
        <v>4</v>
      </c>
      <c r="B56" s="166" t="str">
        <f>IF('Build Data'!B11&gt;=1, "Model Alignment","Skip this step")</f>
        <v>Skip this step</v>
      </c>
      <c r="C56" s="154" t="str">
        <f>IF(B56="Skip this step", "Skip this step",'Build Data'!B11&amp;" custom models identified")</f>
        <v>Skip this step</v>
      </c>
      <c r="D56" s="1083">
        <f>IF(C56="Skip this step",1,"")</f>
        <v>1</v>
      </c>
    </row>
    <row r="57" spans="1:4">
      <c r="A57" s="1060"/>
      <c r="B57" s="517"/>
      <c r="C57" s="244" t="str">
        <f>IF(B56="Skip this step", " ",'Build Data'!I5)</f>
        <v xml:space="preserve"> </v>
      </c>
      <c r="D57" s="1084"/>
    </row>
    <row r="58" spans="1:4">
      <c r="A58" s="1060"/>
      <c r="B58" s="517"/>
      <c r="C58" s="244" t="str">
        <f>IF(B56="Skip this step", " ","USE " &amp;'Build Data'!#REF!)</f>
        <v xml:space="preserve"> </v>
      </c>
      <c r="D58" s="1084"/>
    </row>
    <row r="59" spans="1:4">
      <c r="A59" s="1060"/>
      <c r="B59" s="517"/>
      <c r="C59" s="244" t="str">
        <f>IF(B56="Skip this step", " ",Other!D32)</f>
        <v xml:space="preserve"> </v>
      </c>
      <c r="D59" s="1084"/>
    </row>
    <row r="60" spans="1:4">
      <c r="A60" s="1060"/>
      <c r="B60" s="517" t="str">
        <f>IF(B56="Skip this step", " ","If custom models identiifed, copy to SB")</f>
        <v xml:space="preserve"> </v>
      </c>
      <c r="C60" s="244" t="str">
        <f>IF(B56="Skip this step", " ",'Build Data'!I7 &amp; "\tabular")</f>
        <v xml:space="preserve"> </v>
      </c>
      <c r="D60" s="1084"/>
    </row>
    <row r="61" spans="1:4">
      <c r="A61" s="1060"/>
      <c r="B61" s="517"/>
      <c r="C61" s="244" t="str">
        <f>IF(B56="Skip this step", " ",'Build Data'!I13 &amp; "\tabular")</f>
        <v xml:space="preserve"> </v>
      </c>
      <c r="D61" s="1084"/>
    </row>
    <row r="62" spans="1:4">
      <c r="A62" s="1065">
        <v>5</v>
      </c>
      <c r="B62" s="167" t="e">
        <f>_xlfn.CONCAT("Restore ",'Build Data'!#REF!, " DB as ", 'Build Data'!#REF!)</f>
        <v>#REF!</v>
      </c>
      <c r="C62" s="247" t="str">
        <f>IF(OR('Build Data'!B76="Yes",'Build Data'!F13=TRUE),"",_xlfn.CONCAT(Automation!B16,Automation!F12))</f>
        <v xml:space="preserve">Enter-PVSession </v>
      </c>
      <c r="D62" s="1090"/>
    </row>
    <row r="63" spans="1:4">
      <c r="A63" s="1066"/>
      <c r="B63" s="504"/>
      <c r="C63" s="505" t="e">
        <f>IF(OR('Build Data'!B76="Yes",'Build Data'!F13=TRUE),"",_xlfn.CONCAT(Automation!B19,Automation!C38,Automation!F6,Automation!C37,Automation!F7,Automation!C39,Automation!F12,Automation!C40,Automation!F13,Automation!C41,'Build Data'!#REF!,Automation!C42,'Build Data'!#REF!,Automation!C57,Automation!C4))</f>
        <v>#REF!</v>
      </c>
      <c r="D63" s="1087"/>
    </row>
    <row r="64" spans="1:4">
      <c r="A64" s="1066"/>
      <c r="B64" s="504"/>
      <c r="C64" s="505" t="str">
        <f>IF(OR('Build Data'!B76="Yes",'Build Data'!F13=TRUE),"#AWS or Encryption Enabled","")</f>
        <v/>
      </c>
      <c r="D64" s="1087"/>
    </row>
    <row r="65" spans="1:4">
      <c r="A65" s="1066"/>
      <c r="B65" s="504"/>
      <c r="C65" s="505" t="str">
        <f>IF(OR('Build Data'!B76="Yes",'Build Data'!F13=TRUE),_xlfn.CONCAT(Automation!B3,Automation!C23,Automation!F42,Automation!D15,Automation!C24,Automation!D76),"")</f>
        <v/>
      </c>
      <c r="D65" s="1087"/>
    </row>
    <row r="66" spans="1:4">
      <c r="A66" s="1066"/>
      <c r="B66" s="504"/>
      <c r="C66" s="505" t="str">
        <f>IF(OR('Build Data'!B76="Yes",'Build Data'!F13=TRUE),_xlfn.CONCAT(Automation!C53,Automation!F42,Automation!C54,'Build Data'!#REF!,Automation!C55,Automation!F42,Automation!D77,'Build Data'!#REF!,Automation!D78,Automation!D79),"")</f>
        <v/>
      </c>
      <c r="D66" s="1087"/>
    </row>
    <row r="67" spans="1:4">
      <c r="A67" s="1066"/>
      <c r="B67" s="504"/>
      <c r="C67" s="505" t="str">
        <f>IF(OR('Build Data'!B76="Yes",'Build Data'!F13=TRUE),_xlfn.CONCAT(Automation!C53,Automation!F41,Automation!C54,'Build Data'!#REF!,Automation!C55,Automation!F42,Automation!D77,'Build Data'!#REF!,Automation!D78,Automation!D79),"")</f>
        <v/>
      </c>
      <c r="D67" s="1087"/>
    </row>
    <row r="68" spans="1:4">
      <c r="A68" s="1066"/>
      <c r="B68" s="504"/>
      <c r="C68" s="505"/>
      <c r="D68" s="1087"/>
    </row>
    <row r="69" spans="1:4">
      <c r="A69" s="1066"/>
      <c r="B69" s="504"/>
      <c r="C69" s="505" t="str">
        <f>IF(OR('Build Data'!B76="Yes",'Build Data'!F13=TRUE),_xlfn.CONCAT(Automation!B15,Automation!C9,Automation!D96,Automation!C10,Automation!F42,Automation!C54,Automation!D80,Automation!C56,Automation!D14,Automation!D81,'Build Data'!#REF!),"")</f>
        <v/>
      </c>
      <c r="D69" s="1087"/>
    </row>
    <row r="70" spans="1:4">
      <c r="A70" s="1066"/>
      <c r="B70" s="504"/>
      <c r="C70" s="505" t="str">
        <f>IF(OR('Build Data'!B76="Yes",'Build Data'!F13=TRUE),_xlfn.CONCAT(Automation!D82),"")</f>
        <v/>
      </c>
      <c r="D70" s="1087"/>
    </row>
    <row r="71" spans="1:4">
      <c r="A71" s="1066"/>
      <c r="B71" s="504"/>
      <c r="C71" s="508" t="str">
        <f>IF(OR('Build Data'!B76="Yes",'Build Data'!F13=TRUE),_xlfn.CONCAT(Automation!D83,'Build Data'!#REF!),"")</f>
        <v/>
      </c>
      <c r="D71" s="1087"/>
    </row>
    <row r="72" spans="1:4">
      <c r="A72" s="1066"/>
      <c r="B72" s="504"/>
      <c r="C72" s="505" t="str">
        <f>IF(OR('Build Data'!B76="Yes",'Build Data'!F13=TRUE),_xlfn.CONCAT(Automation!D84,'Build Data'!#REF!),"")</f>
        <v/>
      </c>
      <c r="D72" s="1087"/>
    </row>
    <row r="73" spans="1:4">
      <c r="A73" s="1066"/>
      <c r="B73" s="504"/>
      <c r="C73" s="505" t="str">
        <f>IF(OR('Build Data'!B76="Yes",'Build Data'!F13=TRUE),_xlfn.CONCAT(Automation!D85,'Build Data'!#REF!,Automation!D90),"")</f>
        <v/>
      </c>
      <c r="D73" s="1087"/>
    </row>
    <row r="74" spans="1:4">
      <c r="A74" s="1066"/>
      <c r="B74" s="504"/>
      <c r="C74" s="505" t="str">
        <f>IF(OR('Build Data'!B76="Yes",'Build Data'!F13=TRUE),_xlfn.CONCAT(Automation!D86,'Build Data'!#REF!,Automation!D87),"")</f>
        <v/>
      </c>
      <c r="D74" s="1087"/>
    </row>
    <row r="75" spans="1:4">
      <c r="A75" s="1066"/>
      <c r="B75" s="504"/>
      <c r="C75" s="505" t="str">
        <f>IF(OR('Build Data'!B76="Yes",'Build Data'!F13=TRUE),_xlfn.CONCAT(Automation!D88,'Build Data'!#REF!,Automation!D89),"")</f>
        <v/>
      </c>
      <c r="D75" s="1087"/>
    </row>
    <row r="76" spans="1:4">
      <c r="A76" s="1059">
        <v>6</v>
      </c>
      <c r="B76" s="166" t="str">
        <f>IF('Build Data'!B11=0, "Refresh Olap Properties","Model Management Alignment")</f>
        <v>Refresh Olap Properties</v>
      </c>
      <c r="C76" s="246" t="str">
        <f>IF('Build Data'!F13=TRUE,"https://jenkins.planviewcloud.net/job/refresh_olap_properties_table/build?delay=0sec",IF('Build Data'!F7="sg","https://jenkins.us.planview.world/job/refresh_olap_properties_table/build?delay=0sec",IF('Build Data'!F7="ln","https://jenkins.eu.planview.world/job/refresh_olap_properties_table/build?delay=0sec","Please check Upgrade Data to ensure correct input")))</f>
        <v>Please check Upgrade Data to ensure correct input</v>
      </c>
      <c r="D76" s="1083"/>
    </row>
    <row r="77" spans="1:4">
      <c r="A77" s="1060"/>
      <c r="B77" s="500" t="str">
        <f>"SAS_SERVER_NAME"</f>
        <v>SAS_SERVER_NAME</v>
      </c>
      <c r="C77" s="428" t="str">
        <f>IF('Build Data'!F13=TRUE,Automation!F13,Automation!F15)</f>
        <v/>
      </c>
      <c r="D77" s="1084"/>
    </row>
    <row r="78" spans="1:4">
      <c r="A78" s="1060"/>
      <c r="B78" s="501" t="str">
        <f>"PVE_VERSION"</f>
        <v>PVE_VERSION</v>
      </c>
      <c r="C78" s="498">
        <v>18</v>
      </c>
      <c r="D78" s="1084"/>
    </row>
    <row r="79" spans="1:4">
      <c r="A79" s="1060"/>
      <c r="B79" s="501" t="str">
        <f>"CUBE_DATABASE_NAME"</f>
        <v>CUBE_DATABASE_NAME</v>
      </c>
      <c r="C79" s="509" t="e">
        <f>'Build Data'!#REF!</f>
        <v>#REF!</v>
      </c>
      <c r="D79" s="1084"/>
    </row>
    <row r="80" spans="1:4">
      <c r="A80" s="1061"/>
      <c r="B80" s="499" t="str">
        <f>"NODE_NAME_ROPT"</f>
        <v>NODE_NAME_ROPT</v>
      </c>
      <c r="C80" s="429" t="str">
        <f>'Build Data'!I9</f>
        <v/>
      </c>
      <c r="D80" s="1089"/>
    </row>
    <row r="81" spans="1:4">
      <c r="A81" s="1065">
        <v>7</v>
      </c>
      <c r="B81" s="167" t="str">
        <f>IF('Build Data'!B13="No", "No Custom Reports","Report Copy")</f>
        <v>Report Copy</v>
      </c>
      <c r="C81" s="248" t="str">
        <f>IF('Build Data'!B13="No", "SKIP THIS STEP",IF('Build Data'!F7="sg",AutoPop!M95,IF('Build Data'!F7="ln",AutoPop!M96,AutoPop!M97)))</f>
        <v>https://jenkins.planviewcloud.net/job/manage_reports_pipe/build?delay=0sec</v>
      </c>
      <c r="D81" s="1090"/>
    </row>
    <row r="82" spans="1:4">
      <c r="A82" s="1066"/>
      <c r="B82" s="518" t="str">
        <f>IF('Build Data'!B13="No", "","Jenkins Parameters")</f>
        <v>Jenkins Parameters</v>
      </c>
      <c r="C82" s="153">
        <f>IF('Build Data'!B13="No", "",'Build Data'!F8)</f>
        <v>0</v>
      </c>
      <c r="D82" s="1087"/>
    </row>
    <row r="83" spans="1:4">
      <c r="A83" s="1066"/>
      <c r="B83" s="158"/>
      <c r="C83" s="426" t="str">
        <f>IF(MasterConfig!B52="https://pbirsfarm01fr.pvcloud.com/reportserver","https://pbirsfarm01fr.pvcloud.com",IF(MasterConfig!B52="https://eureportfarm03.pvcloud.com/Reportserver","https://eureportfarm03.pvcloud.com",IF(MasterConfig!B52="https://usreportfarm03.pvcloud.com/Reportserver","https://usreportfarm03.pvcloud.com",IF(MasterConfig!B52="https://pbirsfarm03au.pvcloud.com/Reportserver","https://pbirsfarm03au.pvcloud.com",""))))</f>
        <v/>
      </c>
      <c r="D83" s="1087"/>
    </row>
    <row r="84" spans="1:4">
      <c r="A84" s="1066"/>
      <c r="B84" s="504"/>
      <c r="C84" s="426" t="str">
        <f>IF('Build Data'!B13="No","",UPPER('Build Data'!F3&amp;".PVCLOUD.COM"))</f>
        <v>.PVCLOUD.COM</v>
      </c>
      <c r="D84" s="1087"/>
    </row>
    <row r="85" spans="1:4" ht="18" customHeight="1">
      <c r="A85" s="1067"/>
      <c r="B85" s="165"/>
      <c r="C85" s="427" t="str">
        <f>IF('Build Data'!B13="No", "",UPPER('Build Data'!F4 &amp; ".PVCLOUD.COM"))</f>
        <v>.PVCLOUD.COM</v>
      </c>
      <c r="D85" s="1093"/>
    </row>
    <row r="86" spans="1:4">
      <c r="A86" s="1085">
        <v>8</v>
      </c>
      <c r="B86" s="249" t="s">
        <v>163</v>
      </c>
      <c r="C86" s="250" t="e">
        <f>_xlfn.CONCAT("Update all Prod datasources copied via report copy to point to ",'Build Data'!#REF!)</f>
        <v>#REF!</v>
      </c>
      <c r="D86" s="1083"/>
    </row>
    <row r="87" spans="1:4">
      <c r="A87" s="1086"/>
      <c r="B87" s="519" t="s">
        <v>164</v>
      </c>
      <c r="C87" s="251" t="str">
        <f>_xlfn.CONCAT('Build Data'!F25,Automation!D97,'Build Data'!F4,".pvcloud.com",Automation!D98)</f>
        <v>/Reports/browse/.pvcloud.com/Data%20Sources</v>
      </c>
      <c r="D87" s="1084"/>
    </row>
    <row r="88" spans="1:4">
      <c r="A88" s="1086"/>
      <c r="B88" s="500" t="s">
        <v>165</v>
      </c>
      <c r="C88" s="510" t="e">
        <f>_xlfn.CONCAT(Other!D46,'Build Data'!I11,Other!D48,Other!D47,'Build Data'!#REF!)</f>
        <v>#REF!</v>
      </c>
      <c r="D88" s="1084"/>
    </row>
    <row r="89" spans="1:4">
      <c r="A89" s="1086"/>
      <c r="B89" s="520" t="s">
        <v>165</v>
      </c>
      <c r="C89" s="252" t="e">
        <f>_xlfn.CONCAT(Other!D46,'Build Data'!I11,Other!D48,Other!D47,'Build Data'!#REF!)</f>
        <v>#REF!</v>
      </c>
      <c r="D89" s="1084"/>
    </row>
    <row r="90" spans="1:4">
      <c r="A90" s="1088"/>
      <c r="B90" s="521" t="s">
        <v>166</v>
      </c>
      <c r="C90" s="944" t="s">
        <v>145</v>
      </c>
      <c r="D90" s="1089"/>
    </row>
    <row r="91" spans="1:4">
      <c r="A91" s="1065">
        <v>9</v>
      </c>
      <c r="B91" s="1091" t="s">
        <v>167</v>
      </c>
      <c r="C91" s="522" t="e">
        <f ca="1">IF('Build Data'!F13=TRUE,_xlfn.CONCAT(Automation!B15,Automation!C9,Automation!D96,Automation!C10,Automation!F42,Automation!C54,'Build Data'!#REF!,Automation!C56,Automation!D14),_xlfn.CONCAT(Automation!B15,Automation!C9,Automation!D96,Automation!C10,Automation!F13,Automation!C54,'Build Data'!#REF!,Automation!C56,Automation!D14))</f>
        <v>#NAME?</v>
      </c>
      <c r="D91" s="1090"/>
    </row>
    <row r="92" spans="1:4">
      <c r="A92" s="1066"/>
      <c r="B92" s="1092"/>
      <c r="C92" s="523" t="str">
        <f>_xlfn.CONCAT(Automation!D303)</f>
        <v>exec sp_change_users_login 'Auto_fix', 'pv_report_user';</v>
      </c>
      <c r="D92" s="1087"/>
    </row>
    <row r="93" spans="1:4">
      <c r="A93" s="1066"/>
      <c r="B93" s="1092"/>
      <c r="C93" s="523" t="str">
        <f>_xlfn.CONCAT(Automation!D304)</f>
        <v>exec sp_change_users_login 'Auto_fix', 'ip';</v>
      </c>
      <c r="D93" s="1087"/>
    </row>
    <row r="94" spans="1:4">
      <c r="A94" s="1066"/>
      <c r="B94" s="1092"/>
      <c r="C94" s="523" t="str">
        <f>_xlfn.CONCAT(Automation!D305)</f>
        <v>exec sp_change_users_login 'Auto_fix', 'ro';</v>
      </c>
      <c r="D94" s="1087"/>
    </row>
    <row r="95" spans="1:4">
      <c r="A95" s="1066"/>
      <c r="B95" s="1092"/>
      <c r="C95" s="523"/>
      <c r="D95" s="1087"/>
    </row>
    <row r="96" spans="1:4">
      <c r="A96" s="1066"/>
      <c r="B96" s="1092"/>
      <c r="C96" s="523"/>
      <c r="D96" s="1087"/>
    </row>
    <row r="97" spans="1:4">
      <c r="A97" s="1066"/>
      <c r="B97" s="1092"/>
      <c r="C97" s="523" t="str">
        <f>_xlfn.CONCAT(Automation!D307)</f>
        <v>UPDATE ip.tile SET URL = REPLACE(URL, Left(URL, CHARINDEX('/PowerBI', URL) - 1), '') WHERE tile_type = 'PBIX' AND URL NOT LIKE '/PowerBI%';</v>
      </c>
      <c r="D97" s="1087"/>
    </row>
    <row r="98" spans="1:4">
      <c r="A98" s="1066"/>
      <c r="B98" s="1092"/>
      <c r="C98" s="523" t="str">
        <f>_xlfn.CONCAT(Automation!D308)</f>
        <v>UPDATE ip.tile SET URL = REPLACE(URL, Left(URL, CHARINDEX('/Reports', URL) - 1), '') WHERE tile_type = 'REPORT' AND URL NOT LIKE '/Reports%';</v>
      </c>
      <c r="D98" s="1087"/>
    </row>
    <row r="99" spans="1:4">
      <c r="A99" s="1066"/>
      <c r="B99" s="1092"/>
      <c r="C99" s="523" t="str">
        <f>_xlfn.CONCAT(Automation!D309)</f>
        <v>Update ip.global_options set option_value = 'Y' where option_id = '2245';</v>
      </c>
      <c r="D99" s="1087"/>
    </row>
    <row r="100" spans="1:4">
      <c r="A100" s="1066"/>
      <c r="B100" s="1092"/>
      <c r="C100" s="523" t="str">
        <f>_xlfn.CONCAT(Automation!D310)</f>
        <v>update ip.global_options set option_value = 'N' where option_id = '7700';</v>
      </c>
      <c r="D100" s="1087"/>
    </row>
    <row r="101" spans="1:4">
      <c r="A101" s="1066"/>
      <c r="B101" s="1092"/>
      <c r="C101" s="523" t="str">
        <f>IF(OR('Build Data'!B76="Yes",'Build Data'!F13),_xlfn.CONCAT(Automation!D311),_xlfn.CONCAT(Automation!D311,Automation!D14))</f>
        <v>Update ip.global_options set option_value = '/ng/ctm' where option_id = '2242';"</v>
      </c>
      <c r="D101" s="1087"/>
    </row>
    <row r="102" spans="1:4">
      <c r="A102" s="1066"/>
      <c r="B102" s="1092"/>
      <c r="C102" s="523" t="str">
        <f>IF(OR('Build Data'!B76="Yes",'Build Data'!F13=TRUE),_xlfn.CONCAT(Automation!D312),"")</f>
        <v/>
      </c>
      <c r="D102" s="1087"/>
    </row>
    <row r="103" spans="1:4">
      <c r="A103" s="1066"/>
      <c r="B103" s="1092"/>
      <c r="C103" s="523" t="str">
        <f>IF(OR('Build Data'!B76="Yes",'Build Data'!F13=TRUE),_xlfn.CONCAT(Automation!D313),"")</f>
        <v/>
      </c>
      <c r="D103" s="1087"/>
    </row>
    <row r="104" spans="1:4">
      <c r="A104" s="1066"/>
      <c r="B104" s="1092"/>
      <c r="C104" s="523" t="str">
        <f>IF(OR('Build Data'!B76="Yes",'Build Data'!F13=TRUE),_xlfn.CONCAT(Automation!D314),"")</f>
        <v/>
      </c>
      <c r="D104" s="1087"/>
    </row>
    <row r="105" spans="1:4">
      <c r="A105" s="1066"/>
      <c r="B105" s="1092"/>
      <c r="C105" s="523" t="str">
        <f>IF(OR('Build Data'!B76="Yes",'Build Data'!F13=TRUE),_xlfn.CONCAT(Automation!D315),"")</f>
        <v/>
      </c>
      <c r="D105" s="1087"/>
    </row>
    <row r="106" spans="1:4">
      <c r="A106" s="1066"/>
      <c r="B106" s="1092"/>
      <c r="C106" s="523" t="str">
        <f>IF(OR('Build Data'!B76="Yes",'Build Data'!F13=TRUE),_xlfn.CONCAT(Automation!D316),"")</f>
        <v/>
      </c>
      <c r="D106" s="1087"/>
    </row>
    <row r="107" spans="1:4">
      <c r="A107" s="1066"/>
      <c r="B107" s="1092"/>
      <c r="C107" s="523" t="str">
        <f>IF(OR('Build Data'!B76="Yes",'Build Data'!F13=TRUE),_xlfn.CONCAT(Automation!D317),"")</f>
        <v/>
      </c>
      <c r="D107" s="1087"/>
    </row>
    <row r="108" spans="1:4">
      <c r="A108" s="1066"/>
      <c r="B108" s="1092"/>
      <c r="C108" s="523" t="str">
        <f>IF(OR('Build Data'!B76="Yes",'Build Data'!F13=TRUE),_xlfn.CONCAT(Automation!D318),"")</f>
        <v/>
      </c>
      <c r="D108" s="1087"/>
    </row>
    <row r="109" spans="1:4">
      <c r="A109" s="1066"/>
      <c r="B109" s="1092"/>
      <c r="C109" s="523" t="str">
        <f>IF(OR('Build Data'!B76="Yes",'Build Data'!F13=TRUE),_xlfn.CONCAT(Automation!D319),"")</f>
        <v/>
      </c>
      <c r="D109" s="1087"/>
    </row>
    <row r="110" spans="1:4">
      <c r="A110" s="1066"/>
      <c r="B110" s="1092"/>
      <c r="C110" s="523" t="str">
        <f>IF(OR('Build Data'!B76="Yes",'Build Data'!F13=TRUE),_xlfn.CONCAT(Automation!D320),"")</f>
        <v/>
      </c>
      <c r="D110" s="1087"/>
    </row>
    <row r="111" spans="1:4">
      <c r="A111" s="1066"/>
      <c r="B111" s="1092"/>
      <c r="C111" s="523" t="str">
        <f>IF(OR('Build Data'!B76="Yes",'Build Data'!F13=TRUE),_xlfn.CONCAT(Automation!D321),"")</f>
        <v/>
      </c>
      <c r="D111" s="1087"/>
    </row>
    <row r="112" spans="1:4">
      <c r="A112" s="1066"/>
      <c r="B112" s="1092"/>
      <c r="C112" s="523" t="str">
        <f>IF(OR('Build Data'!B76="Yes",'Build Data'!F13=TRUE),_xlfn.CONCAT(Automation!D322),"")</f>
        <v/>
      </c>
      <c r="D112" s="1087"/>
    </row>
    <row r="113" spans="1:4">
      <c r="A113" s="1066"/>
      <c r="B113" s="1092"/>
      <c r="C113" s="523" t="str">
        <f>IF(OR('Build Data'!B76="Yes",'Build Data'!F13=TRUE),_xlfn.CONCAT(Automation!D323),"")</f>
        <v/>
      </c>
      <c r="D113" s="1087"/>
    </row>
    <row r="114" spans="1:4">
      <c r="A114" s="1066"/>
      <c r="B114" s="1092"/>
      <c r="C114" s="523" t="str">
        <f>IF(OR('Build Data'!B76="Yes",'Build Data'!F13=TRUE),_xlfn.CONCAT(Automation!D324),"")</f>
        <v/>
      </c>
      <c r="D114" s="1087"/>
    </row>
    <row r="115" spans="1:4">
      <c r="A115" s="1066"/>
      <c r="B115" s="1092"/>
      <c r="C115" s="523" t="str">
        <f>IF(OR('Build Data'!B76="Yes",'Build Data'!F13=TRUE),_xlfn.CONCAT(Automation!D325),"")</f>
        <v/>
      </c>
      <c r="D115" s="1087"/>
    </row>
    <row r="116" spans="1:4">
      <c r="A116" s="1066"/>
      <c r="B116" s="1092"/>
      <c r="C116" s="523" t="s">
        <v>168</v>
      </c>
      <c r="D116" s="1087"/>
    </row>
    <row r="117" spans="1:4">
      <c r="A117" s="1066"/>
      <c r="B117" s="1092"/>
      <c r="C117" s="523" t="str">
        <f>IF('Build Data'!F13=TRUE,_xlfn.CONCAT(Automation!B15,Automation!C9,Automation!D96,Automation!C10,Automation!F42,Automation!C54,"DM",'Build Data'!#REF!,Automation!C56,Automation!D14),"")</f>
        <v/>
      </c>
      <c r="D117" s="1087"/>
    </row>
    <row r="118" spans="1:4">
      <c r="A118" s="1066"/>
      <c r="B118" s="1092"/>
      <c r="C118" s="523" t="e">
        <f ca="1">_xlfn.CONCAT(Automation!D331)</f>
        <v>#NAME?</v>
      </c>
      <c r="D118" s="1087"/>
    </row>
    <row r="119" spans="1:4">
      <c r="A119" s="1066"/>
      <c r="B119" s="1092"/>
      <c r="C119" s="523" t="e">
        <f ca="1">_xlfn.CONCAT(Automation!D332)</f>
        <v>#NAME?</v>
      </c>
      <c r="D119" s="1087"/>
    </row>
    <row r="120" spans="1:4">
      <c r="A120" s="1066"/>
      <c r="B120" s="1092"/>
      <c r="C120" s="523" t="str">
        <f>_xlfn.CONCAT(Automation!D333)</f>
        <v>exec ip.psp_dm_create_synonyms;</v>
      </c>
      <c r="D120" s="1087"/>
    </row>
    <row r="121" spans="1:4">
      <c r="A121" s="1066"/>
      <c r="B121" s="1092"/>
      <c r="C121" s="523" t="str">
        <f>_xlfn.CONCAT(Automation!D334)</f>
        <v>exec ip.psp_dm_create_function;</v>
      </c>
      <c r="D121" s="1087"/>
    </row>
    <row r="122" spans="1:4">
      <c r="A122" s="1066"/>
      <c r="B122" s="1092"/>
      <c r="C122" s="523" t="str">
        <f>_xlfn.CONCAT(Automation!D335)</f>
        <v>truncate table ip.dm_dimension_key;</v>
      </c>
      <c r="D122" s="1087"/>
    </row>
    <row r="123" spans="1:4">
      <c r="A123" s="1066"/>
      <c r="B123" s="1092"/>
      <c r="C123" s="523" t="str">
        <f>_xlfn.CONCAT(Automation!D336)</f>
        <v>truncate table ip.dm_all_structure_stg;</v>
      </c>
      <c r="D123" s="1087"/>
    </row>
    <row r="124" spans="1:4">
      <c r="A124" s="1066"/>
      <c r="B124" s="1092"/>
      <c r="C124" s="523" t="str">
        <f>_xlfn.CONCAT(Automation!D337)</f>
        <v>Truncate table ip.dm_structure_info_int;"</v>
      </c>
      <c r="D124" s="1087"/>
    </row>
    <row r="125" spans="1:4">
      <c r="A125" s="1066"/>
      <c r="B125" s="1092"/>
      <c r="C125" s="523" t="s">
        <v>169</v>
      </c>
      <c r="D125" s="1087"/>
    </row>
    <row r="126" spans="1:4">
      <c r="A126" s="1066"/>
      <c r="B126" s="1092"/>
      <c r="C126" s="523" t="str">
        <f>IF('Build Data'!F13=TRUE,_xlfn.CONCAT(Automation!B15,Automation!C9,Automation!D96,Automation!C10,Automation!F42,Automation!C54,'Build Data'!#REF!,Automation!C56,Automation!D14),"")</f>
        <v/>
      </c>
      <c r="D126" s="1087"/>
    </row>
    <row r="127" spans="1:4">
      <c r="A127" s="1066"/>
      <c r="B127" s="1092"/>
      <c r="C127" s="523" t="str">
        <f>_xlfn.CONCAT(Automation!D343)</f>
        <v>exec ip.psp_ppm_cube_pop;</v>
      </c>
      <c r="D127" s="1087"/>
    </row>
    <row r="128" spans="1:4">
      <c r="A128" s="1066"/>
      <c r="B128" s="1092"/>
      <c r="C128" s="523" t="str">
        <f>_xlfn.CONCAT(Automation!D344)</f>
        <v>exec ip.psp_ifm_cube;"</v>
      </c>
      <c r="D128" s="1087"/>
    </row>
    <row r="129" spans="1:4">
      <c r="A129" s="1059">
        <v>11</v>
      </c>
      <c r="B129" s="1097" t="e">
        <f>IF('Build Data'!#REF!="Yes","Mute Host, Stop CTM Services","Skip this step")</f>
        <v>#REF!</v>
      </c>
      <c r="C129" s="942" t="e">
        <f>IF(B129="Skip this step","Skip this step - No CTM",IF(AND('Build Data'!F13=TRUE,'Build Data'!#REF!="Yes"),_xlfn.CONCAT(Automation!B12,Automation!C13,'Build Data'!F8,Automation!C51,Automation!D69,Automation!C21,Automation!D92,Automation!C22,Automation!D93,Automation!C28),IF('Build Data'!#REF!="Yes",_xlfn.CONCAT(Automation!B12,Automation!C13,'Build Data'!F8,Automation!C51,Automation!D69,Automation!C21,Automation!D3,Automation!C22,Automation!D93),"")))</f>
        <v>#REF!</v>
      </c>
      <c r="D129" s="1083" t="e">
        <f>IF(B129="Skip this step",1,"")</f>
        <v>#REF!</v>
      </c>
    </row>
    <row r="130" spans="1:4">
      <c r="A130" s="1060"/>
      <c r="B130" s="1098"/>
      <c r="C130" s="943" t="e">
        <f>IF(B129="Skip this step","",IF(AND('Build Data'!F13=TRUE,'Build Data'!#REF!="Yes"),_xlfn.CONCAT(Automation!B3,Automation!C23,Automation!F48,Automation!C12,Automation!D16,Automation!C18,Automation!C26,Automation!D91,Automation!C4,Automation!D70,Automation!C27,Automation!C26,Automation!D91,Automation!C4,Automation!D17),_xlfn.CONCAT(Automation!B3,Automation!C23,Automation!F14,Automation!C12,Automation!D16,Automation!C18,Automation!C26,Automation!D91,Automation!C4,Automation!D70,Automation!C27,Automation!C26,Automation!D91,Automation!C4,Automation!D17)))</f>
        <v>#REF!</v>
      </c>
      <c r="D130" s="1084"/>
    </row>
    <row r="131" spans="1:4">
      <c r="A131" s="1060"/>
      <c r="B131" s="1098"/>
      <c r="C131" s="389" t="e">
        <f>IF(B129="Skip this step","",IF(AND('Build Data'!F13=TRUE,'Build Data'!#REF!="Yes"),_xlfn.CONCAT(Automation!C53,Automation!F42,Automation!C54,'Build Data'!#REF!,Automation!C55,Automation!F42,Automation!D77,'Build Data'!#REF!,Automation!D78,Automation!D79),""))</f>
        <v>#REF!</v>
      </c>
      <c r="D131" s="1084"/>
    </row>
    <row r="132" spans="1:4">
      <c r="A132" s="1060"/>
      <c r="B132" s="1098"/>
      <c r="C132" s="389" t="e">
        <f>IF(B129="Skip this step","",IF(AND('Build Data'!F13=TRUE,'Build Data'!#REF!="Yes"),_xlfn.CONCAT(Automation!C53,Automation!F41,Automation!C54,'Build Data'!#REF!,Automation!C55,Automation!F42,Automation!D77,'Build Data'!#REF!,Automation!D78,Automation!D79),""))</f>
        <v>#REF!</v>
      </c>
      <c r="D132" s="1084"/>
    </row>
    <row r="133" spans="1:4">
      <c r="A133" s="1060"/>
      <c r="B133" s="1098"/>
      <c r="C133" s="389"/>
      <c r="D133" s="1084"/>
    </row>
    <row r="134" spans="1:4">
      <c r="A134" s="1060"/>
      <c r="B134" s="1098"/>
      <c r="C134" s="389" t="e">
        <f>IF(B129="Skip this step","",IF('Build Data'!F13=TRUE,_xlfn.CONCAT(Automation!B15,Automation!C9,Automation!D96,Automation!C10,Automation!F42,Automation!C54,Automation!D80,Automation!C56,Automation!D14,Automation!D81,'Build Data'!#REF!),""))</f>
        <v>#REF!</v>
      </c>
      <c r="D134" s="1084"/>
    </row>
    <row r="135" spans="1:4">
      <c r="A135" s="1060"/>
      <c r="B135" s="1098"/>
      <c r="C135" s="389" t="e">
        <f>IF(B129="Skip this step","",IF('Build Data'!F13=TRUE,_xlfn.CONCAT(Automation!D82),""))</f>
        <v>#REF!</v>
      </c>
      <c r="D135" s="1084"/>
    </row>
    <row r="136" spans="1:4">
      <c r="A136" s="1060"/>
      <c r="B136" s="1098"/>
      <c r="C136" s="525" t="e">
        <f>IF(B129="Skip this step","",IF('Build Data'!F13=TRUE,_xlfn.CONCAT(Automation!D83,'Build Data'!#REF!),""))</f>
        <v>#REF!</v>
      </c>
      <c r="D136" s="1084"/>
    </row>
    <row r="137" spans="1:4">
      <c r="A137" s="1060"/>
      <c r="B137" s="1098"/>
      <c r="C137" s="389" t="e">
        <f>IF(B129="Skip this step","",IF('Build Data'!F13=TRUE,_xlfn.CONCAT(Automation!D84,'Build Data'!#REF!),""))</f>
        <v>#REF!</v>
      </c>
      <c r="D137" s="1084"/>
    </row>
    <row r="138" spans="1:4">
      <c r="A138" s="1060"/>
      <c r="B138" s="1098"/>
      <c r="C138" s="943" t="e">
        <f>IF(B129="Skip this step","",IF('Build Data'!F13=TRUE,_xlfn.CONCAT(Automation!D85,'Build Data'!#REF!,Automation!D90),""))</f>
        <v>#REF!</v>
      </c>
      <c r="D138" s="1084"/>
    </row>
    <row r="139" spans="1:4">
      <c r="A139" s="1060"/>
      <c r="B139" s="1098"/>
      <c r="C139" s="592" t="e">
        <f>IF(B129="Skip this step","",IF('Build Data'!F13=TRUE,_xlfn.CONCAT(Automation!D95,'Build Data'!#REF!,Automation!D87),""))</f>
        <v>#REF!</v>
      </c>
      <c r="D139" s="1084"/>
    </row>
    <row r="140" spans="1:4">
      <c r="A140" s="1061"/>
      <c r="B140" s="1099"/>
      <c r="C140" s="944" t="e">
        <f>IF(B129="Skip this step","",IF('Build Data'!F13=TRUE,_xlfn.CONCAT(Automation!D94,'Build Data'!#REF!,Automation!D89),""))</f>
        <v>#REF!</v>
      </c>
      <c r="D140" s="1089"/>
    </row>
    <row r="141" spans="1:4">
      <c r="A141" s="1065">
        <v>12</v>
      </c>
      <c r="B141" s="1094" t="e">
        <f>IF('Build Data'!#REF!="Yes","Fix CTM SQL User Accounts","Skip this step")</f>
        <v>#REF!</v>
      </c>
      <c r="C141" s="533" t="e">
        <f>IF('Build Data'!#REF!="Yes",(Other!D41&amp;Other!E39&amp;'Build Data'!F8&amp;Other!E36&amp;Other!E40),"Skip this step - No CTM")</f>
        <v>#REF!</v>
      </c>
      <c r="D141" s="1090" t="e">
        <f>IF(B141="Skip this step",1,"")</f>
        <v>#REF!</v>
      </c>
    </row>
    <row r="142" spans="1:4">
      <c r="A142" s="1066"/>
      <c r="B142" s="1095"/>
      <c r="C142" s="534" t="e">
        <f>IF('Build Data'!#REF!="Yes",(Other!D42),"")</f>
        <v>#REF!</v>
      </c>
      <c r="D142" s="1087"/>
    </row>
    <row r="143" spans="1:4">
      <c r="A143" s="1066"/>
      <c r="B143" s="1095"/>
      <c r="C143" s="535" t="e">
        <f>IF('Build Data'!#REF!="Yes",(Other!D36&amp;Other!E39&amp;'Build Data'!F8&amp;Other!E36&amp;Other!E40),"")</f>
        <v>#REF!</v>
      </c>
      <c r="D143" s="1087"/>
    </row>
    <row r="144" spans="1:4">
      <c r="A144" s="1066"/>
      <c r="B144" s="1095"/>
      <c r="C144" s="150" t="e">
        <f>IF('Build Data'!#REF!="Yes",(Other!D42),"")</f>
        <v>#REF!</v>
      </c>
      <c r="D144" s="1087"/>
    </row>
    <row r="145" spans="1:4">
      <c r="A145" s="1066"/>
      <c r="B145" s="1095"/>
      <c r="C145" s="535" t="e">
        <f>IF('Build Data'!#REF!="Yes",(Other!D36&amp;Other!E39&amp;'Build Data'!F8&amp;Other!E37&amp;Other!E40),"")</f>
        <v>#REF!</v>
      </c>
      <c r="D145" s="1087"/>
    </row>
    <row r="146" spans="1:4">
      <c r="A146" s="1066"/>
      <c r="B146" s="1095"/>
      <c r="C146" s="150" t="e">
        <f>IF('Build Data'!#REF!="Yes",(Other!D42),"")</f>
        <v>#REF!</v>
      </c>
      <c r="D146" s="1087"/>
    </row>
    <row r="147" spans="1:4">
      <c r="A147" s="1066"/>
      <c r="B147" s="1095"/>
      <c r="C147" s="536" t="e">
        <f>IF('Build Data'!#REF!="Yes",(Other!D37&amp;Other!E39&amp;'Build Data'!F8&amp;Other!E36&amp;Other!E40&amp;Other!D43&amp;Other!E39&amp;'Build Data'!F8&amp;Other!E36&amp;Other!E40),"")</f>
        <v>#REF!</v>
      </c>
      <c r="D147" s="1087"/>
    </row>
    <row r="148" spans="1:4">
      <c r="A148" s="1066"/>
      <c r="B148" s="1095"/>
      <c r="C148" s="535" t="e">
        <f>IF('Build Data'!#REF!="Yes",(Other!D42),"")</f>
        <v>#REF!</v>
      </c>
      <c r="D148" s="1087"/>
    </row>
    <row r="149" spans="1:4">
      <c r="A149" s="1066"/>
      <c r="B149" s="1095"/>
      <c r="C149" s="535" t="e">
        <f>IF('Build Data'!#REF!="Yes",(Other!D37&amp;Other!E39&amp;'Build Data'!F8&amp;Other!E37&amp;Other!E40&amp;Other!D43&amp;Other!E39&amp;'Build Data'!F8&amp;Other!E37&amp;Other!E40),"")</f>
        <v>#REF!</v>
      </c>
      <c r="D149" s="1087"/>
    </row>
    <row r="150" spans="1:4">
      <c r="A150" s="1066"/>
      <c r="B150" s="1095"/>
      <c r="C150" s="535" t="e">
        <f>IF('Build Data'!#REF!="Yes",(Other!D42),"")</f>
        <v>#REF!</v>
      </c>
      <c r="D150" s="1087"/>
    </row>
    <row r="151" spans="1:4">
      <c r="A151" s="1066"/>
      <c r="B151" s="1095"/>
      <c r="C151" s="150" t="e">
        <f>IF('Build Data'!#REF!="Yes",(Other!D38&amp;Other!E39&amp;'Build Data'!F8&amp;Other!E36&amp;Other!E40&amp;Other!D44&amp;Other!E39&amp;Other!E38&amp;Other!E40),"")</f>
        <v>#REF!</v>
      </c>
      <c r="D151" s="1087"/>
    </row>
    <row r="152" spans="1:4">
      <c r="A152" s="1066"/>
      <c r="B152" s="1095"/>
      <c r="C152" s="535" t="e">
        <f>IF('Build Data'!#REF!="Yes",(Other!D42),"")</f>
        <v>#REF!</v>
      </c>
      <c r="D152" s="1087"/>
    </row>
    <row r="153" spans="1:4">
      <c r="A153" s="1066"/>
      <c r="B153" s="1095"/>
      <c r="C153" s="535" t="e">
        <f>IF('Build Data'!#REF!="Yes",(Other!D38&amp;Other!E39&amp;'Build Data'!F8&amp;Other!E37&amp;Other!E40&amp;Other!D44&amp;Other!E39&amp;Other!E38&amp;Other!E40),"")</f>
        <v>#REF!</v>
      </c>
      <c r="D153" s="1087"/>
    </row>
    <row r="154" spans="1:4">
      <c r="A154" s="1066"/>
      <c r="B154" s="1095"/>
      <c r="C154" s="535" t="e">
        <f>IF('Build Data'!#REF!="Yes",(Other!D42),"")</f>
        <v>#REF!</v>
      </c>
      <c r="D154" s="1087"/>
    </row>
    <row r="155" spans="1:4">
      <c r="A155" s="1066"/>
      <c r="B155" s="1095"/>
      <c r="C155" s="535" t="e">
        <f>IF('Build Data'!#REF!="Yes",(Other!D39&amp;Other!E39&amp;Other!E42&amp;Other!E40&amp;Other!D40&amp;Other!E39&amp;'Build Data'!F8&amp;Other!E36&amp;Other!E40),"")</f>
        <v>#REF!</v>
      </c>
      <c r="D155" s="1087"/>
    </row>
    <row r="156" spans="1:4">
      <c r="A156" s="1066"/>
      <c r="B156" s="1095"/>
      <c r="C156" s="535" t="e">
        <f>IF('Build Data'!#REF!="Yes",(Other!D42),"")</f>
        <v>#REF!</v>
      </c>
      <c r="D156" s="1087"/>
    </row>
    <row r="157" spans="1:4">
      <c r="A157" s="1066"/>
      <c r="B157" s="1095"/>
      <c r="C157" s="535" t="e">
        <f>IF('Build Data'!#REF!="Yes",(Other!D39&amp;Other!E39&amp;Other!E41&amp;Other!E40&amp;Other!D40&amp;Other!E39&amp;'Build Data'!F8&amp;Other!E37&amp;Other!E40),"")</f>
        <v>#REF!</v>
      </c>
      <c r="D157" s="1087"/>
    </row>
    <row r="158" spans="1:4">
      <c r="A158" s="1067"/>
      <c r="B158" s="1096"/>
      <c r="C158" s="151" t="e">
        <f>IF('Build Data'!#REF!="Yes",(Other!D42),"")</f>
        <v>#REF!</v>
      </c>
      <c r="D158" s="1093"/>
    </row>
    <row r="159" spans="1:4">
      <c r="A159" s="936">
        <v>13</v>
      </c>
      <c r="B159" s="524" t="e">
        <f>IF('Build Data'!#REF!="Yes","Start CTM Services","Skip this step")</f>
        <v>#REF!</v>
      </c>
      <c r="C159" s="942" t="e">
        <f>IF(B159="Skip this step","Skip this step - No CTM",IF(AND('Build Data'!F13=TRUE,'Build Data'!#REF!="Yes"),_xlfn.CONCAT(Automation!B3,Automation!C23,Automation!F48,Automation!C12,Automation!D16,Automation!C19,Automation!C26,Automation!D91,Automation!C4,Automation!D70,Automation!C27,Automation!C26,Automation!D91,Automation!C4,Automation!D17),_xlfn.CONCAT(Automation!B3,Automation!C23,Automation!F14,Automation!C12,Automation!D16,Automation!C19,Automation!C26,Automation!D91,Automation!C4,Automation!D70)))</f>
        <v>#REF!</v>
      </c>
      <c r="D159" s="946" t="e">
        <f>IF(B159="Skip this step",1,"")</f>
        <v>#REF!</v>
      </c>
    </row>
    <row r="160" spans="1:4">
      <c r="A160" s="1065">
        <v>14</v>
      </c>
      <c r="B160" s="963" t="s">
        <v>170</v>
      </c>
      <c r="C160" s="149"/>
      <c r="D160" s="1090" t="str">
        <f>IF(B160="Skip this step",1,"")</f>
        <v/>
      </c>
    </row>
    <row r="161" spans="1:5">
      <c r="A161" s="1066"/>
      <c r="B161" s="414" t="str">
        <f>IF('Build Data'!B20="Yes","PRM Adapter Installed","No PRM Adapater")</f>
        <v>No PRM Adapater</v>
      </c>
      <c r="C161" s="535" t="str">
        <f>IF('Build Data'!B20="Yes","No action required","Skip this step")</f>
        <v>Skip this step</v>
      </c>
      <c r="D161" s="1087"/>
    </row>
    <row r="162" spans="1:5">
      <c r="A162" s="1066"/>
      <c r="B162" s="414" t="e">
        <f>IF('Build Data'!#REF!="Yes","Align PP Connector","No PP Connector")</f>
        <v>#REF!</v>
      </c>
      <c r="C162" s="150" t="e">
        <f>IF(AND('Build Data'!#REF!="Yes",'Build Data'!#REF!="EU"),"https://ppsa-sandbox-se.projectplace.com/ppadmin/admin.cgi/0/1",IF(AND('Build Data'!#REF!,'Build Data'!#REF!="US"),"https://ppsa-sandbox-us.projectplace.com/ppadmin/admin.cgi/0/1","Skip this step"))</f>
        <v>#REF!</v>
      </c>
      <c r="D162" s="1087"/>
    </row>
    <row r="163" spans="1:5">
      <c r="A163" s="1066"/>
      <c r="B163" s="400" t="e">
        <f>IF('Build Data'!#REF!="Yes","PP SB Account Number","")</f>
        <v>#REF!</v>
      </c>
      <c r="C163" s="536" t="e">
        <f>IF('Build Data'!#REF!="Yes",'Build Data'!#REF!,"")</f>
        <v>#REF!</v>
      </c>
      <c r="D163" s="1087"/>
    </row>
    <row r="164" spans="1:5">
      <c r="A164" s="1066"/>
      <c r="B164" s="411" t="e">
        <f>IF('Build Data'!#REF!="Yes","LK Connector in use","No LK Connector")</f>
        <v>#REF!</v>
      </c>
      <c r="C164" s="535" t="e">
        <f>IF('Build Data'!#REF!="Yes","No Action Required","Skip this step")</f>
        <v>#REF!</v>
      </c>
      <c r="D164" s="1087"/>
    </row>
    <row r="165" spans="1:5">
      <c r="A165" s="1067"/>
      <c r="B165" s="412" t="e">
        <f>IF(AND('Build Data'!#REF!="Yes",'Build Data'!#REF!="Yes"),"CTM Connector in use","No CTM Connector")</f>
        <v>#REF!</v>
      </c>
      <c r="C165" s="151" t="e">
        <f>IF('Build Data'!#REF!="Yes","https://innotas.atlassian.net/wiki/spaces/E1CO/pages/843186182/PRM-CTM+Connector","Skip this step")</f>
        <v>#REF!</v>
      </c>
      <c r="D165" s="1093"/>
    </row>
    <row r="166" spans="1:5">
      <c r="A166" s="1085">
        <v>16</v>
      </c>
      <c r="B166" s="537" t="s">
        <v>171</v>
      </c>
      <c r="C166" s="538"/>
      <c r="D166" s="1062"/>
    </row>
    <row r="167" spans="1:5">
      <c r="A167" s="1086"/>
      <c r="B167" s="550" t="s">
        <v>172</v>
      </c>
      <c r="C167" s="510" t="str">
        <f>_xlfn.CONCAT(AutoPop!A144,AutoPop!A145,AutoPop!A3,AutoPop!A145,AutoPop!A146,AutoPop!B144)</f>
        <v>&lt;add key="PROD" value="$&amp;quot;/7CbH&amp;amp;,[8" /&gt;</v>
      </c>
      <c r="D167" s="1063"/>
    </row>
    <row r="168" spans="1:5">
      <c r="A168" s="1086"/>
      <c r="B168" s="647"/>
      <c r="C168" s="510" t="str">
        <f>_xlfn.CONCAT(AutoPop!A144,AutoPop!A145,AutoPop!A4,AutoPop!A145,AutoPop!A146,AutoPop!B144)</f>
        <v>&lt;add key="CONFIG" value="$&amp;quot;/7CbH&amp;amp;,[8" /&gt;</v>
      </c>
      <c r="D168" s="1063"/>
    </row>
    <row r="169" spans="1:5">
      <c r="A169" s="1086"/>
      <c r="B169" s="648"/>
      <c r="C169" s="251" t="str">
        <f>_xlfn.CONCAT(AutoPop!A144,AutoPop!A145,AutoPop!A9,AutoPop!A145,AutoPop!A146,AutoPop!B144)</f>
        <v>&lt;add key="DMPROD" value="$&amp;quot;/7CbH&amp;amp;,[8" /&gt;</v>
      </c>
      <c r="D169" s="1063"/>
    </row>
    <row r="170" spans="1:5">
      <c r="A170" s="1086"/>
      <c r="B170" s="647"/>
      <c r="C170" s="252"/>
      <c r="D170" s="1063"/>
    </row>
    <row r="171" spans="1:5">
      <c r="A171" s="1086"/>
      <c r="B171" s="550" t="s">
        <v>173</v>
      </c>
      <c r="C171" s="252" t="str">
        <f>_xlfn.CONCAT(AutoPop!A144,AutoPop!A145,AutoPop!A3,AutoPop!A145,AutoPop!A146,AutoPop!B145)</f>
        <v>&lt;add key="PROD" value="User ID=/:(@8HLT[Kfi`r;password=$&amp;quot;/7CbH&amp;amp;,[8" /&gt;</v>
      </c>
      <c r="D171" s="1063"/>
    </row>
    <row r="172" spans="1:5">
      <c r="A172" s="1086"/>
      <c r="B172" s="648"/>
      <c r="C172" s="252" t="str">
        <f>_xlfn.CONCAT(AutoPop!A144,AutoPop!A145,AutoPop!A4,AutoPop!A145,AutoPop!A146,AutoPop!B145)</f>
        <v>&lt;add key="CONFIG" value="User ID=/:(@8HLT[Kfi`r;password=$&amp;quot;/7CbH&amp;amp;,[8" /&gt;</v>
      </c>
      <c r="D172" s="1063"/>
    </row>
    <row r="173" spans="1:5">
      <c r="A173" s="1088"/>
      <c r="B173" s="539"/>
      <c r="C173" s="649" t="str">
        <f>_xlfn.CONCAT(AutoPop!A144,AutoPop!A145,AutoPop!A9,AutoPop!A145,AutoPop!A146,AutoPop!B145)</f>
        <v>&lt;add key="DMPROD" value="User ID=/:(@8HLT[Kfi`r;password=$&amp;quot;/7CbH&amp;amp;,[8" /&gt;</v>
      </c>
      <c r="D173" s="1064"/>
    </row>
    <row r="174" spans="1:5">
      <c r="A174" s="1065">
        <v>17</v>
      </c>
      <c r="B174" s="963" t="s">
        <v>142</v>
      </c>
      <c r="C174" s="533"/>
      <c r="D174" s="1068"/>
    </row>
    <row r="175" spans="1:5">
      <c r="A175" s="1066"/>
      <c r="B175" s="645" t="s">
        <v>174</v>
      </c>
      <c r="C175" s="656" t="str">
        <f>(MasterConfig!B2)&amp;"/login/body.asp?manual=Y"</f>
        <v>/login/body.asp?manual=Y</v>
      </c>
      <c r="D175" s="1070"/>
      <c r="E175">
        <f>('Build Data'!F11)</f>
        <v>0</v>
      </c>
    </row>
    <row r="176" spans="1:5">
      <c r="A176" s="1066"/>
      <c r="B176" s="644" t="s">
        <v>175</v>
      </c>
      <c r="C176" s="657" t="str">
        <f>_xlfn.CONCAT(AutoPop!M112,'Build Data'!F4,AutoPop!N112)</f>
        <v>Start-Process "chrome.exe" "https://.pvcloud.com/planview/diag/version.aspx"</v>
      </c>
      <c r="D176" s="591"/>
    </row>
    <row r="177" spans="1:4">
      <c r="A177" s="1066"/>
      <c r="B177" s="646" t="s">
        <v>176</v>
      </c>
      <c r="C177" s="658" t="str">
        <f>_xlfn.CONCAT(AutoPop!M112,'Build Data'!F4,AutoPop!N113)</f>
        <v>Start-Process "chrome.exe" "https://.pvcloud.com/odataservice/OdataService.svc"</v>
      </c>
      <c r="D177" s="590"/>
    </row>
    <row r="178" spans="1:4">
      <c r="A178" s="1066"/>
      <c r="B178" s="644" t="s">
        <v>177</v>
      </c>
      <c r="C178" s="658" t="str">
        <f>_xlfn.CONCAT(AutoPop!M112,'Build Data'!F4,AutoPop!N114)</f>
        <v>Start-Process "chrome.exe" "https://.pvcloud.com/planview/Progressing/ProgressInteractively.aspx"</v>
      </c>
      <c r="D178" s="591"/>
    </row>
    <row r="179" spans="1:4">
      <c r="A179" s="1066"/>
      <c r="B179" s="644" t="s">
        <v>178</v>
      </c>
      <c r="C179" s="658" t="str">
        <f>_xlfn.CONCAT(AutoPop!M112,'Build Data'!F4,AutoPop!N115)</f>
        <v>Start-Process "chrome.exe" "https://.pvcloud.com/planview/AdminApplication/AdministerOLAPConnStrings.aspx"</v>
      </c>
      <c r="D179" s="590"/>
    </row>
    <row r="180" spans="1:4">
      <c r="A180" s="1066"/>
      <c r="B180" s="643" t="s">
        <v>179</v>
      </c>
      <c r="C180" s="658" t="str">
        <f>_xlfn.CONCAT(AutoPop!M112,'Build Data'!F4,AutoPop!N116)</f>
        <v>Start-Process "chrome.exe" "https://.pvcloud.com/planview/AdminDatabase/Databases.aspx"</v>
      </c>
      <c r="D180" s="591"/>
    </row>
    <row r="181" spans="1:4">
      <c r="A181" s="1066"/>
      <c r="B181" s="646" t="s">
        <v>180</v>
      </c>
      <c r="C181" s="656" t="str">
        <f>_xlfn.CONCAT(AutoPop!M113,'Build Data'!F4,AutoPop!N117)</f>
        <v>Start-Process "chrome.exe" "http://.pvcloud.com/planview/AdminApplication/AdministerDataset.aspx"</v>
      </c>
      <c r="D181" s="591"/>
    </row>
    <row r="182" spans="1:4">
      <c r="A182" s="1066"/>
      <c r="B182" s="644" t="s">
        <v>181</v>
      </c>
      <c r="C182" s="657" t="str">
        <f>_xlfn.CONCAT(AutoPop!M112,'Build Data'!F4,AutoPop!N118)</f>
        <v>Start-Process "chrome.exe" "https://.pvcloud.com/planview/AdminApplication/AdminServices.aspx"</v>
      </c>
      <c r="D182" s="590"/>
    </row>
    <row r="183" spans="1:4">
      <c r="A183" s="1066"/>
      <c r="B183" s="644" t="s">
        <v>182</v>
      </c>
      <c r="C183" s="656" t="str">
        <f>_xlfn.CONCAT(AutoPop!M112,'Build Data'!F4,AutoPop!N119)</f>
        <v>Start-Process "chrome.exe" "https://.pvcloud.com/planview/AdminApplication/createcontentsearchindex.asp?step=1"</v>
      </c>
      <c r="D183" s="591"/>
    </row>
    <row r="184" spans="1:4">
      <c r="A184" s="1066"/>
      <c r="B184" s="643" t="s">
        <v>183</v>
      </c>
      <c r="C184" s="657" t="str">
        <f>_xlfn.CONCAT(AutoPop!M112,'Build Data'!F4,AutoPop!N120)</f>
        <v>Start-Process "chrome.exe" "https://.pvcloud.com/ng/ctm/"</v>
      </c>
      <c r="D184" s="590"/>
    </row>
    <row r="185" spans="1:4">
      <c r="A185" s="1066"/>
      <c r="B185" s="414" t="s">
        <v>184</v>
      </c>
      <c r="C185" s="658"/>
      <c r="D185" s="591"/>
    </row>
    <row r="186" spans="1:4">
      <c r="A186" s="1066"/>
      <c r="B186" s="414" t="s">
        <v>185</v>
      </c>
      <c r="C186" s="658" t="e">
        <f ca="1">IF('Build Data'!F13=TRUE,_xlfn.CONCAT(AutoPop!M113,Automation!F48,AutoPop!N122),_xlfn.CONCAT(AutoPop!M113,'Build Data'!I12,AutoPop!N122))</f>
        <v>#NAME?</v>
      </c>
      <c r="D186" s="590"/>
    </row>
    <row r="187" spans="1:4">
      <c r="A187" s="1066"/>
      <c r="B187" s="414" t="s">
        <v>185</v>
      </c>
      <c r="C187" s="658" t="e">
        <f ca="1">IF('Build Data'!F13=TRUE,_xlfn.CONCAT(AutoPop!M113,Automation!F48,AutoPop!N123),_xlfn.CONCAT(AutoPop!M113,'Build Data'!I12,AutoPop!N123))</f>
        <v>#NAME?</v>
      </c>
      <c r="D187" s="591"/>
    </row>
    <row r="188" spans="1:4">
      <c r="A188" s="1066"/>
      <c r="B188" s="412" t="s">
        <v>185</v>
      </c>
      <c r="C188" s="659" t="e">
        <f ca="1">IF('Build Data'!F13=TRUE,_xlfn.CONCAT(AutoPop!M113,Automation!F48,AutoPop!N124),_xlfn.CONCAT(AutoPop!M113,'Build Data'!I12,AutoPop!N124))</f>
        <v>#NAME?</v>
      </c>
      <c r="D188" s="590"/>
    </row>
    <row r="189" spans="1:4" ht="30">
      <c r="A189" s="68">
        <v>18</v>
      </c>
      <c r="B189" s="327" t="s">
        <v>155</v>
      </c>
      <c r="C189" s="540" t="s">
        <v>186</v>
      </c>
      <c r="D189" s="30"/>
    </row>
  </sheetData>
  <mergeCells count="36">
    <mergeCell ref="A160:A165"/>
    <mergeCell ref="D32:D55"/>
    <mergeCell ref="A76:A80"/>
    <mergeCell ref="D76:D80"/>
    <mergeCell ref="D62:D75"/>
    <mergeCell ref="D81:D85"/>
    <mergeCell ref="A62:A75"/>
    <mergeCell ref="D174:D175"/>
    <mergeCell ref="A174:A188"/>
    <mergeCell ref="A86:A90"/>
    <mergeCell ref="A91:A128"/>
    <mergeCell ref="D86:D90"/>
    <mergeCell ref="A166:A173"/>
    <mergeCell ref="D166:D173"/>
    <mergeCell ref="D91:D128"/>
    <mergeCell ref="B91:B128"/>
    <mergeCell ref="A129:A140"/>
    <mergeCell ref="D129:D140"/>
    <mergeCell ref="A141:A158"/>
    <mergeCell ref="D160:D165"/>
    <mergeCell ref="B141:B158"/>
    <mergeCell ref="D141:D158"/>
    <mergeCell ref="B129:B140"/>
    <mergeCell ref="A3:A23"/>
    <mergeCell ref="D21:D23"/>
    <mergeCell ref="D4:D6"/>
    <mergeCell ref="D7:D9"/>
    <mergeCell ref="D10:D12"/>
    <mergeCell ref="D13:D15"/>
    <mergeCell ref="D16:D20"/>
    <mergeCell ref="D24:D31"/>
    <mergeCell ref="A24:A31"/>
    <mergeCell ref="D56:D61"/>
    <mergeCell ref="A56:A61"/>
    <mergeCell ref="A81:A85"/>
    <mergeCell ref="A32:A55"/>
  </mergeCells>
  <conditionalFormatting sqref="D86:D87">
    <cfRule type="iconSet" priority="276">
      <iconSet iconSet="3Symbols2" showValue="0">
        <cfvo type="percent" val="0"/>
        <cfvo type="num" val="0"/>
        <cfvo type="num" val="1"/>
      </iconSet>
    </cfRule>
  </conditionalFormatting>
  <conditionalFormatting sqref="D3">
    <cfRule type="iconSet" priority="269">
      <iconSet iconSet="3Symbols2" showValue="0">
        <cfvo type="percent" val="0"/>
        <cfvo type="num" val="0"/>
        <cfvo type="num" val="1"/>
      </iconSet>
    </cfRule>
  </conditionalFormatting>
  <conditionalFormatting sqref="D129:D131">
    <cfRule type="iconSet" priority="234">
      <iconSet iconSet="3Symbols2" showValue="0">
        <cfvo type="percent" val="0"/>
        <cfvo type="num" val="0"/>
        <cfvo type="num" val="1"/>
      </iconSet>
    </cfRule>
  </conditionalFormatting>
  <conditionalFormatting sqref="D129:D131">
    <cfRule type="iconSet" priority="235">
      <iconSet iconSet="3Symbols2" showValue="0">
        <cfvo type="percent" val="0"/>
        <cfvo type="num" val="0"/>
        <cfvo type="num" val="1"/>
      </iconSet>
    </cfRule>
    <cfRule type="iconSet" priority="236">
      <iconSet iconSet="3Symbols2">
        <cfvo type="percent" val="0"/>
        <cfvo type="num" val="0"/>
        <cfvo type="num" val="1"/>
      </iconSet>
    </cfRule>
    <cfRule type="iconSet" priority="237">
      <iconSet showValue="0">
        <cfvo type="percent" val="0"/>
        <cfvo type="percent" val="33"/>
        <cfvo type="percent" val="67"/>
      </iconSet>
    </cfRule>
    <cfRule type="iconSet" priority="238">
      <iconSet iconSet="3Symbols2">
        <cfvo type="percent" val="0"/>
        <cfvo type="num" val="0"/>
        <cfvo type="num" val="1"/>
      </iconSet>
    </cfRule>
  </conditionalFormatting>
  <conditionalFormatting sqref="D129:D131">
    <cfRule type="iconSet" priority="239">
      <iconSet iconSet="3Symbols2" showValue="0">
        <cfvo type="percent" val="0"/>
        <cfvo type="num" val="1"/>
        <cfvo type="num" val="2"/>
      </iconSet>
    </cfRule>
    <cfRule type="iconSet" priority="240">
      <iconSet iconSet="3Symbols2" showValue="0">
        <cfvo type="percent" val="0"/>
        <cfvo type="num" val="1"/>
        <cfvo type="num" val="2"/>
      </iconSet>
    </cfRule>
    <cfRule type="iconSet" priority="241">
      <iconSet iconSet="3Symbols2">
        <cfvo type="percent" val="0"/>
        <cfvo type="num" val="1"/>
        <cfvo type="num" val="2"/>
      </iconSet>
    </cfRule>
  </conditionalFormatting>
  <conditionalFormatting sqref="D141">
    <cfRule type="iconSet" priority="186">
      <iconSet iconSet="3Symbols2" showValue="0">
        <cfvo type="percent" val="0"/>
        <cfvo type="num" val="0"/>
        <cfvo type="num" val="1"/>
      </iconSet>
    </cfRule>
  </conditionalFormatting>
  <conditionalFormatting sqref="D141">
    <cfRule type="iconSet" priority="187">
      <iconSet iconSet="3Symbols2" showValue="0">
        <cfvo type="percent" val="0"/>
        <cfvo type="num" val="0"/>
        <cfvo type="num" val="1"/>
      </iconSet>
    </cfRule>
    <cfRule type="iconSet" priority="188">
      <iconSet iconSet="3Symbols2">
        <cfvo type="percent" val="0"/>
        <cfvo type="num" val="0"/>
        <cfvo type="num" val="1"/>
      </iconSet>
    </cfRule>
    <cfRule type="iconSet" priority="189">
      <iconSet showValue="0">
        <cfvo type="percent" val="0"/>
        <cfvo type="percent" val="33"/>
        <cfvo type="percent" val="67"/>
      </iconSet>
    </cfRule>
    <cfRule type="iconSet" priority="190">
      <iconSet iconSet="3Symbols2">
        <cfvo type="percent" val="0"/>
        <cfvo type="num" val="0"/>
        <cfvo type="num" val="1"/>
      </iconSet>
    </cfRule>
  </conditionalFormatting>
  <conditionalFormatting sqref="D141">
    <cfRule type="iconSet" priority="191">
      <iconSet iconSet="3Symbols2" showValue="0">
        <cfvo type="percent" val="0"/>
        <cfvo type="num" val="1"/>
        <cfvo type="num" val="2"/>
      </iconSet>
    </cfRule>
    <cfRule type="iconSet" priority="192">
      <iconSet iconSet="3Symbols2" showValue="0">
        <cfvo type="percent" val="0"/>
        <cfvo type="num" val="1"/>
        <cfvo type="num" val="2"/>
      </iconSet>
    </cfRule>
    <cfRule type="iconSet" priority="193">
      <iconSet iconSet="3Symbols2">
        <cfvo type="percent" val="0"/>
        <cfvo type="num" val="1"/>
        <cfvo type="num" val="2"/>
      </iconSet>
    </cfRule>
  </conditionalFormatting>
  <conditionalFormatting sqref="D159">
    <cfRule type="iconSet" priority="50">
      <iconSet iconSet="3Symbols2" showValue="0">
        <cfvo type="percent" val="0"/>
        <cfvo type="num" val="0"/>
        <cfvo type="num" val="1"/>
      </iconSet>
    </cfRule>
  </conditionalFormatting>
  <conditionalFormatting sqref="D159">
    <cfRule type="iconSet" priority="51">
      <iconSet iconSet="3Symbols2" showValue="0">
        <cfvo type="percent" val="0"/>
        <cfvo type="num" val="0"/>
        <cfvo type="num" val="1"/>
      </iconSet>
    </cfRule>
    <cfRule type="iconSet" priority="52">
      <iconSet iconSet="3Symbols2">
        <cfvo type="percent" val="0"/>
        <cfvo type="num" val="0"/>
        <cfvo type="num" val="1"/>
      </iconSet>
    </cfRule>
    <cfRule type="iconSet" priority="53">
      <iconSet showValue="0">
        <cfvo type="percent" val="0"/>
        <cfvo type="percent" val="33"/>
        <cfvo type="percent" val="67"/>
      </iconSet>
    </cfRule>
    <cfRule type="iconSet" priority="54">
      <iconSet iconSet="3Symbols2">
        <cfvo type="percent" val="0"/>
        <cfvo type="num" val="0"/>
        <cfvo type="num" val="1"/>
      </iconSet>
    </cfRule>
  </conditionalFormatting>
  <conditionalFormatting sqref="D159">
    <cfRule type="iconSet" priority="55">
      <iconSet iconSet="3Symbols2" showValue="0">
        <cfvo type="percent" val="0"/>
        <cfvo type="num" val="1"/>
        <cfvo type="num" val="2"/>
      </iconSet>
    </cfRule>
    <cfRule type="iconSet" priority="56">
      <iconSet iconSet="3Symbols2" showValue="0">
        <cfvo type="percent" val="0"/>
        <cfvo type="num" val="1"/>
        <cfvo type="num" val="2"/>
      </iconSet>
    </cfRule>
    <cfRule type="iconSet" priority="57">
      <iconSet iconSet="3Symbols2">
        <cfvo type="percent" val="0"/>
        <cfvo type="num" val="1"/>
        <cfvo type="num" val="2"/>
      </iconSet>
    </cfRule>
  </conditionalFormatting>
  <conditionalFormatting sqref="D189">
    <cfRule type="iconSet" priority="17">
      <iconSet iconSet="3Symbols2" showValue="0">
        <cfvo type="percent" val="0"/>
        <cfvo type="num" val="0"/>
        <cfvo type="num" val="1"/>
      </iconSet>
    </cfRule>
  </conditionalFormatting>
  <conditionalFormatting sqref="D189">
    <cfRule type="iconSet" priority="18">
      <iconSet iconSet="3Symbols2" showValue="0">
        <cfvo type="percent" val="0"/>
        <cfvo type="num" val="0"/>
        <cfvo type="num" val="1"/>
      </iconSet>
    </cfRule>
    <cfRule type="iconSet" priority="19">
      <iconSet iconSet="3Symbols2">
        <cfvo type="percent" val="0"/>
        <cfvo type="num" val="0"/>
        <cfvo type="num" val="1"/>
      </iconSet>
    </cfRule>
    <cfRule type="iconSet" priority="20">
      <iconSet showValue="0">
        <cfvo type="percent" val="0"/>
        <cfvo type="percent" val="33"/>
        <cfvo type="percent" val="67"/>
      </iconSet>
    </cfRule>
    <cfRule type="iconSet" priority="21">
      <iconSet iconSet="3Symbols2">
        <cfvo type="percent" val="0"/>
        <cfvo type="num" val="0"/>
        <cfvo type="num" val="1"/>
      </iconSet>
    </cfRule>
  </conditionalFormatting>
  <conditionalFormatting sqref="D189">
    <cfRule type="iconSet" priority="22">
      <iconSet iconSet="3Symbols2" showValue="0">
        <cfvo type="percent" val="0"/>
        <cfvo type="num" val="1"/>
        <cfvo type="num" val="2"/>
      </iconSet>
    </cfRule>
    <cfRule type="iconSet" priority="23">
      <iconSet iconSet="3Symbols2" showValue="0">
        <cfvo type="percent" val="0"/>
        <cfvo type="num" val="1"/>
        <cfvo type="num" val="2"/>
      </iconSet>
    </cfRule>
    <cfRule type="iconSet" priority="24">
      <iconSet iconSet="3Symbols2">
        <cfvo type="percent" val="0"/>
        <cfvo type="num" val="1"/>
        <cfvo type="num" val="2"/>
      </iconSet>
    </cfRule>
  </conditionalFormatting>
  <conditionalFormatting sqref="D166">
    <cfRule type="iconSet" priority="1195">
      <iconSet iconSet="3Symbols2" showValue="0">
        <cfvo type="percent" val="0"/>
        <cfvo type="num" val="0"/>
        <cfvo type="num" val="1"/>
      </iconSet>
    </cfRule>
  </conditionalFormatting>
  <conditionalFormatting sqref="D4:D6">
    <cfRule type="iconSet" priority="15">
      <iconSet iconSet="3Symbols2" showValue="0">
        <cfvo type="percent" val="0"/>
        <cfvo type="num" val="0"/>
        <cfvo type="num" val="1"/>
      </iconSet>
    </cfRule>
  </conditionalFormatting>
  <conditionalFormatting sqref="D7:D9">
    <cfRule type="iconSet" priority="13">
      <iconSet iconSet="3Symbols2" showValue="0">
        <cfvo type="percent" val="0"/>
        <cfvo type="num" val="0"/>
        <cfvo type="num" val="1"/>
      </iconSet>
    </cfRule>
  </conditionalFormatting>
  <conditionalFormatting sqref="D13:D15">
    <cfRule type="iconSet" priority="12">
      <iconSet iconSet="3Symbols2" showValue="0">
        <cfvo type="percent" val="0"/>
        <cfvo type="num" val="0"/>
        <cfvo type="num" val="1"/>
      </iconSet>
    </cfRule>
  </conditionalFormatting>
  <conditionalFormatting sqref="D10:D12">
    <cfRule type="iconSet" priority="11">
      <iconSet iconSet="3Symbols2" showValue="0">
        <cfvo type="percent" val="0"/>
        <cfvo type="num" val="0"/>
        <cfvo type="num" val="1"/>
      </iconSet>
    </cfRule>
  </conditionalFormatting>
  <conditionalFormatting sqref="D21:D23">
    <cfRule type="iconSet" priority="10">
      <iconSet iconSet="3Symbols2" showValue="0">
        <cfvo type="percent" val="0"/>
        <cfvo type="num" val="0"/>
        <cfvo type="num" val="1"/>
      </iconSet>
    </cfRule>
  </conditionalFormatting>
  <conditionalFormatting sqref="D16:D20">
    <cfRule type="iconSet" priority="9">
      <iconSet iconSet="3Symbols2" showValue="0">
        <cfvo type="percent" val="0"/>
        <cfvo type="num" val="0"/>
        <cfvo type="num" val="1"/>
      </iconSet>
    </cfRule>
  </conditionalFormatting>
  <conditionalFormatting sqref="D24:D32">
    <cfRule type="iconSet" priority="1387">
      <iconSet iconSet="3Symbols2" showValue="0">
        <cfvo type="percent" val="0"/>
        <cfvo type="num" val="0"/>
        <cfvo type="num" val="1"/>
      </iconSet>
    </cfRule>
  </conditionalFormatting>
  <conditionalFormatting sqref="D62:D75">
    <cfRule type="iconSet" priority="1388">
      <iconSet iconSet="3Symbols2" showValue="0">
        <cfvo type="percent" val="0"/>
        <cfvo type="num" val="0"/>
        <cfvo type="num" val="1"/>
      </iconSet>
    </cfRule>
  </conditionalFormatting>
  <conditionalFormatting sqref="D160:D161">
    <cfRule type="iconSet" priority="1389">
      <iconSet iconSet="3Symbols2" showValue="0">
        <cfvo type="percent" val="0"/>
        <cfvo type="num" val="0"/>
        <cfvo type="num" val="1"/>
      </iconSet>
    </cfRule>
  </conditionalFormatting>
  <conditionalFormatting sqref="D160:D161">
    <cfRule type="iconSet" priority="1390">
      <iconSet iconSet="3Symbols2" showValue="0">
        <cfvo type="percent" val="0"/>
        <cfvo type="num" val="0"/>
        <cfvo type="num" val="1"/>
      </iconSet>
    </cfRule>
    <cfRule type="iconSet" priority="1391">
      <iconSet iconSet="3Symbols2">
        <cfvo type="percent" val="0"/>
        <cfvo type="num" val="0"/>
        <cfvo type="num" val="1"/>
      </iconSet>
    </cfRule>
    <cfRule type="iconSet" priority="1392">
      <iconSet showValue="0">
        <cfvo type="percent" val="0"/>
        <cfvo type="percent" val="33"/>
        <cfvo type="percent" val="67"/>
      </iconSet>
    </cfRule>
    <cfRule type="iconSet" priority="1393">
      <iconSet iconSet="3Symbols2">
        <cfvo type="percent" val="0"/>
        <cfvo type="num" val="0"/>
        <cfvo type="num" val="1"/>
      </iconSet>
    </cfRule>
  </conditionalFormatting>
  <conditionalFormatting sqref="D160:D161">
    <cfRule type="iconSet" priority="1394">
      <iconSet iconSet="3Symbols2" showValue="0">
        <cfvo type="percent" val="0"/>
        <cfvo type="num" val="1"/>
        <cfvo type="num" val="2"/>
      </iconSet>
    </cfRule>
    <cfRule type="iconSet" priority="1395">
      <iconSet iconSet="3Symbols2" showValue="0">
        <cfvo type="percent" val="0"/>
        <cfvo type="num" val="1"/>
        <cfvo type="num" val="2"/>
      </iconSet>
    </cfRule>
    <cfRule type="iconSet" priority="1396">
      <iconSet iconSet="3Symbols2">
        <cfvo type="percent" val="0"/>
        <cfvo type="num" val="1"/>
        <cfvo type="num" val="2"/>
      </iconSet>
    </cfRule>
  </conditionalFormatting>
  <conditionalFormatting sqref="C7:C23">
    <cfRule type="notContainsText" dxfId="2" priority="4" operator="notContains" text="No Action Needed">
      <formula>ISERROR(SEARCH("No Action Needed",C7))</formula>
    </cfRule>
  </conditionalFormatting>
  <conditionalFormatting sqref="D56:D61">
    <cfRule type="iconSet" priority="1418">
      <iconSet iconSet="3Symbols2" showValue="0">
        <cfvo type="percent" val="0"/>
        <cfvo type="num" val="0"/>
        <cfvo type="num" val="1"/>
      </iconSet>
    </cfRule>
  </conditionalFormatting>
  <conditionalFormatting sqref="D91:D122">
    <cfRule type="iconSet" priority="1419">
      <iconSet iconSet="3Symbols2" showValue="0">
        <cfvo type="percent" val="0"/>
        <cfvo type="num" val="0"/>
        <cfvo type="num" val="1"/>
      </iconSet>
    </cfRule>
  </conditionalFormatting>
  <conditionalFormatting sqref="D62:D76 D81 D86:D87">
    <cfRule type="iconSet" priority="1420">
      <iconSet iconSet="3Symbols2" showValue="0">
        <cfvo type="percent" val="0"/>
        <cfvo type="num" val="0"/>
        <cfvo type="num" val="1"/>
      </iconSet>
    </cfRule>
    <cfRule type="iconSet" priority="1421">
      <iconSet iconSet="3Symbols2">
        <cfvo type="percent" val="0"/>
        <cfvo type="num" val="0"/>
        <cfvo type="num" val="1"/>
      </iconSet>
    </cfRule>
    <cfRule type="iconSet" priority="1422">
      <iconSet showValue="0">
        <cfvo type="percent" val="0"/>
        <cfvo type="percent" val="33"/>
        <cfvo type="percent" val="67"/>
      </iconSet>
    </cfRule>
    <cfRule type="iconSet" priority="1423">
      <iconSet iconSet="3Symbols2">
        <cfvo type="percent" val="0"/>
        <cfvo type="num" val="0"/>
        <cfvo type="num" val="1"/>
      </iconSet>
    </cfRule>
  </conditionalFormatting>
  <conditionalFormatting sqref="D62:D76 D81 D86:D87">
    <cfRule type="iconSet" priority="1432">
      <iconSet iconSet="3Symbols2" showValue="0">
        <cfvo type="percent" val="0"/>
        <cfvo type="num" val="1"/>
        <cfvo type="num" val="2"/>
      </iconSet>
    </cfRule>
    <cfRule type="iconSet" priority="1433">
      <iconSet iconSet="3Symbols2" showValue="0">
        <cfvo type="percent" val="0"/>
        <cfvo type="num" val="1"/>
        <cfvo type="num" val="2"/>
      </iconSet>
    </cfRule>
    <cfRule type="iconSet" priority="1434">
      <iconSet iconSet="3Symbols2">
        <cfvo type="percent" val="0"/>
        <cfvo type="num" val="1"/>
        <cfvo type="num" val="2"/>
      </iconSet>
    </cfRule>
  </conditionalFormatting>
  <conditionalFormatting sqref="C56">
    <cfRule type="cellIs" dxfId="1" priority="3" operator="notEqual">
      <formula>"Skip this step"</formula>
    </cfRule>
  </conditionalFormatting>
  <conditionalFormatting sqref="C76">
    <cfRule type="beginsWith" dxfId="0" priority="2" operator="beginsWith" text="Please">
      <formula>LEFT(C76,LEN("Please"))="Please"</formula>
    </cfRule>
  </conditionalFormatting>
  <conditionalFormatting sqref="D2">
    <cfRule type="iconSet" priority="1">
      <iconSet iconSet="3Symbols2" showValue="0">
        <cfvo type="percent" val="0"/>
        <cfvo type="num" val="0"/>
        <cfvo type="num" val="1"/>
      </iconSet>
    </cfRule>
  </conditionalFormatting>
  <hyperlinks>
    <hyperlink ref="C189" r:id="rId1"/>
    <hyperlink ref="C2" r:id="rId2"/>
  </hyperlinks>
  <pageMargins left="0.7" right="0.7" top="0.75" bottom="0.75" header="0.3" footer="0.3"/>
  <pageSetup orientation="portrait" r:id="rId3"/>
  <ignoredErrors>
    <ignoredError sqref="C143 C145 C147 C149 C151 C153 C155 C1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3"/>
  <sheetViews>
    <sheetView zoomScale="85" zoomScaleNormal="85" workbookViewId="0">
      <selection activeCell="B75" sqref="B75"/>
    </sheetView>
  </sheetViews>
  <sheetFormatPr defaultRowHeight="15"/>
  <cols>
    <col min="1" max="1" width="9.140625" style="7"/>
    <col min="2" max="2" width="81.7109375" style="1" bestFit="1" customWidth="1"/>
    <col min="3" max="3" width="237.140625" customWidth="1"/>
    <col min="4" max="4" width="26" bestFit="1" customWidth="1"/>
    <col min="5" max="5" width="28.7109375" style="235" bestFit="1" customWidth="1"/>
  </cols>
  <sheetData>
    <row r="1" spans="1:5" ht="18">
      <c r="A1" s="241"/>
      <c r="B1" s="242" t="s">
        <v>129</v>
      </c>
      <c r="C1" s="242" t="s">
        <v>114</v>
      </c>
      <c r="D1" s="242" t="s">
        <v>113</v>
      </c>
      <c r="E1" s="243" t="s">
        <v>187</v>
      </c>
    </row>
    <row r="2" spans="1:5">
      <c r="A2" s="930">
        <v>1</v>
      </c>
      <c r="B2" s="261">
        <f>('Build Data'!F21)</f>
        <v>0</v>
      </c>
      <c r="C2" s="56" t="s">
        <v>188</v>
      </c>
      <c r="D2" s="941"/>
      <c r="E2" s="254"/>
    </row>
    <row r="3" spans="1:5">
      <c r="A3" s="1124">
        <v>2</v>
      </c>
      <c r="B3" s="545" t="s">
        <v>189</v>
      </c>
      <c r="C3" s="546" t="str">
        <f>_xlfn.CONCAT("https://planview.lightning.force.com/lightning ")</f>
        <v xml:space="preserve">https://planview.lightning.force.com/lightning </v>
      </c>
      <c r="D3" s="1068"/>
      <c r="E3" s="1127"/>
    </row>
    <row r="4" spans="1:5">
      <c r="A4" s="1125"/>
      <c r="B4" s="545"/>
      <c r="C4" s="546">
        <f>('Build Data'!F23)</f>
        <v>0</v>
      </c>
      <c r="D4" s="1069"/>
      <c r="E4" s="1128"/>
    </row>
    <row r="5" spans="1:5" ht="75">
      <c r="A5" s="1126"/>
      <c r="B5" s="545"/>
      <c r="C5" s="67" t="s">
        <v>190</v>
      </c>
      <c r="D5" s="1070"/>
      <c r="E5" s="1129"/>
    </row>
    <row r="6" spans="1:5">
      <c r="A6" s="1113">
        <v>3</v>
      </c>
      <c r="B6" s="262" t="s">
        <v>191</v>
      </c>
      <c r="C6" s="170" t="s">
        <v>192</v>
      </c>
      <c r="D6" s="1062"/>
      <c r="E6" s="1108" t="str">
        <f>IF(MasterConfig!B25=TRUE,"PVE Server listed 2 times is planned","")</f>
        <v/>
      </c>
    </row>
    <row r="7" spans="1:5">
      <c r="A7" s="1114"/>
      <c r="B7" s="354"/>
      <c r="C7" s="171" t="str">
        <f>IF('Build Data'!F13=TRUE,_xlfn.CONCAT(Automation!B12,Automation!C13,'Build Data'!F8,Automation!C51,Automation!D69,Automation!C21,Automation!D3,Automation!C22,Automation!D13,Automation!C28),_xlfn.CONCAT(Automation!B12,Automation!C13,'Build Data'!F8,Automation!C51,Automation!D69,Automation!C21,Automation!D3,Automation!C22,Automation!D13))</f>
        <v xml:space="preserve">New-DDDowntime -CustID  -Environment Sandbox -Mutelength 5 -Message "Muting environment for In Place Upgrade" </v>
      </c>
      <c r="D7" s="1064"/>
      <c r="E7" s="1109"/>
    </row>
    <row r="8" spans="1:5">
      <c r="A8" s="1065">
        <v>4</v>
      </c>
      <c r="B8" s="160" t="s">
        <v>193</v>
      </c>
      <c r="C8" s="172"/>
      <c r="D8" s="1068"/>
      <c r="E8" s="453"/>
    </row>
    <row r="9" spans="1:5">
      <c r="A9" s="1066"/>
      <c r="B9" s="544" t="s">
        <v>194</v>
      </c>
      <c r="C9" s="45" t="e">
        <f ca="1">IF('Build Data'!F13=TRUE,_xlfn.CONCAT(Automation!D140,Automation!D71,Automation!H8),_xlfn.CONCAT(Automation!D140,Automation!D71,Automation!H9))</f>
        <v>#NAME?</v>
      </c>
      <c r="D9" s="1069"/>
      <c r="E9" s="503"/>
    </row>
    <row r="10" spans="1:5">
      <c r="A10" s="1066"/>
      <c r="B10" s="544"/>
      <c r="C10" s="45" t="str">
        <f>_xlfn.CONCAT(Automation!B3,Automation!C23,Automation!D140,Automation!C12,Automation!D16,Automation!C52,Automation!C36,Automation!D17)</f>
        <v>Invoke-Command -ComputerName $SbAll -ScriptBlock {Restart-Computer -Force}</v>
      </c>
      <c r="D10" s="1069"/>
      <c r="E10" s="503"/>
    </row>
    <row r="11" spans="1:5">
      <c r="A11" s="1066"/>
      <c r="B11" s="544" t="s">
        <v>195</v>
      </c>
      <c r="C11" s="45" t="str">
        <f>(Automation!B14) &amp; "300"</f>
        <v>start-sleep 300</v>
      </c>
      <c r="D11" s="1069"/>
      <c r="E11" s="503"/>
    </row>
    <row r="12" spans="1:5">
      <c r="A12" s="1066"/>
      <c r="B12" s="544" t="s">
        <v>196</v>
      </c>
      <c r="C12" s="45" t="e">
        <f ca="1">IF('Build Data'!F13=TRUE,_xlfn.CONCAT(Automation!D142,Automation!D71,Automation!H3),_xlfn.CONCAT(Automation!D142,Automation!D71,Automation!G3))</f>
        <v>#NAME?</v>
      </c>
      <c r="D12" s="1069"/>
      <c r="E12" s="503"/>
    </row>
    <row r="13" spans="1:5">
      <c r="A13" s="1067"/>
      <c r="B13" s="544"/>
      <c r="C13" s="45" t="str">
        <f>_xlfn.CONCAT(Automation!B3,Automation!C23,Automation!D142,Automation!C24,Automation!D16,Automation!C20,Automation!D27,Automation!C4,Automation!D17)</f>
        <v>Invoke-Command -ComputerName $SBWebs -Command  {stop-WebAppPool planview  -Verbose}</v>
      </c>
      <c r="D13" s="1070"/>
      <c r="E13" s="503"/>
    </row>
    <row r="14" spans="1:5">
      <c r="A14" s="1059">
        <v>5</v>
      </c>
      <c r="B14" s="264" t="s">
        <v>197</v>
      </c>
      <c r="C14" s="96" t="e">
        <f ca="1">IF('Build Data'!F13=TRUE,_xlfn.CONCAT(Automation!D138,Automation!D71,Automation!H3,Automation!D26,Automation!D72,Automation!F46,Automation!D72),_xlfn.CONCAT(Automation!D138,Automation!D71,Automation!G3,Automation!D26,Automation!D72,Automation!F12,Automation!D72))</f>
        <v>#NAME?</v>
      </c>
      <c r="D14" s="1062"/>
      <c r="E14" s="1117" t="str">
        <f>IF(MasterConfig!B25=TRUE,"PVE Server listed 2 times is planned","")</f>
        <v/>
      </c>
    </row>
    <row r="15" spans="1:5">
      <c r="A15" s="1061"/>
      <c r="B15" s="245"/>
      <c r="C15" s="169" t="str">
        <f>_xlfn.CONCAT(Automation!B3,Automation!C23,Automation!D138,Automation!C12,Automation!D16,Automation!C18,Automation!C26,Automation!D29,Automation!C4,Automation!D70,Automation!C27,Automation!C26,Automation!D29,Automation!C4,Automation!D17)</f>
        <v>Invoke-Command -ComputerName $SbPrm -ScriptBlock {Stop-Service  -DisplayName  Plan*  -Verbose; Get-Service  -DisplayName  Plan*  -Verbose}</v>
      </c>
      <c r="D15" s="1063"/>
      <c r="E15" s="1119"/>
    </row>
    <row r="16" spans="1:5">
      <c r="A16" s="1065">
        <v>6</v>
      </c>
      <c r="B16" s="963" t="s">
        <v>198</v>
      </c>
      <c r="C16" s="611"/>
      <c r="D16" s="1068"/>
      <c r="E16" s="1115"/>
    </row>
    <row r="17" spans="1:5">
      <c r="A17" s="1066"/>
      <c r="B17" s="964"/>
      <c r="C17" s="612" t="e">
        <f ca="1">IF('Build Data'!F13=TRUE,_xlfn.CONCAT(Automation!B3,Automation!C23,Automation!F42,Automation!D15,Automation!C24,Automation!C45),_xlfn.CONCAT(Automation!B3,Automation!C23,Automation!F21,Automation!D15,Automation!C24,Automation!C45))</f>
        <v>#NAME?</v>
      </c>
      <c r="D17" s="1069"/>
      <c r="E17" s="1116"/>
    </row>
    <row r="18" spans="1:5">
      <c r="A18" s="1066"/>
      <c r="B18" s="964"/>
      <c r="C18" s="612" t="str">
        <f>_xlfn.CONCAT(Automation!D42,Automation!D43)</f>
        <v xml:space="preserve">cd SQLSERVER: </v>
      </c>
      <c r="D18" s="1069"/>
      <c r="E18" s="1116"/>
    </row>
    <row r="19" spans="1:5">
      <c r="A19" s="1066"/>
      <c r="B19" s="964"/>
      <c r="C19" s="612" t="s">
        <v>159</v>
      </c>
      <c r="D19" s="1069"/>
      <c r="E19" s="1116"/>
    </row>
    <row r="20" spans="1:5">
      <c r="A20" s="1066"/>
      <c r="B20" s="964"/>
      <c r="C20" s="612" t="e">
        <f ca="1">IF('Build Data'!F13=TRUE,_xlfn.CONCAT(Automation!D42,Automation!D44,Automation!F42,Automation!D45),_xlfn.CONCAT(Automation!D42,Automation!D44,Automation!F13,Automation!D45))</f>
        <v>#NAME?</v>
      </c>
      <c r="D20" s="1069"/>
      <c r="E20" s="1116"/>
    </row>
    <row r="21" spans="1:5">
      <c r="A21" s="1066"/>
      <c r="B21" s="964"/>
      <c r="C21" s="613" t="str">
        <f>_xlfn.CONCAT(Automation!C44)</f>
        <v>(get-item DBBackups.0).start()</v>
      </c>
      <c r="D21" s="1069"/>
      <c r="E21" s="1116"/>
    </row>
    <row r="22" spans="1:5">
      <c r="A22" s="1066"/>
      <c r="B22" s="964"/>
      <c r="C22" s="613" t="str">
        <f>_xlfn.CONCAT(Automation!C46,Automation!D47,Automation!D25)</f>
        <v>(get-item DBBackups.0 | FT CurrentRunStatus)</v>
      </c>
      <c r="D22" s="1069"/>
      <c r="E22" s="1116"/>
    </row>
    <row r="23" spans="1:5">
      <c r="A23" s="1066"/>
      <c r="B23" s="964"/>
      <c r="C23" s="614" t="s">
        <v>162</v>
      </c>
      <c r="D23" s="1069"/>
      <c r="E23" s="1116"/>
    </row>
    <row r="24" spans="1:5">
      <c r="A24" s="1066"/>
      <c r="B24" s="964"/>
      <c r="C24" s="613" t="str">
        <f>(Automation!B14) &amp; "300"</f>
        <v>start-sleep 300</v>
      </c>
      <c r="D24" s="1069"/>
      <c r="E24" s="1116"/>
    </row>
    <row r="25" spans="1:5">
      <c r="A25" s="1066"/>
      <c r="B25" s="964"/>
      <c r="C25" s="614" t="e">
        <f ca="1">IF('Build Data'!F13=TRUE,_xlfn.CONCAT(Automation!B3,Automation!C23,Automation!F42,Automation!D15,Automation!C24,Automation!C45),_xlfn.CONCAT(Automation!B3,Automation!C23,Automation!F21,Automation!D15,Automation!C24,Automation!C45))</f>
        <v>#NAME?</v>
      </c>
      <c r="D25" s="1069"/>
      <c r="E25" s="1116"/>
    </row>
    <row r="26" spans="1:5">
      <c r="A26" s="1067"/>
      <c r="B26" s="965"/>
      <c r="C26" s="615"/>
      <c r="D26" s="1070"/>
      <c r="E26" s="1116"/>
    </row>
    <row r="27" spans="1:5">
      <c r="A27" s="1060">
        <v>7</v>
      </c>
      <c r="B27" s="328" t="s">
        <v>199</v>
      </c>
      <c r="C27" s="617"/>
      <c r="D27" s="1062"/>
      <c r="E27" s="1117"/>
    </row>
    <row r="28" spans="1:5">
      <c r="A28" s="1060"/>
      <c r="B28" s="298"/>
      <c r="C28" s="596" t="str">
        <f>IF('Build Data'!F13=TRUE,"https://jenkins.planviewcloud.net/job/create_ami_pipe/build?delay=0sec",IF('Build Data'!F7="ln","https://jenkins.eu.planview.world/job/vmguest_create_snapshot/build?delay=0sec",IF('Build Data'!F7="sg","https://jenkins.us.planview.world/job/vmguest_create_snapshot/build?delay=0sec","")))</f>
        <v/>
      </c>
      <c r="D28" s="1063"/>
      <c r="E28" s="1118"/>
    </row>
    <row r="29" spans="1:5">
      <c r="A29" s="1060"/>
      <c r="B29" s="298" t="str">
        <f>IF('Build Data'!F13=TRUE,"TARGET_SERVER_NAME",IF('Build Data'!F13=FALSE,"VM_GUEST_NAME",""))</f>
        <v>VM_GUEST_NAME</v>
      </c>
      <c r="C29" s="618" t="str">
        <f>IF('Build Data'!I11&lt;&gt;"",'Build Data'!I11,"")</f>
        <v/>
      </c>
      <c r="D29" s="1063"/>
      <c r="E29" s="1118"/>
    </row>
    <row r="30" spans="1:5">
      <c r="A30" s="1060"/>
      <c r="B30" s="298" t="str">
        <f>IF('Build Data'!F13=TRUE,"AMI_TYPE",IF('Build Data'!F13=FALSE,"SNAPSHOT_NAME",""))</f>
        <v>SNAPSHOT_NAME</v>
      </c>
      <c r="C30" s="618" t="str">
        <f>IF('Build Data'!F13&lt;&gt;"","Pre_e1r17_SB_Upgrade","")</f>
        <v/>
      </c>
      <c r="D30" s="1063"/>
      <c r="E30" s="1118"/>
    </row>
    <row r="31" spans="1:5">
      <c r="A31" s="1060"/>
      <c r="B31" s="616" t="str">
        <f>IF('Build Data'!F13=TRUE,"NODE_LABEL",IF('Build Data'!F13=FALSE,"",""))</f>
        <v/>
      </c>
      <c r="C31" s="619" t="str">
        <f>IF(AND('Build Data'!F13=TRUE,'Build Data'!F7="au"),Automation!F76,IF(AND('Build Data'!F13=TRUE,'Build Data'!F7="fr"),Automation!F77,""))</f>
        <v/>
      </c>
      <c r="D31" s="1064"/>
      <c r="E31" s="1118"/>
    </row>
    <row r="32" spans="1:5">
      <c r="A32" s="1060"/>
      <c r="B32" s="299"/>
      <c r="C32" s="598" t="str">
        <f>IF('Build Data'!F13=TRUE,"https://jenkins.planviewcloud.net/job/create_ami_pipe/build?delay=0sec",IF('Build Data'!F7="ln","https://jenkins.eu.planview.world/job/vmguest_create_snapshot/build?delay=0sec",IF('Build Data'!F7="sg","https://jenkins.us.planview.world/job/vmguest_create_snapshot/build?delay=0sec","")))</f>
        <v/>
      </c>
      <c r="D32" s="1068"/>
      <c r="E32" s="1118"/>
    </row>
    <row r="33" spans="1:5">
      <c r="A33" s="1060"/>
      <c r="B33" s="322" t="str">
        <f>IF('Build Data'!F13=TRUE,"TARGET_SERVER_NAME",IF('Build Data'!F13=FALSE,"VM_GUEST_NAME",""))</f>
        <v>VM_GUEST_NAME</v>
      </c>
      <c r="C33" s="620" t="str">
        <f>IF('Build Data'!I12&lt;&gt;"",'Build Data'!I12,"")</f>
        <v/>
      </c>
      <c r="D33" s="1069"/>
      <c r="E33" s="1118"/>
    </row>
    <row r="34" spans="1:5">
      <c r="A34" s="1060"/>
      <c r="B34" s="322" t="str">
        <f>IF('Build Data'!F13=TRUE,"AMI_TYPE",IF('Build Data'!F13=FALSE,"SNAPSHOT_NAME",""))</f>
        <v>SNAPSHOT_NAME</v>
      </c>
      <c r="C34" s="620" t="str">
        <f>IF('Build Data'!F13&lt;&gt;"","Pre_e1r17_SB_Upgrade","")</f>
        <v/>
      </c>
      <c r="D34" s="1069"/>
      <c r="E34" s="1118"/>
    </row>
    <row r="35" spans="1:5">
      <c r="A35" s="1060"/>
      <c r="B35" s="300" t="str">
        <f>IF('Build Data'!F13=TRUE,"NODE_LABEL",IF('Build Data'!F13=FALSE,"",""))</f>
        <v/>
      </c>
      <c r="C35" s="621" t="str">
        <f>IF(AND('Build Data'!F13=TRUE,'Build Data'!F7="au"),Automation!F76,IF(AND('Build Data'!F13=TRUE,'Build Data'!F7="fr"),Automation!F77,""))</f>
        <v/>
      </c>
      <c r="D35" s="1070"/>
      <c r="E35" s="1118"/>
    </row>
    <row r="36" spans="1:5">
      <c r="A36" s="1060"/>
      <c r="B36" s="324"/>
      <c r="C36" s="168" t="str">
        <f>IF('Build Data'!F13=TRUE,"https://jenkins.planviewcloud.net/job/create_ami_pipe/build?delay=0sec",IF('Build Data'!F7="ln","https://jenkins.eu.planview.world/job/vmguest_create_snapshot/build?delay=0sec",IF('Build Data'!F7="sg","https://jenkins.us.planview.world/job/vmguest_create_snapshot/build?delay=0sec","")))</f>
        <v/>
      </c>
      <c r="D36" s="1062"/>
      <c r="E36" s="1118"/>
    </row>
    <row r="37" spans="1:5">
      <c r="A37" s="1060"/>
      <c r="B37" s="298" t="str">
        <f>IF('Build Data'!F13=TRUE,"TARGET_SERVER_NAME",IF('Build Data'!F13=FALSE,"VM_GUEST_NAME",""))</f>
        <v>VM_GUEST_NAME</v>
      </c>
      <c r="C37" s="618" t="str">
        <f>IF('Build Data'!I9&lt;&gt;"",'Build Data'!I9,"")</f>
        <v/>
      </c>
      <c r="D37" s="1063"/>
      <c r="E37" s="1118"/>
    </row>
    <row r="38" spans="1:5">
      <c r="A38" s="1060"/>
      <c r="B38" s="298" t="str">
        <f>IF('Build Data'!F13=TRUE,"AMI_TYPE",IF('Build Data'!F13=FALSE,"SNAPSHOT_NAME",""))</f>
        <v>SNAPSHOT_NAME</v>
      </c>
      <c r="C38" s="618" t="str">
        <f>IF('Build Data'!F13&lt;&gt;"","Pre_e1r17_SB_Upgrade","")</f>
        <v/>
      </c>
      <c r="D38" s="1063"/>
      <c r="E38" s="1118"/>
    </row>
    <row r="39" spans="1:5">
      <c r="A39" s="1060"/>
      <c r="B39" s="616" t="str">
        <f>IF('Build Data'!F13=TRUE,"NODE_LABEL",IF('Build Data'!F13=FALSE,"",""))</f>
        <v/>
      </c>
      <c r="C39" s="619" t="str">
        <f>IF(AND('Build Data'!F13=TRUE,'Build Data'!F7="au"),Automation!F76,IF(AND('Build Data'!F13=TRUE,'Build Data'!F7="fr"),Automation!F77,""))</f>
        <v/>
      </c>
      <c r="D39" s="1064"/>
      <c r="E39" s="1118"/>
    </row>
    <row r="40" spans="1:5">
      <c r="A40" s="1060"/>
      <c r="B40" s="299"/>
      <c r="C40" s="598" t="str">
        <f>IF('Build Data'!F13=TRUE,"https://jenkins.planviewcloud.net/job/create_ami_pipe/build?delay=0sec",IF('Build Data'!F7="ln","https://jenkins.eu.planview.world/job/vmguest_create_snapshot/build?delay=0sec",IF('Build Data'!F7="sg","https://jenkins.us.planview.world/job/vmguest_create_snapshot/build?delay=0sec","")))</f>
        <v/>
      </c>
      <c r="D40" s="1068"/>
      <c r="E40" s="1118"/>
    </row>
    <row r="41" spans="1:5">
      <c r="A41" s="1060"/>
      <c r="B41" s="322" t="str">
        <f>IF('Build Data'!F13=TRUE,"TARGET_SERVER_NAME",IF('Build Data'!F13=FALSE,"VM_GUEST_NAME",""))</f>
        <v>VM_GUEST_NAME</v>
      </c>
      <c r="C41" s="620" t="str">
        <f>IF('Build Data'!I10&lt;&gt;"",'Build Data'!I10,"")</f>
        <v/>
      </c>
      <c r="D41" s="1069"/>
      <c r="E41" s="1118"/>
    </row>
    <row r="42" spans="1:5">
      <c r="A42" s="1060"/>
      <c r="B42" s="322" t="str">
        <f>IF('Build Data'!F13=TRUE,"AMI_TYPE",IF('Build Data'!F13=FALSE,"SNAPSHOT_NAME",""))</f>
        <v>SNAPSHOT_NAME</v>
      </c>
      <c r="C42" s="620" t="str">
        <f>IF('Build Data'!F13&lt;&gt;"","Pre_e1r17_SB_Upgrade","")</f>
        <v/>
      </c>
      <c r="D42" s="1069"/>
      <c r="E42" s="1118"/>
    </row>
    <row r="43" spans="1:5">
      <c r="A43" s="1060"/>
      <c r="B43" s="300" t="str">
        <f>IF('Build Data'!F13=TRUE,"NODE_LABEL",IF('Build Data'!F13=FALSE,"",""))</f>
        <v/>
      </c>
      <c r="C43" s="621" t="str">
        <f>IF(AND('Build Data'!F13=TRUE,'Build Data'!F7="au"),Automation!F76,IF(AND('Build Data'!F13=TRUE,'Build Data'!F7="fr"),Automation!F77,""))</f>
        <v/>
      </c>
      <c r="D43" s="1070"/>
      <c r="E43" s="1118"/>
    </row>
    <row r="44" spans="1:5">
      <c r="A44" s="1060"/>
      <c r="B44" s="324"/>
      <c r="C44" s="168" t="str">
        <f>IF('Build Data'!F13=TRUE,"",IF('Build Data'!F7="ln","https://jenkins.eu.planview.world/job/vmguest_create_snapshot/build?delay=0sec",IF('Build Data'!F7="sg","https://jenkins.us.planview.world/job/vmguest_create_snapshot/build?delay=0sec","")))</f>
        <v/>
      </c>
      <c r="D44" s="1062"/>
      <c r="E44" s="1118"/>
    </row>
    <row r="45" spans="1:5">
      <c r="A45" s="1060"/>
      <c r="B45" s="298" t="str">
        <f>IF('Build Data'!F13=TRUE,"No SAS Server",IF('Build Data'!F13=FALSE,"VM_GUEST_NAME",""))</f>
        <v>VM_GUEST_NAME</v>
      </c>
      <c r="C45" s="618" t="str">
        <f>IF('Build Data'!F13=TRUE,"",IF('Build Data'!I13&lt;&gt;"",'Build Data'!I13,""))</f>
        <v/>
      </c>
      <c r="D45" s="1063"/>
      <c r="E45" s="1118"/>
    </row>
    <row r="46" spans="1:5">
      <c r="A46" s="1060"/>
      <c r="B46" s="298" t="str">
        <f>IF('Build Data'!F13=TRUE,"",IF('Build Data'!F13=FALSE,"SNAPSHOT_NAME",""))</f>
        <v>SNAPSHOT_NAME</v>
      </c>
      <c r="C46" s="618" t="str">
        <f>IF('Build Data'!F13=TRUE,"",IF('Build Data'!F13&lt;&gt;"","Pre_e1r17_SB_Alignment",""))</f>
        <v/>
      </c>
      <c r="D46" s="1063"/>
      <c r="E46" s="1118"/>
    </row>
    <row r="47" spans="1:5">
      <c r="A47" s="1060"/>
      <c r="B47" s="616"/>
      <c r="C47" s="619"/>
      <c r="D47" s="1064"/>
      <c r="E47" s="1118"/>
    </row>
    <row r="48" spans="1:5">
      <c r="A48" s="1060"/>
      <c r="B48" s="299"/>
      <c r="C48" s="598" t="str">
        <f>IF('Build Data'!J10="","",IF('Build Data'!F13=TRUE,"https://jenkins.planviewcloud.net/job/create_ami_pipe/build?delay=0sec",IF('Build Data'!F7="ln","https://jenkins.eu.planview.world/job/vmguest_create_snapshot/build?delay=0sec",IF('Build Data'!F7="sg","https://jenkins.us.planview.world/job/vmguest_create_snapshot/build?delay=0sec",""))))</f>
        <v/>
      </c>
      <c r="D48" s="1068"/>
      <c r="E48" s="1118"/>
    </row>
    <row r="49" spans="1:5">
      <c r="A49" s="1060"/>
      <c r="B49" s="322" t="str">
        <f>IF('Build Data'!J10="","No Additional Web Servers",IF('Build Data'!F13=TRUE,"TARGET_SERVER_NAME",IF('Build Data'!F13=FALSE,"VM_GUEST_NAME","")))</f>
        <v>No Additional Web Servers</v>
      </c>
      <c r="C49" s="620" t="str">
        <f>IF(C48&lt;&gt;"",'Build Data'!J10,"")</f>
        <v/>
      </c>
      <c r="D49" s="1069"/>
      <c r="E49" s="1118"/>
    </row>
    <row r="50" spans="1:5">
      <c r="A50" s="1060"/>
      <c r="B50" s="322" t="str">
        <f>IF('Build Data'!J10="","",IF('Build Data'!F13=TRUE,"AMI_TYPE",IF('Build Data'!F13=FALSE,"SNAPSHOT_NAME","")))</f>
        <v/>
      </c>
      <c r="C50" s="620" t="str">
        <f>IF(C48&lt;&gt;"","Pre_e1r17_SB_Upgrade","")</f>
        <v/>
      </c>
      <c r="D50" s="1069"/>
      <c r="E50" s="1118"/>
    </row>
    <row r="51" spans="1:5">
      <c r="A51" s="1060"/>
      <c r="B51" s="300" t="str">
        <f>IF('Build Data'!J10="","",IF('Build Data'!F13=TRUE,"NODE_LABEL",IF('Build Data'!F13=FALSE,"","")))</f>
        <v/>
      </c>
      <c r="C51" s="621" t="str">
        <f>IF(AND('Build Data'!F13=TRUE,'Build Data'!F7="au",C48&lt;&gt;""),Automation!F76,IF(AND('Build Data'!F13=TRUE,'Build Data'!F7="fr",C48&lt;&gt;""),Automation!F77,""))</f>
        <v/>
      </c>
      <c r="D51" s="1070"/>
      <c r="E51" s="1118"/>
    </row>
    <row r="52" spans="1:5">
      <c r="A52" s="1060"/>
      <c r="B52" s="324"/>
      <c r="C52" s="168" t="str">
        <f>IF('Build Data'!J11="","",IF('Build Data'!F13=TRUE,"https://jenkins.planviewcloud.net/job/create_ami_pipe/build?delay=0sec",IF('Build Data'!F7="ln","https://jenkins.eu.planview.world/job/vmguest_create_snapshot/build?delay=0sec",IF('Build Data'!F7="sg","https://jenkins.us.planview.world/job/vmguest_create_snapshot/build?delay=0sec",""))))</f>
        <v/>
      </c>
      <c r="D52" s="1062"/>
      <c r="E52" s="1118"/>
    </row>
    <row r="53" spans="1:5">
      <c r="A53" s="1060"/>
      <c r="B53" s="298" t="str">
        <f>IF('Build Data'!J11="","No Additional Web Servers",IF('Build Data'!F13=TRUE,"TARGET_SERVER_NAME",IF('Build Data'!F13=FALSE,"VM_GUEST_NAME","")))</f>
        <v>No Additional Web Servers</v>
      </c>
      <c r="C53" s="618" t="str">
        <f>IF(C52&lt;&gt;"",'Build Data'!J11,"")</f>
        <v/>
      </c>
      <c r="D53" s="1063"/>
      <c r="E53" s="1118"/>
    </row>
    <row r="54" spans="1:5">
      <c r="A54" s="1060"/>
      <c r="B54" s="298" t="str">
        <f>IF('Build Data'!J11="","",IF('Build Data'!F13=TRUE,"AMI_TYPE",IF('Build Data'!F13=FALSE,"SNAPSHOT_NAME","")))</f>
        <v/>
      </c>
      <c r="C54" s="618" t="str">
        <f>IF(C52&lt;&gt;"","Pre_e1r17_SB_Alignment","")</f>
        <v/>
      </c>
      <c r="D54" s="1063"/>
      <c r="E54" s="1118"/>
    </row>
    <row r="55" spans="1:5">
      <c r="A55" s="1060"/>
      <c r="B55" s="616" t="str">
        <f>IF('Build Data'!J11="","",IF('Build Data'!F13=TRUE,"NODE_LABEL",IF('Build Data'!F13=FALSE,"","")))</f>
        <v/>
      </c>
      <c r="C55" s="619" t="str">
        <f>IF(AND('Build Data'!F13=TRUE,'Build Data'!F7="au",C52&lt;&gt;""),Automation!F76,IF(AND('Build Data'!F13=TRUE,'Build Data'!F7="fr",C52&lt;&gt;""),Automation!F77,""))</f>
        <v/>
      </c>
      <c r="D55" s="1064"/>
      <c r="E55" s="1118"/>
    </row>
    <row r="56" spans="1:5">
      <c r="A56" s="1060"/>
      <c r="B56" s="299"/>
      <c r="C56" s="598" t="str">
        <f>IF('Build Data'!J12="","",IF('Build Data'!F13=TRUE,"https://jenkins.planviewcloud.net/job/create_ami_pipe/build?delay=0sec",IF('Build Data'!F7="ln","https://jenkins.eu.planview.world/job/vmguest_create_snapshot/build?delay=0sec",IF('Build Data'!F7="sg","https://jenkins.us.planview.world/job/vmguest_create_snapshot/build?delay=0sec",""))))</f>
        <v/>
      </c>
      <c r="D56" s="1068"/>
      <c r="E56" s="1118"/>
    </row>
    <row r="57" spans="1:5">
      <c r="A57" s="1060"/>
      <c r="B57" s="322" t="str">
        <f>IF('Build Data'!J12="","No Additional Web Servers",IF('Build Data'!F13=TRUE,"TARGET_SERVER_NAME",IF('Build Data'!F13=FALSE,"VM_GUEST_NAME","")))</f>
        <v>No Additional Web Servers</v>
      </c>
      <c r="C57" s="620" t="str">
        <f>IF(C56&lt;&gt;"",'Build Data'!J12,"")</f>
        <v/>
      </c>
      <c r="D57" s="1069"/>
      <c r="E57" s="1118"/>
    </row>
    <row r="58" spans="1:5">
      <c r="A58" s="1060"/>
      <c r="B58" s="322" t="str">
        <f>IF('Build Data'!J12="","",IF('Build Data'!F13=TRUE,"AMI_TYPE",IF('Build Data'!F13=FALSE,"SNAPSHOT_NAME","")))</f>
        <v/>
      </c>
      <c r="C58" s="620" t="str">
        <f>IF(C56&lt;&gt;"","Pre_e1r17_SB_Alignment","")</f>
        <v/>
      </c>
      <c r="D58" s="1069"/>
      <c r="E58" s="1118"/>
    </row>
    <row r="59" spans="1:5">
      <c r="A59" s="1060"/>
      <c r="B59" s="300" t="str">
        <f>IF('Build Data'!J12="","",IF('Build Data'!F13=TRUE,"NODE_LABEL",IF('Build Data'!F13=FALSE,"","")))</f>
        <v/>
      </c>
      <c r="C59" s="621" t="str">
        <f>IF(AND('Build Data'!F13=TRUE,'Build Data'!F7="au",C56&lt;&gt;""),Automation!F76,IF(AND('Build Data'!F13=TRUE,'Build Data'!F7="fr",C56&lt;&gt;""),Automation!F77,""))</f>
        <v/>
      </c>
      <c r="D59" s="1070"/>
      <c r="E59" s="1118"/>
    </row>
    <row r="60" spans="1:5">
      <c r="A60" s="1060"/>
      <c r="B60" s="298"/>
      <c r="C60" s="622" t="str">
        <f>IF('Build Data'!J13="","",IF('Build Data'!F13=TRUE,"https://jenkins.planviewcloud.net/job/create_ami_pipe/build?delay=0sec",IF('Build Data'!F7="ln","https://jenkins.eu.planview.world/job/vmguest_create_snapshot/build?delay=0sec",IF('Build Data'!F7="sg","https://jenkins.us.planview.world/job/vmguest_create_snapshot/build?delay=0sec",""))))</f>
        <v/>
      </c>
      <c r="D60" s="1062"/>
      <c r="E60" s="1118"/>
    </row>
    <row r="61" spans="1:5">
      <c r="A61" s="1060"/>
      <c r="B61" s="298" t="str">
        <f>IF('Build Data'!J13="","No Additional Web Servers",IF('Build Data'!F13=TRUE,"TARGET_SERVER_NAME",IF('Build Data'!F13=FALSE,"VM_GUEST_NAME","")))</f>
        <v>No Additional Web Servers</v>
      </c>
      <c r="C61" s="618" t="str">
        <f>IF(C60&lt;&gt;"",'Build Data'!J13,"")</f>
        <v/>
      </c>
      <c r="D61" s="1063"/>
      <c r="E61" s="1118"/>
    </row>
    <row r="62" spans="1:5">
      <c r="A62" s="1060"/>
      <c r="B62" s="558" t="str">
        <f>IF('Build Data'!J13="","",IF('Build Data'!F13=TRUE,"AMI_TYPE",IF('Build Data'!F13=FALSE,"SNAPSHOT_NAME","")))</f>
        <v/>
      </c>
      <c r="C62" s="618" t="str">
        <f>IF(C60&lt;&gt;"","Pre_e1r17_SB_Alignment","")</f>
        <v/>
      </c>
      <c r="D62" s="1063"/>
      <c r="E62" s="1118"/>
    </row>
    <row r="63" spans="1:5">
      <c r="A63" s="1061"/>
      <c r="B63" s="298" t="str">
        <f>IF('Build Data'!J13="","",IF('Build Data'!F13=TRUE,"NODE_LABEL",IF('Build Data'!F13=FALSE,"","")))</f>
        <v/>
      </c>
      <c r="C63" s="619" t="str">
        <f>IF(AND('Build Data'!F13=TRUE,'Build Data'!F7="au",C60&lt;&gt;""),Automation!F76,IF(AND('Build Data'!F13=TRUE,'Build Data'!F7="fr",C60&lt;&gt;""),Automation!F77,""))</f>
        <v/>
      </c>
      <c r="D63" s="1064"/>
      <c r="E63" s="1119"/>
    </row>
    <row r="64" spans="1:5">
      <c r="A64" s="1065">
        <v>8</v>
      </c>
      <c r="B64" s="557" t="s">
        <v>200</v>
      </c>
      <c r="C64" s="81" t="str">
        <f>IF('Build Data'!I11="","",IF('Build Data'!F13=TRUE,"https://jenkins.planviewcloud.net/job/deploy_sql_cu_pipe/build?delay=0sec",IF('Build Data'!F7="ln","https://jenkins.eu.planview.world/job/deploy_sql_cu_pipe/build?delay=0sec",IF('Build Data'!F7="sg","https://jenkins.us.planview.world/job/deploy_sql_cu_pipe/build?delay=0sec",""))))</f>
        <v/>
      </c>
      <c r="D64" s="1068"/>
      <c r="E64" s="1110"/>
    </row>
    <row r="65" spans="1:5">
      <c r="A65" s="1066"/>
      <c r="B65" s="271" t="s">
        <v>118</v>
      </c>
      <c r="C65" s="173" t="str">
        <f>('Build Data'!I11)</f>
        <v/>
      </c>
      <c r="D65" s="1069"/>
      <c r="E65" s="1111"/>
    </row>
    <row r="66" spans="1:5">
      <c r="A66" s="1066"/>
      <c r="B66" s="281" t="s">
        <v>201</v>
      </c>
      <c r="C66" s="458">
        <v>19</v>
      </c>
      <c r="D66" s="1069"/>
      <c r="E66" s="1111"/>
    </row>
    <row r="67" spans="1:5">
      <c r="A67" s="1067"/>
      <c r="B67" s="403" t="s">
        <v>202</v>
      </c>
      <c r="C67" s="957" t="str">
        <f>_xlfn.CONCAT('Build Data'!I11)</f>
        <v/>
      </c>
      <c r="D67" s="1070"/>
      <c r="E67" s="1112"/>
    </row>
    <row r="68" spans="1:5" ht="30">
      <c r="A68" s="960">
        <v>9</v>
      </c>
      <c r="B68" s="559" t="str">
        <f>IF('Build Data'!C77="Yes", "Uninstall Open Suite","Skip this step, no Open Suite")</f>
        <v>Skip this step, no Open Suite</v>
      </c>
      <c r="C68" s="625" t="str">
        <f>IF('Build Data'!C77="Yes",'Build Data'!I10,"")</f>
        <v/>
      </c>
      <c r="D68" s="570">
        <f>IF(B68="Skip this step, no Open Suite",1,"")</f>
        <v>1</v>
      </c>
      <c r="E68" s="955" t="str">
        <f>IF(B68="Skip this step, no Open Suite","Automated Complete 
no additional web servers","")</f>
        <v>Automated Complete 
no additional web servers</v>
      </c>
    </row>
    <row r="69" spans="1:5">
      <c r="A69" s="1065">
        <v>10</v>
      </c>
      <c r="B69" s="457" t="s">
        <v>203</v>
      </c>
      <c r="C69" s="84" t="str">
        <f>IF('Build Data'!I12="","",IF('Build Data'!F13=TRUE,"https://jenkins.planviewcloud.net/job/ctm_upgrade_pipe/build?delay=0sec",IF('Build Data'!F7="ln","https://jenkins.eu.planview.world/job/ctm_upgrade_pipe/build?delay=0sec",IF('Build Data'!F7="sg","https://jenkins.us.planview.world/job/ctm_upgrade_pipe/build?delay=0sec",""))))</f>
        <v/>
      </c>
      <c r="D69" s="1068"/>
      <c r="E69" s="1111"/>
    </row>
    <row r="70" spans="1:5">
      <c r="A70" s="1066"/>
      <c r="B70" s="281" t="s">
        <v>118</v>
      </c>
      <c r="C70" s="956" t="str">
        <f>('Build Data'!I12)</f>
        <v/>
      </c>
      <c r="D70" s="1069"/>
      <c r="E70" s="1111"/>
    </row>
    <row r="71" spans="1:5">
      <c r="A71" s="1066"/>
      <c r="B71" s="271" t="s">
        <v>120</v>
      </c>
      <c r="C71" s="458" t="str">
        <f>('Build Data'!F4)</f>
        <v/>
      </c>
      <c r="D71" s="1069"/>
      <c r="E71" s="1111"/>
    </row>
    <row r="72" spans="1:5">
      <c r="A72" s="1066"/>
      <c r="B72" s="271" t="s">
        <v>122</v>
      </c>
      <c r="C72" s="956">
        <f>('Build Data'!F8)</f>
        <v>0</v>
      </c>
      <c r="D72" s="1069"/>
      <c r="E72" s="1111"/>
    </row>
    <row r="73" spans="1:5">
      <c r="A73" s="1066"/>
      <c r="B73" s="271" t="s">
        <v>204</v>
      </c>
      <c r="C73" s="660" t="str">
        <f>LOWER("TRUE")</f>
        <v>true</v>
      </c>
      <c r="D73" s="1069"/>
      <c r="E73" s="1111"/>
    </row>
    <row r="74" spans="1:5">
      <c r="A74" s="1067"/>
      <c r="B74" s="316" t="s">
        <v>205</v>
      </c>
      <c r="C74" s="623"/>
      <c r="D74" s="1070"/>
      <c r="E74" s="1112"/>
    </row>
    <row r="75" spans="1:5">
      <c r="A75" s="1103">
        <v>11</v>
      </c>
      <c r="B75" s="437" t="s">
        <v>206</v>
      </c>
      <c r="C75" s="181" t="str">
        <f>IF('Build Data'!I9="","",IF('Build Data'!F13=TRUE,"https://jenkins.planviewcloud.net/job/e1_upgrade_pipe/build?delay=0sec",IF('Build Data'!F7="ln","https://jenkins.eu.planview.world/job/e1_upgrade_pipe/build?delay=0sec",IF('Build Data'!F7="sg","https://jenkins.us.planview.world/job/e1_upgrade_pipe/build?delay=0sec",""))))</f>
        <v/>
      </c>
      <c r="D75" s="1062"/>
      <c r="E75" s="1117"/>
    </row>
    <row r="76" spans="1:5">
      <c r="A76" s="1104"/>
      <c r="B76" s="276" t="s">
        <v>118</v>
      </c>
      <c r="C76" s="443" t="str">
        <f>('Build Data'!I10)</f>
        <v/>
      </c>
      <c r="D76" s="1063"/>
      <c r="E76" s="1118"/>
    </row>
    <row r="77" spans="1:5">
      <c r="A77" s="1104"/>
      <c r="B77" s="276" t="s">
        <v>122</v>
      </c>
      <c r="C77" s="443">
        <f>(C72)</f>
        <v>0</v>
      </c>
      <c r="D77" s="1063"/>
      <c r="E77" s="1118"/>
    </row>
    <row r="78" spans="1:5">
      <c r="A78" s="1104"/>
      <c r="B78" s="276" t="s">
        <v>120</v>
      </c>
      <c r="C78" s="443" t="str">
        <f>(C71)</f>
        <v/>
      </c>
      <c r="D78" s="1063"/>
      <c r="E78" s="1118"/>
    </row>
    <row r="79" spans="1:5">
      <c r="A79" s="1104"/>
      <c r="B79" s="276" t="s">
        <v>204</v>
      </c>
      <c r="C79" s="626" t="str">
        <f>LOWER("TRUE")</f>
        <v>true</v>
      </c>
      <c r="D79" s="1063"/>
      <c r="E79" s="1118"/>
    </row>
    <row r="80" spans="1:5">
      <c r="A80" s="1105"/>
      <c r="B80" s="597" t="e">
        <f>IF('Build Data'!#REF!&lt;&gt;_xlfn.CONCAT('Build Data'!F8,"SANDBOX1"),"CUBE_DATABASE_NAME","")</f>
        <v>#REF!</v>
      </c>
      <c r="C80" s="624" t="e">
        <f>IF('Build Data'!#REF!&lt;&gt;_xlfn.CONCAT('Build Data'!F8,"SANDBOX1"),'Build Data'!#REF!,"")</f>
        <v>#REF!</v>
      </c>
      <c r="D80" s="1064"/>
      <c r="E80" s="1119"/>
    </row>
    <row r="81" spans="1:5">
      <c r="A81" s="1100">
        <v>12</v>
      </c>
      <c r="B81" s="438" t="str">
        <f>IF(MasterConfig!B25="Yes","Server is PVE","Run Jenkins job to upgrade the following additional servers; Web(s)")</f>
        <v>Run Jenkins job to upgrade the following additional servers; Web(s)</v>
      </c>
      <c r="C81" s="81" t="str">
        <f>IF(MasterConfig!B25=TRUE,"", C75)</f>
        <v/>
      </c>
      <c r="D81" s="1068" t="str">
        <f>IF(B81="Server is PVE",1,"")</f>
        <v/>
      </c>
      <c r="E81" s="1110" t="str">
        <f>IF(B81="Server is PVE","Automated Complete 
Server is PVE","")</f>
        <v/>
      </c>
    </row>
    <row r="82" spans="1:5">
      <c r="A82" s="1101"/>
      <c r="B82" s="280" t="str">
        <f>IF(MasterConfig!B25="Yes","","TARGET_SERVER_NAME")</f>
        <v>TARGET_SERVER_NAME</v>
      </c>
      <c r="C82" s="448" t="str">
        <f>IF(MasterConfig!B25="Yes","",'Build Data'!I9)</f>
        <v/>
      </c>
      <c r="D82" s="1069"/>
      <c r="E82" s="1111"/>
    </row>
    <row r="83" spans="1:5">
      <c r="A83" s="1101"/>
      <c r="B83" s="281" t="str">
        <f>IF(MasterConfig!B25="Yes","","CUSTOMER_CODE")</f>
        <v>CUSTOMER_CODE</v>
      </c>
      <c r="C83" s="448">
        <f>IF(MasterConfig!B25="Yes","",C72)</f>
        <v>0</v>
      </c>
      <c r="D83" s="1069"/>
      <c r="E83" s="1111"/>
    </row>
    <row r="84" spans="1:5">
      <c r="A84" s="1101"/>
      <c r="B84" s="280" t="str">
        <f>IF(MasterConfig!B25="Yes","","DNS_HOST_NAME")</f>
        <v>DNS_HOST_NAME</v>
      </c>
      <c r="C84" s="448" t="str">
        <f>IF(MasterConfig!B25="Yes","",C71)</f>
        <v/>
      </c>
      <c r="D84" s="1069"/>
      <c r="E84" s="1111"/>
    </row>
    <row r="85" spans="1:5">
      <c r="A85" s="1101"/>
      <c r="B85" s="280" t="str">
        <f>IF(MasterConfig!B25="Yes","","SKIP_SNAPS")</f>
        <v>SKIP_SNAPS</v>
      </c>
      <c r="C85" s="609" t="str">
        <f>IF(MasterConfig!B25="Yes","",LOWER("TRUE"))</f>
        <v>true</v>
      </c>
      <c r="D85" s="1069"/>
      <c r="E85" s="1111"/>
    </row>
    <row r="86" spans="1:5">
      <c r="A86" s="1101"/>
      <c r="B86" s="316" t="e">
        <f>IF(MasterConfig!B25="Yes","",IF('Build Data'!#REF!&lt;&gt;_xlfn.CONCAT('Build Data'!F8,"SANDBOX1"),"CUBE_DATABASE_NAME",""))</f>
        <v>#REF!</v>
      </c>
      <c r="C86" s="627" t="e">
        <f>IF(B86="Cube_Database_Name",'Build Data'!#REF!,"")</f>
        <v>#REF!</v>
      </c>
      <c r="D86" s="1070"/>
      <c r="E86" s="1111"/>
    </row>
    <row r="87" spans="1:5">
      <c r="A87" s="1101"/>
      <c r="B87" s="575"/>
      <c r="C87" s="573" t="str">
        <f>IF(B88="Target_Server_Name",C81,"")</f>
        <v/>
      </c>
      <c r="D87" s="1062">
        <f>IF(B88="No Additional Web Servers",1,"")</f>
        <v>1</v>
      </c>
      <c r="E87" s="1123" t="str">
        <f>IF(B88="No Additional Web Servers","Automated Complete 
no additional web servers","")</f>
        <v>Automated Complete 
no additional web servers</v>
      </c>
    </row>
    <row r="88" spans="1:5">
      <c r="A88" s="1101"/>
      <c r="B88" s="274" t="str">
        <f>IF('Build Data'!J10="","No Additional Web Servers","TARGET_SERVER_NAME")</f>
        <v>No Additional Web Servers</v>
      </c>
      <c r="C88" s="576" t="str">
        <f>IF('Build Data'!J10="","",'Build Data'!J10)</f>
        <v/>
      </c>
      <c r="D88" s="1063"/>
      <c r="E88" s="1121"/>
    </row>
    <row r="89" spans="1:5">
      <c r="A89" s="1101"/>
      <c r="B89" s="274" t="str">
        <f>IF('Build Data'!J10="","","CUSTOMER_CODE")</f>
        <v/>
      </c>
      <c r="C89" s="175" t="str">
        <f>IF('Build Data'!J10="","",C72)</f>
        <v/>
      </c>
      <c r="D89" s="1063"/>
      <c r="E89" s="1121"/>
    </row>
    <row r="90" spans="1:5">
      <c r="A90" s="1101"/>
      <c r="B90" s="274" t="str">
        <f>IF('Build Data'!J10="","","DNS_HOST_NAME")</f>
        <v/>
      </c>
      <c r="C90" s="175" t="str">
        <f>IF('Build Data'!J10="","",C71)</f>
        <v/>
      </c>
      <c r="D90" s="1063"/>
      <c r="E90" s="1121"/>
    </row>
    <row r="91" spans="1:5">
      <c r="A91" s="1101"/>
      <c r="B91" s="274" t="str">
        <f>IF('Build Data'!J10="","","SQL_SERVER_NAME")</f>
        <v/>
      </c>
      <c r="C91" s="176" t="str">
        <f>IF('Build Data'!J10="","",'Build Data'!I11)</f>
        <v/>
      </c>
      <c r="D91" s="1063"/>
      <c r="E91" s="1121"/>
    </row>
    <row r="92" spans="1:5">
      <c r="A92" s="1101"/>
      <c r="B92" s="274" t="str">
        <f>IF('Build Data'!J10="","","SAS_SERVER_NAME")</f>
        <v/>
      </c>
      <c r="C92" s="176" t="str">
        <f>IF('Build Data'!J10="","",IF('Build Data'!F13=TRUE,'Build Data'!I11,'Build Data'!I11))</f>
        <v/>
      </c>
      <c r="D92" s="1063"/>
      <c r="E92" s="1121"/>
    </row>
    <row r="93" spans="1:5" ht="15.6" customHeight="1">
      <c r="A93" s="1101"/>
      <c r="B93" s="274" t="str">
        <f>IF('Build Data'!J10="","","SKIP_SNAPS")</f>
        <v/>
      </c>
      <c r="C93" s="176" t="str">
        <f>IF('Build Data'!J10="","",C74)</f>
        <v/>
      </c>
      <c r="D93" s="1063"/>
      <c r="E93" s="1121"/>
    </row>
    <row r="94" spans="1:5">
      <c r="A94" s="1101"/>
      <c r="B94" s="275" t="str">
        <f>IF('Build Data'!J10="","",IF('Build Data'!#REF!&lt;&gt;_xlfn.CONCAT('Build Data'!F8,"SANDBOX1"),"CUBE_DATABASE_NAME",""))</f>
        <v/>
      </c>
      <c r="C94" s="436" t="str">
        <f>IF(B94="Cube_Database_Name",'Build Data'!#REF!,"")</f>
        <v/>
      </c>
      <c r="D94" s="1064"/>
      <c r="E94" s="1122"/>
    </row>
    <row r="95" spans="1:5">
      <c r="A95" s="1101"/>
      <c r="B95" s="271"/>
      <c r="C95" s="574" t="str">
        <f>IF(B96="Target_Server_Name",C81,"")</f>
        <v/>
      </c>
      <c r="D95" s="1068">
        <f>IF(B96="No Additional Web Servers",1,"")</f>
        <v>1</v>
      </c>
      <c r="E95" s="1110" t="str">
        <f>IF(B96="No Additional Web Servers","Automated Complete 
no additional web servers","")</f>
        <v>Automated Complete 
no additional web servers</v>
      </c>
    </row>
    <row r="96" spans="1:5">
      <c r="A96" s="1101"/>
      <c r="B96" s="281" t="str">
        <f>IF('Build Data'!J11="","No Additional Web Servers","TARGET_SERVER_NAME")</f>
        <v>No Additional Web Servers</v>
      </c>
      <c r="C96" s="460" t="str">
        <f>IF('Build Data'!J11="","",'Build Data'!J11)</f>
        <v/>
      </c>
      <c r="D96" s="1069"/>
      <c r="E96" s="1111"/>
    </row>
    <row r="97" spans="1:5">
      <c r="A97" s="1101"/>
      <c r="B97" s="281" t="str">
        <f>IF('Build Data'!J11="","","CUSTOMER_CODE")</f>
        <v/>
      </c>
      <c r="C97" s="568" t="str">
        <f>IF('Build Data'!J11="","",C72)</f>
        <v/>
      </c>
      <c r="D97" s="1069"/>
      <c r="E97" s="1111"/>
    </row>
    <row r="98" spans="1:5">
      <c r="A98" s="1101"/>
      <c r="B98" s="271" t="str">
        <f>IF('Build Data'!J11="","","DNS_HOST_NAME")</f>
        <v/>
      </c>
      <c r="C98" s="568" t="str">
        <f>IF('Build Data'!J11="","",C71)</f>
        <v/>
      </c>
      <c r="D98" s="1069"/>
      <c r="E98" s="1111"/>
    </row>
    <row r="99" spans="1:5">
      <c r="A99" s="1101"/>
      <c r="B99" s="281" t="str">
        <f>IF('Build Data'!J11="","","SQL_SERVER_NAME")</f>
        <v/>
      </c>
      <c r="C99" s="461" t="str">
        <f>IF('Build Data'!J11="","",'Build Data'!I11)</f>
        <v/>
      </c>
      <c r="D99" s="1069"/>
      <c r="E99" s="1111"/>
    </row>
    <row r="100" spans="1:5">
      <c r="A100" s="1101"/>
      <c r="B100" s="271" t="str">
        <f>IF('Build Data'!J11="","","SAS_SERVER_NAME")</f>
        <v/>
      </c>
      <c r="C100" s="449" t="str">
        <f>IF('Build Data'!J11="","",IF('Build Data'!F13=TRUE,'Build Data'!I11,'Build Data'!I11))</f>
        <v/>
      </c>
      <c r="D100" s="1069"/>
      <c r="E100" s="1111"/>
    </row>
    <row r="101" spans="1:5">
      <c r="A101" s="1101"/>
      <c r="B101" s="271" t="str">
        <f>IF('Build Data'!J11="","","SKIP_SNAPS")</f>
        <v/>
      </c>
      <c r="C101" s="449" t="str">
        <f>IF('Build Data'!J11="","",C74)</f>
        <v/>
      </c>
      <c r="D101" s="1069"/>
      <c r="E101" s="1111"/>
    </row>
    <row r="102" spans="1:5">
      <c r="A102" s="1101"/>
      <c r="B102" s="271" t="str">
        <f>IF('Build Data'!J11="","",IF('Build Data'!#REF!&lt;&gt;_xlfn.CONCAT('Build Data'!F8,"SANDBOX1"),"CUBE_DATABASE_NAME",""))</f>
        <v/>
      </c>
      <c r="C102" s="627" t="str">
        <f>IF(B102="Cube_Database_Name",'Build Data'!#REF!,"")</f>
        <v/>
      </c>
      <c r="D102" s="1070"/>
      <c r="E102" s="1112"/>
    </row>
    <row r="103" spans="1:5">
      <c r="A103" s="1102"/>
      <c r="B103" s="575"/>
      <c r="C103" s="577" t="str">
        <f>IF(B104="Target_Server_Name",C81,"")</f>
        <v/>
      </c>
      <c r="D103" s="1062">
        <f>IF(B104="No Additional Web Servers",1,"")</f>
        <v>1</v>
      </c>
      <c r="E103" s="1123" t="str">
        <f>IF(B104="No Additional Web Servers","Automated Complete 
no additional web servers","")</f>
        <v>Automated Complete 
no additional web servers</v>
      </c>
    </row>
    <row r="104" spans="1:5">
      <c r="A104" s="1102"/>
      <c r="B104" s="274" t="str">
        <f>IF('Build Data'!J12="","No Additional Web Servers","TARGET_SERVER_NAME")</f>
        <v>No Additional Web Servers</v>
      </c>
      <c r="C104" s="578" t="str">
        <f>IF('Build Data'!J12="","",'Build Data'!J12)</f>
        <v/>
      </c>
      <c r="D104" s="1063"/>
      <c r="E104" s="1121"/>
    </row>
    <row r="105" spans="1:5">
      <c r="A105" s="1102"/>
      <c r="B105" s="274" t="str">
        <f>IF('Build Data'!J12="","","CUSTOMER_CODE")</f>
        <v/>
      </c>
      <c r="C105" s="579" t="str">
        <f>IF('Build Data'!J12="","",C72)</f>
        <v/>
      </c>
      <c r="D105" s="1063"/>
      <c r="E105" s="1121"/>
    </row>
    <row r="106" spans="1:5">
      <c r="A106" s="1102"/>
      <c r="B106" s="274" t="str">
        <f>IF('Build Data'!J12="","","DNS_HOST_NAME")</f>
        <v/>
      </c>
      <c r="C106" s="579" t="str">
        <f>IF('Build Data'!J12="","",C71)</f>
        <v/>
      </c>
      <c r="D106" s="1063"/>
      <c r="E106" s="1121"/>
    </row>
    <row r="107" spans="1:5">
      <c r="A107" s="1102"/>
      <c r="B107" s="274" t="str">
        <f>IF('Build Data'!J12="","","SQL_SERVER_NAME")</f>
        <v/>
      </c>
      <c r="C107" s="580" t="str">
        <f>IF('Build Data'!J12="","",'Build Data'!I11)</f>
        <v/>
      </c>
      <c r="D107" s="1063"/>
      <c r="E107" s="1121"/>
    </row>
    <row r="108" spans="1:5">
      <c r="A108" s="1102"/>
      <c r="B108" s="274" t="str">
        <f>IF('Build Data'!J12="","","SAS_SERVER_NAME")</f>
        <v/>
      </c>
      <c r="C108" s="580" t="str">
        <f>IF('Build Data'!J12="","",IF('Build Data'!F13=TRUE,'Build Data'!I11,'Build Data'!I11))</f>
        <v/>
      </c>
      <c r="D108" s="1063"/>
      <c r="E108" s="1121"/>
    </row>
    <row r="109" spans="1:5">
      <c r="A109" s="1102"/>
      <c r="B109" s="274" t="str">
        <f>IF('Build Data'!J12="","","SKIP_SNAPS")</f>
        <v/>
      </c>
      <c r="C109" s="628" t="str">
        <f>IF('Build Data'!J12="","",C74)</f>
        <v/>
      </c>
      <c r="D109" s="1063"/>
      <c r="E109" s="1121"/>
    </row>
    <row r="110" spans="1:5">
      <c r="A110" s="1102"/>
      <c r="B110" s="275" t="str">
        <f>IF('Build Data'!J12="","",IF('Build Data'!#REF!&lt;&gt;_xlfn.CONCAT('Build Data'!F8,"SANDBOX1"),"CUBE_DATABASE_NAME",""))</f>
        <v/>
      </c>
      <c r="C110" s="629" t="str">
        <f>IF(B110="Cube_Database_Name",'Build Data'!#REF!,"")</f>
        <v/>
      </c>
      <c r="D110" s="1064"/>
      <c r="E110" s="1122"/>
    </row>
    <row r="111" spans="1:5">
      <c r="A111" s="1101"/>
      <c r="B111" s="572"/>
      <c r="C111" s="336" t="str">
        <f>IF(B112="Target_Server_Name",C81,"")</f>
        <v/>
      </c>
      <c r="D111" s="1068">
        <f>IF(B112="No Additional Web Servers",1,"")</f>
        <v>1</v>
      </c>
      <c r="E111" s="953"/>
    </row>
    <row r="112" spans="1:5">
      <c r="A112" s="1101"/>
      <c r="B112" s="281" t="str">
        <f>IF('Build Data'!J13="","No Additional Web Servers","TARGET_SERVER_NAME")</f>
        <v>No Additional Web Servers</v>
      </c>
      <c r="C112" s="568" t="str">
        <f>IF('Build Data'!J13="","",'Build Data'!J13)</f>
        <v/>
      </c>
      <c r="D112" s="1069"/>
      <c r="E112" s="1111" t="str">
        <f>IF(B112="No Additional Web Servers","Automated Complete 
no additional web servers","")</f>
        <v>Automated Complete 
no additional web servers</v>
      </c>
    </row>
    <row r="113" spans="1:5">
      <c r="A113" s="1101"/>
      <c r="B113" s="280" t="str">
        <f>IF('Build Data'!J13="","","CUSTOMER_CODE")</f>
        <v/>
      </c>
      <c r="C113" s="448" t="str">
        <f>IF('Build Data'!J13="","",C72)</f>
        <v/>
      </c>
      <c r="D113" s="1069"/>
      <c r="E113" s="1111"/>
    </row>
    <row r="114" spans="1:5">
      <c r="A114" s="1101"/>
      <c r="B114" s="280" t="str">
        <f>IF('Build Data'!J13="","","DNS_HOST_NAME")</f>
        <v/>
      </c>
      <c r="C114" s="448" t="str">
        <f>IF('Build Data'!J13="","",C71)</f>
        <v/>
      </c>
      <c r="D114" s="1069"/>
      <c r="E114" s="1111"/>
    </row>
    <row r="115" spans="1:5">
      <c r="A115" s="1101"/>
      <c r="B115" s="281" t="str">
        <f>IF('Build Data'!J13="","","SQL_SERVER_NAME")</f>
        <v/>
      </c>
      <c r="C115" s="449" t="str">
        <f>IF('Build Data'!J13="","",'Build Data'!I11)</f>
        <v/>
      </c>
      <c r="D115" s="1069"/>
      <c r="E115" s="1111"/>
    </row>
    <row r="116" spans="1:5">
      <c r="A116" s="1101"/>
      <c r="B116" s="280" t="str">
        <f>IF('Build Data'!J13="","","SAS_SERVER_NAME")</f>
        <v/>
      </c>
      <c r="C116" s="449" t="str">
        <f>IF('Build Data'!J13="","",IF('Build Data'!F13=TRUE,'Build Data'!I11,'Build Data'!I11))</f>
        <v/>
      </c>
      <c r="D116" s="1069"/>
      <c r="E116" s="1111"/>
    </row>
    <row r="117" spans="1:5">
      <c r="A117" s="1101"/>
      <c r="B117" s="280"/>
      <c r="C117" s="609" t="str">
        <f>IF('Build Data'!J13="","",C74)</f>
        <v/>
      </c>
      <c r="D117" s="1069"/>
      <c r="E117" s="1111"/>
    </row>
    <row r="118" spans="1:5">
      <c r="A118" s="1101"/>
      <c r="B118" s="316" t="str">
        <f>IF('Build Data'!J13="","",IF('Build Data'!#REF!&lt;&gt;_xlfn.CONCAT('Build Data'!F8,"SANDBOX1"),"CUBE_DATABASE_NAME",""))</f>
        <v/>
      </c>
      <c r="C118" s="449" t="str">
        <f>IF(B118="Cube_Database_Name",'Build Data'!#REF!,"")</f>
        <v/>
      </c>
      <c r="D118" s="1070"/>
      <c r="E118" s="1112"/>
    </row>
    <row r="119" spans="1:5">
      <c r="A119" s="1059">
        <v>13</v>
      </c>
      <c r="B119" s="156" t="s">
        <v>207</v>
      </c>
      <c r="C119" s="168" t="str">
        <f>IF('Build Data'!I12="","",IF('Build Data'!F13=TRUE,"https://jenkins.planviewcloud.net/job/trx_update_pipe/build?delay=0sec",IF('Build Data'!F7="ln","https://jenkins.eu.planview.world/job/trx_update_pipe/build?delay=0sec",IF('Build Data'!F7="sg","https://jenkins.us.planview.world/job/trx_update_pipe/build?delay=0sec",""))))</f>
        <v/>
      </c>
      <c r="D119" s="1062"/>
      <c r="E119" s="1117"/>
    </row>
    <row r="120" spans="1:5">
      <c r="A120" s="1060"/>
      <c r="B120" s="268" t="s">
        <v>208</v>
      </c>
      <c r="C120" s="567" t="str">
        <f>IF('Build Data'!B10="","Upgrade Data Version is blank",'Build Data'!B10)</f>
        <v>Upgrade Data Version is blank</v>
      </c>
      <c r="D120" s="1063"/>
      <c r="E120" s="1118"/>
    </row>
    <row r="121" spans="1:5">
      <c r="A121" s="1060"/>
      <c r="B121" s="276" t="s">
        <v>118</v>
      </c>
      <c r="C121" s="456" t="str">
        <f>(C70)</f>
        <v/>
      </c>
      <c r="D121" s="1063"/>
      <c r="E121" s="1118"/>
    </row>
    <row r="122" spans="1:5">
      <c r="A122" s="1060"/>
      <c r="B122" s="278" t="s">
        <v>123</v>
      </c>
      <c r="C122" s="106">
        <f>('Build Data'!F9)</f>
        <v>0</v>
      </c>
      <c r="D122" s="1063"/>
      <c r="E122" s="1118"/>
    </row>
    <row r="123" spans="1:5">
      <c r="A123" s="1060"/>
      <c r="B123" s="278" t="s">
        <v>205</v>
      </c>
      <c r="C123" s="106" t="str">
        <f>(C121)</f>
        <v/>
      </c>
      <c r="D123" s="1063"/>
      <c r="E123" s="1118"/>
    </row>
    <row r="124" spans="1:5">
      <c r="A124" s="1107">
        <v>14</v>
      </c>
      <c r="B124" s="569" t="s">
        <v>209</v>
      </c>
      <c r="C124" s="81" t="str">
        <f>IF('Build Data'!I9="","",IF('Build Data'!F13=TRUE,"https://jenkins.planviewcloud.net/job/e1_update_pipe/build?delay=0sec",IF('Build Data'!F7="ln","https://jenkins.eu.planview.world/job/e1_update_pipe/build?delay=0sec",IF('Build Data'!F7="sg","https://jenkins.us.planview.world/job/e1_update_pipe/build?delay=0sec",""))))</f>
        <v/>
      </c>
      <c r="D124" s="1068"/>
      <c r="E124" s="1110"/>
    </row>
    <row r="125" spans="1:5">
      <c r="A125" s="1102"/>
      <c r="B125" s="271" t="s">
        <v>208</v>
      </c>
      <c r="C125" s="85" t="str">
        <f>IF('Build Data'!B10="","Upgrade Data Version is blank",'Build Data'!B10)</f>
        <v>Upgrade Data Version is blank</v>
      </c>
      <c r="D125" s="1069"/>
      <c r="E125" s="1111"/>
    </row>
    <row r="126" spans="1:5">
      <c r="A126" s="1102"/>
      <c r="B126" s="271" t="s">
        <v>118</v>
      </c>
      <c r="C126" s="85" t="str">
        <f>(C76)</f>
        <v/>
      </c>
      <c r="D126" s="1069"/>
      <c r="E126" s="1111"/>
    </row>
    <row r="127" spans="1:5">
      <c r="A127" s="1102"/>
      <c r="B127" s="271" t="s">
        <v>122</v>
      </c>
      <c r="C127" s="83">
        <f>(C77)</f>
        <v>0</v>
      </c>
      <c r="D127" s="1069"/>
      <c r="E127" s="1111"/>
    </row>
    <row r="128" spans="1:5">
      <c r="A128" s="1102"/>
      <c r="B128" s="271" t="s">
        <v>120</v>
      </c>
      <c r="C128" s="83" t="str">
        <f>(C71)</f>
        <v/>
      </c>
      <c r="D128" s="1069"/>
      <c r="E128" s="1111"/>
    </row>
    <row r="129" spans="1:5">
      <c r="A129" s="1102"/>
      <c r="B129" s="271" t="s">
        <v>204</v>
      </c>
      <c r="C129" s="432" t="str">
        <f>LOWER("TRUE")</f>
        <v>true</v>
      </c>
      <c r="D129" s="1069"/>
      <c r="E129" s="1111"/>
    </row>
    <row r="130" spans="1:5">
      <c r="A130" s="1102"/>
      <c r="B130" s="316" t="e">
        <f>IF('Build Data'!#REF!&lt;&gt;_xlfn.CONCAT('Build Data'!F8,"SANDBOX1"),"CUBE_DATABASE_NAME","")</f>
        <v>#REF!</v>
      </c>
      <c r="C130" s="630" t="e">
        <f>IF(B130="Cube_Database_Name",'Build Data'!#REF!,"")</f>
        <v>#REF!</v>
      </c>
      <c r="D130" s="1070"/>
      <c r="E130" s="1112"/>
    </row>
    <row r="131" spans="1:5">
      <c r="A131" s="1059">
        <v>15</v>
      </c>
      <c r="B131" s="565" t="str">
        <f>IF(MasterConfig!B25="Yes","Server is PVE","Run Jenkins job to upgrade the following additional servers; Web(s)")</f>
        <v>Run Jenkins job to upgrade the following additional servers; Web(s)</v>
      </c>
      <c r="C131" s="560" t="str">
        <f>IF(MasterConfig!B25=TRUE,"", C124)</f>
        <v/>
      </c>
      <c r="D131" s="1062" t="str">
        <f>IF(B124="Server is PVE",1,"")</f>
        <v/>
      </c>
      <c r="E131" s="1117" t="str">
        <f>IF(B124="Server is PVE","Automated Complete 
Server is PVE","")</f>
        <v/>
      </c>
    </row>
    <row r="132" spans="1:5">
      <c r="A132" s="1060"/>
      <c r="B132" s="268" t="str">
        <f>IF(MasterConfig!B25="Yes","","UPDATE_VERSION")</f>
        <v>UPDATE_VERSION</v>
      </c>
      <c r="C132" s="178" t="str">
        <f>IF(MasterConfig!B25="Yes","",C125)</f>
        <v>Upgrade Data Version is blank</v>
      </c>
      <c r="D132" s="1063"/>
      <c r="E132" s="1118"/>
    </row>
    <row r="133" spans="1:5">
      <c r="A133" s="1060"/>
      <c r="B133" s="561" t="str">
        <f>IF(MasterConfig!B25="Yes","","TARGET_SERVER_NAME")</f>
        <v>TARGET_SERVER_NAME</v>
      </c>
      <c r="C133" s="106" t="str">
        <f>IF(MasterConfig!B25="Yes","",'Build Data'!I9)</f>
        <v/>
      </c>
      <c r="D133" s="1063"/>
      <c r="E133" s="1118"/>
    </row>
    <row r="134" spans="1:5">
      <c r="A134" s="1060"/>
      <c r="B134" s="268" t="str">
        <f>IF(MasterConfig!B25="Yes","","CUSTOMER_CODE")</f>
        <v>CUSTOMER_CODE</v>
      </c>
      <c r="C134" s="178">
        <f>IF(MasterConfig!B25="Yes","",C72)</f>
        <v>0</v>
      </c>
      <c r="D134" s="1063"/>
      <c r="E134" s="1118"/>
    </row>
    <row r="135" spans="1:5">
      <c r="A135" s="1060"/>
      <c r="B135" s="561" t="str">
        <f>IF(MasterConfig!B25="Yes","","DNS_HOST_NAME")</f>
        <v>DNS_HOST_NAME</v>
      </c>
      <c r="C135" s="107" t="str">
        <f>IF(MasterConfig!B25="Yes","",C71)</f>
        <v/>
      </c>
      <c r="D135" s="1063"/>
      <c r="E135" s="1118"/>
    </row>
    <row r="136" spans="1:5">
      <c r="A136" s="1060"/>
      <c r="B136" s="561" t="str">
        <f>IF(MasterConfig!B25="Yes","","SKIP_SNAPS")</f>
        <v>SKIP_SNAPS</v>
      </c>
      <c r="C136" s="631">
        <f>IF(MasterConfig!B25="Yes","",C74)</f>
        <v>0</v>
      </c>
      <c r="D136" s="1063"/>
      <c r="E136" s="1118"/>
    </row>
    <row r="137" spans="1:5">
      <c r="A137" s="1060"/>
      <c r="B137" s="566" t="e">
        <f>IF(B131="Server is PVE","",IF('Build Data'!#REF!&lt;&gt;_xlfn.CONCAT('Build Data'!F8,"SANDBOX1"),"CUBE_DATABASE_NAME",""))</f>
        <v>#REF!</v>
      </c>
      <c r="C137" s="632" t="e">
        <f>IF(B137="Cube_Database_Name",'Build Data'!#REF!,"")</f>
        <v>#REF!</v>
      </c>
      <c r="D137" s="1064"/>
      <c r="E137" s="1119"/>
    </row>
    <row r="138" spans="1:5">
      <c r="A138" s="1060"/>
      <c r="B138" s="273"/>
      <c r="C138" s="584" t="str">
        <f>IF(B139="Update_Version",C124,"")</f>
        <v/>
      </c>
      <c r="D138" s="934"/>
      <c r="E138" s="951"/>
    </row>
    <row r="139" spans="1:5">
      <c r="A139" s="1060"/>
      <c r="B139" s="583" t="str">
        <f>IF('Build Data'!J10="","No Additional Web Servers","UPDATE_VERSION")</f>
        <v>No Additional Web Servers</v>
      </c>
      <c r="C139" s="179" t="str">
        <f>IF('Build Data'!J10="","",C125)</f>
        <v/>
      </c>
      <c r="D139" s="1106">
        <f>IF(B139="No Additional Web Servers",1,"")</f>
        <v>1</v>
      </c>
      <c r="E139" s="1120" t="str">
        <f>IF(B139="No Additional Web Servers","Automated Complete 
no additional web servers","")</f>
        <v>Automated Complete 
no additional web servers</v>
      </c>
    </row>
    <row r="140" spans="1:5">
      <c r="A140" s="1060"/>
      <c r="B140" s="583" t="str">
        <f>IF('Build Data'!J10="","","TARGET_SERVER_NAME")</f>
        <v/>
      </c>
      <c r="C140" s="89" t="str">
        <f>IF('Build Data'!J10="","",'Build Data'!J10)</f>
        <v/>
      </c>
      <c r="D140" s="1069"/>
      <c r="E140" s="1121"/>
    </row>
    <row r="141" spans="1:5">
      <c r="A141" s="1060"/>
      <c r="B141" s="583" t="str">
        <f>IF('Build Data'!J10="","","CUSTOMER_CODE")</f>
        <v/>
      </c>
      <c r="C141" s="89" t="str">
        <f>IF('Build Data'!J10="","",C72)</f>
        <v/>
      </c>
      <c r="D141" s="1069"/>
      <c r="E141" s="1121"/>
    </row>
    <row r="142" spans="1:5">
      <c r="A142" s="1060"/>
      <c r="B142" s="284" t="str">
        <f>IF('Build Data'!J10="","","DNS_HOST_NAME")</f>
        <v/>
      </c>
      <c r="C142" s="89" t="str">
        <f>IF('Build Data'!J10="","",C71)</f>
        <v/>
      </c>
      <c r="D142" s="1069"/>
      <c r="E142" s="1121"/>
    </row>
    <row r="143" spans="1:5">
      <c r="A143" s="1060"/>
      <c r="B143" s="284" t="str">
        <f>IF('Build Data'!J10="","","SQL_SERVER_NAME")</f>
        <v/>
      </c>
      <c r="C143" s="430" t="str">
        <f>IF('Build Data'!J10="","",'Build Data'!I11)</f>
        <v/>
      </c>
      <c r="D143" s="1069"/>
      <c r="E143" s="1121"/>
    </row>
    <row r="144" spans="1:5">
      <c r="A144" s="1060"/>
      <c r="B144" s="274" t="str">
        <f>IF('Build Data'!J10="","","SAS_SERVER_NAME")</f>
        <v/>
      </c>
      <c r="C144" s="431" t="str">
        <f>IF('Build Data'!J10="","",'Build Data'!I13)</f>
        <v/>
      </c>
      <c r="D144" s="1069"/>
      <c r="E144" s="1121"/>
    </row>
    <row r="145" spans="1:5">
      <c r="A145" s="1060"/>
      <c r="B145" s="274" t="str">
        <f>IF('Build Data'!J10="","","SKIP_SNAPS")</f>
        <v/>
      </c>
      <c r="C145" s="431" t="str">
        <f>IF('Build Data'!J10="","",C74)</f>
        <v/>
      </c>
      <c r="D145" s="1069"/>
      <c r="E145" s="1121"/>
    </row>
    <row r="146" spans="1:5">
      <c r="A146" s="1060"/>
      <c r="B146" s="275" t="str">
        <f>IF(B139="No Additional Web Servers","",IF('Build Data'!#REF!&lt;&gt;_xlfn.CONCAT('Build Data'!F8,"SANDBOX1"),"CUBE_DATABASE_NAME",""))</f>
        <v/>
      </c>
      <c r="C146" s="431" t="str">
        <f>IF(B146="Cube_Database_Name",'Build Data'!#REF!,"")</f>
        <v/>
      </c>
      <c r="D146" s="1070"/>
      <c r="E146" s="1122"/>
    </row>
    <row r="147" spans="1:5">
      <c r="A147" s="1060"/>
      <c r="B147" s="277"/>
      <c r="C147" s="587" t="str">
        <f>IF(B148="Update_Version",C124,"")</f>
        <v/>
      </c>
      <c r="D147" s="586"/>
      <c r="E147" s="585"/>
    </row>
    <row r="148" spans="1:5">
      <c r="A148" s="1060"/>
      <c r="B148" s="268" t="str">
        <f>IF('Build Data'!J11="","No Additional Web Servers","UPDATE_VERSION")</f>
        <v>No Additional Web Servers</v>
      </c>
      <c r="C148" s="178" t="str">
        <f>IF('Build Data'!J11="","",C125)</f>
        <v/>
      </c>
      <c r="D148" s="1063">
        <f>IF(B148="No Additional Web Servers",1,"")</f>
        <v>1</v>
      </c>
      <c r="E148" s="1118" t="str">
        <f>IF(B148="No Additional Web Servers","Automated Complete 
no additional web servers","")</f>
        <v>Automated Complete 
no additional web servers</v>
      </c>
    </row>
    <row r="149" spans="1:5">
      <c r="A149" s="1060"/>
      <c r="B149" s="276" t="str">
        <f>IF('Build Data'!J11="","","TARGET_SERVER_NAME")</f>
        <v/>
      </c>
      <c r="C149" s="201" t="str">
        <f>IF('Build Data'!J11="","",'Build Data'!J11)</f>
        <v/>
      </c>
      <c r="D149" s="1063"/>
      <c r="E149" s="1118"/>
    </row>
    <row r="150" spans="1:5">
      <c r="A150" s="1060"/>
      <c r="B150" s="278" t="str">
        <f>IF('Build Data'!J11="","","CUSTOMER_CODE")</f>
        <v/>
      </c>
      <c r="C150" s="201" t="str">
        <f>IF('Build Data'!J11="","",C72)</f>
        <v/>
      </c>
      <c r="D150" s="1063"/>
      <c r="E150" s="1118"/>
    </row>
    <row r="151" spans="1:5">
      <c r="A151" s="1060"/>
      <c r="B151" s="268" t="str">
        <f>IF('Build Data'!J11="","","DNS_HOST_NAME")</f>
        <v/>
      </c>
      <c r="C151" s="201" t="str">
        <f>IF('Build Data'!J11="","",C71)</f>
        <v/>
      </c>
      <c r="D151" s="1063"/>
      <c r="E151" s="1118"/>
    </row>
    <row r="152" spans="1:5">
      <c r="A152" s="1060"/>
      <c r="B152" s="278" t="str">
        <f>IF('Build Data'!J11="","","SQL_SERVER_NAME")</f>
        <v/>
      </c>
      <c r="C152" s="562" t="str">
        <f>IF('Build Data'!J11="","",'Build Data'!I11)</f>
        <v/>
      </c>
      <c r="D152" s="1063"/>
      <c r="E152" s="1118"/>
    </row>
    <row r="153" spans="1:5">
      <c r="A153" s="1060"/>
      <c r="B153" s="276" t="str">
        <f>IF('Build Data'!J11="","","SAS_SERVER_NAME")</f>
        <v/>
      </c>
      <c r="C153" s="562" t="str">
        <f>IF('Build Data'!J11="","",'Build Data'!I13)</f>
        <v/>
      </c>
      <c r="D153" s="1063"/>
      <c r="E153" s="1118"/>
    </row>
    <row r="154" spans="1:5">
      <c r="A154" s="1060"/>
      <c r="B154" s="276" t="str">
        <f>IF('Build Data'!J11="","","SKIP_SNAPS")</f>
        <v/>
      </c>
      <c r="C154" s="562" t="str">
        <f>IF('Build Data'!J11="","",C74)</f>
        <v/>
      </c>
      <c r="D154" s="1063"/>
      <c r="E154" s="1118"/>
    </row>
    <row r="155" spans="1:5">
      <c r="A155" s="1060"/>
      <c r="B155" s="269" t="str">
        <f>IF(B148="No Additional Web Servers","",IF('Build Data'!#REF!&lt;&gt;_xlfn.CONCAT('Build Data'!F8,"SANDBOX1"),"CUBE_DATABASE_NAME",""))</f>
        <v/>
      </c>
      <c r="C155" s="563" t="str">
        <f>IF(B155="Cube_Database_Name",'Build Data'!#REF!,"")</f>
        <v/>
      </c>
      <c r="D155" s="1064"/>
      <c r="E155" s="1119"/>
    </row>
    <row r="156" spans="1:5">
      <c r="A156" s="1060"/>
      <c r="B156" s="273"/>
      <c r="C156" s="588" t="str">
        <f>IF(B157="Update_Version",C124,"")</f>
        <v/>
      </c>
      <c r="D156" s="1068">
        <f>IF(B157="No Additional Web Servers",1,"")</f>
        <v>1</v>
      </c>
      <c r="E156" s="1123" t="str">
        <f>IF(B157="No Additional Web Servers","Automated Complete 
no additional web servers","")</f>
        <v>Automated Complete 
no additional web servers</v>
      </c>
    </row>
    <row r="157" spans="1:5">
      <c r="A157" s="1060"/>
      <c r="B157" s="583" t="str">
        <f>IF('Build Data'!J12="","No Additional Web Servers","UPDATE_VERSION")</f>
        <v>No Additional Web Servers</v>
      </c>
      <c r="C157" s="89" t="str">
        <f>IF('Build Data'!J12="","",C125)</f>
        <v/>
      </c>
      <c r="D157" s="1069"/>
      <c r="E157" s="1121"/>
    </row>
    <row r="158" spans="1:5">
      <c r="A158" s="1060"/>
      <c r="B158" s="284" t="str">
        <f>IF('Build Data'!J12="","","TARGET_SERVER_NAME")</f>
        <v/>
      </c>
      <c r="C158" s="89" t="str">
        <f>IF('Build Data'!J12="","",'Build Data'!J12)</f>
        <v/>
      </c>
      <c r="D158" s="1069"/>
      <c r="E158" s="1121"/>
    </row>
    <row r="159" spans="1:5">
      <c r="A159" s="1060"/>
      <c r="B159" s="284" t="str">
        <f>IF('Build Data'!J12="","","CUSTOMER_CODE")</f>
        <v/>
      </c>
      <c r="C159" s="89" t="str">
        <f>IF('Build Data'!J12="","",C72)</f>
        <v/>
      </c>
      <c r="D159" s="1069"/>
      <c r="E159" s="1121"/>
    </row>
    <row r="160" spans="1:5">
      <c r="A160" s="1060"/>
      <c r="B160" s="284" t="str">
        <f>IF('Build Data'!J12="","","DNS_HOST_NAME")</f>
        <v/>
      </c>
      <c r="C160" s="87" t="str">
        <f>IF('Build Data'!J12="","",C71)</f>
        <v/>
      </c>
      <c r="D160" s="1069"/>
      <c r="E160" s="1121"/>
    </row>
    <row r="161" spans="1:5">
      <c r="A161" s="1060"/>
      <c r="B161" s="284" t="str">
        <f>IF('Build Data'!J12="","","SQL_SERVER_NAME")</f>
        <v/>
      </c>
      <c r="C161" s="430" t="str">
        <f>IF('Build Data'!J12="","",'Build Data'!I11)</f>
        <v/>
      </c>
      <c r="D161" s="1069"/>
      <c r="E161" s="1121"/>
    </row>
    <row r="162" spans="1:5">
      <c r="A162" s="1060"/>
      <c r="B162" s="274" t="str">
        <f>IF('Build Data'!J12="","","SAS_SERVER_NAME")</f>
        <v/>
      </c>
      <c r="C162" s="433" t="str">
        <f>IF('Build Data'!J12="","",'Build Data'!I13)</f>
        <v/>
      </c>
      <c r="D162" s="1069"/>
      <c r="E162" s="1121"/>
    </row>
    <row r="163" spans="1:5">
      <c r="A163" s="1060"/>
      <c r="B163" s="274" t="str">
        <f>IF('Build Data'!J12="","","SKIP_SNAPS")</f>
        <v/>
      </c>
      <c r="C163" s="433" t="str">
        <f>IF('Build Data'!J12="","",C74)</f>
        <v/>
      </c>
      <c r="D163" s="1069"/>
      <c r="E163" s="1121"/>
    </row>
    <row r="164" spans="1:5">
      <c r="A164" s="1060"/>
      <c r="B164" s="275" t="str">
        <f>IF(B157="No Additional Web Servers","",IF('Build Data'!#REF!&lt;&gt;_xlfn.CONCAT('Build Data'!F8,"SANDBOX1"),"CUBE_DATABASE_NAME",""))</f>
        <v/>
      </c>
      <c r="C164" s="633" t="str">
        <f>IF(B164="Cube_Database_Name",'Build Data'!#REF!,"")</f>
        <v/>
      </c>
      <c r="D164" s="1070"/>
      <c r="E164" s="1122"/>
    </row>
    <row r="165" spans="1:5">
      <c r="A165" s="1060"/>
      <c r="B165" s="561"/>
      <c r="C165" s="589" t="str">
        <f>IF(B166="Update_Version",C131,"")</f>
        <v/>
      </c>
      <c r="D165" s="940"/>
      <c r="E165" s="954"/>
    </row>
    <row r="166" spans="1:5">
      <c r="A166" s="1060"/>
      <c r="B166" s="561" t="str">
        <f>IF('Build Data'!J13="","No Additional Web Servers","UPDATE_VERSION")</f>
        <v>No Additional Web Servers</v>
      </c>
      <c r="C166" s="178" t="str">
        <f>IF('Build Data'!J13="","",C125)</f>
        <v/>
      </c>
      <c r="D166" s="1131">
        <f>IF(B166="No Additional Web Servers",1,"")</f>
        <v>1</v>
      </c>
      <c r="E166" s="1130" t="str">
        <f>IF(B166="No Additional Web Servers","Automated Complete 
no additional web servers","")</f>
        <v>Automated Complete 
no additional web servers</v>
      </c>
    </row>
    <row r="167" spans="1:5">
      <c r="A167" s="1060"/>
      <c r="B167" s="278" t="str">
        <f>IF('Build Data'!J13="","","TARGET_SERVER_NAME")</f>
        <v/>
      </c>
      <c r="C167" s="107" t="str">
        <f>IF('Build Data'!J13="","",'Build Data'!J13)</f>
        <v/>
      </c>
      <c r="D167" s="1063"/>
      <c r="E167" s="1118"/>
    </row>
    <row r="168" spans="1:5">
      <c r="A168" s="1060"/>
      <c r="B168" s="278" t="str">
        <f>IF('Build Data'!J13="","","CUSTOMER_CODE")</f>
        <v/>
      </c>
      <c r="C168" s="178" t="str">
        <f>IF('Build Data'!J13="","",C72)</f>
        <v/>
      </c>
      <c r="D168" s="1063"/>
      <c r="E168" s="1118"/>
    </row>
    <row r="169" spans="1:5">
      <c r="A169" s="1060"/>
      <c r="B169" s="278" t="str">
        <f>IF('Build Data'!J13="","","DNS_HOST_NAME")</f>
        <v/>
      </c>
      <c r="C169" s="106" t="str">
        <f>IF('Build Data'!J13="","",C71)</f>
        <v/>
      </c>
      <c r="D169" s="1063"/>
      <c r="E169" s="1118"/>
    </row>
    <row r="170" spans="1:5">
      <c r="A170" s="1060"/>
      <c r="B170" s="278" t="str">
        <f>IF('Build Data'!J13="","","SQL_SERVER_NAME")</f>
        <v/>
      </c>
      <c r="C170" s="564" t="str">
        <f>IF('Build Data'!J13="","",'Build Data'!I11)</f>
        <v/>
      </c>
      <c r="D170" s="1063"/>
      <c r="E170" s="1118"/>
    </row>
    <row r="171" spans="1:5">
      <c r="A171" s="1060"/>
      <c r="B171" s="278" t="str">
        <f>IF('Build Data'!J13="","","SAS_SERVER_NAME")</f>
        <v/>
      </c>
      <c r="C171" s="562" t="str">
        <f>IF('Build Data'!J13="","",'Build Data'!I13)</f>
        <v/>
      </c>
      <c r="D171" s="1063"/>
      <c r="E171" s="1118"/>
    </row>
    <row r="172" spans="1:5">
      <c r="A172" s="1060"/>
      <c r="B172" s="278" t="str">
        <f>IF('Build Data'!J13="","","SKIP_SNAPS")</f>
        <v/>
      </c>
      <c r="C172" s="562" t="str">
        <f>IF('Build Data'!J13="","",C74)</f>
        <v/>
      </c>
      <c r="D172" s="1063"/>
      <c r="E172" s="1118"/>
    </row>
    <row r="173" spans="1:5">
      <c r="A173" s="1061"/>
      <c r="B173" s="283" t="str">
        <f>IF(B166="No Additional Web Servers","",IF('Build Data'!#REF!&lt;&gt;_xlfn.CONCAT('Build Data'!F8,"SANDBOX1"),"CUBE_DATABASE_NAME",""))</f>
        <v/>
      </c>
      <c r="C173" s="563" t="str">
        <f>IF(B173="Cube_Database_Name",'Build Data'!#REF!,"")</f>
        <v/>
      </c>
      <c r="D173" s="1064"/>
      <c r="E173" s="1119"/>
    </row>
    <row r="174" spans="1:5">
      <c r="A174" s="933">
        <v>16</v>
      </c>
      <c r="B174" s="285" t="s">
        <v>210</v>
      </c>
      <c r="C174" s="451" t="s">
        <v>211</v>
      </c>
      <c r="D174" s="216"/>
      <c r="E174" s="949"/>
    </row>
    <row r="175" spans="1:5">
      <c r="A175" s="938">
        <v>17</v>
      </c>
      <c r="B175" s="286" t="s">
        <v>212</v>
      </c>
      <c r="C175" s="70" t="s">
        <v>213</v>
      </c>
      <c r="D175" s="50"/>
      <c r="E175" s="234"/>
    </row>
    <row r="176" spans="1:5">
      <c r="A176" s="1065">
        <v>18</v>
      </c>
      <c r="B176" s="393" t="s">
        <v>142</v>
      </c>
      <c r="C176" s="84"/>
      <c r="D176" s="1068"/>
      <c r="E176" s="1110" t="str">
        <f>IF('Build Data'!F11="","",'Build Data'!F11)</f>
        <v/>
      </c>
    </row>
    <row r="177" spans="1:5">
      <c r="A177" s="1066"/>
      <c r="B177" s="414" t="str">
        <f>('SB Alignment'!B175)</f>
        <v>Validate ADM 01</v>
      </c>
      <c r="C177" s="452" t="str">
        <f>('SB Alignment'!C175)</f>
        <v>/login/body.asp?manual=Y</v>
      </c>
      <c r="D177" s="1069"/>
      <c r="E177" s="1111"/>
    </row>
    <row r="178" spans="1:5">
      <c r="A178" s="1066"/>
      <c r="B178" s="400" t="str">
        <f>('SB Alignment'!B176)</f>
        <v>Validate Versions using following URLs</v>
      </c>
      <c r="C178" s="652" t="str">
        <f>('SB Alignment'!C176)</f>
        <v>Start-Process "chrome.exe" "https://.pvcloud.com/planview/diag/version.aspx"</v>
      </c>
      <c r="D178" s="650"/>
      <c r="E178" s="1111"/>
    </row>
    <row r="179" spans="1:5">
      <c r="A179" s="1066"/>
      <c r="B179" s="411" t="str">
        <f>('SB Alignment'!B177)</f>
        <v>Test odata with following URLs</v>
      </c>
      <c r="C179" s="452" t="str">
        <f>('SB Alignment'!C177)</f>
        <v>Start-Process "chrome.exe" "https://.pvcloud.com/odataservice/OdataService.svc"</v>
      </c>
      <c r="D179" s="650"/>
      <c r="E179" s="1111"/>
    </row>
    <row r="180" spans="1:5">
      <c r="A180" s="1066"/>
      <c r="B180" s="414" t="str">
        <f>('SB Alignment'!B178)</f>
        <v>Test Progression Engine</v>
      </c>
      <c r="C180" s="653" t="str">
        <f>('SB Alignment'!C178)</f>
        <v>Start-Process "chrome.exe" "https://.pvcloud.com/planview/Progressing/ProgressInteractively.aspx"</v>
      </c>
      <c r="D180" s="650"/>
      <c r="E180" s="1111"/>
    </row>
    <row r="181" spans="1:5">
      <c r="A181" s="1066"/>
      <c r="B181" s="411" t="str">
        <f>('SB Alignment'!B179)</f>
        <v>Administration &gt; Reporting &gt; Model Management</v>
      </c>
      <c r="C181" s="652" t="str">
        <f>('SB Alignment'!C179)</f>
        <v>Start-Process "chrome.exe" "https://.pvcloud.com/planview/AdminApplication/AdministerOLAPConnStrings.aspx"</v>
      </c>
      <c r="D181" s="651"/>
      <c r="E181" s="1111"/>
    </row>
    <row r="182" spans="1:5">
      <c r="A182" s="1066"/>
      <c r="B182" s="414" t="str">
        <f>('SB Alignment'!B180)</f>
        <v>Administration &gt; System Configuration &gt; Database Management</v>
      </c>
      <c r="C182" s="654" t="str">
        <f>('SB Alignment'!C180)</f>
        <v>Start-Process "chrome.exe" "https://.pvcloud.com/planview/AdminDatabase/Databases.aspx"</v>
      </c>
      <c r="D182" s="650"/>
      <c r="E182" s="1111"/>
    </row>
    <row r="183" spans="1:5">
      <c r="A183" s="1066"/>
      <c r="B183" s="400" t="str">
        <f>('SB Alignment'!B181)</f>
        <v>Administration &gt; Reporting &gt; DataSet Management</v>
      </c>
      <c r="C183" s="452" t="str">
        <f>('SB Alignment'!C181)</f>
        <v>Start-Process "chrome.exe" "http://.pvcloud.com/planview/AdminApplication/AdministerDataset.aspx"</v>
      </c>
      <c r="D183" s="934"/>
      <c r="E183" s="1111"/>
    </row>
    <row r="184" spans="1:5">
      <c r="A184" s="1066"/>
      <c r="B184" s="411" t="str">
        <f>('SB Alignment'!B182)</f>
        <v>Test Access Manager and Validate TESE is functioning properly</v>
      </c>
      <c r="C184" s="653" t="str">
        <f>('SB Alignment'!C182)</f>
        <v>Start-Process "chrome.exe" "https://.pvcloud.com/planview/AdminApplication/AdminServices.aspx"</v>
      </c>
      <c r="D184" s="650"/>
      <c r="E184" s="1111"/>
    </row>
    <row r="185" spans="1:5">
      <c r="A185" s="1066"/>
      <c r="B185" s="414" t="str">
        <f>('SB Alignment'!B183)</f>
        <v>Content Search</v>
      </c>
      <c r="C185" s="653" t="str">
        <f>('SB Alignment'!C183)</f>
        <v>Start-Process "chrome.exe" "https://.pvcloud.com/planview/AdminApplication/createcontentsearchindex.asp?step=1"</v>
      </c>
      <c r="D185" s="650"/>
      <c r="E185" s="1111"/>
    </row>
    <row r="186" spans="1:5">
      <c r="A186" s="1066"/>
      <c r="B186" s="400" t="str">
        <f>('SB Alignment'!B184)</f>
        <v>Validate CTM site launches successfully from PRM</v>
      </c>
      <c r="C186" s="653" t="str">
        <f>('SB Alignment'!C184)</f>
        <v>Start-Process "chrome.exe" "https://.pvcloud.com/ng/ctm/"</v>
      </c>
      <c r="D186" s="934"/>
      <c r="E186" s="1111"/>
    </row>
    <row r="187" spans="1:5">
      <c r="A187" s="1066"/>
      <c r="B187" s="414" t="str">
        <f>('SB Alignment'!B185)</f>
        <v>PRM Health Check</v>
      </c>
      <c r="C187" s="652">
        <f>('SB Alignment'!C185)</f>
        <v>0</v>
      </c>
      <c r="D187" s="650"/>
      <c r="E187" s="1111"/>
    </row>
    <row r="188" spans="1:5">
      <c r="A188" s="1066"/>
      <c r="B188" s="531" t="str">
        <f>('SB Alignment'!B186)</f>
        <v>CTM Health Check</v>
      </c>
      <c r="C188" s="652" t="e">
        <f ca="1">('SB Alignment'!C186)</f>
        <v>#NAME?</v>
      </c>
      <c r="D188" s="650"/>
      <c r="E188" s="1111"/>
    </row>
    <row r="189" spans="1:5">
      <c r="A189" s="1066"/>
      <c r="B189" s="414" t="str">
        <f>('SB Alignment'!B187)</f>
        <v>CTM Health Check</v>
      </c>
      <c r="C189" s="452" t="e">
        <f ca="1">('SB Alignment'!C187)</f>
        <v>#NAME?</v>
      </c>
      <c r="D189" s="650"/>
      <c r="E189" s="1111"/>
    </row>
    <row r="190" spans="1:5">
      <c r="A190" s="1066"/>
      <c r="B190" s="420" t="str">
        <f>('SB Alignment'!B188)</f>
        <v>CTM Health Check</v>
      </c>
      <c r="C190" s="655" t="e">
        <f ca="1">('SB Alignment'!C188)</f>
        <v>#NAME?</v>
      </c>
      <c r="D190" s="935"/>
      <c r="E190" s="1112"/>
    </row>
    <row r="191" spans="1:5">
      <c r="A191" s="68">
        <v>19</v>
      </c>
      <c r="B191" s="286" t="s">
        <v>155</v>
      </c>
      <c r="C191" s="69" t="s">
        <v>214</v>
      </c>
      <c r="D191" s="50"/>
      <c r="E191" s="234"/>
    </row>
    <row r="192" spans="1:5">
      <c r="A192" s="1065">
        <v>20</v>
      </c>
      <c r="B192" s="279" t="s">
        <v>215</v>
      </c>
      <c r="C192" s="38" t="s">
        <v>216</v>
      </c>
      <c r="D192" s="1068"/>
      <c r="E192" s="1110"/>
    </row>
    <row r="193" spans="1:5">
      <c r="A193" s="1067"/>
      <c r="B193" s="358"/>
      <c r="C193" s="634" t="str">
        <f>_xlfn.CONCAT("@here ",('Build Data'!I8)&amp;"/login/body.asp?manual=Y is ready for smoke testing")</f>
        <v>@here /login/body.asp?manual=Y is ready for smoke testing</v>
      </c>
      <c r="D193" s="1070"/>
      <c r="E193" s="1112"/>
    </row>
  </sheetData>
  <mergeCells count="68">
    <mergeCell ref="A192:A193"/>
    <mergeCell ref="D192:D193"/>
    <mergeCell ref="E192:E193"/>
    <mergeCell ref="E87:E94"/>
    <mergeCell ref="E95:E102"/>
    <mergeCell ref="E156:E164"/>
    <mergeCell ref="D156:D164"/>
    <mergeCell ref="A176:A190"/>
    <mergeCell ref="E176:E190"/>
    <mergeCell ref="E148:E155"/>
    <mergeCell ref="E166:E173"/>
    <mergeCell ref="A119:A123"/>
    <mergeCell ref="D119:D123"/>
    <mergeCell ref="D166:D173"/>
    <mergeCell ref="D103:D110"/>
    <mergeCell ref="D95:D102"/>
    <mergeCell ref="A3:A5"/>
    <mergeCell ref="A8:A13"/>
    <mergeCell ref="A27:A63"/>
    <mergeCell ref="D3:D5"/>
    <mergeCell ref="E3:E5"/>
    <mergeCell ref="E27:E63"/>
    <mergeCell ref="D27:D31"/>
    <mergeCell ref="D32:D35"/>
    <mergeCell ref="D36:D39"/>
    <mergeCell ref="D40:D43"/>
    <mergeCell ref="D44:D47"/>
    <mergeCell ref="D48:D51"/>
    <mergeCell ref="D52:D55"/>
    <mergeCell ref="D56:D59"/>
    <mergeCell ref="D60:D63"/>
    <mergeCell ref="A14:A15"/>
    <mergeCell ref="E75:E80"/>
    <mergeCell ref="E14:E15"/>
    <mergeCell ref="E112:E118"/>
    <mergeCell ref="D111:D118"/>
    <mergeCell ref="E139:E146"/>
    <mergeCell ref="E131:E137"/>
    <mergeCell ref="E124:E130"/>
    <mergeCell ref="E69:E74"/>
    <mergeCell ref="E81:E86"/>
    <mergeCell ref="E119:E123"/>
    <mergeCell ref="E103:E110"/>
    <mergeCell ref="E6:E7"/>
    <mergeCell ref="A64:A67"/>
    <mergeCell ref="D64:D67"/>
    <mergeCell ref="E64:E67"/>
    <mergeCell ref="A6:A7"/>
    <mergeCell ref="D6:D7"/>
    <mergeCell ref="E16:E26"/>
    <mergeCell ref="A16:A26"/>
    <mergeCell ref="D16:D26"/>
    <mergeCell ref="D14:D15"/>
    <mergeCell ref="D8:D13"/>
    <mergeCell ref="D176:D177"/>
    <mergeCell ref="A69:A74"/>
    <mergeCell ref="A81:A118"/>
    <mergeCell ref="D69:D74"/>
    <mergeCell ref="A75:A80"/>
    <mergeCell ref="D75:D80"/>
    <mergeCell ref="A131:A173"/>
    <mergeCell ref="D131:D137"/>
    <mergeCell ref="D139:D146"/>
    <mergeCell ref="D148:D155"/>
    <mergeCell ref="A124:A130"/>
    <mergeCell ref="D124:D130"/>
    <mergeCell ref="D81:D86"/>
    <mergeCell ref="D87:D94"/>
  </mergeCells>
  <conditionalFormatting sqref="D103">
    <cfRule type="iconSet" priority="74">
      <iconSet iconSet="3Symbols2" showValue="0">
        <cfvo type="percent" val="0"/>
        <cfvo type="num" val="0"/>
        <cfvo type="num" val="1"/>
      </iconSet>
    </cfRule>
  </conditionalFormatting>
  <conditionalFormatting sqref="D95">
    <cfRule type="iconSet" priority="73">
      <iconSet iconSet="3Symbols2" showValue="0">
        <cfvo type="percent" val="0"/>
        <cfvo type="num" val="0"/>
        <cfvo type="num" val="1"/>
      </iconSet>
    </cfRule>
  </conditionalFormatting>
  <conditionalFormatting sqref="D87">
    <cfRule type="iconSet" priority="72">
      <iconSet iconSet="3Symbols2" showValue="0">
        <cfvo type="percent" val="0"/>
        <cfvo type="num" val="0"/>
        <cfvo type="num" val="1"/>
      </iconSet>
    </cfRule>
  </conditionalFormatting>
  <conditionalFormatting sqref="D111">
    <cfRule type="iconSet" priority="61">
      <iconSet iconSet="3Symbols2" showValue="0">
        <cfvo type="percent" val="0"/>
        <cfvo type="num" val="0"/>
        <cfvo type="num" val="1"/>
      </iconSet>
    </cfRule>
  </conditionalFormatting>
  <conditionalFormatting sqref="D69">
    <cfRule type="iconSet" priority="59">
      <iconSet iconSet="3Symbols2" showValue="0">
        <cfvo type="percent" val="0"/>
        <cfvo type="num" val="0"/>
        <cfvo type="num" val="1"/>
      </iconSet>
    </cfRule>
    <cfRule type="iconSet" priority="60">
      <iconSet iconSet="3Symbols2">
        <cfvo type="percent" val="0"/>
        <cfvo type="num" val="0"/>
        <cfvo type="num" val="1"/>
      </iconSet>
    </cfRule>
  </conditionalFormatting>
  <conditionalFormatting sqref="D64">
    <cfRule type="iconSet" priority="57">
      <iconSet iconSet="3Symbols2" showValue="0">
        <cfvo type="percent" val="0"/>
        <cfvo type="num" val="0"/>
        <cfvo type="num" val="1"/>
      </iconSet>
    </cfRule>
    <cfRule type="iconSet" priority="58">
      <iconSet iconSet="3Symbols2">
        <cfvo type="percent" val="0"/>
        <cfvo type="num" val="0"/>
        <cfvo type="num" val="1"/>
      </iconSet>
    </cfRule>
  </conditionalFormatting>
  <conditionalFormatting sqref="D124:D130">
    <cfRule type="iconSet" priority="55">
      <iconSet iconSet="3Symbols2" showValue="0">
        <cfvo type="percent" val="0"/>
        <cfvo type="num" val="0"/>
        <cfvo type="num" val="1"/>
      </iconSet>
    </cfRule>
  </conditionalFormatting>
  <conditionalFormatting sqref="D131">
    <cfRule type="iconSet" priority="54">
      <iconSet iconSet="3Symbols2" showValue="0">
        <cfvo type="percent" val="0"/>
        <cfvo type="num" val="0"/>
        <cfvo type="num" val="1"/>
      </iconSet>
    </cfRule>
  </conditionalFormatting>
  <conditionalFormatting sqref="D139">
    <cfRule type="iconSet" priority="1082">
      <iconSet iconSet="3Symbols2" showValue="0">
        <cfvo type="percent" val="0"/>
        <cfvo type="num" val="0"/>
        <cfvo type="num" val="1"/>
      </iconSet>
    </cfRule>
  </conditionalFormatting>
  <conditionalFormatting sqref="D148">
    <cfRule type="iconSet" priority="1083">
      <iconSet iconSet="3Symbols2" showValue="0">
        <cfvo type="percent" val="0"/>
        <cfvo type="num" val="0"/>
        <cfvo type="num" val="1"/>
      </iconSet>
    </cfRule>
  </conditionalFormatting>
  <conditionalFormatting sqref="D2">
    <cfRule type="iconSet" priority="47">
      <iconSet iconSet="3Symbols2" showValue="0">
        <cfvo type="percent" val="0"/>
        <cfvo type="num" val="0"/>
        <cfvo type="num" val="1"/>
      </iconSet>
    </cfRule>
  </conditionalFormatting>
  <conditionalFormatting sqref="D3">
    <cfRule type="iconSet" priority="12">
      <iconSet iconSet="3Symbols2" showValue="0">
        <cfvo type="percent" val="0"/>
        <cfvo type="num" val="0"/>
        <cfvo type="num" val="1"/>
      </iconSet>
    </cfRule>
    <cfRule type="iconSet" priority="46">
      <iconSet iconSet="3Symbols2" showValue="0">
        <cfvo type="percent" val="0"/>
        <cfvo type="num" val="0"/>
        <cfvo type="num" val="1"/>
      </iconSet>
    </cfRule>
  </conditionalFormatting>
  <conditionalFormatting sqref="D14">
    <cfRule type="iconSet" priority="43">
      <iconSet iconSet="3Symbols2" showValue="0">
        <cfvo type="percent" val="0"/>
        <cfvo type="num" val="0"/>
        <cfvo type="num" val="1"/>
      </iconSet>
    </cfRule>
  </conditionalFormatting>
  <conditionalFormatting sqref="D68">
    <cfRule type="iconSet" priority="26">
      <iconSet iconSet="3Symbols2" showValue="0">
        <cfvo type="percent" val="0"/>
        <cfvo type="num" val="0"/>
        <cfvo type="num" val="1"/>
      </iconSet>
    </cfRule>
  </conditionalFormatting>
  <conditionalFormatting sqref="D75">
    <cfRule type="iconSet" priority="24">
      <iconSet iconSet="3Symbols2" showValue="0">
        <cfvo type="percent" val="0"/>
        <cfvo type="num" val="0"/>
        <cfvo type="num" val="1"/>
      </iconSet>
    </cfRule>
    <cfRule type="iconSet" priority="25">
      <iconSet iconSet="3Symbols2">
        <cfvo type="percent" val="0"/>
        <cfvo type="num" val="0"/>
        <cfvo type="num" val="1"/>
      </iconSet>
    </cfRule>
  </conditionalFormatting>
  <conditionalFormatting sqref="D81">
    <cfRule type="iconSet" priority="22">
      <iconSet iconSet="3Symbols2" showValue="0">
        <cfvo type="percent" val="0"/>
        <cfvo type="num" val="0"/>
        <cfvo type="num" val="1"/>
      </iconSet>
    </cfRule>
    <cfRule type="iconSet" priority="23">
      <iconSet iconSet="3Symbols2">
        <cfvo type="percent" val="0"/>
        <cfvo type="num" val="0"/>
        <cfvo type="num" val="1"/>
      </iconSet>
    </cfRule>
  </conditionalFormatting>
  <conditionalFormatting sqref="D156">
    <cfRule type="iconSet" priority="21">
      <iconSet iconSet="3Symbols2" showValue="0">
        <cfvo type="percent" val="0"/>
        <cfvo type="num" val="0"/>
        <cfvo type="num" val="1"/>
      </iconSet>
    </cfRule>
  </conditionalFormatting>
  <conditionalFormatting sqref="D166">
    <cfRule type="iconSet" priority="20">
      <iconSet iconSet="3Symbols2" showValue="0">
        <cfvo type="percent" val="0"/>
        <cfvo type="num" val="0"/>
        <cfvo type="num" val="1"/>
      </iconSet>
    </cfRule>
  </conditionalFormatting>
  <conditionalFormatting sqref="D16">
    <cfRule type="iconSet" priority="19">
      <iconSet iconSet="3Symbols2" showValue="0">
        <cfvo type="percent" val="0"/>
        <cfvo type="num" val="0"/>
        <cfvo type="num" val="1"/>
      </iconSet>
    </cfRule>
  </conditionalFormatting>
  <conditionalFormatting sqref="D174">
    <cfRule type="iconSet" priority="18">
      <iconSet iconSet="3Symbols2" showValue="0">
        <cfvo type="percent" val="0"/>
        <cfvo type="num" val="0"/>
        <cfvo type="num" val="1"/>
      </iconSet>
    </cfRule>
  </conditionalFormatting>
  <conditionalFormatting sqref="D191:D192">
    <cfRule type="iconSet" priority="1084">
      <iconSet iconSet="3Symbols2" showValue="0">
        <cfvo type="percent" val="0"/>
        <cfvo type="num" val="0"/>
        <cfvo type="num" val="1"/>
      </iconSet>
    </cfRule>
  </conditionalFormatting>
  <conditionalFormatting sqref="D6">
    <cfRule type="iconSet" priority="1085">
      <iconSet iconSet="3Symbols2" showValue="0">
        <cfvo type="percent" val="0"/>
        <cfvo type="num" val="0"/>
        <cfvo type="num" val="1"/>
      </iconSet>
    </cfRule>
    <cfRule type="iconSet" priority="1085">
      <iconSet iconSet="3Symbols2">
        <cfvo type="percent" val="0"/>
        <cfvo type="num" val="0"/>
        <cfvo type="num" val="1"/>
      </iconSet>
    </cfRule>
    <cfRule type="iconSet" priority="1086">
      <iconSet showValue="0">
        <cfvo type="percent" val="0"/>
        <cfvo type="percent" val="33"/>
        <cfvo type="percent" val="67"/>
      </iconSet>
    </cfRule>
    <cfRule type="iconSet" priority="1087">
      <iconSet iconSet="3Symbols2">
        <cfvo type="percent" val="0"/>
        <cfvo type="num" val="0"/>
        <cfvo type="num" val="1"/>
      </iconSet>
    </cfRule>
  </conditionalFormatting>
  <conditionalFormatting sqref="D119">
    <cfRule type="iconSet" priority="1209">
      <iconSet iconSet="3Symbols2" showValue="0">
        <cfvo type="percent" val="0"/>
        <cfvo type="num" val="0"/>
        <cfvo type="num" val="1"/>
      </iconSet>
    </cfRule>
  </conditionalFormatting>
  <conditionalFormatting sqref="D8">
    <cfRule type="iconSet" priority="1390">
      <iconSet iconSet="3Symbols2" showValue="0">
        <cfvo type="percent" val="0"/>
        <cfvo type="num" val="0"/>
        <cfvo type="num" val="1"/>
      </iconSet>
    </cfRule>
  </conditionalFormatting>
  <conditionalFormatting sqref="D6:D7">
    <cfRule type="iconSet" priority="10">
      <iconSet iconSet="3Symbols2" showValue="0">
        <cfvo type="percent" val="0"/>
        <cfvo type="num" val="0"/>
        <cfvo type="num" val="1"/>
      </iconSet>
    </cfRule>
    <cfRule type="iconSet" priority="1444">
      <iconSet iconSet="3Symbols2" showValue="0">
        <cfvo type="percent" val="0"/>
        <cfvo type="num" val="0"/>
        <cfvo type="num" val="1"/>
      </iconSet>
    </cfRule>
  </conditionalFormatting>
  <conditionalFormatting sqref="D175:D176 D178:D190">
    <cfRule type="iconSet" priority="1445">
      <iconSet iconSet="3Symbols2" showValue="0">
        <cfvo type="percent" val="0"/>
        <cfvo type="num" val="0"/>
        <cfvo type="num" val="1"/>
      </iconSet>
    </cfRule>
  </conditionalFormatting>
  <conditionalFormatting sqref="D27:D31">
    <cfRule type="iconSet" priority="9">
      <iconSet iconSet="3Symbols2" showValue="0">
        <cfvo type="percent" val="0"/>
        <cfvo type="num" val="0"/>
        <cfvo type="num" val="1"/>
      </iconSet>
    </cfRule>
  </conditionalFormatting>
  <conditionalFormatting sqref="D32:D35">
    <cfRule type="iconSet" priority="8">
      <iconSet iconSet="3Symbols2" showValue="0">
        <cfvo type="percent" val="0"/>
        <cfvo type="num" val="0"/>
        <cfvo type="num" val="1"/>
      </iconSet>
    </cfRule>
  </conditionalFormatting>
  <conditionalFormatting sqref="D40:D43">
    <cfRule type="iconSet" priority="7">
      <iconSet iconSet="3Symbols2" showValue="0">
        <cfvo type="percent" val="0"/>
        <cfvo type="num" val="0"/>
        <cfvo type="num" val="1"/>
      </iconSet>
    </cfRule>
  </conditionalFormatting>
  <conditionalFormatting sqref="D48:D51">
    <cfRule type="iconSet" priority="6">
      <iconSet iconSet="3Symbols2" showValue="0">
        <cfvo type="percent" val="0"/>
        <cfvo type="num" val="0"/>
        <cfvo type="num" val="1"/>
      </iconSet>
    </cfRule>
  </conditionalFormatting>
  <conditionalFormatting sqref="D56:D59">
    <cfRule type="iconSet" priority="5">
      <iconSet iconSet="3Symbols2" showValue="0">
        <cfvo type="percent" val="0"/>
        <cfvo type="num" val="0"/>
        <cfvo type="num" val="1"/>
      </iconSet>
    </cfRule>
  </conditionalFormatting>
  <conditionalFormatting sqref="D36:D39">
    <cfRule type="iconSet" priority="4">
      <iconSet iconSet="3Symbols2" showValue="0">
        <cfvo type="percent" val="0"/>
        <cfvo type="num" val="0"/>
        <cfvo type="num" val="1"/>
      </iconSet>
    </cfRule>
  </conditionalFormatting>
  <conditionalFormatting sqref="D44:D47">
    <cfRule type="iconSet" priority="3">
      <iconSet iconSet="3Symbols2" showValue="0">
        <cfvo type="percent" val="0"/>
        <cfvo type="num" val="0"/>
        <cfvo type="num" val="1"/>
      </iconSet>
    </cfRule>
  </conditionalFormatting>
  <conditionalFormatting sqref="D52:D55">
    <cfRule type="iconSet" priority="2">
      <iconSet iconSet="3Symbols2" showValue="0">
        <cfvo type="percent" val="0"/>
        <cfvo type="num" val="0"/>
        <cfvo type="num" val="1"/>
      </iconSet>
    </cfRule>
  </conditionalFormatting>
  <conditionalFormatting sqref="D60:D63">
    <cfRule type="iconSet" priority="1">
      <iconSet iconSet="3Symbols2" showValue="0">
        <cfvo type="percent" val="0"/>
        <cfvo type="num" val="0"/>
        <cfvo type="num" val="1"/>
      </iconSet>
    </cfRule>
  </conditionalFormatting>
  <hyperlinks>
    <hyperlink ref="C64" r:id="rId1" display="https://jenkins.us.planview.world/job/deploy_sql_cu_pipe/"/>
    <hyperlink ref="C175" r:id="rId2" location="/ccu-main" display="https://control.akamai.com/apps/fast-purge/ - /ccu-main"/>
    <hyperlink ref="C174" r:id="rId3"/>
    <hyperlink ref="C3" r:id="rId4" display="https://planview.lightning.force.com/lightning"/>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80"/>
  <sheetViews>
    <sheetView topLeftCell="A109" zoomScale="85" zoomScaleNormal="85" workbookViewId="0">
      <selection activeCell="C144" sqref="C144"/>
    </sheetView>
  </sheetViews>
  <sheetFormatPr defaultRowHeight="15"/>
  <cols>
    <col min="1" max="1" width="9.140625" style="7"/>
    <col min="2" max="2" width="81.7109375" style="1" bestFit="1" customWidth="1"/>
    <col min="3" max="3" width="113.85546875" bestFit="1" customWidth="1"/>
    <col min="4" max="4" width="26" bestFit="1" customWidth="1"/>
    <col min="5" max="5" width="28.7109375" style="235" bestFit="1" customWidth="1"/>
  </cols>
  <sheetData>
    <row r="1" spans="1:5" ht="18">
      <c r="A1" s="255"/>
      <c r="B1" s="242" t="s">
        <v>111</v>
      </c>
      <c r="C1" s="256" t="s">
        <v>114</v>
      </c>
      <c r="D1" s="242" t="s">
        <v>113</v>
      </c>
      <c r="E1" s="243" t="s">
        <v>103</v>
      </c>
    </row>
    <row r="2" spans="1:5">
      <c r="A2" s="961">
        <v>1</v>
      </c>
      <c r="B2" s="261">
        <f>('Build Data'!F21)</f>
        <v>0</v>
      </c>
      <c r="C2" s="55" t="s">
        <v>188</v>
      </c>
      <c r="D2" s="253"/>
      <c r="E2" s="254"/>
    </row>
    <row r="3" spans="1:5" ht="90">
      <c r="A3" s="215">
        <v>2</v>
      </c>
      <c r="B3" s="288" t="s">
        <v>217</v>
      </c>
      <c r="C3" s="112" t="s">
        <v>218</v>
      </c>
      <c r="D3" s="236"/>
      <c r="E3" s="230"/>
    </row>
    <row r="4" spans="1:5">
      <c r="A4" s="1059">
        <v>3</v>
      </c>
      <c r="B4" s="163"/>
      <c r="C4" s="183" t="s">
        <v>192</v>
      </c>
      <c r="D4" s="1062"/>
      <c r="E4" s="231"/>
    </row>
    <row r="5" spans="1:5">
      <c r="A5" s="1060"/>
      <c r="B5" s="289" t="s">
        <v>219</v>
      </c>
      <c r="C5" s="184" t="str">
        <f>_xlfn.CONCAT(AutoPop!E119 &amp;'Build Data'!I9&amp; "'," &amp; "'"&amp;'Build Data'!I10&amp; "'," &amp; "'"&amp;'Build Data'!I11&amp; "'," &amp; "'"&amp;'Build Data'!I12&amp; "'," &amp; "'"&amp;'Build Data'!I13&amp; "'"&amp; AutoPop!F119)</f>
        <v>Set-DataDogMaintWin -hosts @('','','','','') -End $(get-date).AddHours(4)</v>
      </c>
      <c r="D5" s="1063"/>
      <c r="E5" s="232"/>
    </row>
    <row r="6" spans="1:5">
      <c r="A6" s="1060"/>
      <c r="B6" s="163"/>
      <c r="C6" s="104" t="str">
        <f>IF('Build Data'!B7=5,_xlfn.CONCAT(AutoPop!E119&amp;'Build Data'!J10&amp;"',"&amp;"'"&amp;'Build Data'!J11&amp;"',"&amp;"'"&amp;'Build Data'!J11&amp;"',"&amp;"'"&amp;'Build Data'!J13&amp;"'"&amp;AutoPop!F119),IF('Build Data'!B7=4,_xlfn.CONCAT(AutoPop!E119&amp;'Build Data'!J10&amp;"',"&amp;"'"&amp;'Build Data'!J11&amp;"',"&amp;"'"&amp;'Build Data'!J11&amp;"'"&amp;AutoPop!F119),IF('Build Data'!B7=3,_xlfn.CONCAT(AutoPop!E119&amp;'Build Data'!J10&amp;"',"&amp;"'"&amp;'Build Data'!J11&amp;"'"&amp;AutoPop!F119),IF('Build Data'!B7=2,_xlfn.CONCAT(AutoPop!E119&amp;'Build Data'!J10&amp;"'"&amp;AutoPop!F119),""))))</f>
        <v/>
      </c>
      <c r="D6" s="1063"/>
      <c r="E6" s="232"/>
    </row>
    <row r="7" spans="1:5">
      <c r="A7" s="1065">
        <v>4</v>
      </c>
      <c r="B7" s="279" t="s">
        <v>194</v>
      </c>
      <c r="C7" s="172" t="str">
        <f>_xlfn.CONCAT("Restart-Computer -ComputerName ",'Build Data'!I9 &amp; ", ",'Build Data'!I10 &amp; ", ",'Build Data'!I11 &amp; ", ",'Build Data'!I12 &amp;" -force")</f>
        <v>Restart-Computer -ComputerName , , ,  -force</v>
      </c>
      <c r="D7" s="1068"/>
      <c r="E7" s="1110"/>
    </row>
    <row r="8" spans="1:5">
      <c r="A8" s="1067"/>
      <c r="B8" s="290" t="str">
        <f>IF('Build Data'!J10="","","Reboot additional Web Servers")</f>
        <v/>
      </c>
      <c r="C8" s="46" t="str">
        <f>IF('Build Data'!B7=5,_xlfn.CONCAT(AutoPop!E119&amp;'Build Data'!J10&amp;"',"&amp;"'"&amp;'Build Data'!J11&amp;"',"&amp;"'"&amp;'Build Data'!J12&amp;"',"&amp;"'"&amp;'Build Data'!J13&amp;"'"&amp;AutoPop!F119),IF('Build Data'!B7=4,_xlfn.CONCAT(AutoPop!E119&amp;'Build Data'!J10&amp;"',"&amp;"'"&amp;'Build Data'!J11&amp;"',"&amp;"'"&amp;'Build Data'!J12&amp;"'"&amp;AutoPop!F119),IF('Build Data'!B7=3,_xlfn.CONCAT(AutoPop!E119&amp;'Build Data'!J10&amp;"',"&amp;"'"&amp;'Build Data'!J11&amp;"'"&amp;AutoPop!F119),IF('Build Data'!B7=2,_xlfn.CONCAT(AutoPop!E119&amp;'Build Data'!J10&amp;"'"&amp;AutoPop!F119),""))))</f>
        <v/>
      </c>
      <c r="D8" s="1070"/>
      <c r="E8" s="1112"/>
    </row>
    <row r="9" spans="1:5">
      <c r="A9" s="1136">
        <v>5</v>
      </c>
      <c r="B9" s="353" t="s">
        <v>220</v>
      </c>
      <c r="C9" s="221" t="str">
        <f>_xlfn.CONCAT(AutoPop!B83,AutoPop!C75)</f>
        <v>Enter-PSSession -ComputerName .sydney.planviewcloud.net</v>
      </c>
      <c r="D9" s="1062"/>
      <c r="E9" s="1132"/>
    </row>
    <row r="10" spans="1:5">
      <c r="A10" s="1136"/>
      <c r="B10" s="291"/>
      <c r="C10" s="187" t="str">
        <f>_xlfn.CONCAT(AutoPop!B90 &amp; " " &amp; AutoPop!C91 &amp; " " &amp; AutoPop!D90)</f>
        <v>NET Stop PVAccessManager</v>
      </c>
      <c r="D10" s="1063"/>
      <c r="E10" s="1133"/>
    </row>
    <row r="11" spans="1:5">
      <c r="A11" s="1136"/>
      <c r="B11" s="291"/>
      <c r="C11" s="187" t="str">
        <f>_xlfn.CONCAT(AutoPop!B90 &amp; " " &amp; AutoPop!C91 &amp; " " &amp; AutoPop!D91)</f>
        <v>NET Stop PlanviewAdminService</v>
      </c>
      <c r="D11" s="1063"/>
      <c r="E11" s="1133"/>
    </row>
    <row r="12" spans="1:5">
      <c r="A12" s="1136"/>
      <c r="B12" s="291"/>
      <c r="C12" s="155" t="str">
        <f>_xlfn.CONCAT(AutoPop!B90 &amp; " " &amp; AutoPop!C91 &amp; " " &amp; AutoPop!D92)</f>
        <v>NET Stop PVCalendarServer</v>
      </c>
      <c r="D12" s="1063"/>
      <c r="E12" s="1133"/>
    </row>
    <row r="13" spans="1:5">
      <c r="A13" s="1136"/>
      <c r="B13" s="291"/>
      <c r="C13" s="187" t="str">
        <f>_xlfn.CONCAT(AutoPop!B90 &amp; " " &amp; AutoPop!C91 &amp; " " &amp; AutoPop!D93)</f>
        <v>NET Stop "PlanView Content Management Index Manager"</v>
      </c>
      <c r="D13" s="1063"/>
      <c r="E13" s="1133"/>
    </row>
    <row r="14" spans="1:5">
      <c r="A14" s="1136"/>
      <c r="B14" s="291"/>
      <c r="C14" s="155" t="str">
        <f>_xlfn.CONCAT(AutoPop!B90 &amp; " " &amp; AutoPop!C91 &amp; " " &amp; AutoPop!D94)</f>
        <v>NET Stop PlanviewEnterpriseScheduler</v>
      </c>
      <c r="D14" s="1063"/>
      <c r="E14" s="1133"/>
    </row>
    <row r="15" spans="1:5">
      <c r="A15" s="1136"/>
      <c r="B15" s="291"/>
      <c r="C15" s="187" t="str">
        <f>(AutoPop!D101)</f>
        <v>iisreset /stop</v>
      </c>
      <c r="D15" s="1063"/>
      <c r="E15" s="1133"/>
    </row>
    <row r="16" spans="1:5">
      <c r="A16" s="1136"/>
      <c r="B16" s="354"/>
      <c r="C16" s="222" t="s">
        <v>221</v>
      </c>
      <c r="D16" s="1064"/>
      <c r="E16" s="1133"/>
    </row>
    <row r="17" spans="1:5">
      <c r="A17" s="1136"/>
      <c r="B17" s="355"/>
      <c r="C17" s="223" t="str">
        <f>_xlfn.CONCAT(AutoPop!B84,AutoPop!C75)</f>
        <v>Enter-PSSession -ComputerName .sydney.planviewcloud.net</v>
      </c>
      <c r="D17" s="1068"/>
      <c r="E17" s="1121"/>
    </row>
    <row r="18" spans="1:5">
      <c r="A18" s="1136"/>
      <c r="B18" s="350"/>
      <c r="C18" s="191" t="str">
        <f>_xlfn.CONCAT(AutoPop!B90 &amp; " " &amp; AutoPop!C91 &amp; " " &amp; AutoPop!D95)</f>
        <v>NET Stop PlanviewEnterpriseJobexecution</v>
      </c>
      <c r="D18" s="1069"/>
      <c r="E18" s="1121"/>
    </row>
    <row r="19" spans="1:5">
      <c r="A19" s="1136"/>
      <c r="B19" s="351"/>
      <c r="C19" s="191" t="str">
        <f>_xlfn.CONCAT(AutoPop!B90 &amp; " " &amp; AutoPop!C91 &amp; " " &amp; AutoPop!D96)</f>
        <v>NET Stop tesegate</v>
      </c>
      <c r="D19" s="1069"/>
      <c r="E19" s="1121"/>
    </row>
    <row r="20" spans="1:5">
      <c r="A20" s="1136"/>
      <c r="B20" s="352"/>
      <c r="C20" s="224" t="s">
        <v>221</v>
      </c>
      <c r="D20" s="1070"/>
      <c r="E20" s="1121"/>
    </row>
    <row r="21" spans="1:5">
      <c r="A21" s="1136"/>
      <c r="B21" s="323" t="str">
        <f>IF('Build Data'!J10="","No Additional Web Servers","")</f>
        <v>No Additional Web Servers</v>
      </c>
      <c r="C21" s="221" t="str">
        <f>IF('Build Data'!B7&lt;=1,"",_xlfn.CONCAT(AutoPop!B78,'Build Data'!J10,AutoPop!C75))</f>
        <v>Enter-PSSession -ComputerName .sydney.planviewcloud.net</v>
      </c>
      <c r="D21" s="1138">
        <f>IF(B21="No Additional Web Servers",1,"")</f>
        <v>1</v>
      </c>
      <c r="E21" s="1133" t="str">
        <f>IF(B21="No Additional Web Servers","Automated Complete
no additional web servers","")</f>
        <v>Automated Complete
no additional web servers</v>
      </c>
    </row>
    <row r="22" spans="1:5">
      <c r="A22" s="1136"/>
      <c r="B22" s="292"/>
      <c r="C22" s="187" t="str">
        <f>IF(C21="","",C10)</f>
        <v>NET Stop PVAccessManager</v>
      </c>
      <c r="D22" s="1139"/>
      <c r="E22" s="1133"/>
    </row>
    <row r="23" spans="1:5">
      <c r="A23" s="1136"/>
      <c r="B23" s="291"/>
      <c r="C23" s="198" t="str">
        <f>IF(C21="","",C11)</f>
        <v>NET Stop PlanviewAdminService</v>
      </c>
      <c r="D23" s="1139"/>
      <c r="E23" s="1133"/>
    </row>
    <row r="24" spans="1:5">
      <c r="A24" s="1136"/>
      <c r="B24" s="263"/>
      <c r="C24" s="187" t="str">
        <f>IF(C21="","",C12)</f>
        <v>NET Stop PVCalendarServer</v>
      </c>
      <c r="D24" s="1139"/>
      <c r="E24" s="1133"/>
    </row>
    <row r="25" spans="1:5">
      <c r="A25" s="1136"/>
      <c r="B25" s="292"/>
      <c r="C25" s="187" t="str">
        <f>IF(C21="","",C13)</f>
        <v>NET Stop "PlanView Content Management Index Manager"</v>
      </c>
      <c r="D25" s="1139"/>
      <c r="E25" s="1133"/>
    </row>
    <row r="26" spans="1:5" ht="14.25" customHeight="1">
      <c r="A26" s="1136"/>
      <c r="B26" s="292"/>
      <c r="C26" s="187" t="str">
        <f>IF(C21="","",C14)</f>
        <v>NET Stop PlanviewEnterpriseScheduler</v>
      </c>
      <c r="D26" s="1139"/>
      <c r="E26" s="1133"/>
    </row>
    <row r="27" spans="1:5" ht="14.25" customHeight="1">
      <c r="A27" s="1136"/>
      <c r="B27" s="291"/>
      <c r="C27" s="187" t="str">
        <f>IF(C21="","",C15)</f>
        <v>iisreset /stop</v>
      </c>
      <c r="D27" s="1139"/>
      <c r="E27" s="1133"/>
    </row>
    <row r="28" spans="1:5" ht="14.25" customHeight="1">
      <c r="A28" s="1136"/>
      <c r="B28" s="295"/>
      <c r="C28" s="222" t="str">
        <f>IF(C21="","",C16)</f>
        <v>EXIT</v>
      </c>
      <c r="D28" s="1140"/>
      <c r="E28" s="1133"/>
    </row>
    <row r="29" spans="1:5" ht="14.25" customHeight="1">
      <c r="A29" s="1136"/>
      <c r="B29" s="320" t="str">
        <f>IF('Build Data'!J11="","No Additional Web Servers","")</f>
        <v>No Additional Web Servers</v>
      </c>
      <c r="C29" s="225" t="str">
        <f>IF('Build Data'!B7&lt;=2,"",_xlfn.CONCAT(AutoPop!B78,'Build Data'!J11,AutoPop!C75))</f>
        <v>Enter-PSSession -ComputerName .sydney.planviewcloud.net</v>
      </c>
      <c r="D29" s="1068">
        <f>IF(B29="No Additional Web Servers",1,"")</f>
        <v>1</v>
      </c>
      <c r="E29" s="1121" t="str">
        <f>IF(B29="No Additional Web Servers","Automated Complete
no additional web servers","")</f>
        <v>Automated Complete
no additional web servers</v>
      </c>
    </row>
    <row r="30" spans="1:5" ht="14.25" customHeight="1">
      <c r="A30" s="1136"/>
      <c r="B30" s="349"/>
      <c r="C30" s="185" t="str">
        <f>IF(C29="","",C10)</f>
        <v>NET Stop PVAccessManager</v>
      </c>
      <c r="D30" s="1069"/>
      <c r="E30" s="1121"/>
    </row>
    <row r="31" spans="1:5" ht="14.25" customHeight="1">
      <c r="A31" s="1136"/>
      <c r="B31" s="351"/>
      <c r="C31" s="191" t="str">
        <f>IF(C29="","",C11)</f>
        <v>NET Stop PlanviewAdminService</v>
      </c>
      <c r="D31" s="1069"/>
      <c r="E31" s="1121"/>
    </row>
    <row r="32" spans="1:5" ht="14.25" customHeight="1">
      <c r="A32" s="1136"/>
      <c r="B32" s="351"/>
      <c r="C32" s="191" t="str">
        <f>IF(C29="","",C12)</f>
        <v>NET Stop PVCalendarServer</v>
      </c>
      <c r="D32" s="1069"/>
      <c r="E32" s="1121"/>
    </row>
    <row r="33" spans="1:5" ht="14.25" customHeight="1">
      <c r="A33" s="1136"/>
      <c r="B33" s="351"/>
      <c r="C33" s="191" t="str">
        <f>IF(C29="","",C13)</f>
        <v>NET Stop "PlanView Content Management Index Manager"</v>
      </c>
      <c r="D33" s="1069"/>
      <c r="E33" s="1121"/>
    </row>
    <row r="34" spans="1:5">
      <c r="A34" s="1136"/>
      <c r="B34" s="351"/>
      <c r="C34" s="191" t="str">
        <f>IF(C29="","",C14)</f>
        <v>NET Stop PlanviewEnterpriseScheduler</v>
      </c>
      <c r="D34" s="1069"/>
      <c r="E34" s="1121"/>
    </row>
    <row r="35" spans="1:5">
      <c r="A35" s="1136"/>
      <c r="B35" s="351"/>
      <c r="C35" s="185" t="str">
        <f>IF(C29="","",C15)</f>
        <v>iisreset /stop</v>
      </c>
      <c r="D35" s="1069"/>
      <c r="E35" s="1121"/>
    </row>
    <row r="36" spans="1:5">
      <c r="A36" s="1136"/>
      <c r="B36" s="352"/>
      <c r="C36" s="226" t="str">
        <f>IF(C29="","",C16)</f>
        <v>EXIT</v>
      </c>
      <c r="D36" s="1070"/>
      <c r="E36" s="1121"/>
    </row>
    <row r="37" spans="1:5">
      <c r="A37" s="1136"/>
      <c r="B37" s="357" t="str">
        <f>IF('Build Data'!J12="","No Additional Web Servers","")</f>
        <v>No Additional Web Servers</v>
      </c>
      <c r="C37" s="221" t="str">
        <f>IF('Build Data'!B7&lt;=3,"",_xlfn.CONCAT(AutoPop!B78,'Build Data'!J12,AutoPop!C75))</f>
        <v>Enter-PSSession -ComputerName .sydney.planviewcloud.net</v>
      </c>
      <c r="D37" s="1062">
        <f>IF(B37="No Additional Web Servers",1,"")</f>
        <v>1</v>
      </c>
      <c r="E37" s="1133" t="str">
        <f>IF(B37="No Additional Web Servers","Automated Complete
no additional web servers","")</f>
        <v>Automated Complete
no additional web servers</v>
      </c>
    </row>
    <row r="38" spans="1:5">
      <c r="A38" s="1136"/>
      <c r="B38" s="263"/>
      <c r="C38" s="187" t="str">
        <f>IF(C37="","",C10)</f>
        <v>NET Stop PVAccessManager</v>
      </c>
      <c r="D38" s="1063"/>
      <c r="E38" s="1133"/>
    </row>
    <row r="39" spans="1:5">
      <c r="A39" s="1136"/>
      <c r="B39" s="292"/>
      <c r="C39" s="155" t="str">
        <f>IF(C37="","",C11)</f>
        <v>NET Stop PlanviewAdminService</v>
      </c>
      <c r="D39" s="1063"/>
      <c r="E39" s="1133"/>
    </row>
    <row r="40" spans="1:5">
      <c r="A40" s="1136"/>
      <c r="B40" s="292"/>
      <c r="C40" s="187" t="str">
        <f>IF(C37="","",C12)</f>
        <v>NET Stop PVCalendarServer</v>
      </c>
      <c r="D40" s="1063"/>
      <c r="E40" s="1133"/>
    </row>
    <row r="41" spans="1:5">
      <c r="A41" s="1136"/>
      <c r="B41" s="291"/>
      <c r="C41" s="187" t="str">
        <f>IF(C37="","",C13)</f>
        <v>NET Stop "PlanView Content Management Index Manager"</v>
      </c>
      <c r="D41" s="1063"/>
      <c r="E41" s="1133"/>
    </row>
    <row r="42" spans="1:5">
      <c r="A42" s="1136"/>
      <c r="B42" s="291"/>
      <c r="C42" s="199" t="str">
        <f>IF(C37="","",C14)</f>
        <v>NET Stop PlanviewEnterpriseScheduler</v>
      </c>
      <c r="D42" s="1063"/>
      <c r="E42" s="1133"/>
    </row>
    <row r="43" spans="1:5">
      <c r="A43" s="1136"/>
      <c r="B43" s="291"/>
      <c r="C43" s="187" t="str">
        <f>IF(C37="","",C15)</f>
        <v>iisreset /stop</v>
      </c>
      <c r="D43" s="1063"/>
      <c r="E43" s="1133"/>
    </row>
    <row r="44" spans="1:5">
      <c r="A44" s="1136"/>
      <c r="B44" s="354"/>
      <c r="C44" s="222" t="str">
        <f>IF(C37="","",C16)</f>
        <v>EXIT</v>
      </c>
      <c r="D44" s="1064"/>
      <c r="E44" s="1133"/>
    </row>
    <row r="45" spans="1:5">
      <c r="A45" s="1136"/>
      <c r="B45" s="356" t="str">
        <f>IF('Build Data'!J13="","No Additional Web Servers","")</f>
        <v>No Additional Web Servers</v>
      </c>
      <c r="C45" s="225" t="str">
        <f>IF('Build Data'!B7&lt;=4,"",_xlfn.CONCAT(AutoPop!B78,'Build Data'!J13,AutoPop!C75))</f>
        <v>Enter-PSSession -ComputerName .sydney.planviewcloud.net</v>
      </c>
      <c r="D45" s="1068">
        <f>IF(B45="No Additional Web Servers",1,"")</f>
        <v>1</v>
      </c>
      <c r="E45" s="1121" t="str">
        <f>IF(B45="No Additional Web Servers","Automated Complete
no additional web servers","")</f>
        <v>Automated Complete
no additional web servers</v>
      </c>
    </row>
    <row r="46" spans="1:5">
      <c r="A46" s="1136"/>
      <c r="B46" s="351"/>
      <c r="C46" s="185" t="str">
        <f>IF(C45="","",C10)</f>
        <v>NET Stop PVAccessManager</v>
      </c>
      <c r="D46" s="1069"/>
      <c r="E46" s="1121"/>
    </row>
    <row r="47" spans="1:5">
      <c r="A47" s="1136"/>
      <c r="B47" s="349"/>
      <c r="C47" s="191" t="str">
        <f>IF(C45="","",C11)</f>
        <v>NET Stop PlanviewAdminService</v>
      </c>
      <c r="D47" s="1069"/>
      <c r="E47" s="1121"/>
    </row>
    <row r="48" spans="1:5">
      <c r="A48" s="1136"/>
      <c r="B48" s="351"/>
      <c r="C48" s="185" t="str">
        <f>IF(C45="","",C12)</f>
        <v>NET Stop PVCalendarServer</v>
      </c>
      <c r="D48" s="1069"/>
      <c r="E48" s="1121"/>
    </row>
    <row r="49" spans="1:5">
      <c r="A49" s="1136"/>
      <c r="B49" s="349"/>
      <c r="C49" s="227" t="str">
        <f>IF(C45="","",C13)</f>
        <v>NET Stop "PlanView Content Management Index Manager"</v>
      </c>
      <c r="D49" s="1069"/>
      <c r="E49" s="1121"/>
    </row>
    <row r="50" spans="1:5">
      <c r="A50" s="1136"/>
      <c r="B50" s="350"/>
      <c r="C50" s="191" t="str">
        <f>IF(C45="","",C14)</f>
        <v>NET Stop PlanviewEnterpriseScheduler</v>
      </c>
      <c r="D50" s="1069"/>
      <c r="E50" s="1121"/>
    </row>
    <row r="51" spans="1:5">
      <c r="A51" s="1136"/>
      <c r="B51" s="350"/>
      <c r="C51" s="185" t="str">
        <f>IF(C45="","",C15)</f>
        <v>iisreset /stop</v>
      </c>
      <c r="D51" s="1069"/>
      <c r="E51" s="1121"/>
    </row>
    <row r="52" spans="1:5">
      <c r="A52" s="1137"/>
      <c r="B52" s="352"/>
      <c r="C52" s="226" t="str">
        <f>IF(C45="","",C16)</f>
        <v>EXIT</v>
      </c>
      <c r="D52" s="1070"/>
      <c r="E52" s="1121"/>
    </row>
    <row r="53" spans="1:5">
      <c r="A53" s="1065">
        <v>6</v>
      </c>
      <c r="B53" s="296" t="s">
        <v>222</v>
      </c>
      <c r="C53" s="204" t="str">
        <f>(Other!D9)</f>
        <v xml:space="preserve">DECLARE @name VARCHAR(50) -- database name  </v>
      </c>
      <c r="D53" s="1068"/>
      <c r="E53" s="1110"/>
    </row>
    <row r="54" spans="1:5">
      <c r="A54" s="1066"/>
      <c r="B54" s="296"/>
      <c r="C54" s="205" t="str">
        <f>(Other!D10)</f>
        <v xml:space="preserve">DECLARE @path VARCHAR(256) -- path for backup files  </v>
      </c>
      <c r="D54" s="1069"/>
      <c r="E54" s="1111"/>
    </row>
    <row r="55" spans="1:5">
      <c r="A55" s="1066"/>
      <c r="B55" s="296"/>
      <c r="C55" s="206" t="str">
        <f>(Other!D11)</f>
        <v xml:space="preserve">DECLARE @fileName VARCHAR(256) -- filename for backup  </v>
      </c>
      <c r="D55" s="1069"/>
      <c r="E55" s="1111"/>
    </row>
    <row r="56" spans="1:5">
      <c r="A56" s="1066"/>
      <c r="B56" s="296"/>
      <c r="C56" s="206" t="str">
        <f>(Other!D12)</f>
        <v>DECLARE @fileDate VARCHAR(20) -- used for file name</v>
      </c>
      <c r="D56" s="1069"/>
      <c r="E56" s="1111"/>
    </row>
    <row r="57" spans="1:5">
      <c r="A57" s="1066"/>
      <c r="B57" s="296"/>
      <c r="C57" s="204" t="str">
        <f>(Other!D13)</f>
        <v>-- specify database backup directory</v>
      </c>
      <c r="D57" s="1069"/>
      <c r="E57" s="1111"/>
    </row>
    <row r="58" spans="1:5">
      <c r="A58" s="1066"/>
      <c r="B58" s="296"/>
      <c r="C58" s="206" t="str">
        <f>(Other!D14)</f>
        <v xml:space="preserve">SET @path = 'F:\SQLBackup\'  </v>
      </c>
      <c r="D58" s="1069"/>
      <c r="E58" s="1111"/>
    </row>
    <row r="59" spans="1:5">
      <c r="A59" s="1066"/>
      <c r="B59" s="296"/>
      <c r="C59" s="207" t="str">
        <f>(Other!D15)</f>
        <v>-- specify filename format</v>
      </c>
      <c r="D59" s="1069"/>
      <c r="E59" s="1111"/>
    </row>
    <row r="60" spans="1:5">
      <c r="A60" s="1066"/>
      <c r="B60" s="296"/>
      <c r="C60" s="204" t="str">
        <f>(Other!D16)</f>
        <v>SELECT @fileDate = CONVERT(VARCHAR(20),GETDATE(),112) + REPLACE(CONVERT(VARCHAR(20),GETDATE(),108),':','')</v>
      </c>
      <c r="D60" s="1069"/>
      <c r="E60" s="1111"/>
    </row>
    <row r="61" spans="1:5">
      <c r="A61" s="1066"/>
      <c r="B61" s="296"/>
      <c r="C61" s="205" t="str">
        <f>(Other!D17)</f>
        <v xml:space="preserve">DECLARE db_cursor CURSOR READ_ONLY FOR  </v>
      </c>
      <c r="D61" s="1069"/>
      <c r="E61" s="1111"/>
    </row>
    <row r="62" spans="1:5">
      <c r="A62" s="1066"/>
      <c r="B62" s="296"/>
      <c r="C62" s="205" t="str">
        <f>(Other!D18)</f>
        <v>SELECT name</v>
      </c>
      <c r="D62" s="1069"/>
      <c r="E62" s="1111"/>
    </row>
    <row r="63" spans="1:5">
      <c r="A63" s="1066"/>
      <c r="B63" s="296"/>
      <c r="C63" s="205" t="str">
        <f>(Other!D19)</f>
        <v>FROM master.dbo.sysdatabases</v>
      </c>
      <c r="D63" s="1069"/>
      <c r="E63" s="1111"/>
    </row>
    <row r="64" spans="1:5">
      <c r="A64" s="1066"/>
      <c r="B64" s="296"/>
      <c r="C64" s="205" t="str">
        <f>(Other!D20)</f>
        <v xml:space="preserve"> WHERE name NOT IN ('master','model','msdb','tempdb')  -- exclude these databases</v>
      </c>
      <c r="D64" s="1069"/>
      <c r="E64" s="1111"/>
    </row>
    <row r="65" spans="1:5">
      <c r="A65" s="1066"/>
      <c r="B65" s="296"/>
      <c r="C65" s="206" t="str">
        <f>(Other!D21)</f>
        <v xml:space="preserve">OPEN db_cursor   </v>
      </c>
      <c r="D65" s="1069"/>
      <c r="E65" s="1111"/>
    </row>
    <row r="66" spans="1:5">
      <c r="A66" s="1066"/>
      <c r="B66" s="296"/>
      <c r="C66" s="204" t="str">
        <f>(Other!D22)</f>
        <v xml:space="preserve">FETCH NEXT FROM db_cursor INTO @name   </v>
      </c>
      <c r="D66" s="1069"/>
      <c r="E66" s="1111"/>
    </row>
    <row r="67" spans="1:5">
      <c r="A67" s="1066"/>
      <c r="B67" s="296"/>
      <c r="C67" s="205" t="str">
        <f>(Other!D23)</f>
        <v xml:space="preserve">WHILE @@FETCH_STATUS = 0   </v>
      </c>
      <c r="D67" s="1069"/>
      <c r="E67" s="1111"/>
    </row>
    <row r="68" spans="1:5">
      <c r="A68" s="1066"/>
      <c r="B68" s="296"/>
      <c r="C68" s="205" t="str">
        <f>(Other!D24)</f>
        <v xml:space="preserve">BEGIN   </v>
      </c>
      <c r="D68" s="1069"/>
      <c r="E68" s="1111"/>
    </row>
    <row r="69" spans="1:5">
      <c r="A69" s="1066"/>
      <c r="B69" s="296"/>
      <c r="C69" s="205" t="str">
        <f>(Other!D25)</f>
        <v xml:space="preserve">   SET @fileName = @path + @name + '_' + @fileDate + '.BAK'  </v>
      </c>
      <c r="D69" s="1069"/>
      <c r="E69" s="1111"/>
    </row>
    <row r="70" spans="1:5">
      <c r="A70" s="1066"/>
      <c r="B70" s="296"/>
      <c r="C70" s="205" t="str">
        <f>(Other!D26)</f>
        <v xml:space="preserve">   BACKUP DATABASE @name TO DISK = @fileName with compression</v>
      </c>
      <c r="D70" s="1069"/>
      <c r="E70" s="1111"/>
    </row>
    <row r="71" spans="1:5">
      <c r="A71" s="1066"/>
      <c r="B71" s="296"/>
      <c r="C71" s="205" t="str">
        <f>(Other!D27)</f>
        <v xml:space="preserve">   FETCH NEXT FROM db_cursor INTO @name   </v>
      </c>
      <c r="D71" s="1069"/>
      <c r="E71" s="1111"/>
    </row>
    <row r="72" spans="1:5">
      <c r="A72" s="1066"/>
      <c r="B72" s="296"/>
      <c r="C72" s="205" t="str">
        <f>(Other!D28)</f>
        <v xml:space="preserve">END   </v>
      </c>
      <c r="D72" s="1069"/>
      <c r="E72" s="1111"/>
    </row>
    <row r="73" spans="1:5">
      <c r="A73" s="1066"/>
      <c r="B73" s="296"/>
      <c r="C73" s="206" t="str">
        <f>(Other!D29)</f>
        <v xml:space="preserve">CLOSE db_cursor   </v>
      </c>
      <c r="D73" s="1069"/>
      <c r="E73" s="1111"/>
    </row>
    <row r="74" spans="1:5">
      <c r="A74" s="1067"/>
      <c r="B74" s="296"/>
      <c r="C74" s="203" t="str">
        <f>(Other!D30)</f>
        <v>DEALLOCATE db_cursor</v>
      </c>
      <c r="D74" s="1070"/>
      <c r="E74" s="1112"/>
    </row>
    <row r="75" spans="1:5">
      <c r="A75" s="1059">
        <v>7</v>
      </c>
      <c r="B75" s="297" t="s">
        <v>223</v>
      </c>
      <c r="C75" s="168" t="s">
        <v>224</v>
      </c>
      <c r="D75" s="1062"/>
      <c r="E75" s="1117"/>
    </row>
    <row r="76" spans="1:5">
      <c r="A76" s="1060"/>
      <c r="B76" s="298" t="s">
        <v>118</v>
      </c>
      <c r="C76" s="107" t="str">
        <f>IF(MasterConfig!B25=TRUE,"",'Build Data'!I9)</f>
        <v/>
      </c>
      <c r="D76" s="1063"/>
      <c r="E76" s="1118"/>
    </row>
    <row r="77" spans="1:5">
      <c r="A77" s="1060"/>
      <c r="B77" s="298" t="s">
        <v>205</v>
      </c>
      <c r="C77" s="71" t="str">
        <f>IF(MasterConfig!B25=TRUE,"",C98)</f>
        <v>prodswarm</v>
      </c>
      <c r="D77" s="1064"/>
      <c r="E77" s="1119"/>
    </row>
    <row r="78" spans="1:5">
      <c r="A78" s="1060"/>
      <c r="B78" s="299" t="s">
        <v>118</v>
      </c>
      <c r="C78" s="97" t="str">
        <f>('Build Data'!I10)</f>
        <v/>
      </c>
      <c r="D78" s="1068"/>
      <c r="E78" s="1123"/>
    </row>
    <row r="79" spans="1:5">
      <c r="A79" s="1060"/>
      <c r="B79" s="300" t="s">
        <v>205</v>
      </c>
      <c r="C79" s="192" t="str">
        <f>IF(C9="","",C98)</f>
        <v>prodswarm</v>
      </c>
      <c r="D79" s="1070"/>
      <c r="E79" s="1122"/>
    </row>
    <row r="80" spans="1:5">
      <c r="A80" s="1060"/>
      <c r="B80" s="298" t="s">
        <v>118</v>
      </c>
      <c r="C80" s="209" t="str">
        <f>('Build Data'!I11)</f>
        <v/>
      </c>
      <c r="D80" s="1062"/>
      <c r="E80" s="1117"/>
    </row>
    <row r="81" spans="1:5">
      <c r="A81" s="1060"/>
      <c r="B81" s="298" t="s">
        <v>205</v>
      </c>
      <c r="C81" s="71" t="str">
        <f>IF(C9="","",C98)</f>
        <v>prodswarm</v>
      </c>
      <c r="D81" s="1064"/>
      <c r="E81" s="1119"/>
    </row>
    <row r="82" spans="1:5">
      <c r="A82" s="1060"/>
      <c r="B82" s="299" t="s">
        <v>118</v>
      </c>
      <c r="C82" s="194" t="str">
        <f>('Build Data'!I12)</f>
        <v/>
      </c>
      <c r="D82" s="1068"/>
      <c r="E82" s="1123"/>
    </row>
    <row r="83" spans="1:5">
      <c r="A83" s="1060"/>
      <c r="B83" s="300" t="s">
        <v>205</v>
      </c>
      <c r="C83" s="98" t="str">
        <f>IF(C9="","",C98)</f>
        <v>prodswarm</v>
      </c>
      <c r="D83" s="1070"/>
      <c r="E83" s="1122"/>
    </row>
    <row r="84" spans="1:5">
      <c r="A84" s="1060"/>
      <c r="B84" s="298" t="str">
        <f>IF('Build Data'!J10="","No Additional Web Servers","TARGET_SERVER_NAME")</f>
        <v>No Additional Web Servers</v>
      </c>
      <c r="C84" s="200" t="str">
        <f>IF('Build Data'!B7&lt;=1,"",'Build Data'!J10)</f>
        <v/>
      </c>
      <c r="D84" s="1062">
        <f>IF(B84="No Additional Web Servers",1,"")</f>
        <v>1</v>
      </c>
      <c r="E84" s="1117" t="str">
        <f>IF(B84="No Additional Web Servers","Automated Complete
no additional web servers","")</f>
        <v>Automated Complete
no additional web servers</v>
      </c>
    </row>
    <row r="85" spans="1:5">
      <c r="A85" s="1060"/>
      <c r="B85" s="298" t="str">
        <f>IF('Build Data'!J10="","","NODE_LABEL")</f>
        <v/>
      </c>
      <c r="C85" s="71" t="str">
        <f>IF(C21="","",C98)</f>
        <v>prodswarm</v>
      </c>
      <c r="D85" s="1064"/>
      <c r="E85" s="1119"/>
    </row>
    <row r="86" spans="1:5">
      <c r="A86" s="1060"/>
      <c r="B86" s="299" t="str">
        <f>IF('Build Data'!J11="","No Additional Web Servers","TARGET_SERVER_NAME")</f>
        <v>No Additional Web Servers</v>
      </c>
      <c r="C86" s="97" t="str">
        <f>IF('Build Data'!B7&lt;=2,"",'Build Data'!J11)</f>
        <v/>
      </c>
      <c r="D86" s="1068">
        <f>IF(B86="No Additional Web Servers",1,"")</f>
        <v>1</v>
      </c>
      <c r="E86" s="1123" t="str">
        <f>IF(B86="No Additional Web Servers","Automated Complete
no additional web servers","")</f>
        <v>Automated Complete
no additional web servers</v>
      </c>
    </row>
    <row r="87" spans="1:5">
      <c r="A87" s="1060"/>
      <c r="B87" s="300" t="str">
        <f>IF('Build Data'!J11="","","NODE_LABEL")</f>
        <v/>
      </c>
      <c r="C87" s="192" t="str">
        <f>IF(C21="","",C98)</f>
        <v>prodswarm</v>
      </c>
      <c r="D87" s="1070"/>
      <c r="E87" s="1122"/>
    </row>
    <row r="88" spans="1:5">
      <c r="A88" s="1060"/>
      <c r="B88" s="298" t="str">
        <f>IF('Build Data'!J12="","No Additional Web Servers","TARGET_SERVER_NAME")</f>
        <v>No Additional Web Servers</v>
      </c>
      <c r="C88" s="200" t="str">
        <f>IF('Build Data'!B7&lt;=3,"",'Build Data'!J12)</f>
        <v/>
      </c>
      <c r="D88" s="1062">
        <f>IF(B88="No Additional Web Servers",1,"")</f>
        <v>1</v>
      </c>
      <c r="E88" s="1117" t="str">
        <f>IF(B88="No Additional Web Servers","Automated Complete
no additional web servers","")</f>
        <v>Automated Complete
no additional web servers</v>
      </c>
    </row>
    <row r="89" spans="1:5">
      <c r="A89" s="1060"/>
      <c r="B89" s="298" t="str">
        <f>IF('Build Data'!J12="","","NODE_LABEL")</f>
        <v/>
      </c>
      <c r="C89" s="71" t="str">
        <f>IF(C21="","",C98)</f>
        <v>prodswarm</v>
      </c>
      <c r="D89" s="1064"/>
      <c r="E89" s="1119"/>
    </row>
    <row r="90" spans="1:5">
      <c r="A90" s="1060"/>
      <c r="B90" s="299" t="str">
        <f>IF('Build Data'!J13="","No Additional Web Servers","TARGET_SERVER_NAME")</f>
        <v>No Additional Web Servers</v>
      </c>
      <c r="C90" s="97" t="str">
        <f>IF('Build Data'!B7&lt;=4,"",'Build Data'!J13)</f>
        <v/>
      </c>
      <c r="D90" s="1068">
        <f>IF(B90="No Additional Web Servers",1,"")</f>
        <v>1</v>
      </c>
      <c r="E90" s="1121" t="str">
        <f>IF(B90="No Additional Web Servers","Automated Complete
no additional web servers","")</f>
        <v>Automated Complete
no additional web servers</v>
      </c>
    </row>
    <row r="91" spans="1:5">
      <c r="A91" s="1061"/>
      <c r="B91" s="300" t="str">
        <f>IF('Build Data'!J13="","","NODE_LABEL")</f>
        <v/>
      </c>
      <c r="C91" s="192" t="str">
        <f>IF(C21="","",C98)</f>
        <v>prodswarm</v>
      </c>
      <c r="D91" s="1070"/>
      <c r="E91" s="1122"/>
    </row>
    <row r="92" spans="1:5" ht="30">
      <c r="A92" s="932">
        <v>8</v>
      </c>
      <c r="B92" s="228" t="str">
        <f>IF('Build Data'!C77="Yes", "Uninstall Open Suite","Skip this step, no Open Suite")</f>
        <v>Skip this step, no Open Suite</v>
      </c>
      <c r="C92" s="202" t="str">
        <f>IF('Build Data'!C77="Yes",'Build Data'!I10,"")</f>
        <v/>
      </c>
      <c r="D92" s="934">
        <f>IF(B92="Skip this step, no Open Suite",1,"")</f>
        <v>1</v>
      </c>
      <c r="E92" s="953" t="str">
        <f>IF(B92="Skip this step, no Open Suite","Automated Check, 
no additional web servers","")</f>
        <v>Automated Check, 
no additional web servers</v>
      </c>
    </row>
    <row r="93" spans="1:5">
      <c r="A93" s="1059">
        <v>9</v>
      </c>
      <c r="B93" s="156" t="s">
        <v>225</v>
      </c>
      <c r="C93" s="181" t="s">
        <v>226</v>
      </c>
      <c r="D93" s="1062"/>
      <c r="E93" s="231"/>
    </row>
    <row r="94" spans="1:5">
      <c r="A94" s="1060"/>
      <c r="B94" s="374" t="s">
        <v>118</v>
      </c>
      <c r="C94" s="376" t="str">
        <f>('Build Data'!I10)</f>
        <v/>
      </c>
      <c r="D94" s="1063"/>
      <c r="E94" s="232"/>
    </row>
    <row r="95" spans="1:5">
      <c r="A95" s="1060"/>
      <c r="B95" s="375" t="s">
        <v>122</v>
      </c>
      <c r="C95" s="107">
        <f>('Build Data'!F8)</f>
        <v>0</v>
      </c>
      <c r="D95" s="1063"/>
      <c r="E95" s="232"/>
    </row>
    <row r="96" spans="1:5">
      <c r="A96" s="1060"/>
      <c r="B96" s="375" t="s">
        <v>120</v>
      </c>
      <c r="C96" s="107" t="str">
        <f>('Build Data'!F4)</f>
        <v/>
      </c>
      <c r="D96" s="1063"/>
      <c r="E96" s="232"/>
    </row>
    <row r="97" spans="1:5">
      <c r="A97" s="1060"/>
      <c r="B97" s="375" t="s">
        <v>204</v>
      </c>
      <c r="C97" s="377" t="b">
        <v>1</v>
      </c>
      <c r="D97" s="1063"/>
      <c r="E97" s="232"/>
    </row>
    <row r="98" spans="1:5">
      <c r="A98" s="1061"/>
      <c r="B98" s="362" t="s">
        <v>205</v>
      </c>
      <c r="C98" s="108" t="str">
        <f>_xlfn.CONCAT('Build Data'!F7,AutoPop!B111)</f>
        <v>prodswarm</v>
      </c>
      <c r="D98" s="1064"/>
      <c r="E98" s="233"/>
    </row>
    <row r="99" spans="1:5">
      <c r="A99" s="1065">
        <v>10</v>
      </c>
      <c r="B99" s="363" t="str">
        <f>IF(MasterConfig!B25=TRUE,"No Web Servers","Run Jenkins job to upgrade the following additional servers; Web(s)")</f>
        <v>Run Jenkins job to upgrade the following additional servers; Web(s)</v>
      </c>
      <c r="C99" s="371" t="str">
        <f>IF(MasterConfig!B25=TRUE,"","https://jenkins.planviewcloud.net/job/e1_upgrade_pipe/build?delay=0sec")</f>
        <v>https://jenkins.planviewcloud.net/job/e1_upgrade_pipe/build?delay=0sec</v>
      </c>
      <c r="D99" s="1068" t="str">
        <f>IF(B99="No Additional Web Servers",1,"")</f>
        <v/>
      </c>
      <c r="E99" s="1110" t="str">
        <f>IF(B99="No Web Servers","Automated Complete
no additional web servers","")</f>
        <v/>
      </c>
    </row>
    <row r="100" spans="1:5">
      <c r="A100" s="1066"/>
      <c r="B100" s="280" t="str">
        <f>IF(MasterConfig!B25=TRUE,"","TARGET_SERVER_NAME")</f>
        <v>TARGET_SERVER_NAME</v>
      </c>
      <c r="C100" s="83" t="str">
        <f>IF(MasterConfig!B25=TRUE,"",'Build Data'!I9)</f>
        <v/>
      </c>
      <c r="D100" s="1069"/>
      <c r="E100" s="1111"/>
    </row>
    <row r="101" spans="1:5">
      <c r="A101" s="1066"/>
      <c r="B101" s="364" t="str">
        <f>IF(MasterConfig!B25=TRUE,"","CUSTOMER_CODE")</f>
        <v>CUSTOMER_CODE</v>
      </c>
      <c r="C101" s="86">
        <f>IF(MasterConfig!B25=TRUE,"",C95)</f>
        <v>0</v>
      </c>
      <c r="D101" s="1069"/>
      <c r="E101" s="1111"/>
    </row>
    <row r="102" spans="1:5">
      <c r="A102" s="1066"/>
      <c r="B102" s="364" t="str">
        <f>IF(MasterConfig!B25=TRUE,"","DNS_HOST_NAME")</f>
        <v>DNS_HOST_NAME</v>
      </c>
      <c r="C102" s="86" t="str">
        <f>IF(MasterConfig!B25=TRUE,"",C96)</f>
        <v/>
      </c>
      <c r="D102" s="1069"/>
      <c r="E102" s="1111"/>
    </row>
    <row r="103" spans="1:5">
      <c r="A103" s="1066"/>
      <c r="B103" s="364" t="str">
        <f>IF(MasterConfig!B25=TRUE,"","SKIP_SNAPS")</f>
        <v>SKIP_SNAPS</v>
      </c>
      <c r="C103" s="86" t="b">
        <f>IF(MasterConfig!B25=TRUE,"",C97)</f>
        <v>1</v>
      </c>
      <c r="D103" s="1069"/>
      <c r="E103" s="1111"/>
    </row>
    <row r="104" spans="1:5">
      <c r="A104" s="1066"/>
      <c r="B104" s="364" t="str">
        <f>IF(MasterConfig!B25=TRUE,"","NODE_LABEL")</f>
        <v>NODE_LABEL</v>
      </c>
      <c r="C104" s="82" t="str">
        <f>IF(MasterConfig!B25=TRUE,"",C98)</f>
        <v>prodswarm</v>
      </c>
      <c r="D104" s="1070"/>
      <c r="E104" s="1111"/>
    </row>
    <row r="105" spans="1:5">
      <c r="A105" s="1066"/>
      <c r="B105" s="302" t="str">
        <f>IF(C21="","No Additional Web Servers","TARGET_SERVER_NAME")</f>
        <v>TARGET_SERVER_NAME</v>
      </c>
      <c r="C105" s="194" t="str">
        <f>IF(C21="","",'Build Data'!J10)</f>
        <v/>
      </c>
      <c r="D105" s="1062" t="str">
        <f>IF(B105="No Additional Web Servers",1,"")</f>
        <v/>
      </c>
      <c r="E105" s="1123" t="str">
        <f>IF(B105="No Additional Web Servers","Automated Complete
no additional web servers","")</f>
        <v/>
      </c>
    </row>
    <row r="106" spans="1:5">
      <c r="A106" s="1066"/>
      <c r="B106" s="303" t="str">
        <f>IF(C21="","","CUSTOMER_CODE")</f>
        <v>CUSTOMER_CODE</v>
      </c>
      <c r="C106" s="89">
        <f>IF(C21="","",C95)</f>
        <v>0</v>
      </c>
      <c r="D106" s="1063"/>
      <c r="E106" s="1121"/>
    </row>
    <row r="107" spans="1:5">
      <c r="A107" s="1066"/>
      <c r="B107" s="304" t="str">
        <f>IF(C21="","","DNS_HOST_NAME")</f>
        <v>DNS_HOST_NAME</v>
      </c>
      <c r="C107" s="89" t="str">
        <f>IF(C21="","",C96)</f>
        <v/>
      </c>
      <c r="D107" s="1063"/>
      <c r="E107" s="1121"/>
    </row>
    <row r="108" spans="1:5">
      <c r="A108" s="1066"/>
      <c r="B108" s="303" t="str">
        <f>IF(C21="","","SQL_SERVER_NAME")</f>
        <v>SQL_SERVER_NAME</v>
      </c>
      <c r="C108" s="195" t="str">
        <f>IF(C21="","",'Build Data'!I11)</f>
        <v/>
      </c>
      <c r="D108" s="1063"/>
      <c r="E108" s="1121"/>
    </row>
    <row r="109" spans="1:5">
      <c r="A109" s="1066"/>
      <c r="B109" s="304" t="str">
        <f>IF(C21="","","SAS_SERVER_NAME")</f>
        <v>SAS_SERVER_NAME</v>
      </c>
      <c r="C109" s="193" t="str">
        <f>IF(C21="","",'Build Data'!I11)</f>
        <v/>
      </c>
      <c r="D109" s="1063"/>
      <c r="E109" s="1121"/>
    </row>
    <row r="110" spans="1:5">
      <c r="A110" s="1066"/>
      <c r="B110" s="305" t="str">
        <f>IF(C21="","","SKIP_SNAPS")</f>
        <v>SKIP_SNAPS</v>
      </c>
      <c r="C110" s="87" t="b">
        <f>IF(C21="","",C97)</f>
        <v>1</v>
      </c>
      <c r="D110" s="1063"/>
      <c r="E110" s="1121"/>
    </row>
    <row r="111" spans="1:5">
      <c r="A111" s="1066"/>
      <c r="B111" s="306" t="str">
        <f>IF(C21="","","NODE_LABEL")</f>
        <v>NODE_LABEL</v>
      </c>
      <c r="C111" s="87" t="str">
        <f>IF(C21="","",C98)</f>
        <v>prodswarm</v>
      </c>
      <c r="D111" s="1064"/>
      <c r="E111" s="1122"/>
    </row>
    <row r="112" spans="1:5">
      <c r="A112" s="1066"/>
      <c r="B112" s="365" t="str">
        <f>IF(C29="","No Additional Web Servers","TARGET_SERVER_NAME")</f>
        <v>TARGET_SERVER_NAME</v>
      </c>
      <c r="C112" s="80" t="str">
        <f>IF(C29="","",'Build Data'!J11)</f>
        <v/>
      </c>
      <c r="D112" s="1068" t="str">
        <f>IF(B112="No Additional Web Servers",1,"")</f>
        <v/>
      </c>
      <c r="E112" s="1110" t="str">
        <f>IF(B112="No Additional Web Servers","Automated Complete
no additional web servers","")</f>
        <v/>
      </c>
    </row>
    <row r="113" spans="1:5">
      <c r="A113" s="1066"/>
      <c r="B113" s="369" t="str">
        <f>IF(C29="","","CUSTOMER_CODE")</f>
        <v>CUSTOMER_CODE</v>
      </c>
      <c r="C113" s="86">
        <f>IF(C29="","",C95)</f>
        <v>0</v>
      </c>
      <c r="D113" s="1069"/>
      <c r="E113" s="1111"/>
    </row>
    <row r="114" spans="1:5">
      <c r="A114" s="1066"/>
      <c r="B114" s="369" t="str">
        <f>IF(C29="","","DNS_HOST_NAME")</f>
        <v>DNS_HOST_NAME</v>
      </c>
      <c r="C114" s="86" t="str">
        <f>IF(C29="","",C96)</f>
        <v/>
      </c>
      <c r="D114" s="1069"/>
      <c r="E114" s="1111"/>
    </row>
    <row r="115" spans="1:5">
      <c r="A115" s="1066"/>
      <c r="B115" s="370" t="str">
        <f>IF(C29="","","SQL_SERVER_NAME")</f>
        <v>SQL_SERVER_NAME</v>
      </c>
      <c r="C115" s="372" t="str">
        <f>IF(C29="","",'Build Data'!I11)</f>
        <v/>
      </c>
      <c r="D115" s="1069"/>
      <c r="E115" s="1111"/>
    </row>
    <row r="116" spans="1:5">
      <c r="A116" s="1066"/>
      <c r="B116" s="370" t="str">
        <f>IF(C29="","","SAS_SERVER_NAME")</f>
        <v>SAS_SERVER_NAME</v>
      </c>
      <c r="C116" s="372" t="str">
        <f>IF(C29="","",'Build Data'!I11)</f>
        <v/>
      </c>
      <c r="D116" s="1069"/>
      <c r="E116" s="1111"/>
    </row>
    <row r="117" spans="1:5">
      <c r="A117" s="1066"/>
      <c r="B117" s="366" t="str">
        <f>IF(C29="","","SKIP_SNAPS")</f>
        <v>SKIP_SNAPS</v>
      </c>
      <c r="C117" s="86" t="b">
        <f>IF(C29="","",C97)</f>
        <v>1</v>
      </c>
      <c r="D117" s="1069"/>
      <c r="E117" s="1111"/>
    </row>
    <row r="118" spans="1:5">
      <c r="A118" s="1066"/>
      <c r="B118" s="367" t="str">
        <f>IF(C29="","","NODE_LABEL")</f>
        <v>NODE_LABEL</v>
      </c>
      <c r="C118" s="83" t="str">
        <f>IF(C29="","",C98)</f>
        <v>prodswarm</v>
      </c>
      <c r="D118" s="1070"/>
      <c r="E118" s="1112"/>
    </row>
    <row r="119" spans="1:5">
      <c r="A119" s="1066"/>
      <c r="B119" s="312" t="str">
        <f>IF(C37="","No Additional Web Servers","TARGET_SERVER_NAME")</f>
        <v>TARGET_SERVER_NAME</v>
      </c>
      <c r="C119" s="194" t="str">
        <f>IF(C37="","",'Build Data'!J12)</f>
        <v/>
      </c>
      <c r="D119" s="1062" t="str">
        <f>IF(B119="No Additional Web Servers",1,"")</f>
        <v/>
      </c>
      <c r="E119" s="1123" t="str">
        <f>IF(B119="No Additional Web Servers","Automated Complete
no additional web servers","")</f>
        <v/>
      </c>
    </row>
    <row r="120" spans="1:5">
      <c r="A120" s="1066"/>
      <c r="B120" s="304" t="str">
        <f>IF(C37="","","CUSTOMER_CODE")</f>
        <v>CUSTOMER_CODE</v>
      </c>
      <c r="C120" s="87">
        <f>IF(C37="","",C95)</f>
        <v>0</v>
      </c>
      <c r="D120" s="1063"/>
      <c r="E120" s="1121"/>
    </row>
    <row r="121" spans="1:5">
      <c r="A121" s="1066"/>
      <c r="B121" s="305" t="str">
        <f>IF(C37="","","DNS_HOST_NAME")</f>
        <v>DNS_HOST_NAME</v>
      </c>
      <c r="C121" s="89" t="str">
        <f>IF(C37="","",C96)</f>
        <v/>
      </c>
      <c r="D121" s="1063"/>
      <c r="E121" s="1121"/>
    </row>
    <row r="122" spans="1:5">
      <c r="A122" s="1066"/>
      <c r="B122" s="303" t="str">
        <f>IF(C37="","","SQL_SERVER_NAME")</f>
        <v>SQL_SERVER_NAME</v>
      </c>
      <c r="C122" s="196" t="str">
        <f>IF(C37="","",'Build Data'!I11)</f>
        <v/>
      </c>
      <c r="D122" s="1063"/>
      <c r="E122" s="1121"/>
    </row>
    <row r="123" spans="1:5">
      <c r="A123" s="1066"/>
      <c r="B123" s="304" t="str">
        <f>IF(C37="","","SAS_SERVER_NAME")</f>
        <v>SAS_SERVER_NAME</v>
      </c>
      <c r="C123" s="195" t="str">
        <f>IF(C37="","",'Build Data'!I11)</f>
        <v/>
      </c>
      <c r="D123" s="1063"/>
      <c r="E123" s="1121"/>
    </row>
    <row r="124" spans="1:5">
      <c r="A124" s="1066"/>
      <c r="B124" s="305" t="str">
        <f>IF(C37="","","SKIP_SNAPS")</f>
        <v>SKIP_SNAPS</v>
      </c>
      <c r="C124" s="87" t="b">
        <f>IF(C37="","",C97)</f>
        <v>1</v>
      </c>
      <c r="D124" s="1063"/>
      <c r="E124" s="1121"/>
    </row>
    <row r="125" spans="1:5">
      <c r="A125" s="1066"/>
      <c r="B125" s="306" t="str">
        <f>IF(C37="","","NODE_LABEL")</f>
        <v>NODE_LABEL</v>
      </c>
      <c r="C125" s="87" t="str">
        <f>IF(C37="","",C98)</f>
        <v>prodswarm</v>
      </c>
      <c r="D125" s="1064"/>
      <c r="E125" s="1122"/>
    </row>
    <row r="126" spans="1:5">
      <c r="A126" s="1066"/>
      <c r="B126" s="366" t="str">
        <f>IF(C45="","No Additional Web Servers","TARGET_SERVER_NAME")</f>
        <v>TARGET_SERVER_NAME</v>
      </c>
      <c r="C126" s="80" t="str">
        <f>IF(C44="","",'Build Data'!J13)</f>
        <v/>
      </c>
      <c r="D126" s="1068" t="str">
        <f>IF(B126="No Additional Web Servers",1,"")</f>
        <v/>
      </c>
      <c r="E126" s="1110" t="str">
        <f>IF(B126="No Additional Web Servers","Automated Complete
no additional web servers","")</f>
        <v/>
      </c>
    </row>
    <row r="127" spans="1:5">
      <c r="A127" s="1066"/>
      <c r="B127" s="370" t="str">
        <f>IF(C45="","","CUSTOMER_CODE")</f>
        <v>CUSTOMER_CODE</v>
      </c>
      <c r="C127" s="86">
        <f>IF(C45="","",C95)</f>
        <v>0</v>
      </c>
      <c r="D127" s="1069"/>
      <c r="E127" s="1111"/>
    </row>
    <row r="128" spans="1:5">
      <c r="A128" s="1066"/>
      <c r="B128" s="366" t="str">
        <f>IF(C45="","","DNS_HOST_NAME")</f>
        <v>DNS_HOST_NAME</v>
      </c>
      <c r="C128" s="85" t="str">
        <f>IF(C45="","",C96)</f>
        <v/>
      </c>
      <c r="D128" s="1069"/>
      <c r="E128" s="1111"/>
    </row>
    <row r="129" spans="1:5">
      <c r="A129" s="1066"/>
      <c r="B129" s="369" t="str">
        <f>IF(C45="","","SQL_SERVER_NAME")</f>
        <v>SQL_SERVER_NAME</v>
      </c>
      <c r="C129" s="372" t="str">
        <f>IF(C45="","",'Build Data'!I11)</f>
        <v/>
      </c>
      <c r="D129" s="1069"/>
      <c r="E129" s="1111"/>
    </row>
    <row r="130" spans="1:5">
      <c r="A130" s="1066"/>
      <c r="B130" s="370" t="str">
        <f>IF(C45="","","SAS_SERVER_NAME")</f>
        <v>SAS_SERVER_NAME</v>
      </c>
      <c r="C130" s="373" t="str">
        <f>IF(C45="","",'Build Data'!I11)</f>
        <v/>
      </c>
      <c r="D130" s="1069"/>
      <c r="E130" s="1111"/>
    </row>
    <row r="131" spans="1:5">
      <c r="A131" s="1066"/>
      <c r="B131" s="370" t="str">
        <f>IF(C45="","","SKIP_SNAPS")</f>
        <v>SKIP_SNAPS</v>
      </c>
      <c r="C131" s="85" t="b">
        <f>IF(C45="","",C97)</f>
        <v>1</v>
      </c>
      <c r="D131" s="1069"/>
      <c r="E131" s="1111"/>
    </row>
    <row r="132" spans="1:5">
      <c r="A132" s="1067"/>
      <c r="B132" s="368" t="str">
        <f>IF(C45="","","NODE_LABEL")</f>
        <v>NODE_LABEL</v>
      </c>
      <c r="C132" s="103" t="str">
        <f>IF(C45="","",C98)</f>
        <v>prodswarm</v>
      </c>
      <c r="D132" s="1070"/>
      <c r="E132" s="1112"/>
    </row>
    <row r="133" spans="1:5">
      <c r="A133" s="1135">
        <v>11</v>
      </c>
      <c r="B133" s="265" t="s">
        <v>227</v>
      </c>
      <c r="C133" s="168" t="s">
        <v>228</v>
      </c>
      <c r="D133" s="1062"/>
      <c r="E133" s="1117"/>
    </row>
    <row r="134" spans="1:5">
      <c r="A134" s="1136"/>
      <c r="B134" s="267" t="s">
        <v>118</v>
      </c>
      <c r="C134" s="107" t="str">
        <f>('Build Data'!I12)</f>
        <v/>
      </c>
      <c r="D134" s="1063"/>
      <c r="E134" s="1118"/>
    </row>
    <row r="135" spans="1:5">
      <c r="A135" s="1136"/>
      <c r="B135" s="313" t="s">
        <v>120</v>
      </c>
      <c r="C135" s="178" t="str">
        <f>('Build Data'!F4)</f>
        <v/>
      </c>
      <c r="D135" s="1063"/>
      <c r="E135" s="1118"/>
    </row>
    <row r="136" spans="1:5">
      <c r="A136" s="1136"/>
      <c r="B136" s="314" t="s">
        <v>122</v>
      </c>
      <c r="C136" s="178">
        <f>('Build Data'!F8)</f>
        <v>0</v>
      </c>
      <c r="D136" s="1063"/>
      <c r="E136" s="1118"/>
    </row>
    <row r="137" spans="1:5">
      <c r="A137" s="1136"/>
      <c r="B137" s="267" t="s">
        <v>204</v>
      </c>
      <c r="C137" s="178" t="b">
        <v>1</v>
      </c>
      <c r="D137" s="1063"/>
      <c r="E137" s="1118"/>
    </row>
    <row r="138" spans="1:5">
      <c r="A138" s="1137"/>
      <c r="B138" s="315" t="s">
        <v>205</v>
      </c>
      <c r="C138" s="71" t="str">
        <f>(C98)</f>
        <v>prodswarm</v>
      </c>
      <c r="D138" s="1064"/>
      <c r="E138" s="1119"/>
    </row>
    <row r="139" spans="1:5">
      <c r="A139" s="1065">
        <v>12</v>
      </c>
      <c r="B139" s="279" t="s">
        <v>229</v>
      </c>
      <c r="C139" s="73" t="s">
        <v>230</v>
      </c>
      <c r="D139" s="1068"/>
      <c r="E139" s="1110"/>
    </row>
    <row r="140" spans="1:5">
      <c r="A140" s="1066"/>
      <c r="B140" s="280" t="s">
        <v>208</v>
      </c>
      <c r="C140" s="86">
        <f>('Build Data'!B10)</f>
        <v>0</v>
      </c>
      <c r="D140" s="1069"/>
      <c r="E140" s="1111"/>
    </row>
    <row r="141" spans="1:5">
      <c r="A141" s="1066"/>
      <c r="B141" s="271" t="s">
        <v>118</v>
      </c>
      <c r="C141" s="86" t="str">
        <f>IF('Build Data'!I10="","",'Build Data'!I10)</f>
        <v/>
      </c>
      <c r="D141" s="1069"/>
      <c r="E141" s="1111"/>
    </row>
    <row r="142" spans="1:5">
      <c r="A142" s="1066"/>
      <c r="B142" s="271" t="s">
        <v>122</v>
      </c>
      <c r="C142" s="85">
        <f>('Build Data'!F8)</f>
        <v>0</v>
      </c>
      <c r="D142" s="1069"/>
      <c r="E142" s="1111"/>
    </row>
    <row r="143" spans="1:5">
      <c r="A143" s="1067"/>
      <c r="B143" s="316" t="s">
        <v>120</v>
      </c>
      <c r="C143" s="103" t="str">
        <f>('Build Data'!F4)</f>
        <v/>
      </c>
      <c r="D143" s="1070"/>
      <c r="E143" s="1112"/>
    </row>
    <row r="144" spans="1:5">
      <c r="A144" s="1135">
        <v>13</v>
      </c>
      <c r="B144" s="317" t="str">
        <f>IF(MasterConfig!B25=TRUE,"No Web Servers","Run Jenkins job to upgrade the following additional servers; Web(s)")</f>
        <v>Run Jenkins job to upgrade the following additional servers; Web(s)</v>
      </c>
      <c r="C144" s="72" t="str">
        <f>IF(MasterConfig!B25=TRUE,"", C139)</f>
        <v>https://jenkins.planviewcloud.net/job/e1_update_pipe/build?delay=0sec</v>
      </c>
      <c r="D144" s="1062"/>
      <c r="E144" s="1132"/>
    </row>
    <row r="145" spans="1:5">
      <c r="A145" s="1136"/>
      <c r="B145" s="318" t="str">
        <f>IF(MasterConfig!B25=TRUE,"","UPDATE_VERSION")</f>
        <v>UPDATE_VERSION</v>
      </c>
      <c r="C145" s="178">
        <f>IF(MasterConfig!B25=TRUE,"",C140)</f>
        <v>0</v>
      </c>
      <c r="D145" s="1063"/>
      <c r="E145" s="1133"/>
    </row>
    <row r="146" spans="1:5">
      <c r="A146" s="1136"/>
      <c r="B146" s="319" t="str">
        <f>IF(MasterConfig!B25=TRUE,"","TARGET_SERVER_NAME")</f>
        <v>TARGET_SERVER_NAME</v>
      </c>
      <c r="C146" s="178" t="str">
        <f>IF(MasterConfig!B25=TRUE,"",'Build Data'!I9)</f>
        <v/>
      </c>
      <c r="D146" s="1063"/>
      <c r="E146" s="1133"/>
    </row>
    <row r="147" spans="1:5">
      <c r="A147" s="1136"/>
      <c r="B147" s="294" t="str">
        <f>IF(MasterConfig!B25=TRUE,"","CUSTOMER_CODE")</f>
        <v>CUSTOMER_CODE</v>
      </c>
      <c r="C147" s="106">
        <f>IF(MasterConfig!B25=TRUE,"",C95)</f>
        <v>0</v>
      </c>
      <c r="D147" s="1063"/>
      <c r="E147" s="1133"/>
    </row>
    <row r="148" spans="1:5">
      <c r="A148" s="1136"/>
      <c r="B148" s="319" t="str">
        <f>IF(MasterConfig!B25=TRUE,"","DNS_HOST_NAME")</f>
        <v>DNS_HOST_NAME</v>
      </c>
      <c r="C148" s="108" t="str">
        <f>IF(MasterConfig!B25=TRUE,"",C96)</f>
        <v/>
      </c>
      <c r="D148" s="1064"/>
      <c r="E148" s="1134"/>
    </row>
    <row r="149" spans="1:5" ht="15" customHeight="1">
      <c r="A149" s="1136"/>
      <c r="B149" s="320" t="str">
        <f>IF('Build Data'!J10="","No Additional Web Servers","UPDATE_VERSION")</f>
        <v>No Additional Web Servers</v>
      </c>
      <c r="C149" s="97" t="str">
        <f>IF('Build Data'!J10="","",C140)</f>
        <v/>
      </c>
      <c r="D149" s="1068">
        <f>IF(B149="No Additional Web Servers",1,"")</f>
        <v>1</v>
      </c>
      <c r="E149" s="1123" t="str">
        <f>IF(B149="No Additional Web Servers","Automated Complete
no additional web servers","")</f>
        <v>Automated Complete
no additional web servers</v>
      </c>
    </row>
    <row r="150" spans="1:5">
      <c r="A150" s="1136"/>
      <c r="B150" s="321" t="str">
        <f>IF('Build Data'!J10="","","TARGET_SERVER_NAME")</f>
        <v/>
      </c>
      <c r="C150" s="88" t="str">
        <f>IF('Build Data'!J10="","",'Build Data'!J10)</f>
        <v/>
      </c>
      <c r="D150" s="1069"/>
      <c r="E150" s="1121"/>
    </row>
    <row r="151" spans="1:5">
      <c r="A151" s="1136"/>
      <c r="B151" s="322" t="str">
        <f>IF('Build Data'!J10="","","CUSTOMER_CODE")</f>
        <v/>
      </c>
      <c r="C151" s="89" t="str">
        <f>IF('Build Data'!J10="","",C95)</f>
        <v/>
      </c>
      <c r="D151" s="1069"/>
      <c r="E151" s="1121"/>
    </row>
    <row r="152" spans="1:5">
      <c r="A152" s="1136"/>
      <c r="B152" s="321" t="str">
        <f>IF('Build Data'!J10="","","DNS_HOST_NAME")</f>
        <v/>
      </c>
      <c r="C152" s="179" t="str">
        <f>IF('Build Data'!J10="","",C96)</f>
        <v/>
      </c>
      <c r="D152" s="1069"/>
      <c r="E152" s="1121"/>
    </row>
    <row r="153" spans="1:5">
      <c r="A153" s="1136"/>
      <c r="B153" s="322" t="str">
        <f>IF('Build Data'!J10="","","SQL_SERVER_NAME")</f>
        <v/>
      </c>
      <c r="C153" s="179" t="str">
        <f>IF('Build Data'!J10="","",'Build Data'!I11)</f>
        <v/>
      </c>
      <c r="D153" s="1070"/>
      <c r="E153" s="1122"/>
    </row>
    <row r="154" spans="1:5" ht="30" customHeight="1">
      <c r="A154" s="1136"/>
      <c r="B154" s="323" t="str">
        <f>IF('Build Data'!J11="","No Additional Web Servers","UPDATE_VERSION")</f>
        <v>No Additional Web Servers</v>
      </c>
      <c r="C154" s="200" t="str">
        <f>IF('Build Data'!J11="","",C140)</f>
        <v/>
      </c>
      <c r="D154" s="1062">
        <f>IF(B154="No Additional Web Servers",1,"")</f>
        <v>1</v>
      </c>
      <c r="E154" s="1132" t="str">
        <f>IF(B154="No Additional Web Servers","Automated Complete
no additional web servers","")</f>
        <v>Automated Complete
no additional web servers</v>
      </c>
    </row>
    <row r="155" spans="1:5" ht="15" customHeight="1">
      <c r="A155" s="1136"/>
      <c r="B155" s="293" t="str">
        <f>IF('Build Data'!J11="","","TARGET_SERVER_NAME")</f>
        <v/>
      </c>
      <c r="C155" s="178" t="str">
        <f>IF('Build Data'!J11="","",'Build Data'!J11)</f>
        <v/>
      </c>
      <c r="D155" s="1063"/>
      <c r="E155" s="1133"/>
    </row>
    <row r="156" spans="1:5">
      <c r="A156" s="1136"/>
      <c r="B156" s="294" t="str">
        <f>IF('Build Data'!J11="","","CUSTOMER_CODE")</f>
        <v/>
      </c>
      <c r="C156" s="201" t="str">
        <f>IF('Build Data'!J11="","",C95)</f>
        <v/>
      </c>
      <c r="D156" s="1063"/>
      <c r="E156" s="1133"/>
    </row>
    <row r="157" spans="1:5">
      <c r="A157" s="1136"/>
      <c r="B157" s="294" t="str">
        <f>IF('Build Data'!J11="","","DNS_HOST_NAME")</f>
        <v/>
      </c>
      <c r="C157" s="106" t="str">
        <f>IF('Build Data'!J11="","",C96)</f>
        <v/>
      </c>
      <c r="D157" s="1063"/>
      <c r="E157" s="1133"/>
    </row>
    <row r="158" spans="1:5">
      <c r="A158" s="1136"/>
      <c r="B158" s="319" t="str">
        <f>IF('Build Data'!J11="","","SQL_SERVER_NAME")</f>
        <v/>
      </c>
      <c r="C158" s="106" t="str">
        <f>IF('Build Data'!J11="","",'Build Data'!I11)</f>
        <v/>
      </c>
      <c r="D158" s="1064"/>
      <c r="E158" s="1134"/>
    </row>
    <row r="159" spans="1:5" ht="30" customHeight="1">
      <c r="A159" s="1136"/>
      <c r="B159" s="322" t="str">
        <f>IF('Build Data'!J12="","No Additional Web Servers","UPDATE_VERSION")</f>
        <v>No Additional Web Servers</v>
      </c>
      <c r="C159" s="87" t="str">
        <f>IF('Build Data'!J12="","",C140)</f>
        <v/>
      </c>
      <c r="D159" s="1068">
        <f>IF(B159="No Additional Web Servers",1,"")</f>
        <v>1</v>
      </c>
      <c r="E159" s="1123" t="str">
        <f>IF(B159="No Additional Web Servers","Automated Complete
no additional web servers","")</f>
        <v>Automated Complete
no additional web servers</v>
      </c>
    </row>
    <row r="160" spans="1:5">
      <c r="A160" s="1136"/>
      <c r="B160" s="322" t="str">
        <f>IF('Build Data'!J12="","","TARGET_SERVER_NAME")</f>
        <v/>
      </c>
      <c r="C160" s="87" t="str">
        <f>IF('Build Data'!J12="","",'Build Data'!J12)</f>
        <v/>
      </c>
      <c r="D160" s="1069"/>
      <c r="E160" s="1121"/>
    </row>
    <row r="161" spans="1:5" ht="15" customHeight="1">
      <c r="A161" s="1136"/>
      <c r="B161" s="322" t="str">
        <f>IF('Build Data'!J12="","","CUSTOMER_CODE")</f>
        <v/>
      </c>
      <c r="C161" s="87" t="str">
        <f>IF('Build Data'!J12="","",C95)</f>
        <v/>
      </c>
      <c r="D161" s="1069"/>
      <c r="E161" s="1121"/>
    </row>
    <row r="162" spans="1:5">
      <c r="A162" s="1136"/>
      <c r="B162" s="322" t="str">
        <f>IF('Build Data'!J12="","","DNS_HOST_NAME")</f>
        <v/>
      </c>
      <c r="C162" s="87" t="str">
        <f>IF('Build Data'!J12="","",C96)</f>
        <v/>
      </c>
      <c r="D162" s="1069"/>
      <c r="E162" s="1121"/>
    </row>
    <row r="163" spans="1:5" ht="14.45" hidden="1" customHeight="1">
      <c r="A163" s="1136"/>
      <c r="B163" s="322" t="str">
        <f>IF('Build Data'!J12="","","SQL_SERVER_NAME")</f>
        <v/>
      </c>
      <c r="C163" s="87" t="str">
        <f>IF('Build Data'!J12="","",'Build Data'!I11)</f>
        <v/>
      </c>
      <c r="D163" s="1069"/>
      <c r="E163" s="1121"/>
    </row>
    <row r="164" spans="1:5" ht="14.45" hidden="1" customHeight="1">
      <c r="A164" s="1136"/>
      <c r="B164" s="322" t="str">
        <f>IF('Build Data'!J12="","","CUSTOMER_CODE")</f>
        <v/>
      </c>
      <c r="C164" s="87" t="str">
        <f>IF('Build Data'!J12="","",C95)</f>
        <v/>
      </c>
      <c r="D164" s="1069"/>
      <c r="E164" s="1121"/>
    </row>
    <row r="165" spans="1:5" ht="14.45" hidden="1" customHeight="1">
      <c r="A165" s="1136"/>
      <c r="B165" s="322" t="str">
        <f>IF('Build Data'!J12="","","DNS_HOST_NAME")</f>
        <v/>
      </c>
      <c r="C165" s="87" t="str">
        <f>IF('Build Data'!J12="","",C96)</f>
        <v/>
      </c>
      <c r="D165" s="1069"/>
      <c r="E165" s="1121"/>
    </row>
    <row r="166" spans="1:5">
      <c r="A166" s="1136"/>
      <c r="B166" s="322" t="str">
        <f>IF('Build Data'!J12="","","SQL_SERVER_NAME")</f>
        <v/>
      </c>
      <c r="C166" s="87" t="str">
        <f>IF('Build Data'!J12="","",'Build Data'!I11)</f>
        <v/>
      </c>
      <c r="D166" s="1070"/>
      <c r="E166" s="1122"/>
    </row>
    <row r="167" spans="1:5" ht="30" customHeight="1">
      <c r="A167" s="1136"/>
      <c r="B167" s="324" t="str">
        <f>IF('Build Data'!J13="","No Additional Web Servers","UPDATE_VERSION")</f>
        <v>No Additional Web Servers</v>
      </c>
      <c r="C167" s="200" t="str">
        <f>IF('Build Data'!J13="","",C140)</f>
        <v/>
      </c>
      <c r="D167" s="1062">
        <f>IF(B167="No Additional Web Servers",1,"")</f>
        <v>1</v>
      </c>
      <c r="E167" s="1117" t="str">
        <f>IF(B167="No Additional Web Servers","Automated Complete
no additional web servers","")</f>
        <v>Automated Complete
no additional web servers</v>
      </c>
    </row>
    <row r="168" spans="1:5">
      <c r="A168" s="1136"/>
      <c r="B168" s="298" t="str">
        <f>IF('Build Data'!J13="","","TARGET_SERVER_NAME")</f>
        <v/>
      </c>
      <c r="C168" s="107" t="str">
        <f>IF('Build Data'!J13="","",'Build Data'!J12)</f>
        <v/>
      </c>
      <c r="D168" s="1063"/>
      <c r="E168" s="1118"/>
    </row>
    <row r="169" spans="1:5">
      <c r="A169" s="1136"/>
      <c r="B169" s="298" t="str">
        <f>IF('Build Data'!J13="","","CUSTOMER_CODE")</f>
        <v/>
      </c>
      <c r="C169" s="107" t="str">
        <f>IF('Build Data'!J13="","",C95)</f>
        <v/>
      </c>
      <c r="D169" s="1063"/>
      <c r="E169" s="1118"/>
    </row>
    <row r="170" spans="1:5" ht="15" customHeight="1">
      <c r="A170" s="1136"/>
      <c r="B170" s="298" t="str">
        <f>IF('Build Data'!J13="","","DNS_HOST_NAME")</f>
        <v/>
      </c>
      <c r="C170" s="178" t="str">
        <f>IF('Build Data'!J13="","",C96)</f>
        <v/>
      </c>
      <c r="D170" s="1063"/>
      <c r="E170" s="1118"/>
    </row>
    <row r="171" spans="1:5">
      <c r="A171" s="1137"/>
      <c r="B171" s="325" t="str">
        <f>IF('Build Data'!J13="","","SQL_SERVER_NAME")</f>
        <v/>
      </c>
      <c r="C171" s="178" t="str">
        <f>IF('Build Data'!J13="","",'Build Data'!I11)</f>
        <v/>
      </c>
      <c r="D171" s="1064"/>
      <c r="E171" s="1119"/>
    </row>
    <row r="172" spans="1:5">
      <c r="A172" s="1065">
        <v>14</v>
      </c>
      <c r="B172" s="963" t="s">
        <v>231</v>
      </c>
      <c r="C172" s="211" t="s">
        <v>232</v>
      </c>
      <c r="D172" s="1068"/>
      <c r="E172" s="1110"/>
    </row>
    <row r="173" spans="1:5">
      <c r="A173" s="1066"/>
      <c r="B173" s="280" t="s">
        <v>118</v>
      </c>
      <c r="C173" s="212" t="str">
        <f>('Build Data'!I12)</f>
        <v/>
      </c>
      <c r="D173" s="1069"/>
      <c r="E173" s="1111"/>
    </row>
    <row r="174" spans="1:5">
      <c r="A174" s="1066"/>
      <c r="B174" s="280" t="s">
        <v>123</v>
      </c>
      <c r="C174" s="213">
        <f>('Build Data'!F9)</f>
        <v>0</v>
      </c>
      <c r="D174" s="1069"/>
      <c r="E174" s="1111"/>
    </row>
    <row r="175" spans="1:5">
      <c r="A175" s="1066"/>
      <c r="B175" s="281" t="s">
        <v>208</v>
      </c>
      <c r="C175" s="214">
        <f>('Build Data'!B10)</f>
        <v>0</v>
      </c>
      <c r="D175" s="1069"/>
      <c r="E175" s="1111"/>
    </row>
    <row r="176" spans="1:5">
      <c r="A176" s="1067"/>
      <c r="B176" s="316" t="s">
        <v>205</v>
      </c>
      <c r="C176" s="212" t="str">
        <f>(C98)</f>
        <v>prodswarm</v>
      </c>
      <c r="D176" s="1070"/>
      <c r="E176" s="1112"/>
    </row>
    <row r="177" spans="1:5">
      <c r="A177" s="68">
        <v>15</v>
      </c>
      <c r="B177" s="326" t="s">
        <v>210</v>
      </c>
      <c r="C177" s="69"/>
      <c r="D177" s="237"/>
      <c r="E177" s="234"/>
    </row>
    <row r="178" spans="1:5">
      <c r="A178" s="215">
        <v>16</v>
      </c>
      <c r="B178" s="162" t="s">
        <v>233</v>
      </c>
      <c r="C178" s="75"/>
      <c r="D178" s="238"/>
      <c r="E178" s="230"/>
    </row>
    <row r="179" spans="1:5">
      <c r="A179" s="936">
        <v>17</v>
      </c>
      <c r="B179" s="297" t="s">
        <v>212</v>
      </c>
      <c r="C179" s="110" t="s">
        <v>213</v>
      </c>
      <c r="D179" s="468"/>
      <c r="E179" s="231"/>
    </row>
    <row r="180" spans="1:5">
      <c r="A180" s="215">
        <v>18</v>
      </c>
      <c r="B180" s="287">
        <f>('Build Data'!F21)</f>
        <v>0</v>
      </c>
      <c r="C180" s="34" t="s">
        <v>234</v>
      </c>
      <c r="D180" s="238"/>
      <c r="E180" s="230"/>
    </row>
  </sheetData>
  <mergeCells count="71">
    <mergeCell ref="E7:E8"/>
    <mergeCell ref="A9:A52"/>
    <mergeCell ref="D75:D77"/>
    <mergeCell ref="D78:D79"/>
    <mergeCell ref="D80:D81"/>
    <mergeCell ref="D17:D20"/>
    <mergeCell ref="D21:D28"/>
    <mergeCell ref="D29:D36"/>
    <mergeCell ref="D37:D44"/>
    <mergeCell ref="E9:E16"/>
    <mergeCell ref="E17:E20"/>
    <mergeCell ref="E21:E28"/>
    <mergeCell ref="E29:E36"/>
    <mergeCell ref="E37:E44"/>
    <mergeCell ref="A4:A6"/>
    <mergeCell ref="D4:D6"/>
    <mergeCell ref="A75:A91"/>
    <mergeCell ref="A7:A8"/>
    <mergeCell ref="D7:D8"/>
    <mergeCell ref="D82:D83"/>
    <mergeCell ref="D9:D16"/>
    <mergeCell ref="D45:D52"/>
    <mergeCell ref="A99:A132"/>
    <mergeCell ref="D99:D104"/>
    <mergeCell ref="D105:D111"/>
    <mergeCell ref="D112:D118"/>
    <mergeCell ref="E53:E74"/>
    <mergeCell ref="A93:A98"/>
    <mergeCell ref="D84:D85"/>
    <mergeCell ref="A53:A74"/>
    <mergeCell ref="D53:D74"/>
    <mergeCell ref="D86:D87"/>
    <mergeCell ref="A133:A138"/>
    <mergeCell ref="D133:D138"/>
    <mergeCell ref="D139:D143"/>
    <mergeCell ref="E139:E143"/>
    <mergeCell ref="A139:A143"/>
    <mergeCell ref="A144:A171"/>
    <mergeCell ref="D149:D153"/>
    <mergeCell ref="D154:D158"/>
    <mergeCell ref="D159:D166"/>
    <mergeCell ref="D167:D171"/>
    <mergeCell ref="E167:E171"/>
    <mergeCell ref="E159:E166"/>
    <mergeCell ref="E154:E158"/>
    <mergeCell ref="E149:E153"/>
    <mergeCell ref="D88:D89"/>
    <mergeCell ref="D144:D148"/>
    <mergeCell ref="E144:E148"/>
    <mergeCell ref="D93:D98"/>
    <mergeCell ref="D119:D125"/>
    <mergeCell ref="D126:D132"/>
    <mergeCell ref="D90:D91"/>
    <mergeCell ref="E88:E89"/>
    <mergeCell ref="E90:E91"/>
    <mergeCell ref="E172:E176"/>
    <mergeCell ref="D172:D176"/>
    <mergeCell ref="A172:A176"/>
    <mergeCell ref="E45:E52"/>
    <mergeCell ref="E133:E138"/>
    <mergeCell ref="E99:E104"/>
    <mergeCell ref="E105:E111"/>
    <mergeCell ref="E112:E118"/>
    <mergeCell ref="E119:E125"/>
    <mergeCell ref="E126:E132"/>
    <mergeCell ref="E75:E77"/>
    <mergeCell ref="E78:E79"/>
    <mergeCell ref="E80:E81"/>
    <mergeCell ref="E82:E83"/>
    <mergeCell ref="E84:E85"/>
    <mergeCell ref="E86:E87"/>
  </mergeCells>
  <conditionalFormatting sqref="D172 D167 D154 D133 D126 D119 D112 D3 D75 D9 D93 D99 D105 D144 D139 D149">
    <cfRule type="iconSet" priority="1172">
      <iconSet iconSet="3Symbols2" showValue="0">
        <cfvo type="percent" val="0"/>
        <cfvo type="num" val="0"/>
        <cfvo type="num" val="1"/>
      </iconSet>
    </cfRule>
    <cfRule type="iconSet" priority="1173">
      <iconSet iconSet="3Symbols2">
        <cfvo type="percent" val="0"/>
        <cfvo type="num" val="0"/>
        <cfvo type="num" val="1"/>
      </iconSet>
    </cfRule>
    <cfRule type="iconSet" priority="1174">
      <iconSet showValue="0">
        <cfvo type="percent" val="0"/>
        <cfvo type="percent" val="33"/>
        <cfvo type="percent" val="67"/>
      </iconSet>
    </cfRule>
    <cfRule type="iconSet" priority="1175">
      <iconSet iconSet="3Symbols2">
        <cfvo type="percent" val="0"/>
        <cfvo type="num" val="0"/>
        <cfvo type="num" val="1"/>
      </iconSet>
    </cfRule>
  </conditionalFormatting>
  <conditionalFormatting sqref="D92">
    <cfRule type="iconSet" priority="23">
      <iconSet iconSet="3Symbols2" showValue="0">
        <cfvo type="percent" val="0"/>
        <cfvo type="num" val="0"/>
        <cfvo type="num" val="1"/>
      </iconSet>
    </cfRule>
  </conditionalFormatting>
  <conditionalFormatting sqref="D84:D85">
    <cfRule type="iconSet" priority="22">
      <iconSet iconSet="3Symbols2" showValue="0">
        <cfvo type="percent" val="0"/>
        <cfvo type="num" val="0"/>
        <cfvo type="num" val="1"/>
      </iconSet>
    </cfRule>
  </conditionalFormatting>
  <conditionalFormatting sqref="D86:D87">
    <cfRule type="iconSet" priority="21">
      <iconSet iconSet="3Symbols2" showValue="0">
        <cfvo type="percent" val="0"/>
        <cfvo type="num" val="0"/>
        <cfvo type="num" val="1"/>
      </iconSet>
    </cfRule>
  </conditionalFormatting>
  <conditionalFormatting sqref="D88:D89">
    <cfRule type="iconSet" priority="20">
      <iconSet iconSet="3Symbols2" showValue="0">
        <cfvo type="percent" val="0"/>
        <cfvo type="num" val="0"/>
        <cfvo type="num" val="1"/>
      </iconSet>
    </cfRule>
  </conditionalFormatting>
  <conditionalFormatting sqref="D90:D91">
    <cfRule type="iconSet" priority="19">
      <iconSet iconSet="3Symbols2" showValue="0">
        <cfvo type="percent" val="0"/>
        <cfvo type="num" val="0"/>
        <cfvo type="num" val="1"/>
      </iconSet>
    </cfRule>
  </conditionalFormatting>
  <conditionalFormatting sqref="D21:D28">
    <cfRule type="iconSet" priority="18">
      <iconSet iconSet="3Symbols2" showValue="0">
        <cfvo type="percent" val="0"/>
        <cfvo type="num" val="0"/>
        <cfvo type="num" val="1"/>
      </iconSet>
    </cfRule>
  </conditionalFormatting>
  <conditionalFormatting sqref="D37:D44">
    <cfRule type="iconSet" priority="17">
      <iconSet iconSet="3Symbols2" showValue="0">
        <cfvo type="percent" val="0"/>
        <cfvo type="num" val="0"/>
        <cfvo type="num" val="1"/>
      </iconSet>
    </cfRule>
  </conditionalFormatting>
  <conditionalFormatting sqref="D29:D36">
    <cfRule type="iconSet" priority="16">
      <iconSet iconSet="3Symbols2" showValue="0">
        <cfvo type="percent" val="0"/>
        <cfvo type="num" val="0"/>
        <cfvo type="num" val="1"/>
      </iconSet>
    </cfRule>
  </conditionalFormatting>
  <conditionalFormatting sqref="D45:D52">
    <cfRule type="iconSet" priority="15">
      <iconSet iconSet="3Symbols2" showValue="0">
        <cfvo type="percent" val="0"/>
        <cfvo type="num" val="0"/>
        <cfvo type="num" val="1"/>
      </iconSet>
    </cfRule>
  </conditionalFormatting>
  <conditionalFormatting sqref="D4:D6">
    <cfRule type="iconSet" priority="14">
      <iconSet iconSet="3Symbols2" showValue="0">
        <cfvo type="percent" val="0"/>
        <cfvo type="num" val="0"/>
        <cfvo type="num" val="1"/>
      </iconSet>
    </cfRule>
  </conditionalFormatting>
  <conditionalFormatting sqref="D7:D8">
    <cfRule type="iconSet" priority="13">
      <iconSet iconSet="3Symbols2" showValue="0">
        <cfvo type="percent" val="0"/>
        <cfvo type="num" val="0"/>
        <cfvo type="num" val="1"/>
      </iconSet>
    </cfRule>
  </conditionalFormatting>
  <conditionalFormatting sqref="D17:D20">
    <cfRule type="iconSet" priority="12">
      <iconSet iconSet="3Symbols2" showValue="0">
        <cfvo type="percent" val="0"/>
        <cfvo type="num" val="0"/>
        <cfvo type="num" val="1"/>
      </iconSet>
    </cfRule>
  </conditionalFormatting>
  <conditionalFormatting sqref="D53:D74">
    <cfRule type="iconSet" priority="11">
      <iconSet iconSet="3Symbols2" showValue="0">
        <cfvo type="percent" val="0"/>
        <cfvo type="num" val="0"/>
        <cfvo type="num" val="1"/>
      </iconSet>
    </cfRule>
  </conditionalFormatting>
  <conditionalFormatting sqref="D78:D79">
    <cfRule type="iconSet" priority="10">
      <iconSet iconSet="3Symbols2" showValue="0">
        <cfvo type="percent" val="0"/>
        <cfvo type="num" val="0"/>
        <cfvo type="num" val="1"/>
      </iconSet>
    </cfRule>
  </conditionalFormatting>
  <conditionalFormatting sqref="D82:D83">
    <cfRule type="iconSet" priority="9">
      <iconSet iconSet="3Symbols2" showValue="0">
        <cfvo type="percent" val="0"/>
        <cfvo type="num" val="0"/>
        <cfvo type="num" val="1"/>
      </iconSet>
    </cfRule>
  </conditionalFormatting>
  <conditionalFormatting sqref="D80:D81">
    <cfRule type="iconSet" priority="8">
      <iconSet iconSet="3Symbols2" showValue="0">
        <cfvo type="percent" val="0"/>
        <cfvo type="num" val="0"/>
        <cfvo type="num" val="1"/>
      </iconSet>
    </cfRule>
  </conditionalFormatting>
  <conditionalFormatting sqref="D2">
    <cfRule type="iconSet" priority="7">
      <iconSet iconSet="3Symbols2" showValue="0">
        <cfvo type="percent" val="0"/>
        <cfvo type="num" val="0"/>
        <cfvo type="num" val="1"/>
      </iconSet>
    </cfRule>
  </conditionalFormatting>
  <conditionalFormatting sqref="D177">
    <cfRule type="iconSet" priority="6">
      <iconSet iconSet="3Symbols2" showValue="0">
        <cfvo type="percent" val="0"/>
        <cfvo type="num" val="0"/>
        <cfvo type="num" val="1"/>
      </iconSet>
    </cfRule>
  </conditionalFormatting>
  <conditionalFormatting sqref="D178">
    <cfRule type="iconSet" priority="5">
      <iconSet iconSet="3Symbols2" showValue="0">
        <cfvo type="percent" val="0"/>
        <cfvo type="num" val="0"/>
        <cfvo type="num" val="1"/>
      </iconSet>
    </cfRule>
  </conditionalFormatting>
  <conditionalFormatting sqref="D179">
    <cfRule type="iconSet" priority="2">
      <iconSet iconSet="3Symbols2" showValue="0">
        <cfvo type="percent" val="0"/>
        <cfvo type="num" val="0"/>
        <cfvo type="num" val="1"/>
      </iconSet>
    </cfRule>
  </conditionalFormatting>
  <conditionalFormatting sqref="D180">
    <cfRule type="iconSet" priority="1">
      <iconSet iconSet="3Symbols2" showValue="0">
        <cfvo type="percent" val="0"/>
        <cfvo type="num" val="0"/>
        <cfvo type="num" val="1"/>
      </iconSet>
    </cfRule>
  </conditionalFormatting>
  <conditionalFormatting sqref="D159">
    <cfRule type="iconSet" priority="1259">
      <iconSet iconSet="3Symbols2" showValue="0">
        <cfvo type="percent" val="0"/>
        <cfvo type="num" val="0"/>
        <cfvo type="num" val="1"/>
      </iconSet>
    </cfRule>
  </conditionalFormatting>
  <hyperlinks>
    <hyperlink ref="C75" r:id="rId1"/>
    <hyperlink ref="C93" r:id="rId2"/>
    <hyperlink ref="C99" r:id="rId3" display="https://jenkins.planviewcloud.net/job/e1_upgrade_pipe/"/>
    <hyperlink ref="C133" r:id="rId4"/>
    <hyperlink ref="C179" r:id="rId5" location="/ccu-main" display="https://control.akamai.com/apps/fast-purge/ - /ccu-main"/>
    <hyperlink ref="C139" r:id="rId6"/>
    <hyperlink ref="C172" r:id="rId7"/>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1">
        <x14:dataValidation type="list" allowBlank="1" showInputMessage="1" showErrorMessage="1">
          <x14:formula1>
            <xm:f>AutoPop!$M$79</xm:f>
          </x14:formula1>
          <xm:sqref>D154 D167 D149 D105 D112 D119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7F7FB738632D4F998043CEB7F27F6F" ma:contentTypeVersion="11" ma:contentTypeDescription="Create a new document." ma:contentTypeScope="" ma:versionID="010cbadcc12744adaba2ee5f002475cb">
  <xsd:schema xmlns:xsd="http://www.w3.org/2001/XMLSchema" xmlns:xs="http://www.w3.org/2001/XMLSchema" xmlns:p="http://schemas.microsoft.com/office/2006/metadata/properties" xmlns:ns2="0f574179-0342-44ce-bf2d-5858e0f76a78" xmlns:ns3="986fc5fc-e195-4d2f-a768-06887fd463ec" targetNamespace="http://schemas.microsoft.com/office/2006/metadata/properties" ma:root="true" ma:fieldsID="00d312d39784bae2e8d176705bde98f8" ns2:_="" ns3:_="">
    <xsd:import namespace="0f574179-0342-44ce-bf2d-5858e0f76a78"/>
    <xsd:import namespace="986fc5fc-e195-4d2f-a768-06887fd463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74179-0342-44ce-bf2d-5858e0f76a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6fc5fc-e195-4d2f-a768-06887fd463e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90E83-EB65-416E-9A57-D55AB0E897D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893A28-11D7-42E6-833C-3A43E6505ABE}">
  <ds:schemaRefs>
    <ds:schemaRef ds:uri="http://schemas.microsoft.com/sharepoint/v3/contenttype/forms"/>
  </ds:schemaRefs>
</ds:datastoreItem>
</file>

<file path=customXml/itemProps3.xml><?xml version="1.0" encoding="utf-8"?>
<ds:datastoreItem xmlns:ds="http://schemas.openxmlformats.org/officeDocument/2006/customXml" ds:itemID="{698ECE70-3ED4-4945-BDE1-967125BDED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74179-0342-44ce-bf2d-5858e0f76a78"/>
    <ds:schemaRef ds:uri="986fc5fc-e195-4d2f-a768-06887fd463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MasterConfig</vt:lpstr>
      <vt:lpstr>Build Data</vt:lpstr>
      <vt:lpstr>Jenkins Inputs</vt:lpstr>
      <vt:lpstr>Post Build</vt:lpstr>
      <vt:lpstr>DataRefresh</vt:lpstr>
      <vt:lpstr>Cutover</vt:lpstr>
      <vt:lpstr>SB Alignment</vt:lpstr>
      <vt:lpstr>SB Checklist</vt:lpstr>
      <vt:lpstr>AWS SB Checklist</vt:lpstr>
      <vt:lpstr>SB Validation</vt:lpstr>
      <vt:lpstr>Prod Checklist</vt:lpstr>
      <vt:lpstr>AWS Prod Checklist</vt:lpstr>
      <vt:lpstr>Prod Validation</vt:lpstr>
      <vt:lpstr>Automation</vt:lpstr>
      <vt:lpstr>AutoPop</vt:lpstr>
      <vt:lpstr>Decommision</vt:lpstr>
      <vt:lpstr>Other</vt:lpstr>
      <vt:lpstr>'Prod Validation'!_Hlk19182391</vt:lpstr>
      <vt:lpstr>'SB Validation'!_Hlk19182391</vt:lpstr>
    </vt:vector>
  </TitlesOfParts>
  <Manager/>
  <Company>Planview</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Tallman</dc:creator>
  <cp:keywords/>
  <dc:description/>
  <cp:lastModifiedBy>Chris Tallman</cp:lastModifiedBy>
  <cp:revision/>
  <dcterms:created xsi:type="dcterms:W3CDTF">2019-10-30T14:08:43Z</dcterms:created>
  <dcterms:modified xsi:type="dcterms:W3CDTF">2021-01-28T23:21:52Z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0x010100527F7FB738632D4F998043CEB7F27F6F</vt:lpwstr>
  </property>
</Properties>
</file>