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 sheetId="1" r:id="rId4"/>
    <sheet state="visible" name="Queen Discography" sheetId="2" r:id="rId5"/>
    <sheet state="visible" name="Queen MIDI" sheetId="3" r:id="rId6"/>
    <sheet state="visible" name="12623 Results" sheetId="4" r:id="rId7"/>
    <sheet state="hidden" name="Data Filter" sheetId="5" r:id="rId8"/>
  </sheets>
  <definedNames>
    <definedName hidden="1" localSheetId="2" name="_xlnm._FilterDatabase">'Queen MIDI'!$C$3:$E$66</definedName>
  </definedNames>
  <calcPr/>
  <extLst>
    <ext uri="GoogleSheetsCustomDataVersion2">
      <go:sheetsCustomData xmlns:go="http://customooxmlschemas.google.com/" r:id="rId9" roundtripDataChecksum="1Wraf/yPNZB5oKa+A/cIdYGmFHl0HFGuoTsxIoWMjpM="/>
    </ext>
  </extLst>
</workbook>
</file>

<file path=xl/sharedStrings.xml><?xml version="1.0" encoding="utf-8"?>
<sst xmlns="http://schemas.openxmlformats.org/spreadsheetml/2006/main" count="3473" uniqueCount="1243">
  <si>
    <t>JSymbolic
ID</t>
  </si>
  <si>
    <t>Name</t>
  </si>
  <si>
    <t>CSV Names</t>
  </si>
  <si>
    <t>Description</t>
  </si>
  <si>
    <t>Feature Set 1</t>
  </si>
  <si>
    <t>Feature Set 2</t>
  </si>
  <si>
    <t>Why?</t>
  </si>
  <si>
    <t>FS1 Column
Names</t>
  </si>
  <si>
    <t>FS2 Column
Names</t>
  </si>
  <si>
    <t>Col Names</t>
  </si>
  <si>
    <t>Automation</t>
  </si>
  <si>
    <t>RAW</t>
  </si>
  <si>
    <t>RAW 2</t>
  </si>
  <si>
    <t>ID</t>
  </si>
  <si>
    <t>Included?</t>
  </si>
  <si>
    <t>P-1 Basic Pitch Histogram: A feature vector consisting of bin magnitudes of the basic pitch histogram described above. Each bin corresponds to one of the 128 MIDI pitches, ordered from lowest to highest, and with an interval of a semitone between each (enharmonic equivalents are assigned the same pitch number). Bin 60 corresponds to middle C. The magnitude of of each bin is proportional to the the number of times notes occurred at the bin's pitch in the piece, relative to all other pitches in the piece (the histogram is normalized).</t>
  </si>
  <si>
    <t>col1</t>
  </si>
  <si>
    <t>P-2 Pitch Class Histogram: A feature vector consisting of bin magnitudes of the pitch class histogram described above. Each bin corresponds to one of the 12 pitch classes, ordered in increasing pitch with an interval of a semitone between each (enharmonic equivalents are assigned the same pitch class number). The first bin corresponds to the most common pitch class in the piece under consideration (it does NOT correspond to a set pitch class). The magnitude of of each bin is proportional to the the number of times notes occurred at the bin's pitch class in the piece, relative to all other pitch classes in the piece (the histogram is normalized).</t>
  </si>
  <si>
    <t>col2</t>
  </si>
  <si>
    <t>P-3 Folded Fifths Pitch Class Histogram: A feature vector consisting of bin magnitudes of the folded fifths pitch class histogram described above. Each bin corresponds to one of the 12 pitch classes, and the bins are ordered such that adjacent bins are separated by an ascending perfect fifth. Bin 0 corresponds to C. Enharmonic equivalents are assigned the same pitch class number. The magnitude of of each bin is proportional to the the number of times notes occurred at the bin's pitch class in the piece, relative to all other pitch classes in the piece (the histogram is normalized).</t>
  </si>
  <si>
    <t>col3</t>
  </si>
  <si>
    <t>P-4 Number of Pitches: Number of unique pitches that occur at least once in the piece. Enharmonic equivalents are grouped together for the purpose of this calculation.</t>
  </si>
  <si>
    <t>Number_of_Pitches</t>
  </si>
  <si>
    <t>col4</t>
  </si>
  <si>
    <t>P-5 Number of Pitch Classes: Number of pitch classes that occur at least once in the piece. Enharmonic equivalents are grouped together for the purpose of this calculation.</t>
  </si>
  <si>
    <t>Number_of_Pitch_Classes</t>
  </si>
  <si>
    <t>col5</t>
  </si>
  <si>
    <t>P-6 Number of Common Pitches: Number of unique pitches that account individually for at least 9% of all notes. Enharmonic equivalents are grouped together for the purpose of this calculation.</t>
  </si>
  <si>
    <t>Number_of_Common_Pitches</t>
  </si>
  <si>
    <t>col6</t>
  </si>
  <si>
    <t>P-7 Number of Common Pitch Classes: Number of pitch classes that account individually for at least 20% of all notes. Enharmonic equivalents are grouped together for the purpose of this calculation.</t>
  </si>
  <si>
    <t>Number_of_Common_Pitch_Classes</t>
  </si>
  <si>
    <t>col7</t>
  </si>
  <si>
    <t>P-8 Range: Difference in semitones between the highest and lowest pitches.</t>
  </si>
  <si>
    <t>Range</t>
  </si>
  <si>
    <t>col8</t>
  </si>
  <si>
    <t>P-9 Importance of Bass Register: Fraction of notes between MIDI pitches 0 and 54.</t>
  </si>
  <si>
    <t>Importance_of_Bass_Register</t>
  </si>
  <si>
    <t>col9</t>
  </si>
  <si>
    <t>P-10 Importance of Middle Register: Fraction of notes between MIDI pitches 55 and 72.</t>
  </si>
  <si>
    <t>Importance_of_Middle_Register</t>
  </si>
  <si>
    <t>col10</t>
  </si>
  <si>
    <t>P-11 Importance of High Register: Fraction of notes between MIDI pitches 73 and 127.</t>
  </si>
  <si>
    <t>Importance_of_High_Register</t>
  </si>
  <si>
    <t>col11</t>
  </si>
  <si>
    <t>P-12 Dominant Spread: Largest number of consecutive pitch classes separated by perfect 5ths that each individually account for at least 9% of the total notes in the piece.</t>
  </si>
  <si>
    <t>Dominant_Spread</t>
  </si>
  <si>
    <t>col12</t>
  </si>
  <si>
    <t>P-13 Strong Tonal Centres: Number of isolated peaks in the fifths pitch histogram that each individually account for at least 9% of all notes in the piece.</t>
  </si>
  <si>
    <t>Strong_Tonal_Centres</t>
  </si>
  <si>
    <t>col13</t>
  </si>
  <si>
    <t>P-14 Mean Pitch: Mean MIDI pitch value, averaged across all pitched notes in the piece. Set to 0 if there are no pitched notes.</t>
  </si>
  <si>
    <t>Mean_Pitch</t>
  </si>
  <si>
    <t>we are not concerned with the song key</t>
  </si>
  <si>
    <t>col14</t>
  </si>
  <si>
    <t>P-15 Mean Pitch Class: Mean pitch class value, averaged across all pitched notes in the piece. A value of 0 corresponds to a mean pitch class of C, and pitches increase chromatically by semitone in integer units from there (e.g. a value of 2 would mean that D is the mean pitch class). Enharmonic equivalents are treated as a single pitch class.</t>
  </si>
  <si>
    <t>Mean_Pitch_Class</t>
  </si>
  <si>
    <t>col15</t>
  </si>
  <si>
    <t>P-16 Most Common Pitch: MIDI pitch value of the most frequently occurring pitch.</t>
  </si>
  <si>
    <t>Most_Common_Pitch</t>
  </si>
  <si>
    <t>col16</t>
  </si>
  <si>
    <t>P-17 Most Common Pitch Class: The pitch class that occurs most frequently compared to other pitch classes. A value of 0 corresponds to C, and pitches increase chromatically by semitone in integer units (e.g. a value of 2 would mean that D is the most common pitch class). Enharmonic equivalents are treated as a single pitch class.</t>
  </si>
  <si>
    <t>Most_Common_Pitch_Class</t>
  </si>
  <si>
    <t>col17</t>
  </si>
  <si>
    <t>P-18 Prevalence of Most Common Pitch: Fraction of notes that correspond to the most common pitch.</t>
  </si>
  <si>
    <t>Prevalence_of_Most_Common_Pitch</t>
  </si>
  <si>
    <t>col18</t>
  </si>
  <si>
    <t>P-19 Prevalence of Most Common Pitch Class: Fraction of notes that correspond to the most common pitch class.</t>
  </si>
  <si>
    <t>Prevalence_of_Most_Common_Pitch_Class</t>
  </si>
  <si>
    <t>col19</t>
  </si>
  <si>
    <t>P-20 Relative Prevalence of Top Pitches: Relative frequency of the second most common pitch in the piece, divided by the relative frequency of the most common pitch.</t>
  </si>
  <si>
    <t>Relative_Prevalence_of_Top_Pitches</t>
  </si>
  <si>
    <t>col20</t>
  </si>
  <si>
    <t>P-21 Relative Prevalence of Top Pitch Classes: Relative frequency of the of the second most common pitch class in the piece, divided by the relative frequency of the most common pitch class.</t>
  </si>
  <si>
    <t>Relative_Prevalence_of_Top_Pitch_Classes</t>
  </si>
  <si>
    <t>col21</t>
  </si>
  <si>
    <t>P-22 Interval Between Most Prevalent Pitches: Absolute value of the difference (in semitones) between the pitches of the two most frequently occurring pitches.</t>
  </si>
  <si>
    <t>Interval_Between_Most_Prevalent_Pitches</t>
  </si>
  <si>
    <t>col22</t>
  </si>
  <si>
    <t>P-23 Interval Between Most Prevalent Pitch Classes: Absolute value of the difference (in semitones) between the pitches of the two most frequently occurring pitch classes.</t>
  </si>
  <si>
    <t>Interval_Between_Most_Prevalent_Pitch_Classes</t>
  </si>
  <si>
    <t>col23</t>
  </si>
  <si>
    <t>P-24 Pitch Variability: Standard deviation of the MIDI pitches of all pitched notes in the piece. Provides a measure of how close the pitches as a whole are to the mean pitch.</t>
  </si>
  <si>
    <t>Pitch_Variability</t>
  </si>
  <si>
    <t>col24</t>
  </si>
  <si>
    <t>P-25 Pitch Class Variability: Standard deviation of the pitch classes (where 0 corresponds to C, 1 to C#/Db, etc.) of all pitched notes in the piece. Provides a measure of how close the pitch classes as a whole are to the mean pitch class.</t>
  </si>
  <si>
    <t>Pitch_Class_Variability</t>
  </si>
  <si>
    <t>col25</t>
  </si>
  <si>
    <t>P-26 Pitch Class Variability After Folding: Standard deviation of the pitch classes in the piece after being folded by perfect fifths as described for the folded fifths pitch class histogram. Provides a measure of how close the pitch classes are as a whole from the mean pitch class from a dominant-tonic perspective.</t>
  </si>
  <si>
    <t>Pitch_Class_Variability_After_Folding</t>
  </si>
  <si>
    <t>col26</t>
  </si>
  <si>
    <t>P-27 Pitch Skewness: Skewness of the MIDI pitches of all pitched notes in the piece. Provides a measure of how asymmetrical the pitch distribution is to either the left or the right of the mean pitch. A value of zero indicates no skew.</t>
  </si>
  <si>
    <t>Pitch_Skewness</t>
  </si>
  <si>
    <t>col27</t>
  </si>
  <si>
    <t>P-28 Pitch Class Skewness: Skewness of the pitch classes (where 0 corresponds to C, 1 to C#/Db, etc.) of all pitched notes in the piece. Provides a measure of how asymmetrical the pitch class distribution is to either the left or the right of the mean pitch class. A value of zero indicates no skew.</t>
  </si>
  <si>
    <t>Pitch_Class_Skewness</t>
  </si>
  <si>
    <t>col28</t>
  </si>
  <si>
    <t>P-29 Pitch Class Skewness After Folding: Skewness of the pitch classes after being folded by perfect fifths as described for the folded fifths pitch class histogram. Provides a measure of how asymmetrical the pitch class distribution after folding is to either the left or the right of the mean from a dominant-tonic perspective. A value of zero indicates no skew.</t>
  </si>
  <si>
    <t>Pitch_Class_Skewness_After_Folding</t>
  </si>
  <si>
    <t>col29</t>
  </si>
  <si>
    <t>P-30 Pitch Kurtosis: Kurtosis of the MIDI pitches of all pitched notes in the piece. Provides a measure of how peaked or flat the pitch distribution is. The higher the kurtosis, the more the pitches are clustered near the mean and the fewer outliers there are.</t>
  </si>
  <si>
    <t>Pitch_Kurtosis</t>
  </si>
  <si>
    <t>col30</t>
  </si>
  <si>
    <t>P-31 Pitch Class Kurtosis: Kurtosis of the pitch classes (where 0 corresponds to C, 1 to C#/Db, etc.) of all pitched notes in the piece. Provides a measure of how peaked or flat the pitch class distribution is. The higher the kurtosis, the more the pitch classes are clustered near the mean and the fewer outliers there are.</t>
  </si>
  <si>
    <t>Pitch_Class_Kurtosis</t>
  </si>
  <si>
    <t>col31</t>
  </si>
  <si>
    <t>P-32 Pitch Class Kurtosis After Folding: Kurtosis of the pitch classes after being folded by perfect fifths as described for the folded fifths pitch class histogram. Provides a measure of how peaked or flat the pitch classes are from a dominant-tonic perspective.</t>
  </si>
  <si>
    <t>Pitch_Class_Kurtosis_After_Folding</t>
  </si>
  <si>
    <t>col32</t>
  </si>
  <si>
    <t>P-33 Major or Minor: Whether the piece is major or minor, as indicated by the first encountered major/minor metadata tag in the piece. Set to 0 if the metadata indicates that the piece is major, or set to 1 if the metadata indicates that it is minor. Defaults to 0 if the key signature is unknown.</t>
  </si>
  <si>
    <t>Major_or_Minor</t>
  </si>
  <si>
    <t>Skews towards major (0 if key signature is unknown)</t>
  </si>
  <si>
    <t>col33</t>
  </si>
  <si>
    <t>P-34 First Pitch: The MIDI pitch value of the first note in the piece. If there are multiple notes with simultaneous attacks at the beginning of the piece, then the one with the lowest pitch is selected. Set to 0 if there are no pitched notes.</t>
  </si>
  <si>
    <t>First_Pitch</t>
  </si>
  <si>
    <t>We aren't concerned with a particular pitch</t>
  </si>
  <si>
    <t>col34</t>
  </si>
  <si>
    <t>P-35 First Pitch Class: The pitch class of the first note in the piece. If there are multiple notes with simultaneous attacks at the beginning of the piece, then the one with the lowest pitch is selected. A value of 0 corresponds to C, and pitches increase chromatically by semitone in integer units (e.g. a value of 2 would mean that D is the most common pitch class). Enharmonic equivalents are treated as a single pitch class. Set to 0 if there are no pitched notes.</t>
  </si>
  <si>
    <t>First_Pitch_Class</t>
  </si>
  <si>
    <t>col35</t>
  </si>
  <si>
    <t>P-36 Last Pitch: The MIDI pitch value of the last note in the piece. If there are multiple notes with simultaneous attacks at the end of the piece, then the one with the lowest pitch is selected. Set to 0 if there are no pitched notes.</t>
  </si>
  <si>
    <t>Last_Pitch</t>
  </si>
  <si>
    <t>col36</t>
  </si>
  <si>
    <t>P-37 Last Pitch Class: The pitch class of the last note in the piece. If there are multiple notes with simultaneous attacks at the end of the piece, then the one with the lowest pitch is selected. A value of 0 corresponds to C, and pitches increase chromatically by semitone in integer units (e.g. a value of 2 would mean that D is the most common pitch class). Enharmonic equivalents are treated as a single pitch class. Set to 0 if there are no pitched notes.</t>
  </si>
  <si>
    <t>Last_Pitch_Class</t>
  </si>
  <si>
    <t>col37</t>
  </si>
  <si>
    <t>P-38 Glissando Prevalence: Number of pitched MIDI Note Ons that have at least one MIDI Pitch Bend associated with them, divided by the total number of pitched Note Ons in the piece.</t>
  </si>
  <si>
    <t>Glissando_Prevalence</t>
  </si>
  <si>
    <t>Some pitch bends in the dataset are broken</t>
  </si>
  <si>
    <t>col38</t>
  </si>
  <si>
    <t>P-39 Average Range of Glissandos: Average range of MIDI Pitch Bends, where "range" is defined as the greatest value of the absolute difference between 64 and the second data byte of all MIDI Pitch Bend messages falling between the Note On and Note Off messages of any note in the piece. Set to 0 if there are no MIDI Pitch Bends in the piece.</t>
  </si>
  <si>
    <t>Average_Range_of_Glissandos</t>
  </si>
  <si>
    <t>col39</t>
  </si>
  <si>
    <t>P-40 Vibrato Prevalence: Number of pitched notes that have associated MIDI Pitch Bend messages change direction at least twice in connection with the note in question, divided by the total number of pitched Note Ons in the piece.</t>
  </si>
  <si>
    <t>Vibrato_Prevalence</t>
  </si>
  <si>
    <t>col40</t>
  </si>
  <si>
    <t>P-41 Microtone Prevalence: Number of pitched notes that are each associated with exactly one MIDI Pitch Bend message, divided by the total number of pitched Note Ons in the piece. Set to 0 if there are no pitched Note Ons in the piece.</t>
  </si>
  <si>
    <t>Microtone_Prevalence</t>
  </si>
  <si>
    <t>col41</t>
  </si>
  <si>
    <t>M-1 Melodic Interval Histogram: A feature vector consisting of the bin magnitudes of the melodic interval histogram described above. Each bin corresponds to a melodic interval, and the bin index indicates the number of semitones comprising the interval associated with the bin (there are 128 bins in all). For example, bin 0 corresponds to repeated pitches, bin 1 to a melodic interval of one semitone, bin 2 to a melodic interval of 2 semitones, etc. The magnitude of each bin is proportional to the fraction of melodic intervals in the piece that are of the kind associated with the bin (this histogram is normalized). Rising and falling intervals are treated as identical. Melodies are assumed to be contained within individual MIDI tracks and channels, so melodic intervals are found separately for each track and channel before being combined in this histogram. It is also assumed that there is only one melody at a time per MIDI channel (if multiple notes occur simultaneously on the same MIDI tick on the same MIDI track and channel, then all notes but the first note on that tick are ignored). Other than this, all notes on the same track and the same channel are treated as if they are part of a single melody. It is also assumed that melodies do not cross MIDI tracks or channels (i.e. that they are each separately contained in their own track and channel). Only pitched notes are considered, so all notes on the unpitched MIDI Channel 10 are ignored.</t>
  </si>
  <si>
    <t>col42</t>
  </si>
  <si>
    <t>M-2 Most Common Melodic Interval: Number of semitones corresponding to the most frequently occurring melodic interval.</t>
  </si>
  <si>
    <t>Most_Common_Melodic_Interval</t>
  </si>
  <si>
    <t>col43</t>
  </si>
  <si>
    <t>M-3 Mean Melodic Interval: Mean average (in semitones) of the intervals involved in each of the melodic intervals in the piece.</t>
  </si>
  <si>
    <t>Mean_Melodic_Interval</t>
  </si>
  <si>
    <t>col44</t>
  </si>
  <si>
    <t>M-4 Number of Common Melodic Intervals: Number of different melodic intervals that each account individually for at least 9% of all melodic intervals.</t>
  </si>
  <si>
    <t>Number_of_Common_Melodic_Intervals</t>
  </si>
  <si>
    <t>col45</t>
  </si>
  <si>
    <t>M-5 Distance Between Most Prevalent Melodic Intervals: Absolute value of the difference (in semitones) between the most common and second most common melodic intervals in the piece.</t>
  </si>
  <si>
    <t>Distance_Between_Most_Prevalent_Melodic_Intervals</t>
  </si>
  <si>
    <t>col46</t>
  </si>
  <si>
    <t>M-6 Prevalence of Most Common Melodic Interval: Fraction of all melodic intervals that corresponds to the most common melodic interval.</t>
  </si>
  <si>
    <t>Prevalence_of_Most_Common_Melodic_Interval</t>
  </si>
  <si>
    <t>col47</t>
  </si>
  <si>
    <t>M-7 Relative Prevalence of Most Common Melodic Intervals: Relative frequency of the second most common melodic interval in the piece, divided by the relative frequency of the most common melodic interval.</t>
  </si>
  <si>
    <t>Relative_Prevalence_of_Most_Common_Melodic_Intervals</t>
  </si>
  <si>
    <t>col48</t>
  </si>
  <si>
    <t>M-8 Amount of Arpeggiation: Fraction of melodic intervals that are repeated notes, minor thirds, major thirds, perfect fifths, minor sevenths, major sevenths, octaves, minor tenths or major tenths. This is only a very approximate measure of the amount of arpeggiation in the music, of course.</t>
  </si>
  <si>
    <t>Amount_of_Arpeggiation</t>
  </si>
  <si>
    <t>col49</t>
  </si>
  <si>
    <t>M-9 Repeated Notes: Fraction of melodic intervals that correspond to repeated notes.</t>
  </si>
  <si>
    <t>Repeated_Notes</t>
  </si>
  <si>
    <t>col50</t>
  </si>
  <si>
    <t>M-10 Chromatic Motion: Fraction of melodic intervals that correspond to a semitone.</t>
  </si>
  <si>
    <t>Chromatic_Motion</t>
  </si>
  <si>
    <t>col51</t>
  </si>
  <si>
    <t>M-11 Stepwise Motion: Fraction of melodic intervals that correspond to a minor or major second.</t>
  </si>
  <si>
    <t>Stepwise_Motion</t>
  </si>
  <si>
    <t>col52</t>
  </si>
  <si>
    <t>M-12 Melodic Thirds: Fraction of melodic intervals that are major or minor thirds.</t>
  </si>
  <si>
    <t>Melodic_Thirds</t>
  </si>
  <si>
    <t>col53</t>
  </si>
  <si>
    <t>M-13 Melocid Perfect Fourths: Fraction of melodic intervals that are perfect fourths.</t>
  </si>
  <si>
    <t>Melodic_Perfect_Fourths</t>
  </si>
  <si>
    <t>col54</t>
  </si>
  <si>
    <t>M-14 Melodic Tritones: Fraction of melodic intervals that are tritones.</t>
  </si>
  <si>
    <t>Melodic_Tritones</t>
  </si>
  <si>
    <t>col55</t>
  </si>
  <si>
    <t>M-15 Melodic Fifths: Fraction of melodic intervals that are perfect fifths.</t>
  </si>
  <si>
    <t>Melodic_Perfect_Fifths</t>
  </si>
  <si>
    <t>col56</t>
  </si>
  <si>
    <t>M-16 Melodic Sixths: Fraction of melodic intervals that are major or minor sixths.</t>
  </si>
  <si>
    <t>Melodic_Sixths</t>
  </si>
  <si>
    <t>col57</t>
  </si>
  <si>
    <t>M-17 Melodic Sevenths: Fraction of melodic intervals that are major or minor sevenths.</t>
  </si>
  <si>
    <t>Melodic_Sevenths</t>
  </si>
  <si>
    <t>col58</t>
  </si>
  <si>
    <t>M-18 Melodic Octaves: Fraction of melodic intervals that are octaves.</t>
  </si>
  <si>
    <t>Melodic_Octaves</t>
  </si>
  <si>
    <t>col59</t>
  </si>
  <si>
    <t>M-19 Melodic Large Intervals: Fraction of melodic intervals greater than one octave.</t>
  </si>
  <si>
    <t>Melodic_Large_Intervals</t>
  </si>
  <si>
    <t>col60</t>
  </si>
  <si>
    <t>M-20 Minor Major Melodic Third Ratio: Combined fraction of all melodic intervals that are minor thirds, divided by the combined fraction of all melodic intervals that are major thirds. Set to 0 if there are no melodic minor thirds or melodic major thirds.</t>
  </si>
  <si>
    <t>Minor_Major_Melodic_Third_Ratio</t>
  </si>
  <si>
    <t>col61</t>
  </si>
  <si>
    <t>M-21 Melodic Embellishments: Fraction of all notes that are surrounded on both sides by MIDI Note Ons on the same MIDI channel that have durations at least three times as long as the central note. Set to 0 if there are no notes in the piece.</t>
  </si>
  <si>
    <t>Melodic_Embellishments</t>
  </si>
  <si>
    <t>col62</t>
  </si>
  <si>
    <t>M-22 Direction of Melodic Motion: Fraction of melodic intervals that are rising in pitch. Set to zero if no rising or falling melodic intervals are found.</t>
  </si>
  <si>
    <t>Direction_of_Melodic_Motion</t>
  </si>
  <si>
    <t>col63</t>
  </si>
  <si>
    <t>M-23 Average Length of Melodic Arcs: Average number of notes that separate melodic peaks and troughs. Similar assumptions are made in the calculation of this feature as for the Melodic Interval Histogram. Set to 0 if no melodic arcs are found.</t>
  </si>
  <si>
    <t>Average_Length_of_Melodic_Arcs</t>
  </si>
  <si>
    <t>col64</t>
  </si>
  <si>
    <t>M-24 Average Interval Spanned by Melodic Arcs: Average melodic interval (in semitones) separating the top note of melodic peaks and the bottom note of adjacent melodic troughs. Similar assumptions are made in the calculation of this feature as for the Melodic Interval Histogram.</t>
  </si>
  <si>
    <t>Average_Interval_Spanned_by_Melodic_Arcs</t>
  </si>
  <si>
    <t>col65</t>
  </si>
  <si>
    <t>M-25 Melodic Pitch Variety: Average number of notes that go by in a MIDI channel before a note's pitch is repeated (including the repeated note itself). This is calculated across each channel individually before being combined. Notes that occur simultaneously on the same MIDI tick are only counted as one note for the purpose of this calculation. Notes that do not recur after 16 notes in the same channel are not included in this calculation. Set to 0 if there are no qualifying repeated notes in the piece.</t>
  </si>
  <si>
    <t>Melodic_Pitch_Variety</t>
  </si>
  <si>
    <t>col66</t>
  </si>
  <si>
    <t>C-1 Vertical Interval Histogram: A feature vector consisting of bin magnitudes of the vertical interval histogram described above. Each of the bins is associated with a different vertical pitch interval, and is labeled with the number of semitones in that corresponding interval. More specifically, these are numbered from 0 (a unison) to 127 (a vertical interval of 127 semitones). The magnitude of each bin is found by going through a recoding MIDI tick by MIDI tick and noting all vertical intervals that are sounding at each tick, as well as the MIDI velocities of the pair of notes involved in each vertical interval. The end result is a histogram that indicates which vertical intervals are present, and how significant these vertical intervals are relative to one another, with a weighting based on both MIDI velocity and the aggragated durations with which each interval is held throughout the piece. Finally, the histogram is normalized.</t>
  </si>
  <si>
    <t>col67</t>
  </si>
  <si>
    <t>C-2 Wrapped Vertical Interval Histogram: A feature vector consisting of bin magnitudes of the wrapped vertical interval histogram described above. Each of the bins is associated with a different vertical pitch interval, and is labeled with the number of semitones in that corresponding interval. More specifically, these are numbered from 0 (a unison) to 11 (a vertical interval of 11 semitones). The magnitude of each bin is found by going through a recoding MIDI tick by MIDI tick and noting all vertical intervals that are sounding at each tick, as well as the MIDI velocities of the pair of notes involved in each vertical interval. Intervals larger than 11 semitones are wrapped (e.g. an octave (12 semitones) is added to the bin for unisons (0 semitones)). The end result is a histogram that indicates which vertical intervals are present, and how significant these vertical intervals are relative to one another, with a weighting based on both MIDI velocity and the aggregated durations with which each interval is held throughout the piece. Finally, the histogram is normalized.</t>
  </si>
  <si>
    <t>col68</t>
  </si>
  <si>
    <t>C-3 Chord Type Histogram: A feature vector consisting of bin magnitudes of the chord type histogram described above. This is a normalized histogram that has bins labeled with types of chords (in the following order and with the indicated identifying codes): partial chords consisting of just two pitch classes [0], minor triads [1], major triads [2], diminished triads [3], augmented triads [4], other triads [5], minor seventh chords [6], dominant seventh chords [7], major seventh chords [8], other chords consisting of four pitch classes [9], and complex chords with more than four pitch classes [10]. The bin magnitudes are calculated by going through MIDI ticks one by one and incrementing the counter for the bin that corresponds to the chord, if any, that is present during each given tick; the result is that the chords in this histogram are weighted by the duration with which each chord is played. All inversions are treated as equivalent and octave doubling is ignored in the calculation of this histogram. Melodic behaviour is not considered, so arpeggios are not counted in this histogram.</t>
  </si>
  <si>
    <t>col69</t>
  </si>
  <si>
    <t>C-4 Average Number of Simultaneous Pitch Classes: Average number of different pitch classes sounding simultaneously. Rests are excluded from this calculation.</t>
  </si>
  <si>
    <t>Average_Number_of_Simultaneous_Pitch_Classes</t>
  </si>
  <si>
    <t>col70</t>
  </si>
  <si>
    <t>C-5 Variability of Number of Simultaneous Pitch Classes: Standard deviation of the number of different pitch classes sounding simultaneously. Rests are excluded from this calculation.</t>
  </si>
  <si>
    <t>Variability_of_Number_of_Simultaneous_Pitch_Classes</t>
  </si>
  <si>
    <t>col71</t>
  </si>
  <si>
    <t>C-6 Average Number of Simultaneous Pitches: Average number of pitches sounding simultaneously. Rests are excluded from this calculation. Unisons are also excluded from this calculation, but octave multiples are included in it.</t>
  </si>
  <si>
    <t>Average_Number_of_Simultaneous_Pitches</t>
  </si>
  <si>
    <t>col72</t>
  </si>
  <si>
    <t>C-7 Variability of Number of Simultaneous Pitches: Standard deviation of the number of pitches sounding simultaneously. Rests are excluded from this calculation. Unisons are also excluded from this calculation, but octave multiples are included in it.</t>
  </si>
  <si>
    <t>Variability_of_Number_of_Simultaneous_Pitches</t>
  </si>
  <si>
    <t>col73</t>
  </si>
  <si>
    <t>C-8 Most Common Vertical Interval: The interval in semitones corresponding to the wrapped vertical interval histogram bin with the highest magnitude.</t>
  </si>
  <si>
    <t>Most_Common_Vertical_Interval</t>
  </si>
  <si>
    <t>col74</t>
  </si>
  <si>
    <t>C-9 Second Most Common Vertical Interval: The interval in semitones corresponding to the wrapped vertical interval histogram bin with the second highest magnitude.</t>
  </si>
  <si>
    <t>Second_Most_Common_Vertical_Interval</t>
  </si>
  <si>
    <t>col75</t>
  </si>
  <si>
    <t>C-10 Distance Between Two Most Common Vertical Intervals: The interval in semitones between the wrapped vertical interval histogram bins with the two most common vertical intervals.</t>
  </si>
  <si>
    <t>Distance_Between_Two_Most_Common_Vertical_Intervals</t>
  </si>
  <si>
    <t>col76</t>
  </si>
  <si>
    <t>C-11 Prevalence of Most Common Vertical Interval: Fraction of vertical intervals on the wrapped vertical interval histogram corresponding to the most common vertical interval.</t>
  </si>
  <si>
    <t>Prevalence_of_Most_Common_Vertical_Interval</t>
  </si>
  <si>
    <t>col77</t>
  </si>
  <si>
    <t>C-12 Prevalence of Second Most Common Vertical Interval: Fraction of vertical intervals on the wrapped vertical interval histogram corresponding to the second most common vertical interval.</t>
  </si>
  <si>
    <t>Prevalence_of_Second_Most_Common_Vertical_Interval</t>
  </si>
  <si>
    <t>col78</t>
  </si>
  <si>
    <t>C-13 Prevalence Ratio of Two Most Common Vertical Intervals: Ratio between the fraction of notes corresponding to the second most common vertical interval on the wrapped vertical interval histogram and the fraction of vertical intervals corresponding to the most common vertical interval. Set to 0 if either of these prevalences are 0.</t>
  </si>
  <si>
    <t>Prevalence_Ratio_of_Two_Most_Common_Vertical_Intervals</t>
  </si>
  <si>
    <t>col79</t>
  </si>
  <si>
    <t>C-14 Vertical Unisons: Fraction of all vertical intervals that are unisons. This is weighted by how long intervals are held (e.g. an interval lasting a whole note will be weighted four times as strongly as an interval lasting a quarter note).</t>
  </si>
  <si>
    <t>Vertical_Unisons</t>
  </si>
  <si>
    <t>col80</t>
  </si>
  <si>
    <t>C-15 Vertical Minor Seconds: Fraction of all wrapped vertical intervals that are minor seconds. This is weighted by how long intervals are held (e.g. an interval lasting a whole note will be weighted four times as strongly as an interval lasting a quarter note).</t>
  </si>
  <si>
    <t>Vertical_Minor_Seconds</t>
  </si>
  <si>
    <t>col81</t>
  </si>
  <si>
    <t>C-16 Vertical Thirds: Fraction all wrapped vertical intervals that are minor or major thirds. This is weighted by how long intervals are held (e.g. an interval lasting a whole note will be weighted four times as strongly as an interval lasting a quarter note).</t>
  </si>
  <si>
    <t>Vertical_Thirds</t>
  </si>
  <si>
    <t>col82</t>
  </si>
  <si>
    <t>C-17 Vertical Tritones: Fraction of all wrapped vertical intervals that are tritones. This is weighted by how long intervals are held (e.g. an interval lasting a whole note will be weighted four times as strongly as an interval lasting a quarter note).</t>
  </si>
  <si>
    <t>Vertical_Tritones</t>
  </si>
  <si>
    <t>col83</t>
  </si>
  <si>
    <t>C-18 Vertical Perfect Fourths: Fraction of all wrapped vertical intervals that are perfect fourths. This is weighted by how long intervals are held (e.g. an interval lasting a whole note will be weighted four times as strongly as an interval lasting a quarter note).</t>
  </si>
  <si>
    <t>Vertical_Perfect_Fourths</t>
  </si>
  <si>
    <t>col84</t>
  </si>
  <si>
    <t>C-19 Vertical Perfect Fifths: Fraction of all wrapped vertical intervals that are perfect fifths. This is weighted by how long intervals are held (e.g. an interval lasting a whole note will be weighted four times as strongly as an interval lasting a quarter note).</t>
  </si>
  <si>
    <t>Vertical_Perfect_Fifths</t>
  </si>
  <si>
    <t>col85</t>
  </si>
  <si>
    <t>C-20 Vertical Sixths: Fraction all wrapped vertical intervals that are minor or major sixths. This is weighted by how long intervals are held (e.g. an interval lasting a whole note will be weighted four times as strongly as an interval lasting a quarter note).</t>
  </si>
  <si>
    <t>Vertical_Sixths</t>
  </si>
  <si>
    <t>col86</t>
  </si>
  <si>
    <t>C-21 Vertical Sevenths: Fraction all wrapped vertical intervals that are minor or major sevenths. This is weighted by how long intervals are held (e.g. an interval lasting a whole note will be weighted four times as strongly as an interval lasting a quarter note).</t>
  </si>
  <si>
    <t>Vertical_Sevenths</t>
  </si>
  <si>
    <t>col87</t>
  </si>
  <si>
    <t>C-22 Vertical Octaves: Fraction of all wrapped vertical intervals that are octaves. This is weighted by how long intervals are held (e.g. an interval lasting a whole note will be weighted four times as strongly as an interval lasting a quarter note).</t>
  </si>
  <si>
    <t>Vertical_Octaves</t>
  </si>
  <si>
    <t>col88</t>
  </si>
  <si>
    <t>C-23 Perfect Vertical Intervals: Fraction of all wrapped vertical intervals that are unisons, perfect fourths, perfect fifths or octaves. This is weighted by how long intervals are held (e.g. an interval lasting a whole note will be weighted four times as strongly as an interval lasting a quarter note).</t>
  </si>
  <si>
    <t>Perfect_Vertical_Intervals</t>
  </si>
  <si>
    <t>col89</t>
  </si>
  <si>
    <t>C-24 Vertical Dissonance Ratio: Ratio of all wrapped vertical intervals that are dissonant (2nds, tritones, and 7ths to all wrapped vertical intervals that are consonant (unisons, 3rds, 4ths, 5ths, 6ths, octaves). This is weighted by how long each of these intervals are held (e.g. an interval lasting a whole note will be weighted four times as strongly as an interval lasting a quarter note). Set to 0 if there are no dissonant vertical intervals or no consonant vertical intervals.</t>
  </si>
  <si>
    <t>Vertical_Dissonance_Ratio</t>
  </si>
  <si>
    <t>col90</t>
  </si>
  <si>
    <t>C-25 Vertical Minor Third Prevalence: Fraction of the music by time where at least one wrapped vertical minor third is sounding (regardless of whatever other vertical intervals may or may not be sounding at the same time). Only that part of the music where one or more pitched notes is sounding is included in this calculation (rests and sections containing only unpitched notes are ignored).</t>
  </si>
  <si>
    <t>Vertical_Minor_Third_Prevalence</t>
  </si>
  <si>
    <t>col91</t>
  </si>
  <si>
    <t>C-26 Vertical Major Third Prevalence: Fraction of the music by time where at least one wrapped vertical major third is sounding (regardless of whatever other vertical intervals may or may not be sounding at the same time). Only that part of the music where one or more pitched notes is sounding is included in this calculation (rests and sections containing only unpitched notes are ignored).</t>
  </si>
  <si>
    <t>Vertical_Major_Third_Prevalence</t>
  </si>
  <si>
    <t>col92</t>
  </si>
  <si>
    <t>C-27 Chord Duration: Average duration a chord in units of time corresponding to the duration of an idealized quarter note. A "chord" here is considered to stay the same as long as no new pitch classes are added, and no pitch classes are taken away. This "chord" may consist of any number of pitch classes, even only one. A "chord" is not considered to end if it is split by one or more rests (although the rests themselves are not counted in the duration of the "chord").</t>
  </si>
  <si>
    <t>Chord_Duration</t>
  </si>
  <si>
    <t>col93</t>
  </si>
  <si>
    <t>C-28 Partial Chords: Fraction of simultaneously sounding pitch groups that consist of only two pitch classes. This is weighted by how long pitch groups are held (e.g. a pitch group lasting a whole note will be weighted four times as strongly as a pitch group lasting a quarter note).</t>
  </si>
  <si>
    <t>Partial_Chords</t>
  </si>
  <si>
    <t>col94</t>
  </si>
  <si>
    <t>C-29 Standard Triads: Fraction of all simultaneously sounding pitch groups that are either major or minor triads. This is weighted by how long pitch groups are held (e.g. a pitch group lasting a whole note will be weighted four times as strongly as a pitch group lasting a quarter note).</t>
  </si>
  <si>
    <t>Standard_Triads</t>
  </si>
  <si>
    <t>col95</t>
  </si>
  <si>
    <t>C-30 Diminished and Augmented Triads: Fraction of all simultaneously sounding pitch groups that are either diminished or augmented triads. This is weighted by how long pitch groups are held (e.g. a pitch group lasting a whole note will be weighted four times as strongly as a pitch group lasting a quarter note).</t>
  </si>
  <si>
    <t>Diminished_and_Augmented_Triads</t>
  </si>
  <si>
    <t>col96</t>
  </si>
  <si>
    <t>C-31 Dominant Seventh Chords: Fraction of all simultaneously sounding pitch groups that are dominant seventh chords. This is weighted by how long pitch groups are held (e.g. a pitch group lasting a whole note will be weighted four times as strongly as a pitch group lasting a quarter note).</t>
  </si>
  <si>
    <t>Dominant_Seventh_Chords</t>
  </si>
  <si>
    <t>col97</t>
  </si>
  <si>
    <t>C-32 Seventh Chords: Fraction of all simultaneously sounding pitch groups that are dominant seventh, major seventh or minor seventh chords. This is weighted by how long pitch groups are held (e.g. a pitch group lasting a whole note will be weighted four times as strongly as a pitch group lasting a quarter note).</t>
  </si>
  <si>
    <t>Seventh_Chords</t>
  </si>
  <si>
    <t>col98</t>
  </si>
  <si>
    <t>C-33 Non-Standard Chords: Fraction of all simultaneously sounding pitch groups that consist of more than two pitch classes yet are not major triads, are not minor triads and are not seventh chords. This is weighted by how long pitch groups are held (e.g. a pitch group lasting a whole note will be weighted four times as strongly as a pitch group lasting a quarter note).</t>
  </si>
  <si>
    <t>Non-Standard_Chords</t>
  </si>
  <si>
    <t>col99</t>
  </si>
  <si>
    <t>C-34 Complex Chords: Fraction of all simultaneously sounding pitch groups that contain more that four pitch classes. This is weighted by how long pitch groups are held (e.g. a pitch group lasting a whole note will be weighted four times as strongly as a pitch group lasting a quarter note).</t>
  </si>
  <si>
    <t>Complex_Chords</t>
  </si>
  <si>
    <t>col100</t>
  </si>
  <si>
    <t>C-35 Minor Major Triad Ratio: The prevalence of minor triads divided by the prevalence of major triads. This is weighted by how long the chords are held (e.g. a chord lasting a whole note will be weighted four times as strongly as a chord lasting a quarter note). Set to 0 if there are no minor triads or if there are no major triads.</t>
  </si>
  <si>
    <t>Minor_Major_Triad_Ratio</t>
  </si>
  <si>
    <t>col101</t>
  </si>
  <si>
    <t>R-1 Initial Time Signature: A feature vector consisting of two values. The first is the numerator of the first specified time signature in the piece, and the second is the denominator of the same time signature. Set to 4/4 if no time signature is specified.</t>
  </si>
  <si>
    <t>col102</t>
  </si>
  <si>
    <t>R-2 Simple Initial Meter: Set to 1 if the initial meter is a standard simple meter (i.e. if the numerator of the time signature is 2, 3 or 4) and to 0 otherwise.</t>
  </si>
  <si>
    <t>Simple_Initial_Meter</t>
  </si>
  <si>
    <t>col103</t>
  </si>
  <si>
    <t>R-3 Compound Initial Meter: Set to 1 if the initial meter is a standard compound meter (i.e. if the numerator of the time signature is 6, 9, 12, 15, 18 or 24) and to 0 otherwise.</t>
  </si>
  <si>
    <t>Compound_Initial_Meter</t>
  </si>
  <si>
    <t>col104</t>
  </si>
  <si>
    <t>R-4 Complex Initial Meter: Set to 1 if the initial meter is a standard complex meter (i.e. if the numerator of the time signature is 5, 7, 9, 11, 13, 15, 22 or 25) and to 0 otherwise.</t>
  </si>
  <si>
    <t>Complex_Initial_Meter</t>
  </si>
  <si>
    <t>col105</t>
  </si>
  <si>
    <t>R-5 Duple Initial Meter: Set to 1 if the initial meter is a standard simple or compound duple meter (i.e. if the numerator of the time signature is 2 or 6) and to 0 otherwise.</t>
  </si>
  <si>
    <t>Duple_Initial_Meter</t>
  </si>
  <si>
    <t>col106</t>
  </si>
  <si>
    <t>R-6 Triple Initial Meter: Set to 1 if the initial meter is a standard simple or compound triple meter (i.e. if the numerator of the time signature is 3 or 9) and to 0 otherwise.</t>
  </si>
  <si>
    <t>Triple_Initial_Meter</t>
  </si>
  <si>
    <t>col107</t>
  </si>
  <si>
    <t>R-7 Quadruple Initial Meter: Set to 1 if the initial meter is a standard simple or compound quadruple meter (i.e. if the numerator of the time signature is 4 or 12) and to 0 otherwise.</t>
  </si>
  <si>
    <t>Quadruple_Initial_Meter</t>
  </si>
  <si>
    <t>col108</t>
  </si>
  <si>
    <t>R-8 Metrical Diversity: The number of different (unique) time signatures found in the piece. Set to 1 if no time signature is specified.</t>
  </si>
  <si>
    <t>Metrical_Diversity</t>
  </si>
  <si>
    <t>col109</t>
  </si>
  <si>
    <t>R-9 Total Number of Notes: Total number of notes, including both pitched and unpitched notes.</t>
  </si>
  <si>
    <t>Total_Number_of_Notes</t>
  </si>
  <si>
    <t>col110</t>
  </si>
  <si>
    <t>R-10 Note Density per Quarter Note: Average number of note onsets per unit of time corresponding to an idealized quarter note. Takes into account all notes in all voices, including both pitched and unpitched notes.</t>
  </si>
  <si>
    <t>Note_Density_per_Quarter_Note</t>
  </si>
  <si>
    <t>col111</t>
  </si>
  <si>
    <t>R-11 Note Density per Quarter Note per Voice: Average number of note onsets per unit of time corresponding to an idealized quarter note, divided by the total number of voices present (i.e. the number of MIDI channels that contain one or more notes in the piece). Takes into account all notes in all voices, including both pitched and unpitched notes.</t>
  </si>
  <si>
    <t>Note_Density_per_Quarter_Note_per_Voice</t>
  </si>
  <si>
    <t>col112</t>
  </si>
  <si>
    <t>R-12 Note Density per Quarter Note Variability: How much the note density per quarter note (average number of note onsetss per idealized quarter note duration) varies throughout the piece. Takes into account all notes in all voices, including both pitched and unpitched notes. In order to calculate this, the piece is broken into windows of 8 quarter note duration, and the note density of each window is calculated. The final value of this feature is then found by calculating the standard deviation of the note densities of these windows. Set to 0 if there is insufficient music for more than one window.</t>
  </si>
  <si>
    <t>Note_Density_per_Quarter_Note_Variability</t>
  </si>
  <si>
    <t>"NaN" values cause an error</t>
  </si>
  <si>
    <t>col113</t>
  </si>
  <si>
    <t>R-13 Rhythmic Value Histogram: A feature vector, as described above, representing a normalized histogram where the value of each bin specifies the fraction of all notes in the music with a rhythmic value corresponding to that of the given bin. The bins are numbered as follows: thirty second notes (or less) [0], sixteenth notes [1], eighth notes [2], dotted eighth notes [3], quarter notes [4], dotted quarter notes [5], half notes [6], dotted half notes [7], whole notes [8], dotted whole notes [9], double whole notes [10] and dotted double whole notes (or more ) [11]. Both pitched and unpitched notes are included in this histogram. Tempo is, of course, not relevant to this histogram. Notes with durations not precisely matching one of these rhythmic note values are mapped to the closest note value (to filter out the effects of rubato or uneven human rhythmic performances, for example). This histogram is calculated without regard to the dynamics, voice or instrument of any given note.</t>
  </si>
  <si>
    <t>col114</t>
  </si>
  <si>
    <t>R-14 Range of Rhythmic Values: A measure of the difference between the shortest rhythmic values and the longest rhythmic values in the music. Measured in number of bins in the Rhythmic Value Histogram separating the first (i.e. the one with the shortest rhythmic value) non-zero bin and the last (i.e. the one with the longest rhythmic value) non-zero bin.</t>
  </si>
  <si>
    <t>Range_of_Rhythmic_Values</t>
  </si>
  <si>
    <t>col115</t>
  </si>
  <si>
    <t>R-15 Number of Different Rhythmic Values Present: Number of different quantized rhythmic values (e.g. quarter notes, dotted quarter notes, half notes, etc.) that occur at least once in the music. This is found by finding all non-zero entries in the Rhythmic Value Histogram.</t>
  </si>
  <si>
    <t>Number_of_Different_Rhythmic_Values_Present</t>
  </si>
  <si>
    <t>col116</t>
  </si>
  <si>
    <t>R-16 Number of Common Rhythmic Values Present: Number of different quantized rhythmic values (e.g. quarter notes, dotted quarter notes, half notes, etc.) that represent at least 15% of the rhythmic values in the music. This is found by examining the Rhythmic Value Histogram.</t>
  </si>
  <si>
    <t>Number_of_Common_Rhythmic_Values_Present</t>
  </si>
  <si>
    <t>col117</t>
  </si>
  <si>
    <t>R-17 Prevalence of Very Short Rhythmic Values: Fraction of all notes in the music that have a quantized rhythmic value less than an eighth note. This includes both pitched and unpitched notes, is calculated after rhythmic quantization, is not influenced by tempo, and is calculated without regard to the dynamics, voice or instrument of any given note.</t>
  </si>
  <si>
    <t>Prevalence_of_Very_Short_Rhythmic_Values</t>
  </si>
  <si>
    <t>col118</t>
  </si>
  <si>
    <t>R-18 Prevalence of Short Rhythmic Values: Fraction of all notes in the music that have a quantized rhythmic value less than a dotted eighth note. This includes both pitched and unpitched notes, is calculated after rhythmic quantization, is not influenced by tempo, and is calculated without regard to the dynamics, voice or instrument of any given note.</t>
  </si>
  <si>
    <t>Prevalence_of_Short_Rhythmic_Values</t>
  </si>
  <si>
    <t>col119</t>
  </si>
  <si>
    <t>R-19 Prevalence of Medium Rhythmic Values: Fraction of all notes in the music that have a quantized rhythmic value between an eighth note and a half note (inclusive). This includes both pitched and unpitched notes, is calculated after rhythmic quantization, is not influenced by tempo, and is calculated without regard to the dynamics, voice or instrument of any given note.</t>
  </si>
  <si>
    <t>Prevalence_of_Medium_Rhythmic_Values</t>
  </si>
  <si>
    <t>col120</t>
  </si>
  <si>
    <t>R-20 Prevalence of Long Rhythmic Values: Fraction of all notes in the music that have a quantized rhythmic value greater than a dotted quarter note. This includes both pitched and unpitched notes, is calculated after rhythmic quantization, is not influenced by tempo, and is calculated without regard to the dynamics, voice or instrument of any given note.</t>
  </si>
  <si>
    <t>Prevalence_of_Long_Rhythmic_Values</t>
  </si>
  <si>
    <t>col121</t>
  </si>
  <si>
    <t>R-21 Prevalence of Very Long Rhythmic Values: Fraction of all notes in the music that have a quantized rhythmic value greater than a whole note. This includes both pitched and unpitched notes, is calculated after rhythmic quantization, is not influenced by tempo, and is calculated without regard to the dynamics, voice or instrument of any given note.</t>
  </si>
  <si>
    <t>Prevalence_of_Very_Long_Rhythmic_Values</t>
  </si>
  <si>
    <t>col122</t>
  </si>
  <si>
    <t>R-22 Prevalence of Dotted Notes: Fraction of all notes in the music that have a quantized rhythmic value consisting of a dotted eighth note, dotted quarter note, dotted half note, dotted whole note or dotted double whole note. This includes both pitched and unpitched notes, is calculated after rhythmic quantization, is not influenced by tempo, and is calculated without regard to the dynamics, voice or instrument of any given note.</t>
  </si>
  <si>
    <t>Prevalence_of_Dotted_Notes</t>
  </si>
  <si>
    <t>col123</t>
  </si>
  <si>
    <t>R-23 Shortest Rhythmic Value: Rhythmic value of the shortest note in the piece, expressed as a fraction of a quarter note. For example, a value of 0.5 indicates that the shortest note is an eighth note. This calculation includes both pitched and unpitched notes, is calculated after rhythmic quantization, is not influenced by tempo, and is calculated without regard to the dynamics, voice or instrument of any given note.</t>
  </si>
  <si>
    <t>Shortest_Rhythmic_Value</t>
  </si>
  <si>
    <t>col124</t>
  </si>
  <si>
    <t>R-24 Longest Rhythmic Value: Rhythmic value of the longest note in the piece, expressed as a fraction of a quarter note. For example, a value of 2 indicates that the longest note is a half note. This calculation includes both pitched and unpitched notes, is calculated after rhythmic quantization, is not influenced by tempo, and is calculated without regard to the dynamics, voice or instrument of any given note.</t>
  </si>
  <si>
    <t>Longest_Rhythmic_Value</t>
  </si>
  <si>
    <t>col125</t>
  </si>
  <si>
    <t>R-25 Mean Rhythmic Value: The mean rhythmic value of the music, in quarter note units. For example, a Mean Rhythmic Value of 0.5 would mean that the duration of an eighth note corresponds to the mean average rhythmic value in the music. This calculation includes both pitched and unpitched notes, is calculated after rhythmic quantization, is not influenced by tempo, and is calculated without regard to the dynamics, voice or instrument of any given note.</t>
  </si>
  <si>
    <t>Mean_Rhythmic_Value</t>
  </si>
  <si>
    <t>col126</t>
  </si>
  <si>
    <t>R-26 Most Common Rhythmic Value: The most common rhythmic value of the music, in quarter note units. So, for example, a Most Common Rhythmic Value of 0.5 would mean that eighth notes occur more frequently than any other rhythmic value. This calculation includes both pitched and unpitched notes, is calculated after rhythmic quantization, is not influenced by tempo, and is calculated without regard to the dynamics, voice or instrument of any given note.</t>
  </si>
  <si>
    <t>Most_Common_Rhythmic_Value</t>
  </si>
  <si>
    <t>col127</t>
  </si>
  <si>
    <t>R-27 Prevalence of Most Common Rhythmic Value: The fraction of all notes that have a rhythmic value corresponding to the most common rhythmic value in the music. This calculation includes both pitched and unpitched notes, is calculated after rhythmic quantization, is not influenced by tempo, and is calculated without regard to the dynamics, voice or instrument of any given note.</t>
  </si>
  <si>
    <t>Prevalence_of_Most_Common_Rhythmic_Value</t>
  </si>
  <si>
    <t>col128</t>
  </si>
  <si>
    <t>R-28 Relative Prevalence of Most Common Rhythmic Values: Relative frequency of the of the second most common rhythmic value in the piece, divided by the relative frequency of the most common rhythmic value. This calculation includes both pitched and unpitched notes, is calculated after rhythmic quantization, is not influenced by tempo, and is calculated without regard to the dynamics, voice or instrument of any given note.</t>
  </si>
  <si>
    <t>Relative_Prevalence_of_Most_Common_Rhythmic_Values</t>
  </si>
  <si>
    <t>col129</t>
  </si>
  <si>
    <t>R-29 Difference Between Most Common Rhythmic Values: A measure of the difference between the two most common rhythmic values in the music. Measured in number of bins in the Rhythmic Value Histogram separating the two most common rhythmic values.</t>
  </si>
  <si>
    <t>Difference_Between_Most_Common_Rhythmic_Values</t>
  </si>
  <si>
    <t>col130</t>
  </si>
  <si>
    <t>R-30 Rhythmic Value Variability: Standard deviation of the note durations in quarter notes of all notes in the music. Provides a measure of how close the rhythmic values are to the mean rhythmic value. This calculation includes both pitched and unpitched notes, is calculated after rhythmic quantization, is not influenced by tempo, and is calculated without regard to the dynamics, voice or instrument of any given note.</t>
  </si>
  <si>
    <t>Rhythmic_Value_Variability</t>
  </si>
  <si>
    <t>col131</t>
  </si>
  <si>
    <t>R-31 Rhythmic Value Skewness: Skewness of the note durations in quarter notes of all notes in the music. Provides a measure of how asymmetrical the rhythmic value distribution is to either the left or the right of the mean rhythmic value. A value of zero indicates no skew. This calculation includes both pitched and unpitched notes, is calculated after rhythmic quantization, is not influenced by tempo, and is calculated without regard to the dynamics, voice or instrument of any given note.</t>
  </si>
  <si>
    <t>Rhythmic_Value_Skewness</t>
  </si>
  <si>
    <t>col132</t>
  </si>
  <si>
    <t>R-32 Rhythmic Value Kurtosis: Kurtosis of the note durations in quarter notes of all notes in the music. Provides a measure of how peaked or flat the rhythmic value distribution is. The higher the kurtosis, the more the rhythmic values are clustered near the mean and the fewer outliers there are. This calculation includes both pitched and unpitched notes, is calculated after rhythmic quantization, is not influenced by tempo, and is calculated without regard to the dynamics, voice or instrument of any given note.</t>
  </si>
  <si>
    <t>Rhythmic_Value_Kurtosis</t>
  </si>
  <si>
    <t>col133</t>
  </si>
  <si>
    <t>R-33 Rhythmic Value Median Run Lengths Histogram: A normalized feature vector that indicates, for each rhythmic value, the normalized median number of times that notes with that rhythmic value occur consecutively (either vertically or horizontally) in the same voice (MIDI channel and track). Each bin corresponds to a different rhythmic value, and they are numbered as follows: thirty second notes (or less) [0], sixteenth notes [1], eighth notes [2], dotted eighth notes [3], quarter notes [4], dotted quarter notes [5], half notes [6], dotted half notes [7], whole notes [8], dotted whole notes [9], double whole notes [10] and dotted double whole notes (or more ) [11]. Both pitched and unpitched notes are included in this histogram. Tempo is, of course, not relevant to this histogram. Notes with durations not precisely matching one of these rhythmic note values are mapped to the closest note value (to filter out the effects of rubato or uneven human rhythmic performances, for example). This histogram is calculated without regard to dynamics.</t>
  </si>
  <si>
    <t>col134</t>
  </si>
  <si>
    <t>R-34 Mean Rhythmic Value Run Length: Mean number of notes of the same rhythmic value that occur consecutively (either vertically or horizontally) in the same voice (MIDI channel and track). This calculation includes both pitched and unpitched notes, is calculated after rhythmic quantization and not influenced by neither tempo nor dynamics.</t>
  </si>
  <si>
    <t>Mean_Rhythmic_Value_Run_Length</t>
  </si>
  <si>
    <t>col135</t>
  </si>
  <si>
    <t>R-35 Median Rhythmic Value Run Length: Median number of notes of the same rhythmic value that occur consecutively (either vertically or horizontally) in the same voice (MIDI channel and track). This calculation includes both pitched and unpitched notes, is calculated after rhythmic quantization and not influenced by neither tempo nor dynamics.</t>
  </si>
  <si>
    <t>Median_Rhythmic_Value_Run_Length</t>
  </si>
  <si>
    <t>col136</t>
  </si>
  <si>
    <t>R-36 Variability in Rhythmic Value Run Lengths: Standard deviation of the numbers of notes of the same rhythmic value that occur consecutively (either vertically or horizontally) in the same voice (MIDI channel and track). This calculation includes both pitched and unpitched notes, is calculated after rhythmic quantization and not influenced by neither tempo nor dynamics.</t>
  </si>
  <si>
    <t>Variability_in_Rhythmic_Value_Run_Lengths</t>
  </si>
  <si>
    <t>col137</t>
  </si>
  <si>
    <t>R-37 Rhythmic Value Variability in Run Lengths Histogram: A normalized feature vector that indicates, for each rhythmic value, the normalized standard deviation of the number of times that notes with that rhythmic value occur consecutively (either vertically or horizontally) in the same voice (MIDI channel and track). Each bin corresponds to a different rhythmic value, and they are numbered as follows: thirty second notes (or less) [0], sixteenth notes [1], eighth notes [2], dotted eighth notes [3], quarter notes [4], dotted quarter notes [5], half notes [6], dotted half notes [7], whole notes [8], dotted whole notes [9], double whole notes [10] and dotted double whole notes (or more ) [11]. Both pitched and unpitched notes are included in this histogram. Tempo is, of course, not relevant to this histogram. Notes with durations not precisely matching one of these rhythmic note values are mapped to the closest note value (to filter out the effects of rubato or uneven human rhythmic performances, for example). This histogram is calculated without regard to dynamics.</t>
  </si>
  <si>
    <t>col138</t>
  </si>
  <si>
    <t>R-38 Mean Rhythmic Value Offset: Mean offset in duration of notes from the idealized durations of each of their nearest quantized rhythmic values, expressed as a fraction of the duration of an idealized quantized quarter note. Offsets are treated as absolute values, so offsets that are longer or shorter than each idealized duration are both treated as identical positive numbers in this calculation. This feature provides an indication of how consistently quantized note durations are or, expressed slightly differently, how well they conform to idealized note durations. Higher values indicate greater average deviation from idealized note durations. Both pitched and unpitched notes are included, and this is calculated without regard to the dynamics, voice or instrument of any given note.</t>
  </si>
  <si>
    <t>Mean_Rhythmic_Value_Offset</t>
  </si>
  <si>
    <t>Not standardized</t>
  </si>
  <si>
    <t>col139</t>
  </si>
  <si>
    <t>R-39 Median Rhythmic Value Offset: Median offset in duration of notes from the idealized durations of each of their nearest quantized rhythmic values, expressed as a fraction of the duration of an idealized quantized quarter note. Offsets are treated as absolute values, so offsets that are longer or shorter than each idealized duration are both treated as identical positive numbers in this calculation. This feature provides an indication of how consistently quantized note durations are or, expressed slightly differently, how well they conform to idealized note durations. Higher values indicate greater average deviation from idealized note durations. Both pitched and unpitched notes are included, and this is calculated without regard to the dynamics, voice or instrument of any given note.</t>
  </si>
  <si>
    <t>Median_Rhythmic_Value_Offset</t>
  </si>
  <si>
    <t>col140</t>
  </si>
  <si>
    <t>R-40 Variability of Rhythmic Value Offsets: Standard deviation of the offsets of note durations of notes from the idealized durations of each of their nearest quantized rhythmic values, expressed as a fraction of the duration of an idealized quantized quarter note. Offsets are treated as absolute values, so offsets that are longer or shorter than each idealized duration are both treated as identical positive numbers in this calculation. This feature provides an indication of how much these offsets vary or, expressed slightly differently, how rhythmically consistent note durations are. A higher value indicates greater variety in offsets between different notes. Both pitched and unpitched notes are included, and this is calculated without regard to the dynamics, voice or instrument of any given note.</t>
  </si>
  <si>
    <t>Variability_of_Rhythmic_Value_Offsets</t>
  </si>
  <si>
    <t>col141</t>
  </si>
  <si>
    <t>R-41 Complete Rests Fraction: Fraction of the music during which no pitched notes are sounding on any MIDI channel. Non-pitched (MIDI channel 10) notes are not considered in this calculation.</t>
  </si>
  <si>
    <t>Complete_Rests_Fraction</t>
  </si>
  <si>
    <t>col142</t>
  </si>
  <si>
    <t>R-42 Partial Rests Fraction: Fraction of the music during which no note is sounding on at least one active MIDI channel. Non-pitched (MIDI channel 10) notes ARE considered in this calculation. Only channels containing at least one note are counted in this calculation.</t>
  </si>
  <si>
    <t>Partial_Rests_Fraction</t>
  </si>
  <si>
    <t>Does not account for instruments not being played in some parts</t>
  </si>
  <si>
    <t>col143</t>
  </si>
  <si>
    <t>R-43 Average Rest Fraction Across Voices: Fraction of the duration of each MIDI channel during which no note is sounding on that channel, averaged across all channels that contain at least one note. Non-pitched (MIDI channel 10) notes ARE considered in this calculation.</t>
  </si>
  <si>
    <t>Average_Rest_Fraction_Across_Voices</t>
  </si>
  <si>
    <t>col144</t>
  </si>
  <si>
    <t>R-44 Longest Complete Rest: Longest amount of uninterrupted time (expressed as a fraction of the duration of a quarter note) in which no pitched notes are sounding on any MIDI channel. Non-pitched (MIDI channel 10) notes are not considered in this calculation. Rests shorter than 0.1 of a quarter note are ignored in this calculation.</t>
  </si>
  <si>
    <t>Longest_Complete_Rest</t>
  </si>
  <si>
    <t>col145</t>
  </si>
  <si>
    <t>R-45 Longest Partial Rest: Longest amount of uninterrupted time (expressed as a fraction of the duration of a quarter note) in which no notes are sounding on at least one active MIDI channel. Non-pitched (MIDI channel 10) notes ARE considered in this calculation. Only channels containing at least one note are counted in this calculation. Rests shorter than 0.1 of a quarter note are ignored in this calculation.</t>
  </si>
  <si>
    <t>Longest_Partial_Rest</t>
  </si>
  <si>
    <t>col146</t>
  </si>
  <si>
    <t>R-46 Mean Complete Rest Duration: Mean duration of complete rests in the piece, expressed as a fraction of the duration of a quarter note. A complete rest is defined as a period in which no pitched notes are sounding on any MIDI channel. Non-pitched (MIDI channel 10) notes are not considered in this calculation. Rests shorter than 0.1 of a quarter note are ignored in this calculation.</t>
  </si>
  <si>
    <t>Mean_Complete_Rest_Duration</t>
  </si>
  <si>
    <t>col147</t>
  </si>
  <si>
    <t>R-47 Mean Partial Rest Duration: Mean duration of rests in the piece, expressed as a fraction of the duration of a quarter note. This is calculated voice-by-voice, where each rest included in the calculation corresponds to a rest in one MIDI channel, regardless of what may or may not be happening simultaneously in any other MIDI channels. Non-pitched (MIDI channel 10) notes ARE considered in this calculation. Only channels containing at least one note are counted in this calculation. Rests shorter than 0.1 of a quarter note are ignored in this calculation.</t>
  </si>
  <si>
    <t>Mean_Partial_Rest_Duration</t>
  </si>
  <si>
    <t>col148</t>
  </si>
  <si>
    <t>R-48 Median Complete Rest Duration: Median duration of complete rests in the piece, expressed as a fraction of the duration of a quarter note. A complete rest is defined as a period in which no pitched notes are sounding on any MIDI channel. Non-pitched (MIDI channel 10) notes are not considered in this calculation. Rests shorter than 0.1 of a quarter note are ignored in this calculation.</t>
  </si>
  <si>
    <t>Median_Complete_Rest_Duration</t>
  </si>
  <si>
    <t>col149</t>
  </si>
  <si>
    <t>R-49 Median Partial Rest Duration: Median duration of rests in the piece, expressed as a fraction of the duration of a quarter note. This is calculated voice-by-voice, where each rest included in the calculation corresponds to a rest in one MIDI channel, regardless of what may or may not be happening simultaneously in any other MIDI channels. Non-pitched (MIDI channel 10) notes ARE considered in this calculation. Only channels containing at least one note are counted in this calculation. Rests shorter than 0.1 of a quarter note are ignored in this calculation.</t>
  </si>
  <si>
    <t>Median_Partial_Rest_Duration</t>
  </si>
  <si>
    <t>col150</t>
  </si>
  <si>
    <t>R-50 Variability of Complete Rest Durations: Standard deviation of the durations of all complete rests in the piece, expressed as a fraction of the duration of a quarter note. A complete rest is defined as a period in which no pitched notes are sounding on any MIDI channel. Non-pitched (MIDI channel 10) notes are not considered in this calculation. Rests shorter than 0.1 of a quarter note are ignored in this calculation.</t>
  </si>
  <si>
    <t>Variability_of_Complete_Rest_Durations</t>
  </si>
  <si>
    <t>col151</t>
  </si>
  <si>
    <t>R-51 Variability of Partial Rest Durations: Standard deviation of the durations of rests in the piece, expressed as a fraction of the duration of a quarter note. This is calculated voice-by-voice, where each rest included in the calculation corresponds to a rest in one MIDI channel, regardless of what may or may not be happening simultaneously in any other MIDI channels. Non-pitched (MIDI channel 10) notes ARE considered in this calculation. Only channels containing at least one note are counted in this calculation. Rests shorter than 0.1 of a quarter note are ignored in this calculation.</t>
  </si>
  <si>
    <t>Variability_of_Partial_Rest_Durations</t>
  </si>
  <si>
    <t>col152</t>
  </si>
  <si>
    <t>R-52 Variability Across Voices of Combined Rests: Standard deviation of the total amount of time (expressed as a fraction of the duration of a quarter note) per active MIDI channel in which no notes are sounding in that channel. Only channels containing at least one note are counted in this calculation. Non-pitched (MIDI channel 10) notes ARE considered in this calculation.</t>
  </si>
  <si>
    <t>Variability_Across_Voices_of_Combined_Rests</t>
  </si>
  <si>
    <t>col153</t>
  </si>
  <si>
    <t>R-53 Beat Histogram Tempo Standardized: A feature vector consisting of the bin magnitudes of the beat histogram described in the jSymbolic manual. However, the tempo of the music is standardized to 120 BPM throughout the piece before this histogram is calculated. This means that variations in tempo within a single piece are in effect eliminated for the purposes of this histogram. The tempo-independent beat histograms of different pieces can also be compared in a way that is independent of potential tempo differences between the pieces. Rubato and dynamics do still influence the tempo-independent beat histogram, however. Also, the first 40 bins are not included in this feature vector, as is the case with the basic beat histogram. Each bin corresponds to a different beats per minute periodicity, with tempo increasing with the bin index. The magnitude of each bin is proportional to the cumulative loudness (MIDI velocity) of the notes that occur at that bin's rhythmic periodicity. The histogram is normalized.</t>
  </si>
  <si>
    <t>col154</t>
  </si>
  <si>
    <t>R-54 Number of Strong Rhythmic Pulses – Tempo Standardized: Number of tempo-standardized beat histogram peaks with normalized magnitudes over 0.1.</t>
  </si>
  <si>
    <t>Number_of_Strong_Rhythmic_Pulses_-_Tempo_Standardized</t>
  </si>
  <si>
    <t>col155</t>
  </si>
  <si>
    <t>R-55 Number of Moderate Rhythmic Pulses – Tempo Standardized: Number of tempo-standardized beat histogram peaks with normalized magnitudes over 0.01.</t>
  </si>
  <si>
    <t>Number_of_Moderate_Rhythmic_Pulses_-_Tempo_Standardized</t>
  </si>
  <si>
    <t>col156</t>
  </si>
  <si>
    <t>R-56 Number of Relatively Strong Rhythmic Pulses – Tempo Standardized: Number of tempo-standardized beat histogram peaks with magnitudes at least 30% as high as the magnitude of the tempo-standardized beat histogram peak with the highest magnitude.</t>
  </si>
  <si>
    <t>Number_of_Relatively_Strong_Rhythmic_Pulses_-_Tempo_Standardized</t>
  </si>
  <si>
    <t>col157</t>
  </si>
  <si>
    <t>R-57 Strongest Rhythmic Pulse – Tempo Standardized: Bin index of the tempo-standardized beat histogram bin with the highest magnitude.</t>
  </si>
  <si>
    <t>Strongest_Rhythmic_Pulse_-_Tempo_Standardized</t>
  </si>
  <si>
    <t>Single value</t>
  </si>
  <si>
    <t>col158</t>
  </si>
  <si>
    <t>R-58 Second Strongest Rhythmic Pulse – Tempo Standardized: Bin index of the tempo-standardized beat histogram peak with the second highest magnitude.</t>
  </si>
  <si>
    <t>Second_Strongest_Rhythmic_Pulse_-_Tempo_Standardized</t>
  </si>
  <si>
    <t>col159</t>
  </si>
  <si>
    <t>R-59 Harmonicity of Two Strongest Rhythmic Pulses – Tempo Standardized: Bin index of the higher (in terms of bin index) of the two tempo-standardized beat histogram peaks with the highest magnitude, divided by the index of the lower (in terms of bin index) of the two bins.</t>
  </si>
  <si>
    <t>Harmonicity_of_Two_Strongest_Rhythmic_Pulses_-_Tempo_Standardized</t>
  </si>
  <si>
    <t>col160</t>
  </si>
  <si>
    <t>R-60 Strength of Strongest Rhythmic Pulse – Tempo Standardized: Magnitude of the tempo-standardized beat histogram bin with the highest magnitude.</t>
  </si>
  <si>
    <t>Strength_of_Strongest_Rhythmic_Pulse_-_Tempo_Standardized</t>
  </si>
  <si>
    <t>Not standardized (some other arrangements prefer higher velocity)</t>
  </si>
  <si>
    <t>col161</t>
  </si>
  <si>
    <t>R-61 Strength of Second Strongest Rhythmic Pulse – Tempo Standardized: Magnitude of the tempo-standardized beat histogram peak with the second highest magnitude.</t>
  </si>
  <si>
    <t>Strength_of_Second_Strongest_Rhythmic_Pulse_-_Tempo_Standardized</t>
  </si>
  <si>
    <t>col162</t>
  </si>
  <si>
    <t>R-62 Strength Ratio of Two Strongest Rhythmic Pulses – Tempo Standardized: Magnitude of the tempo-standardized beat histogram peak with the highest magnitude divided by the magnitude of the beat histogram peak with the second highest magnitude.</t>
  </si>
  <si>
    <t>Strength_Ratio_of_Two_Strongest_Rhythmic_Pulses_-_Tempo_Standardized</t>
  </si>
  <si>
    <t>col163</t>
  </si>
  <si>
    <t>R-63 Combined Strength of Two Strongest Rhythmic Pulses – Tempo Standardized: Sum of the magnitudes of the two tempo-standardized beat histogram peaks with the highest magnitudes.</t>
  </si>
  <si>
    <t>Combined_Strength_of_Two_Strongest_Rhythmic_Pulses_-_Tempo_Standardized</t>
  </si>
  <si>
    <t>col164</t>
  </si>
  <si>
    <t>R-64 Rhythmic Variability – Tempo Standardized: Standard deviation of the tempo-standardized beat histogram bin magnitudes.</t>
  </si>
  <si>
    <t>Rhythmic_Variability_-_Tempo_Standardized</t>
  </si>
  <si>
    <t>col165</t>
  </si>
  <si>
    <t>R-65 Rhythmic Looseness – Tempo Standardized: Average width of tempo-standardized beat histogram peaks. The width of a peak is defined here as the distance (in beats per minute) between the two points on the peak in question that have magnitudes closest to 30% of the height of the peak. Only peaks with magnitudes at least 30% as high as the highest peak are considered in this calculation.</t>
  </si>
  <si>
    <t>Rhythmic_Looseness_-_Tempo_Standardized</t>
  </si>
  <si>
    <t>col166</t>
  </si>
  <si>
    <t>R-66 Polyrhythms – Tempo Standardized: Number of tempo-standardized beat histogram peaks with magnitudes at least 30% as high as the magnitude of the highest peak, and whose bin labels are not integer multiples or factors (using only multipliers of 1, 2, 3, 4, 6 and 8, and with an accepted error of +/- 3 bins) of the bin label of the peak with the highest magnitude. This number is then divided by the total number of bins with frequencies over 30% of the highest magnitude.</t>
  </si>
  <si>
    <t>Polyrhythms_-_Tempo_Standardized</t>
  </si>
  <si>
    <t>col167</t>
  </si>
  <si>
    <t>RT-1 Initial Tempo: Tempo in beats per minute at the start of the piece. Set to the default MIDI value (120 BPM) if no tempo is specified explicitly.</t>
  </si>
  <si>
    <t>Initial_Tempo</t>
  </si>
  <si>
    <t>col168</t>
  </si>
  <si>
    <t>RT-2 Mean Tempo: Average tempo of the piece in beats per minute. Set to the default MIDI value (120 BPM) if no tempo is specified explicitly.</t>
  </si>
  <si>
    <t>Mean_Tempo</t>
  </si>
  <si>
    <t>col169</t>
  </si>
  <si>
    <t>RT-3 Tempo Variability: Standard deviation of the tempo in beats per minute.</t>
  </si>
  <si>
    <t>Tempo_Variability</t>
  </si>
  <si>
    <t>col170</t>
  </si>
  <si>
    <t>RT-4 Duration in Seconds: Total duration (in seconds) of the piece.</t>
  </si>
  <si>
    <t>Duration_in_Seconds</t>
  </si>
  <si>
    <t>col171</t>
  </si>
  <si>
    <t>RT-5 Note Density: Average number of notes per second. Takes into account all notes in all voices, including both pitched and unpitched notes.</t>
  </si>
  <si>
    <t>Note_Density</t>
  </si>
  <si>
    <t>col172</t>
  </si>
  <si>
    <t>RT-6 Note Density Variability: How much the note density (average number of notes per second) varies throughout the piece. Takes into account all notes in all voices, including both pitched and unpitched notes. In order to calculate this, the piece is broken into windows of 5 second duration, and the note density of each window is calculated. The final value of this feature is then found by calculating the standard deviation of the note densities of these windows. Set to 0 if there is insufficient music for more than one window.</t>
  </si>
  <si>
    <t>Note_Density_Variability</t>
  </si>
  <si>
    <t>col173</t>
  </si>
  <si>
    <t>RT-7 Average Time Between Attacks: Average time (in seconds) between Note On events (regardless of MIDI channel). Set to 0 if there are less than two attacks.</t>
  </si>
  <si>
    <t>Average_Time_Between_Attacks</t>
  </si>
  <si>
    <t>col174</t>
  </si>
  <si>
    <t>RT-8 Average Time Between Attacks for Each Voice: Average of the individual channel averages of time (in seconds) between Note On events in each given MIDI channel. Only channels that contain at least one note are included in this calculation.</t>
  </si>
  <si>
    <t>Average_Time_Between_Attacks_for_Each_Voice</t>
  </si>
  <si>
    <t>col175</t>
  </si>
  <si>
    <t>RT-9 Variability of Time Between Attacks: Standard deviation of the times (in seconds) between Note On events (regardless of MIDI channel).</t>
  </si>
  <si>
    <t>Variability_of_Time_Between_Attacks</t>
  </si>
  <si>
    <t>col176</t>
  </si>
  <si>
    <t>RT-10 Average Variability of Time Between Attacks for Each Voice: Average of the standard deviations (in seconds) of each individual MIDI channel's time between Note On events. Only channels that contain at least one note are included in this calculation.</t>
  </si>
  <si>
    <t>Average_Variability_of_Time_Between_Attacks_for_Each_Voice</t>
  </si>
  <si>
    <t>col177</t>
  </si>
  <si>
    <t>RT-11 Minimum Note Duration: Duration of the shortest note in the piece (in seconds). Set to 0 if there are no notes.</t>
  </si>
  <si>
    <t>Minimum_Note_Duration</t>
  </si>
  <si>
    <t>col178</t>
  </si>
  <si>
    <t>RT-12 Maximum Note Duration: Duration of the longest note in the piece (in seconds).</t>
  </si>
  <si>
    <t>Maximum_Note_Duration</t>
  </si>
  <si>
    <t>col179</t>
  </si>
  <si>
    <t>RT-13 Average Note Duration: Average duration of notes (in seconds).</t>
  </si>
  <si>
    <t>Average_Note_Duration</t>
  </si>
  <si>
    <t>col180</t>
  </si>
  <si>
    <t>RT-14 Variability of Note Durations: Standard deviation of note durations (in seconds).</t>
  </si>
  <si>
    <t>Variability_of_Note_Durations</t>
  </si>
  <si>
    <t>col181</t>
  </si>
  <si>
    <t>RT-15 Amount of Staccato: Number of notes with a duration less than 0.1 seconds, divided by the total number of notes in the piece.</t>
  </si>
  <si>
    <t>Amount_of_Staccato</t>
  </si>
  <si>
    <t>col182</t>
  </si>
  <si>
    <t>RT-16 Beat Histogram: A feature vector consisting of the bin magnitudes of the beat histogram described above. The first 40 bins are not included in this feature vector, however. Each bin corresponds to a different beats per minute periodicity, with tempo increasing with the bin index. The magnitude of each bin is proportional to the cumulative loudness (MIDI velocity) of the notes that occur at that bin's rhythmic periodicity. The histogram is normalized.</t>
  </si>
  <si>
    <t>col183</t>
  </si>
  <si>
    <t>RT-17 Number of Strong Rhythmic Pulses: Number of beat histogram peaks with normalized magnitudes over 0.1.</t>
  </si>
  <si>
    <t>Number_of_Strong_Rhythmic_Pulses</t>
  </si>
  <si>
    <t>col184</t>
  </si>
  <si>
    <t>RT-18 Number of Moderate Rhythmic Pulses: Number of beat histogram peaks with normalized magnitudes over 0.01.</t>
  </si>
  <si>
    <t>Number_of_Moderate_Rhythmic_Pulses</t>
  </si>
  <si>
    <t>col185</t>
  </si>
  <si>
    <t>RT-19 Number of Relatively Strong Rhythmic Pulses: Number of beat histogram peaks with magnitudes at least 30% as high as the magnitude of the beat histogram peak with the highest magnitude.</t>
  </si>
  <si>
    <t>Number_of_Relatively_Strong_Rhythmic_Pulses</t>
  </si>
  <si>
    <t>col186</t>
  </si>
  <si>
    <t>RT-20 Strongest Rhythmic Pulse: Bin index of the beat histogram bin with the highest magnitude.</t>
  </si>
  <si>
    <t>Strongest_Rhythmic_Pulse</t>
  </si>
  <si>
    <t>col187</t>
  </si>
  <si>
    <t>RT-21 Second Strongest Rhythmic Pulse: Bin index of the beat histogram peak with the second highest magnitude.</t>
  </si>
  <si>
    <t>Second_Strongest_Rhythmic_Pulse</t>
  </si>
  <si>
    <t>col188</t>
  </si>
  <si>
    <t>RT-22 Harmonicity of Two Strongest Rhythmic Pulses: Bin index of the higher (in terms of bin index) of the two beat histogram peaks with the highest magnitude, divided by the index of the lower (in terms of bin index) of the two bins.</t>
  </si>
  <si>
    <t>Harmonicity_of_Two_Strongest_Rhythmic_Pulses</t>
  </si>
  <si>
    <t>col189</t>
  </si>
  <si>
    <t>RT-23 Strength of Strongest Rhythmic Pulse: Magnitude of the beat histogram bin with the highest magnitude.</t>
  </si>
  <si>
    <t>Strength_of_Strongest_Rhythmic_Pulse</t>
  </si>
  <si>
    <t>Single Value</t>
  </si>
  <si>
    <t>col190</t>
  </si>
  <si>
    <t>RT-24 Strength of Second Strongest Rhythmic Pulse: Magnitude of the beat histogram peak with the second highest magnitude.</t>
  </si>
  <si>
    <t>Strength_of_Second_Strongest_Rhythmic_Pulse</t>
  </si>
  <si>
    <t>col191</t>
  </si>
  <si>
    <t>RT-25 Strength Ratio of Two Strongest Rhythmic Pulses: Magnitude of the beat histogram peak with the highest magnitude divided by the magnitude of the beat histogram peak with the second highest magnitude.</t>
  </si>
  <si>
    <t>Strength_Ratio_of_Two_Strongest_Rhythmic_Pulses</t>
  </si>
  <si>
    <t>col192</t>
  </si>
  <si>
    <t>RT-26 Combined Strength of Two Strongest Rhythmic Pulses: Sum of the magnitudes of the two beat histogram peaks with the highest magnitudes.</t>
  </si>
  <si>
    <t>Combined_Strength_of_Two_Strongest_Rhythmic_Pulses</t>
  </si>
  <si>
    <t>col193</t>
  </si>
  <si>
    <t>RT-27 Rhythmic Variability: Standard deviation of the beat histogram bin magnitudes.</t>
  </si>
  <si>
    <t>Rhythmic_Variability</t>
  </si>
  <si>
    <t>col194</t>
  </si>
  <si>
    <t>RT-28 Rhythmic Looseness: Average width of beat histogram peaks. The width of a peak is defined here as the distance (in beats per minute) between the two points on the peak in question that have magnitudes closest to 30% of the height of the peak. Only peaks with magnitudes at least 30% as high as the highest peak are considered in this calculation.</t>
  </si>
  <si>
    <t>Rhythmic_Looseness</t>
  </si>
  <si>
    <t>col195</t>
  </si>
  <si>
    <t>RT-29 Polyrhythms: Number of beat histogram peaks with magnitudes at least 30% as high as the magnitude of the highest peak, and whose bin labels are not integer multiples or factors (using only multipliers of 1, 2, 3, 4, 6 and 8, and with an accepted error of +/- 3 bins) of the bin label of the peak with the highest magnitude. This number is then divided by the total number of bins with frequencies over 30% of the highest magnitude.</t>
  </si>
  <si>
    <t>Polyrhythms</t>
  </si>
  <si>
    <t>col196</t>
  </si>
  <si>
    <t>I-1 Pitched Instruments Present: A feature vector indicating which pitched instruments are present. Has one entry for each of the 128 General MIDI Instrument patches (0 is Acoustic Piano, 40 is Violin, etc.). Each value is set to 1 if at least one note is played using the corresponding patch, or to 0 if that patch is never used.</t>
  </si>
  <si>
    <t>col197</t>
  </si>
  <si>
    <t>I-2 Unpitched Instruments Present: A feature vector indicating which unpitched instruments are present. Has one entry for each of the 47 MIDI Percussion Key Map instruments. Each value is set to 1 if at least one note is played using the corresponding instrument, or to 0 if that instrument is never used. It should be noted that only MIDI Channel 10 instruments 35 to 81 are included here, as they are the ones that meet the official standard (they are correspondingly indexed in this feature vector from 0 to 46, such that index 0 corresponds to Acoustic Bass Drum, index 4 corresponds to Hand Clap, etc.).</t>
  </si>
  <si>
    <t>col198</t>
  </si>
  <si>
    <t>I-3 Note Prevalence of Pitched Instruments: A feature vector indicating the fraction of (pitched) notes played with each of the 128 General MIDI Instrument patches (0 is Acoustic Piano, 40 is Violin, etc.). Has one entry for each of these instruments, and the value of each is set to the number of Note Ons played with the corresponding MIDI patch, divided by the total number of Note Ons in the piece.</t>
  </si>
  <si>
    <t>col199</t>
  </si>
  <si>
    <t>I-4 Note Prevalence of Unpitched Instruments: A feature vector indicating the fraction of (unpitched) notes played with each of the 47 MIDI Percussion Key Map instruments. Has one entry for each of these 47 instruments, and the value of each is set to the number of Note Ons played with the corresponding instrument, divided by the total number of Note Ons in the piece. It should be noted that only MIDI Channel 10 instruments 35 to 81 are included here, as they are the ones that meet the official standard (they are correspondingly indexed in this feature vector from 0 to 46, such that index 0 corresponds to Acoustic Bass Drum, index 4 corresponds to Hand Clap, etc.).</t>
  </si>
  <si>
    <t>col200</t>
  </si>
  <si>
    <t>I-5 Time Prevalence of Pitched Instruments: A feature vector indicating the fraction of time during which (pitched) notes are being sounded by each of the 128 General MIDI Instrument patches (0 is Acoustic Piano, 40 is Violin, etc.). Has one entry for each of these instruments, and the value of each is set to to the total time in seconds in a piece during which at least one note is being sounded with the corresponding MIDI patch, divided by the total length of the piece in seconds.</t>
  </si>
  <si>
    <t>col201</t>
  </si>
  <si>
    <t>I-6 Variability of Note Prevalence of Pitched Instruments: Standard deviation of the fraction of total notes in the piece played by each (pitched) General MIDI Instrument patch that is used to play at least one note.</t>
  </si>
  <si>
    <t>Variability_of_Note_Prevalence_of_Pitched_Instruments</t>
  </si>
  <si>
    <t>col202</t>
  </si>
  <si>
    <t>I-7 Variability of Note Prevalence of Unpitched Instruments: Standard deviation of the fraction of total notes in the piece played by each (unpitched) MIDI Percussion Key Map instrument that is used to play at least one note. It should be noted that only MIDI Channel 10 instruments 35 to 81 are included here, as they are the ones that meet the official standard.</t>
  </si>
  <si>
    <t>Variability_of_Note_Prevalence_of_Unpitched_Instruments</t>
  </si>
  <si>
    <t>col203</t>
  </si>
  <si>
    <t>I-8 Number of Pitched Instruments: Total number of (pitched) General MIDI instrument patches that are used to play at least one note.</t>
  </si>
  <si>
    <t>Number_of_Pitched_Instruments</t>
  </si>
  <si>
    <t>col204</t>
  </si>
  <si>
    <t>I-9 Number of Unpitched Instruments: Total number of (unpitched) MIDI Percussion Key Map instruments that are used to play at least one note. It should be noted that only MIDI Channel 10 instruments 35 to 81 are included here, as they are the ones that meet the official standard.</t>
  </si>
  <si>
    <t>Number_of_Unpitched_Instruments</t>
  </si>
  <si>
    <t>col205</t>
  </si>
  <si>
    <t>I-10 Unpitched Percussion Instrument Prevalence: Fraction of all Note Ons played by (unpitched) MIDI Percussion Key Map instruments. It should be noted that only MIDI Channel 10 instruments 35 to 81 are included here, as they are the ones that meet the official standard.</t>
  </si>
  <si>
    <t>Unpitched_Percussion_Instrument_Prevalence</t>
  </si>
  <si>
    <t>col206</t>
  </si>
  <si>
    <t>I-11 String Keyboard Prevalence: Fraction of all Note Ons played by string keyboard instruments (General MIDI patches 1 to 8).</t>
  </si>
  <si>
    <t>String_Keyboard_Prevalence</t>
  </si>
  <si>
    <t>col207</t>
  </si>
  <si>
    <t>I-12 Acoustic Guitar Prevalence: Fraction of all Note Ons played by acoustic guitar instruments (General MIDI patches 25 and 26).</t>
  </si>
  <si>
    <t>Acoustic_Guitar_Prevalence</t>
  </si>
  <si>
    <t>col208</t>
  </si>
  <si>
    <t>I-13 Electric Guitar Prevalence: Fraction of all Note Ons played by electric guitar instruments (General MIDI patches 27 to 32).</t>
  </si>
  <si>
    <t>Electric_Guitar_Prevalence</t>
  </si>
  <si>
    <t>col209</t>
  </si>
  <si>
    <t>I-14 Violin Prevalence: Fraction of all Note Ons played by violin instruments (General MIDI patches 41 or 111).</t>
  </si>
  <si>
    <t>Violin_Prevalence</t>
  </si>
  <si>
    <t>col210</t>
  </si>
  <si>
    <t>I-15 Saxophone Prevalence: Fraction of all Note Ons played by saxophone instruments (General MIDI patches 65 to 68).</t>
  </si>
  <si>
    <t>Saxophone_Prevalence</t>
  </si>
  <si>
    <t>col211</t>
  </si>
  <si>
    <t>I-16 Brass Prevalence: Fraction of all Note Ons played by brass instruments, including saxophones (General MIDI patches 57 to 68).</t>
  </si>
  <si>
    <t>Brass_Prevalence</t>
  </si>
  <si>
    <t>col212</t>
  </si>
  <si>
    <t>I-17 Woodwinds Prevalence: Fraction of all Note Ons played by woodwind instruments (General MIDI patches 69 to 76).</t>
  </si>
  <si>
    <t>Woodwinds_Prevalence</t>
  </si>
  <si>
    <t>col213</t>
  </si>
  <si>
    <t>I-18 Orchestral Strings Prevalence: Fraction of all Note Ons played by orchestral string instruments (General MIDI patches 41 to 47).</t>
  </si>
  <si>
    <t>Orchestral_Strings_Prevalence</t>
  </si>
  <si>
    <t>col214</t>
  </si>
  <si>
    <t>I-19 String Ensemble Prevalence: Fraction of all Note Ons played by orchestral string ensemble instruments (General MIDI patches 49 to 52).</t>
  </si>
  <si>
    <t>String_Ensemble_Prevalence</t>
  </si>
  <si>
    <t>col215</t>
  </si>
  <si>
    <t>I-20 Electric Instrument Prevalence: Fraction of all Note Ons played by electric non-"synth" instruments (General MIDI patches 5, 6, 17, 19, 27 to 32, 34 to 40).</t>
  </si>
  <si>
    <t>Electric_Instrument_Prevalence</t>
  </si>
  <si>
    <t>col216</t>
  </si>
  <si>
    <t>T-1 Maximum Number of Independent Voices: Maximum number of different channels in which notes are sounded simultaneously.</t>
  </si>
  <si>
    <t>Maximum_Number_of_Independent_Voices</t>
  </si>
  <si>
    <t>col217</t>
  </si>
  <si>
    <t>T-2 Average Number of Independent Voices: Average number of different channels in which notes are sounded simultaneously. Rests are not included in this calculation.</t>
  </si>
  <si>
    <t>Average_Number_of_Independent_Voices</t>
  </si>
  <si>
    <t>col218</t>
  </si>
  <si>
    <t>T-3 Variability of Number of Independent Voices: Standard deviation of the number of different channels in which notes are sounded simultaneously at each given moment (MIDI tick). Rests are not included in this calculation.</t>
  </si>
  <si>
    <t>Variability_of_Number_of_Independent_Voices</t>
  </si>
  <si>
    <t>col219</t>
  </si>
  <si>
    <t>T-4 Voice Equality – Number of Notes: Standard deviation of the total number of Note Ons in each channel that contains at least one note.</t>
  </si>
  <si>
    <t>Voice_Equality_-_Number_of_Notes</t>
  </si>
  <si>
    <t>col220</t>
  </si>
  <si>
    <t>T-5 Voice Equality – Note Duration: Standard deviation of the cumulative amount of time during which one or more notes were sounding in each channel that contains at least one note.</t>
  </si>
  <si>
    <t>Voice_Equality_-_Note_Duration</t>
  </si>
  <si>
    <t>col221</t>
  </si>
  <si>
    <t>T-6 Voice Equality – Dynamics: Standard deviation of the average loudness (MIDI velocity) of notes in each channel that contains at least one note.</t>
  </si>
  <si>
    <t>Voice_Equality_-_Dynamics</t>
  </si>
  <si>
    <t>col222</t>
  </si>
  <si>
    <t>T-7 Voice Equality – Melodic Leaps: Standard deviation of the average melodic leap distance of each channel that contains at least one note.</t>
  </si>
  <si>
    <t>Voice_Equality_-_Melodic_Leaps</t>
  </si>
  <si>
    <t>col223</t>
  </si>
  <si>
    <t>T-8 Voice Equality – Range: Standard deviation of the differences between the highest and lowest pitches in each channel that contains at least one note.</t>
  </si>
  <si>
    <t>Voice_Equality_-_Range</t>
  </si>
  <si>
    <t>col224</t>
  </si>
  <si>
    <t>T-9 Importance of Loudest Voice: Difference between the average loudness (MIDI velocity) of the loudest channel and the average loudness of the other channels that contain at least one note.</t>
  </si>
  <si>
    <t>Importance_of_Loudest_Voice</t>
  </si>
  <si>
    <t>col225</t>
  </si>
  <si>
    <t>T-10 Relative Range of Loudest Voice: Difference between the highest note and the lowest note played in the channel with the highest average loudness (MIDI velocity), divided by the difference between the highest note and the lowest note in the piece as a whole. Set to 0 if there if there are fewer than 2 pitches in the music.</t>
  </si>
  <si>
    <t>Relative_Range_of_Loudest_Voice</t>
  </si>
  <si>
    <t>col226</t>
  </si>
  <si>
    <t>T-11 Relative Range Isolation of Loudest Voice: Number of pitched notes in the MIDI channel with the highest average loudness that fall outside the range of any other pitched channel, divided by the total number of notes in the channel with the highest average loudness. Set to 0 if there are only 0 or 1 channels containing pitched notes.</t>
  </si>
  <si>
    <t>Relative_Range_Isolation_of_Loudest_Voice</t>
  </si>
  <si>
    <t>col227</t>
  </si>
  <si>
    <t>T-12 Relative Range of Highest Line: Pitch difference in semitones between the highest note and the lowest note played in the channel with the highest average pitch, divided by the difference between the highest note and the lowest note in the piece overall. Set to 0 if there if there are fewer than 2 pitches in the music.</t>
  </si>
  <si>
    <t>Relative_Range_of_Highest_Line</t>
  </si>
  <si>
    <t>col228</t>
  </si>
  <si>
    <t>T-13 Relative Note Density of Highest Line: Number of Note Ons in the channel with the highest average pitch, divided by the average number of Note Ons in all channels that contain at least one note.</t>
  </si>
  <si>
    <t>Relative_Note_Density_of_Highest_Line</t>
  </si>
  <si>
    <t>col229</t>
  </si>
  <si>
    <t>T-14 Relative Note Durations of Lowest Line: Average duration of notes (in seconds) in the channel with the lowest average pitch, divided by the average duration of notes in all channels that contain at least one note.</t>
  </si>
  <si>
    <t>Relative_Note_Durations_of_Lowest_Line</t>
  </si>
  <si>
    <t>col230</t>
  </si>
  <si>
    <t>T-15 Relative Size of Melodic Intervals in Lowest Line: Average melodic interval in semitones in the channel with the lowest average pitch, divided by the average melodic interval in all channels that contain at least two notes.</t>
  </si>
  <si>
    <t>Relative_Size_of_Melodic_Intervals_in_Lowest_Line</t>
  </si>
  <si>
    <t>col231</t>
  </si>
  <si>
    <t>T-16 Voice Overlap: Number of notes played within the range of another channel, divided by the total number of notes in the piece as a whole.</t>
  </si>
  <si>
    <t>Voice_Overlap</t>
  </si>
  <si>
    <t>col232</t>
  </si>
  <si>
    <t>T-17 Voice Separation: Average separation in semitones between the average pitches of consecutive channels (after sorting based on average pitch) that contain at least one note.</t>
  </si>
  <si>
    <t>Voice_Separation</t>
  </si>
  <si>
    <t>col233</t>
  </si>
  <si>
    <t>T-18 Variability of Voice Separation: Average separation in semi-tones between the average pitches of consecutive channels (after sorting based on average pitch) that contain at least one note.</t>
  </si>
  <si>
    <t>Variability_of_Voice_Separation</t>
  </si>
  <si>
    <t>col234</t>
  </si>
  <si>
    <t>T-19 Parallel Motion: Fraction of movements between voices that consist of parallel motion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t>
  </si>
  <si>
    <t>Parallel_Motion</t>
  </si>
  <si>
    <t>col235</t>
  </si>
  <si>
    <t>T-20 Similar Motion: Fraction of movements between voices that consist of similar motion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t>
  </si>
  <si>
    <t>Similar_Motion</t>
  </si>
  <si>
    <t>col236</t>
  </si>
  <si>
    <t>T-21 Contrary Motion: Fraction of movements between voices that consist of contrary motion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t>
  </si>
  <si>
    <t>Contrary_Motion</t>
  </si>
  <si>
    <t>col237</t>
  </si>
  <si>
    <t>T-22 Oblique Motion: Fraction of movements between voices that consist of oblique motion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t>
  </si>
  <si>
    <t>Oblique_Motion</t>
  </si>
  <si>
    <t>col238</t>
  </si>
  <si>
    <t>T-23 Parallel Fifths: Fraction of movements between voices that consist of parallel fifths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t>
  </si>
  <si>
    <t>Parallel_Fifths</t>
  </si>
  <si>
    <t>col239</t>
  </si>
  <si>
    <t>T-24 Parallel Octaves: Fraction of movements between voices that consist of parallel octaves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t>
  </si>
  <si>
    <t>Parallel_Octaves</t>
  </si>
  <si>
    <t>col240</t>
  </si>
  <si>
    <t>D-1 Dynamic Range: Loudness of the loudest note in the piece, minus the loudness of the softest note.</t>
  </si>
  <si>
    <t>Dynamic_Range</t>
  </si>
  <si>
    <t>col241</t>
  </si>
  <si>
    <t>D-2 Variation of Dynamics: Standard deviation of loudness levels across all notes.</t>
  </si>
  <si>
    <t>Variation_of_Dynamics</t>
  </si>
  <si>
    <t>col242</t>
  </si>
  <si>
    <t>D-3 Variation of Dynamics in Each Voice: Standard deviations of note loudness levels within each MIDI channel, averaged across all channels. Only channels that contain at least one note are included in this calculation.</t>
  </si>
  <si>
    <t>Variation_of_Dynamics_In_Each_Voice</t>
  </si>
  <si>
    <t>col243</t>
  </si>
  <si>
    <t>D-4 Average Note to Note Change in Dynamics: Average change of loudness from one note to the next note in the same MIDI channel.</t>
  </si>
  <si>
    <t>Average_Note_to_Note_Change_in_Dynamics</t>
  </si>
  <si>
    <t>col244</t>
  </si>
  <si>
    <t>S-1 Number of Grace Notes: The total number of grace notes in a piece (i.e. the number of notes indicated as grace notes in the MEI encoding) divided by the total number of pitched notes in the music.</t>
  </si>
  <si>
    <t>col245</t>
  </si>
  <si>
    <t>S-2 Number of Slurs: The total number of notes marked with slurs in the piece (i.e. the number of notes indicated as notes with slurs in the MEI encoding) divided by the total number of pitched notes in the music.</t>
  </si>
  <si>
    <t>col246</t>
  </si>
  <si>
    <t>TOTAL FEATURES</t>
  </si>
  <si>
    <t>Feature Set 1 Count</t>
  </si>
  <si>
    <t>Feature Set 2 Count</t>
  </si>
  <si>
    <t xml:space="preserve"> </t>
  </si>
  <si>
    <t>Queen</t>
  </si>
  <si>
    <t>Queen II</t>
  </si>
  <si>
    <t>Sheer Heart Attack</t>
  </si>
  <si>
    <t>A Night At The Opera</t>
  </si>
  <si>
    <t>A Day At The Races</t>
  </si>
  <si>
    <t>News Of The World</t>
  </si>
  <si>
    <t>Jazz</t>
  </si>
  <si>
    <t>The Game</t>
  </si>
  <si>
    <t>Flash Gordon</t>
  </si>
  <si>
    <t>Hot Space</t>
  </si>
  <si>
    <t>The Works</t>
  </si>
  <si>
    <t>A Kind Of Magic</t>
  </si>
  <si>
    <t>The Miracle</t>
  </si>
  <si>
    <t>Innuendo</t>
  </si>
  <si>
    <t>Made In Heaven</t>
  </si>
  <si>
    <t>Keep Yourself Alive</t>
  </si>
  <si>
    <t>Procession</t>
  </si>
  <si>
    <t>Brighton Rock</t>
  </si>
  <si>
    <t>Death On Two Legs</t>
  </si>
  <si>
    <t>Tie Your Mother Down</t>
  </si>
  <si>
    <t>We Will Rock You</t>
  </si>
  <si>
    <t>Mustapha</t>
  </si>
  <si>
    <t>Play The Game</t>
  </si>
  <si>
    <t>Flash's Theme</t>
  </si>
  <si>
    <t>Staying Power</t>
  </si>
  <si>
    <t>Radio Ga Ga</t>
  </si>
  <si>
    <t>One Vision</t>
  </si>
  <si>
    <t>Party</t>
  </si>
  <si>
    <t>It's A Beautiful Day</t>
  </si>
  <si>
    <t>Doing Alright</t>
  </si>
  <si>
    <t>Father To Son</t>
  </si>
  <si>
    <t>Killer Queen</t>
  </si>
  <si>
    <t>Lazing On A Sunday Afternoon</t>
  </si>
  <si>
    <t>You Take My Breath Away</t>
  </si>
  <si>
    <t>We Are The Champions</t>
  </si>
  <si>
    <t>Fat Bottomed Girls</t>
  </si>
  <si>
    <t>Dragon Attack</t>
  </si>
  <si>
    <t>In The Space Capsule</t>
  </si>
  <si>
    <t>Dancer</t>
  </si>
  <si>
    <t>Tear It Up</t>
  </si>
  <si>
    <t>Khashoggi's Ship</t>
  </si>
  <si>
    <t>I'm Going Slightly Mad</t>
  </si>
  <si>
    <t>Great King Rat</t>
  </si>
  <si>
    <t>White Queen (As It Began)</t>
  </si>
  <si>
    <t>Tenement Funster</t>
  </si>
  <si>
    <t>I'm In Love With My Car</t>
  </si>
  <si>
    <t>Long Away</t>
  </si>
  <si>
    <t>Jealousy</t>
  </si>
  <si>
    <t>Another One Bites The Dust</t>
  </si>
  <si>
    <t>Ming's Theme</t>
  </si>
  <si>
    <t>Back Chat</t>
  </si>
  <si>
    <t>It's A Hard Life</t>
  </si>
  <si>
    <t>One Year Of Love</t>
  </si>
  <si>
    <t>Headlong</t>
  </si>
  <si>
    <t>Let Me Live</t>
  </si>
  <si>
    <t>My Fairy King</t>
  </si>
  <si>
    <t>Some Day One Day</t>
  </si>
  <si>
    <t>Flick Of The Wrist</t>
  </si>
  <si>
    <t>You're My Best Friend</t>
  </si>
  <si>
    <t>The Millionaire Waltz</t>
  </si>
  <si>
    <t>All Dead, All Dead</t>
  </si>
  <si>
    <t>Bicycle Race</t>
  </si>
  <si>
    <t>Need Your Loving Tonight</t>
  </si>
  <si>
    <t>The Ring</t>
  </si>
  <si>
    <t>Body Language</t>
  </si>
  <si>
    <t>Man On The Prowl</t>
  </si>
  <si>
    <t>Pain Is So Close To Pleasure</t>
  </si>
  <si>
    <t>I Want It All</t>
  </si>
  <si>
    <t>I Can't Live With You</t>
  </si>
  <si>
    <t>Mother Love</t>
  </si>
  <si>
    <t>Liar</t>
  </si>
  <si>
    <t>The Loser In The End</t>
  </si>
  <si>
    <t>Lily Of The Valley</t>
  </si>
  <si>
    <t>39</t>
  </si>
  <si>
    <t>You And I</t>
  </si>
  <si>
    <t>Spread Your Wings</t>
  </si>
  <si>
    <t>If You Can't Beat Them</t>
  </si>
  <si>
    <t>Crazy Little Thing Called Love</t>
  </si>
  <si>
    <t>Football Fight</t>
  </si>
  <si>
    <t>Action This Day</t>
  </si>
  <si>
    <t>Machines</t>
  </si>
  <si>
    <t>Friends Will Be Friends</t>
  </si>
  <si>
    <t>The Invisible Man</t>
  </si>
  <si>
    <t>Don't Try So Hard</t>
  </si>
  <si>
    <t>My Life Has Been Saved</t>
  </si>
  <si>
    <t>The Night Comes Down</t>
  </si>
  <si>
    <t>Ogre Battle</t>
  </si>
  <si>
    <t>Now I'm Here</t>
  </si>
  <si>
    <t>Sweet Lady</t>
  </si>
  <si>
    <t>Somebody To Love</t>
  </si>
  <si>
    <t>Fight From The Inside</t>
  </si>
  <si>
    <t>Let Me Entertain You</t>
  </si>
  <si>
    <t>Rock It</t>
  </si>
  <si>
    <t>In The Death Cell</t>
  </si>
  <si>
    <t>Put Out The Fire</t>
  </si>
  <si>
    <t>I Want To Break Free</t>
  </si>
  <si>
    <t>Who Wants To Live Forever</t>
  </si>
  <si>
    <t>Breakthru</t>
  </si>
  <si>
    <t>Ride The Wild Wind</t>
  </si>
  <si>
    <t>I Was Born To Love You</t>
  </si>
  <si>
    <t>Modern Times Rock 'N Roll</t>
  </si>
  <si>
    <t>The Fairy Feller's Master-Stroke</t>
  </si>
  <si>
    <t>In The Lap Of The Gods</t>
  </si>
  <si>
    <t>Seaside Rendezvous</t>
  </si>
  <si>
    <t>White Man</t>
  </si>
  <si>
    <t>Get Down, Make Love</t>
  </si>
  <si>
    <t>Dead On Time</t>
  </si>
  <si>
    <t>Don't Try Suicide</t>
  </si>
  <si>
    <t>Execution Of Flash</t>
  </si>
  <si>
    <t>Life Is Real</t>
  </si>
  <si>
    <t>Keep Passing The Open Windows</t>
  </si>
  <si>
    <t>Gimme The Prize</t>
  </si>
  <si>
    <t>Rain Must Fall</t>
  </si>
  <si>
    <t>All God's People</t>
  </si>
  <si>
    <t>Heaven For Everyone</t>
  </si>
  <si>
    <t>Son And Daughter</t>
  </si>
  <si>
    <t>Nevermore</t>
  </si>
  <si>
    <t>Stone Cold Crazy</t>
  </si>
  <si>
    <t>The Prophet's Song</t>
  </si>
  <si>
    <t>Good Old-Fashioned Lover Boy</t>
  </si>
  <si>
    <t>Sleeping On The Sidewalk</t>
  </si>
  <si>
    <t>In Only Seven Days</t>
  </si>
  <si>
    <t>Sail Away Sweet Sister</t>
  </si>
  <si>
    <t>The Kiss</t>
  </si>
  <si>
    <t>Calling All Girls</t>
  </si>
  <si>
    <t>Hammer To Fall</t>
  </si>
  <si>
    <t>Don't Lose Your Head</t>
  </si>
  <si>
    <t>Scandal</t>
  </si>
  <si>
    <t>These Are The Days Of Our Lives</t>
  </si>
  <si>
    <t>Too Much Love Will Kill You</t>
  </si>
  <si>
    <t>Jesus</t>
  </si>
  <si>
    <t>The March Of The Black Queen</t>
  </si>
  <si>
    <t>Dear Friends</t>
  </si>
  <si>
    <t>Love Of My Life</t>
  </si>
  <si>
    <t>Drowse</t>
  </si>
  <si>
    <t>Who Needs You</t>
  </si>
  <si>
    <t>Dreamer's Ball</t>
  </si>
  <si>
    <t>Coming Soon</t>
  </si>
  <si>
    <t>Arboria</t>
  </si>
  <si>
    <t>Las Palabras De Amor</t>
  </si>
  <si>
    <t>Is This The World We Created...?</t>
  </si>
  <si>
    <t>Princess Of The Universe</t>
  </si>
  <si>
    <t>My Baby Does Me</t>
  </si>
  <si>
    <t>Delilah</t>
  </si>
  <si>
    <t>You Don't Fool Me</t>
  </si>
  <si>
    <t>Seven Seas Of Rhye</t>
  </si>
  <si>
    <t>Funny How Love Is</t>
  </si>
  <si>
    <t>Misfire</t>
  </si>
  <si>
    <t>Good Company</t>
  </si>
  <si>
    <t>Teo Torriatte</t>
  </si>
  <si>
    <t>It's Late</t>
  </si>
  <si>
    <t>Fun It</t>
  </si>
  <si>
    <t>Save Me</t>
  </si>
  <si>
    <t>Escape From The Swamp</t>
  </si>
  <si>
    <t>Cool Cat</t>
  </si>
  <si>
    <t>Was It All Worth It</t>
  </si>
  <si>
    <t>The Hitman</t>
  </si>
  <si>
    <t>A Winter's Tale</t>
  </si>
  <si>
    <t>Seven Seas of Rhye</t>
  </si>
  <si>
    <t>Bring Back That Leroy Brown</t>
  </si>
  <si>
    <t>Bohemian Rhapsody</t>
  </si>
  <si>
    <t>My Melancholy Blues</t>
  </si>
  <si>
    <t>Leaving Home Ain't Easy</t>
  </si>
  <si>
    <t>Flash To The Rescue</t>
  </si>
  <si>
    <t>Under Pressure</t>
  </si>
  <si>
    <t>Bijou</t>
  </si>
  <si>
    <t>It's A Beautiful Day (Reprise)</t>
  </si>
  <si>
    <t>She Makes Me</t>
  </si>
  <si>
    <t>God Save The Queen</t>
  </si>
  <si>
    <t>Don't Stop Me Now</t>
  </si>
  <si>
    <t>Vultan's Theme</t>
  </si>
  <si>
    <t>The Show Must Go On</t>
  </si>
  <si>
    <t>Yeah</t>
  </si>
  <si>
    <t>More Of That Jazz</t>
  </si>
  <si>
    <t>Battle Theme</t>
  </si>
  <si>
    <t>Untitled</t>
  </si>
  <si>
    <t>The Wedding March</t>
  </si>
  <si>
    <t>Marriage Of Dale And Ming</t>
  </si>
  <si>
    <t>Crash Dive On Mingo City</t>
  </si>
  <si>
    <t>Flash's Theme Reprise</t>
  </si>
  <si>
    <t>The Hero</t>
  </si>
  <si>
    <t>SINGLE DATASET</t>
  </si>
  <si>
    <t>Dataset Album Count</t>
  </si>
  <si>
    <t>Song Name</t>
  </si>
  <si>
    <t>File</t>
  </si>
  <si>
    <t>Album</t>
  </si>
  <si>
    <t>Somebody to Love</t>
  </si>
  <si>
    <t>Somebody to Love.3.mid</t>
  </si>
  <si>
    <t>White Man.mid</t>
  </si>
  <si>
    <t>Good Old Fashioned Lover Boy.2.mid</t>
  </si>
  <si>
    <t>A Kind of Magic</t>
  </si>
  <si>
    <t>A Kind of Magic.1.mid</t>
  </si>
  <si>
    <t>Friends Will Be Friends.2.mid</t>
  </si>
  <si>
    <t>One Year of Love</t>
  </si>
  <si>
    <t>One Year of Love.mid</t>
  </si>
  <si>
    <t>Who Wants to Live Forever</t>
  </si>
  <si>
    <t>Who Wants to Live Forever.4.mid</t>
  </si>
  <si>
    <t>Princess of the Universe</t>
  </si>
  <si>
    <t>Princes of the Universe.1.mid</t>
  </si>
  <si>
    <t>_39.mid</t>
  </si>
  <si>
    <t>Bohemian Rhapsody.1.mid</t>
  </si>
  <si>
    <t>Love of My Life</t>
  </si>
  <si>
    <t>Love of My Life.3.mid</t>
  </si>
  <si>
    <t>You_re My Best Friend.mid</t>
  </si>
  <si>
    <t>Death on Two Legs (Dedicated To...).mid</t>
  </si>
  <si>
    <t>Under Pressure.7.mid</t>
  </si>
  <si>
    <t>All God_s People.mid</t>
  </si>
  <si>
    <t>Bijou.1.mid</t>
  </si>
  <si>
    <t>NOT FOUND</t>
  </si>
  <si>
    <t>Don_t Try So Hard.2.mid</t>
  </si>
  <si>
    <t>TOTAL</t>
  </si>
  <si>
    <t>Headlong.mid</t>
  </si>
  <si>
    <t>I Can_t Live With You.1.mid</t>
  </si>
  <si>
    <t>I_m Going Slightly Mad.2.mid</t>
  </si>
  <si>
    <t>Innuendo.mid</t>
  </si>
  <si>
    <t>The Show Must Go On.mid</t>
  </si>
  <si>
    <t>These Are the Days of Our Lives</t>
  </si>
  <si>
    <t>These Are the Days of Our Lives.3.mid</t>
  </si>
  <si>
    <t>Bicycle Race.mid</t>
  </si>
  <si>
    <t>Don_t Stop Me Now.1.mid</t>
  </si>
  <si>
    <t>Fat Bottomed Girls.mid</t>
  </si>
  <si>
    <t>Fun It.mid</t>
  </si>
  <si>
    <t>In Only Seven Days.mid</t>
  </si>
  <si>
    <t>Heaven for Everyone</t>
  </si>
  <si>
    <t>Heaven for Everyone.mid</t>
  </si>
  <si>
    <t>I Was Born to Love You</t>
  </si>
  <si>
    <t>I Was Born to Love You.mid</t>
  </si>
  <si>
    <t>Made in Heaven</t>
  </si>
  <si>
    <t>Made in Heaven.mid</t>
  </si>
  <si>
    <t>Mother Love.mid</t>
  </si>
  <si>
    <t>My Life Has Been Saved.mid</t>
  </si>
  <si>
    <t>Too Much Love Will Kill You.3.mid</t>
  </si>
  <si>
    <t>You Don_t Fool Me.mid</t>
  </si>
  <si>
    <t>My Melancholy Blues.mid</t>
  </si>
  <si>
    <t>Spread Your Wings.mid</t>
  </si>
  <si>
    <t>We Are The Champions.1.mid</t>
  </si>
  <si>
    <t>We Will Rock You.6.mid</t>
  </si>
  <si>
    <t>Living on My Own</t>
  </si>
  <si>
    <t>Living on My Own.mid</t>
  </si>
  <si>
    <t>The Great Pretender</t>
  </si>
  <si>
    <t>The Great Pretender.mid</t>
  </si>
  <si>
    <t>Doing All Right.1.mid</t>
  </si>
  <si>
    <t>Keep Yourself Alive.mid</t>
  </si>
  <si>
    <t>Seven Seas of Rhye.1.mid</t>
  </si>
  <si>
    <t>Son and Daughter</t>
  </si>
  <si>
    <t>Son and Daughter.1.mid</t>
  </si>
  <si>
    <t>Never More.mid</t>
  </si>
  <si>
    <t>Father to Son</t>
  </si>
  <si>
    <t>Father to Son.mid</t>
  </si>
  <si>
    <t>Procession.mid</t>
  </si>
  <si>
    <t>Now I_m Here.4.mid</t>
  </si>
  <si>
    <t>Killer Queen.1.mid</t>
  </si>
  <si>
    <t>Another One Bites The Dust.1.mid</t>
  </si>
  <si>
    <t>Crazy Little Thing Called Love.2.mid</t>
  </si>
  <si>
    <t>Play the Game</t>
  </si>
  <si>
    <t>Play the Game.1.mid</t>
  </si>
  <si>
    <t>Save Me.2.mid</t>
  </si>
  <si>
    <t>I Want It All.mid</t>
  </si>
  <si>
    <t>Rain Must Fall.mid</t>
  </si>
  <si>
    <t>Scandal.mid</t>
  </si>
  <si>
    <t>The Invisible Man.mid</t>
  </si>
  <si>
    <t>The Miracle.1.mid</t>
  </si>
  <si>
    <t>Hammer to Fall</t>
  </si>
  <si>
    <t>Hammer to Fall.mid</t>
  </si>
  <si>
    <t>I Want to Break Free</t>
  </si>
  <si>
    <t>I Want to Break Free.3.mid</t>
  </si>
  <si>
    <t>It's a Hard Life</t>
  </si>
  <si>
    <t>It_s a Hard Life.mid</t>
  </si>
  <si>
    <t>Radio Ga Ga.5.mid</t>
  </si>
  <si>
    <t>DBSCAN - FS1 EPSILON</t>
  </si>
  <si>
    <t>DBSCAN - FS2 EPSILON</t>
  </si>
  <si>
    <t>KMEANS - FS1 SILHOUETTE</t>
  </si>
  <si>
    <t>KMEANS - FS1 ELBOW</t>
  </si>
  <si>
    <t>KMEANS - FS2 SILHOUETTE</t>
  </si>
  <si>
    <t>KMEANS - FS2 ELBOW</t>
  </si>
  <si>
    <t>AFFPROG - FS1 SILHOUETTE</t>
  </si>
  <si>
    <t>AFFPROG - FS1 DBI</t>
  </si>
  <si>
    <t>AFFPROG - FS2 SILHOUETTE</t>
  </si>
  <si>
    <t>AFFPROG - FS2 DBI</t>
  </si>
  <si>
    <t>C:\Users\Earl Felizardo\Documents\Thesis Files\Queen MIDI Dataset\A Kind of Magic.2.mid</t>
  </si>
  <si>
    <t>C:\Users\Earl Felizardo\Documents\Thesis Files\Queen MIDI Dataset\We Will Rock You.6.mid</t>
  </si>
  <si>
    <t>C:\Users\Earl Felizardo\Documents\Thesis Files\Queen MIDI Dataset\'39.mid</t>
  </si>
  <si>
    <t>C:\Users\Earl Felizardo\Documents\Thesis Files\Queen MIDI Dataset\A Kind of Magic.1.mid</t>
  </si>
  <si>
    <t>C:\Users\Earl Felizardo\Documents\Thesis Files\Queen MIDI Dataset\A Kind of Magic.4.mid</t>
  </si>
  <si>
    <t>C:\Users\Earl Felizardo\Documents\Thesis Files\Queen MIDI Dataset\You're My Best Friend.5.mid</t>
  </si>
  <si>
    <t>C:\Users\Earl Felizardo\Documents\Thesis Files\Queen MIDI Dataset\Another One Bites The Dust.2.mid</t>
  </si>
  <si>
    <t>C:\Users\Earl Felizardo\Documents\Thesis Files\Queen MIDI Dataset\A Kind of Magic.3.mid</t>
  </si>
  <si>
    <t>C:\Users\Earl Felizardo\Documents\Thesis Files\Queen MIDI Dataset\Another One Bites The Dust.1.mid</t>
  </si>
  <si>
    <t>C:\Users\Earl Felizardo\Documents\Thesis Files\Queen MIDI Dataset\I'm Going Slightly Mad.3.mid</t>
  </si>
  <si>
    <t>C:\Users\Earl Felizardo\Documents\Thesis Files\Queen MIDI Dataset\A Kind of Magic.mid</t>
  </si>
  <si>
    <t>C:\Users\Earl Felizardo\Documents\Thesis Files\Queen MIDI Dataset\Bohemian Rhapsody.3.mid</t>
  </si>
  <si>
    <t>C:\Users\Earl Felizardo\Documents\Thesis Files\Queen MIDI Dataset\It's a Hard Life.1.mid</t>
  </si>
  <si>
    <t>C:\Users\Earl Felizardo\Documents\Thesis Files\Queen MIDI Dataset\All God's People.1.mid</t>
  </si>
  <si>
    <t>C:\Users\Earl Felizardo\Documents\Thesis Files\Queen MIDI Dataset\Father to Son.mid</t>
  </si>
  <si>
    <t>C:\Users\Earl Felizardo\Documents\Thesis Files\Queen MIDI Dataset\The Show Must Go On.mid</t>
  </si>
  <si>
    <t>C:\Users\Earl Felizardo\Documents\Thesis Files\Queen MIDI Dataset\All God's People.2.mid</t>
  </si>
  <si>
    <t>C:\Users\Earl Felizardo\Documents\Thesis Files\Queen MIDI Dataset\I Can't Live With You.1.mid</t>
  </si>
  <si>
    <t>C:\Users\Earl Felizardo\Documents\Thesis Files\Queen MIDI Dataset\All God's People.mid</t>
  </si>
  <si>
    <t>C:\Users\Earl Felizardo\Documents\Thesis Files\Queen MIDI Dataset\I'm Going Slightly Mad.1.mid</t>
  </si>
  <si>
    <t>C:\Users\Earl Felizardo\Documents\Thesis Files\Queen MIDI Dataset\Bohemian Rhapsody.4.mid</t>
  </si>
  <si>
    <t>C:\Users\Earl Felizardo\Documents\Thesis Files\Queen MIDI Dataset\The Miracle.5.mid</t>
  </si>
  <si>
    <t>C:\Users\Earl Felizardo\Documents\Thesis Files\Queen MIDI Dataset\Another One Bites The Dust.6.mid</t>
  </si>
  <si>
    <t>C:\Users\Earl Felizardo\Documents\Thesis Files\Queen MIDI Dataset\We Are The Champions.9.mid</t>
  </si>
  <si>
    <t>C:\Users\Earl Felizardo\Documents\Thesis Files\Queen MIDI Dataset\Another One Bites The Dust.3.mid</t>
  </si>
  <si>
    <t>C:\Users\Earl Felizardo\Documents\Thesis Files\Queen MIDI Dataset\You Don't Fool Me.2.mid</t>
  </si>
  <si>
    <t>C:\Users\Earl Felizardo\Documents\Thesis Files\Queen MIDI Dataset\Another One Bites The Dust.4.mid</t>
  </si>
  <si>
    <t>C:\Users\Earl Felizardo\Documents\Thesis Files\Queen MIDI Dataset\Crazy Little Thing Called Love.5.mid</t>
  </si>
  <si>
    <t>C:\Users\Earl Felizardo\Documents\Thesis Files\Queen MIDI Dataset\Another One Bites The Dust.5.mid</t>
  </si>
  <si>
    <t>C:\Users\Earl Felizardo\Documents\Thesis Files\Queen MIDI Dataset\Don't Stop Me Now.mid</t>
  </si>
  <si>
    <t>C:\Users\Earl Felizardo\Documents\Thesis Files\Queen MIDI Dataset\Fat Bottomed Girls.mid</t>
  </si>
  <si>
    <t>C:\Users\Earl Felizardo\Documents\Thesis Files\Queen MIDI Dataset\Another One Bites The Dust.7.mid</t>
  </si>
  <si>
    <t>C:\Users\Earl Felizardo\Documents\Thesis Files\Queen MIDI Dataset\Bohemian Rhapsody.1.mid</t>
  </si>
  <si>
    <t>C:\Users\Earl Felizardo\Documents\Thesis Files\Queen MIDI Dataset\Bicycle Race.1.mid</t>
  </si>
  <si>
    <t>C:\Users\Earl Felizardo\Documents\Thesis Files\Queen MIDI Dataset\Another One Bites The Dust.mid</t>
  </si>
  <si>
    <t>C:\Users\Earl Felizardo\Documents\Thesis Files\Queen MIDI Dataset\I Want It All.1.mid</t>
  </si>
  <si>
    <t>C:\Users\Earl Felizardo\Documents\Thesis Files\Queen MIDI Dataset\Somebody to Love.mid</t>
  </si>
  <si>
    <t>C:\Users\Earl Felizardo\Documents\Thesis Files\Queen MIDI Dataset\Good Old Fashioned Lover Boy.2.mid</t>
  </si>
  <si>
    <t>C:\Users\Earl Felizardo\Documents\Thesis Files\Queen MIDI Dataset\Innuendo.mid</t>
  </si>
  <si>
    <t>C:\Users\Earl Felizardo\Documents\Thesis Files\Queen MIDI Dataset\I Want to Break Free.3.mid</t>
  </si>
  <si>
    <t>C:\Users\Earl Felizardo\Documents\Thesis Files\Queen MIDI Dataset\Bicycle Race.mid</t>
  </si>
  <si>
    <t>C:\Users\Earl Felizardo\Documents\Thesis Files\Queen MIDI Dataset\Radio Ga Ga.3.mid</t>
  </si>
  <si>
    <t>C:\Users\Earl Felizardo\Documents\Thesis Files\Queen MIDI Dataset\Killer Queen.6.mid</t>
  </si>
  <si>
    <t>C:\Users\Earl Felizardo\Documents\Thesis Files\Queen MIDI Dataset\Bijou.1.mid</t>
  </si>
  <si>
    <t>C:\Users\Earl Felizardo\Documents\Thesis Files\Queen MIDI Dataset\Son and Daughter.1.mid</t>
  </si>
  <si>
    <t>C:\Users\Earl Felizardo\Documents\Thesis Files\Queen MIDI Dataset\Bijou.mid</t>
  </si>
  <si>
    <t>C:\Users\Earl Felizardo\Documents\Thesis Files\Queen MIDI Dataset\We Will Rock You.2.mid</t>
  </si>
  <si>
    <t>C:\Users\Earl Felizardo\Documents\Thesis Files\Queen MIDI Dataset\Bohemian Rhapsody.mid</t>
  </si>
  <si>
    <t>C:\Users\Earl Felizardo\Documents\Thesis Files\Queen MIDI Dataset\Who Wants to Live Forever.5.mid</t>
  </si>
  <si>
    <t>C:\Users\Earl Felizardo\Documents\Thesis Files\Queen MIDI Dataset\Princes of the Universe.1.mid</t>
  </si>
  <si>
    <t>C:\Users\Earl Felizardo\Documents\Thesis Files\Queen MIDI Dataset\Don't Try So Hard.1.mid</t>
  </si>
  <si>
    <t>C:\Users\Earl Felizardo\Documents\Thesis Files\Queen MIDI Dataset\Bohemian Rhapsody.2.mid</t>
  </si>
  <si>
    <t>C:\Users\Earl Felizardo\Documents\Thesis Files\Queen MIDI Dataset\Radio Ga Ga.5.mid</t>
  </si>
  <si>
    <t>C:\Users\Earl Felizardo\Documents\Thesis Files\Queen MIDI Dataset\Don't Try So Hard.mid</t>
  </si>
  <si>
    <t>C:\Users\Earl Felizardo\Documents\Thesis Files\Queen MIDI Dataset\Somebody to Love.1.mid</t>
  </si>
  <si>
    <t>C:\Users\Earl Felizardo\Documents\Thesis Files\Queen MIDI Dataset\Friends Will Be Friends.2.mid</t>
  </si>
  <si>
    <t>C:\Users\Earl Felizardo\Documents\Thesis Files\Queen MIDI Dataset\Bohemian Rhapsody.5.mid</t>
  </si>
  <si>
    <t>C:\Users\Earl Felizardo\Documents\Thesis Files\Queen MIDI Dataset\Friends Will Be Friends.4.mid</t>
  </si>
  <si>
    <t>C:\Users\Earl Felizardo\Documents\Thesis Files\Queen MIDI Dataset\Bohemian Rhapsody.6.mid</t>
  </si>
  <si>
    <t>C:\Users\Earl Felizardo\Documents\Thesis Files\Queen MIDI Dataset\Under Pressure.5.mid</t>
  </si>
  <si>
    <t>C:\Users\Earl Felizardo\Documents\Thesis Files\Queen MIDI Dataset\Friends Will Be Friends.mid</t>
  </si>
  <si>
    <t>C:\Users\Earl Felizardo\Documents\Thesis Files\Queen MIDI Dataset\Bohemian Rhapsody.7.mid</t>
  </si>
  <si>
    <t>C:\Users\Earl Felizardo\Documents\Thesis Files\Queen MIDI Dataset\Headlong.mid</t>
  </si>
  <si>
    <t>C:\Users\Earl Felizardo\Documents\Thesis Files\Queen MIDI Dataset\Innuendo.2.mid</t>
  </si>
  <si>
    <t>C:\Users\Earl Felizardo\Documents\Thesis Files\Queen MIDI Dataset\Crazy Little Thing Called Love.1.mid</t>
  </si>
  <si>
    <t>C:\Users\Earl Felizardo\Documents\Thesis Files\Queen MIDI Dataset\Lily of the Valley.mid</t>
  </si>
  <si>
    <t>C:\Users\Earl Felizardo\Documents\Thesis Files\Queen MIDI Dataset\Crazy Little Thing Called Love.2.mid</t>
  </si>
  <si>
    <t>C:\Users\Earl Felizardo\Documents\Thesis Files\Queen MIDI Dataset\Living on My Own.mid</t>
  </si>
  <si>
    <t>C:\Users\Earl Felizardo\Documents\Thesis Files\Queen MIDI Dataset\Crazy Little Thing Called Love.3.mid</t>
  </si>
  <si>
    <t>C:\Users\Earl Felizardo\Documents\Thesis Files\Queen MIDI Dataset\Love of My Life.2.mid</t>
  </si>
  <si>
    <t>C:\Users\Earl Felizardo\Documents\Thesis Files\Queen MIDI Dataset\Crazy Little Thing Called Love.4.mid</t>
  </si>
  <si>
    <t>C:\Users\Earl Felizardo\Documents\Thesis Files\Queen MIDI Dataset\Death on Two Legs (Dedicated to ...).mid</t>
  </si>
  <si>
    <t>C:\Users\Earl Felizardo\Documents\Thesis Files\Queen MIDI Dataset\Love of My Life.mid</t>
  </si>
  <si>
    <t>C:\Users\Earl Felizardo\Documents\Thesis Files\Queen MIDI Dataset\My Melancholy Blues.mid</t>
  </si>
  <si>
    <t>C:\Users\Earl Felizardo\Documents\Thesis Files\Queen MIDI Dataset\Crazy Little Thing Called Love.6.mid</t>
  </si>
  <si>
    <t>C:\Users\Earl Felizardo\Documents\Thesis Files\Queen MIDI Dataset\Don't Stop Me Now.1.mid</t>
  </si>
  <si>
    <t>C:\Users\Earl Felizardo\Documents\Thesis Files\Queen MIDI Dataset\Now I'm Here.4.mid</t>
  </si>
  <si>
    <t>C:\Users\Earl Felizardo\Documents\Thesis Files\Queen MIDI Dataset\These Are the Days of Our Lives.2.mid</t>
  </si>
  <si>
    <t>C:\Users\Earl Felizardo\Documents\Thesis Files\Queen MIDI Dataset\One Vision.mid</t>
  </si>
  <si>
    <t>C:\Users\Earl Felizardo\Documents\Thesis Files\Queen MIDI Dataset\Death on Two Legs (Dedicated To...).mid</t>
  </si>
  <si>
    <t>C:\Users\Earl Felizardo\Documents\Thesis Files\Queen MIDI Dataset\Save Me.2.mid</t>
  </si>
  <si>
    <t>C:\Users\Earl Felizardo\Documents\Thesis Files\Queen MIDI Dataset\Doing All Right.1.mid</t>
  </si>
  <si>
    <t>C:\Users\Earl Felizardo\Documents\Thesis Files\Queen MIDI Dataset\Save Me.3.mid</t>
  </si>
  <si>
    <t>C:\Users\Earl Felizardo\Documents\Thesis Files\Queen MIDI Dataset\Doing All Right.mid</t>
  </si>
  <si>
    <t>C:\Users\Earl Felizardo\Documents\Thesis Files\Queen MIDI Dataset\Scandal.1.mid</t>
  </si>
  <si>
    <t>C:\Users\Earl Felizardo\Documents\Thesis Files\Queen MIDI Dataset\Spread Your Wings.1.mid</t>
  </si>
  <si>
    <t>C:\Users\Earl Felizardo\Documents\Thesis Files\Queen MIDI Dataset\Don't Try So Hard.2.mid</t>
  </si>
  <si>
    <t>C:\Users\Earl Felizardo\Documents\Thesis Files\Queen MIDI Dataset\Under Pressure.4.mid</t>
  </si>
  <si>
    <t>C:\Users\Earl Felizardo\Documents\Thesis Files\Queen MIDI Dataset\Friends Will Be Friends.6.mid</t>
  </si>
  <si>
    <t>C:\Users\Earl Felizardo\Documents\Thesis Files\Queen MIDI Dataset\Father to Son.1.mid</t>
  </si>
  <si>
    <t>C:\Users\Earl Felizardo\Documents\Thesis Files\Queen MIDI Dataset\The Miracle.2.mid</t>
  </si>
  <si>
    <t>C:\Users\Earl Felizardo\Documents\Thesis Files\Queen MIDI Dataset\Under Pressure.mid</t>
  </si>
  <si>
    <t>C:\Users\Earl Felizardo\Documents\Thesis Files\Queen MIDI Dataset\We Are the Champions.mid</t>
  </si>
  <si>
    <t>C:\Users\Earl Felizardo\Documents\Thesis Files\Queen MIDI Dataset\Friends Will Be Friends.1.mid</t>
  </si>
  <si>
    <t>C:\Users\Earl Felizardo\Documents\Thesis Files\Queen MIDI Dataset\Who Wants to Live Forever.7.mid</t>
  </si>
  <si>
    <t>C:\Users\Earl Felizardo\Documents\Thesis Files\Queen MIDI Dataset\Friends Will Be Friends.3.mid</t>
  </si>
  <si>
    <t>C:\Users\Earl Felizardo\Documents\Thesis Files\Queen MIDI Dataset\Love of My Life.3.mid</t>
  </si>
  <si>
    <t>C:\Users\Earl Felizardo\Documents\Thesis Files\Queen MIDI Dataset\Good Old Fashioned Lover Boy.1.mid</t>
  </si>
  <si>
    <t>C:\Users\Earl Felizardo\Documents\Thesis Files\Queen MIDI Dataset\Procession.mid</t>
  </si>
  <si>
    <t>C:\Users\Earl Felizardo\Documents\Thesis Files\Queen MIDI Dataset\Friends Will Be Friends.5.mid</t>
  </si>
  <si>
    <t>C:\Users\Earl Felizardo\Documents\Thesis Files\Queen MIDI Dataset\I Want to Break Free.mid</t>
  </si>
  <si>
    <t>C:\Users\Earl Felizardo\Documents\Thesis Files\Queen MIDI Dataset\Scandal.mid</t>
  </si>
  <si>
    <t>C:\Users\Earl Felizardo\Documents\Thesis Files\Queen MIDI Dataset\Innuendo.1.mid</t>
  </si>
  <si>
    <t>C:\Users\Earl Felizardo\Documents\Thesis Files\Queen MIDI Dataset\We Are The Champions.10.mid</t>
  </si>
  <si>
    <t>C:\Users\Earl Felizardo\Documents\Thesis Files\Queen MIDI Dataset\Killer Queen.2.mid</t>
  </si>
  <si>
    <t>C:\Users\Earl Felizardo\Documents\Thesis Files\Queen MIDI Dataset\Fun It.mid</t>
  </si>
  <si>
    <t>C:\Users\Earl Felizardo\Documents\Thesis Files\Queen MIDI Dataset\We Are The Champions.2.mid</t>
  </si>
  <si>
    <t>C:\Users\Earl Felizardo\Documents\Thesis Files\Queen MIDI Dataset\We Will Rock You.1.mid</t>
  </si>
  <si>
    <t>C:\Users\Earl Felizardo\Documents\Thesis Files\Queen MIDI Dataset\Good Old Fashioned Lover Boy.mid</t>
  </si>
  <si>
    <t>C:\Users\Earl Felizardo\Documents\Thesis Files\Queen MIDI Dataset\Who Wants to Live Forever.mid</t>
  </si>
  <si>
    <t>C:\Users\Earl Felizardo\Documents\Thesis Files\Queen MIDI Dataset\Hammer to Fall.mid</t>
  </si>
  <si>
    <t>C:\Users\Earl Felizardo\Documents\Thesis Files\Queen MIDI Dataset\You're My Best Friend.4.mid</t>
  </si>
  <si>
    <t>C:\Users\Earl Felizardo\Documents\Thesis Files\Queen MIDI Dataset\Headlong.1.mid</t>
  </si>
  <si>
    <t>C:\Users\Earl Felizardo\Documents\Thesis Files\Queen MIDI Dataset\Heaven for Everyone.1.mid</t>
  </si>
  <si>
    <t>C:\Users\Earl Felizardo\Documents\Thesis Files\Queen MIDI Dataset\Heaven for Everyone.mid</t>
  </si>
  <si>
    <t>C:\Users\Earl Felizardo\Documents\Thesis Files\Queen MIDI Dataset\It's a Hard Life.mid</t>
  </si>
  <si>
    <t>C:\Users\Earl Felizardo\Documents\Thesis Files\Queen MIDI Dataset\You Don't Fool Me.1.mid</t>
  </si>
  <si>
    <t>C:\Users\Earl Felizardo\Documents\Thesis Files\Queen MIDI Dataset\I Can't Live With You.mid</t>
  </si>
  <si>
    <t>C:\Users\Earl Felizardo\Documents\Thesis Files\Queen MIDI Dataset\I Want to Break Free.2.mid</t>
  </si>
  <si>
    <t>C:\Users\Earl Felizardo\Documents\Thesis Files\Queen MIDI Dataset\I Want It All.mid</t>
  </si>
  <si>
    <t>C:\Users\Earl Felizardo\Documents\Thesis Files\Queen MIDI Dataset\I Want to Break Free.1.mid</t>
  </si>
  <si>
    <t>C:\Users\Earl Felizardo\Documents\Thesis Files\Queen MIDI Dataset\I'm Going Slightly Mad.2.mid</t>
  </si>
  <si>
    <t>C:\Users\Earl Felizardo\Documents\Thesis Files\Queen MIDI Dataset\We Will Rock You.mid</t>
  </si>
  <si>
    <t>C:\Users\Earl Felizardo\Documents\Thesis Files\Queen MIDI Dataset\Who Wants to Live Forever.3.mid</t>
  </si>
  <si>
    <t>C:\Users\Earl Felizardo\Documents\Thesis Files\Queen MIDI Dataset\I Was Born to Love You.mid</t>
  </si>
  <si>
    <t>C:\Users\Earl Felizardo\Documents\Thesis Files\Queen MIDI Dataset\I'm Going Slightly Mad.mid</t>
  </si>
  <si>
    <t>C:\Users\Earl Felizardo\Documents\Thesis Files\Queen MIDI Dataset\In Only Seven Days.mid</t>
  </si>
  <si>
    <t>C:\Users\Earl Felizardo\Documents\Thesis Files\Queen MIDI Dataset\Under Pressure.6.mid</t>
  </si>
  <si>
    <t>C:\Users\Earl Felizardo\Documents\Thesis Files\Queen MIDI Dataset\We Are The Champions.6.mid</t>
  </si>
  <si>
    <t>C:\Users\Earl Felizardo\Documents\Thesis Files\Queen MIDI Dataset\We Will Rock You.4.mid</t>
  </si>
  <si>
    <t>C:\Users\Earl Felizardo\Documents\Thesis Files\Queen MIDI Dataset\Who Wants to Live Forever.2.mid</t>
  </si>
  <si>
    <t>C:\Users\Earl Felizardo\Documents\Thesis Files\Queen MIDI Dataset\You're My Best Friend.3.mid</t>
  </si>
  <si>
    <t>C:\Users\Earl Felizardo\Documents\Thesis Files\Queen MIDI Dataset\It's a Hard Life.2.mid</t>
  </si>
  <si>
    <t>C:\Users\Earl Felizardo\Documents\Thesis Files\Queen MIDI Dataset\Keep Yourself Alive.mid</t>
  </si>
  <si>
    <t>C:\Users\Earl Felizardo\Documents\Thesis Files\Queen MIDI Dataset\Killer Queen.1.mid</t>
  </si>
  <si>
    <t>C:\Users\Earl Felizardo\Documents\Thesis Files\Queen MIDI Dataset\Killer Queen.3.mid</t>
  </si>
  <si>
    <t>C:\Users\Earl Felizardo\Documents\Thesis Files\Queen MIDI Dataset\Killer Queen.5.mid</t>
  </si>
  <si>
    <t>C:\Users\Earl Felizardo\Documents\Thesis Files\Queen MIDI Dataset\Killer Queen.4.mid</t>
  </si>
  <si>
    <t>C:\Users\Earl Felizardo\Documents\Thesis Files\Queen MIDI Dataset\Somebody to Love.6.mid</t>
  </si>
  <si>
    <t>C:\Users\Earl Felizardo\Documents\Thesis Files\Queen MIDI Dataset\Killer Queen.mid</t>
  </si>
  <si>
    <t>C:\Users\Earl Felizardo\Documents\Thesis Files\Queen MIDI Dataset\We Are The Champions.8.mid</t>
  </si>
  <si>
    <t>C:\Users\Earl Felizardo\Documents\Thesis Files\Queen MIDI Dataset\Love of My Life.1.mid</t>
  </si>
  <si>
    <t>C:\Users\Earl Felizardo\Documents\Thesis Files\Queen MIDI Dataset\My Life Has Been Saved.1.mid</t>
  </si>
  <si>
    <t>C:\Users\Earl Felizardo\Documents\Thesis Files\Queen MIDI Dataset\Made in Heaven.mid</t>
  </si>
  <si>
    <t>C:\Users\Earl Felizardo\Documents\Thesis Files\Queen MIDI Dataset\Under Pressure.3.mid</t>
  </si>
  <si>
    <t>C:\Users\Earl Felizardo\Documents\Thesis Files\Queen MIDI Dataset\Mother Love.mid</t>
  </si>
  <si>
    <t>C:\Users\Earl Felizardo\Documents\Thesis Files\Queen MIDI Dataset\One Year of Love.1.mid</t>
  </si>
  <si>
    <t>C:\Users\Earl Felizardo\Documents\Thesis Files\Queen MIDI Dataset\My Life Has Been Saved.mid</t>
  </si>
  <si>
    <t>C:\Users\Earl Felizardo\Documents\Thesis Files\Queen MIDI Dataset\Radio Ga Ga.6.mid</t>
  </si>
  <si>
    <t>C:\Users\Earl Felizardo\Documents\Thesis Files\Queen MIDI Dataset\Who Wants to Live Forever.1.mid</t>
  </si>
  <si>
    <t>C:\Users\Earl Felizardo\Documents\Thesis Files\Queen MIDI Dataset\Never More.mid</t>
  </si>
  <si>
    <t>C:\Users\Earl Felizardo\Documents\Thesis Files\Queen MIDI Dataset\Now I'm Here.1.mid</t>
  </si>
  <si>
    <t>C:\Users\Earl Felizardo\Documents\Thesis Files\Queen MIDI Dataset\Radio Ga Ga.4.mid</t>
  </si>
  <si>
    <t>C:\Users\Earl Felizardo\Documents\Thesis Files\Queen MIDI Dataset\Now I'm Here.2.mid</t>
  </si>
  <si>
    <t>C:\Users\Earl Felizardo\Documents\Thesis Files\Queen MIDI Dataset\Radio Ga Ga.mid</t>
  </si>
  <si>
    <t>C:\Users\Earl Felizardo\Documents\Thesis Files\Queen MIDI Dataset\Now I'm Here.3.mid</t>
  </si>
  <si>
    <t>C:\Users\Earl Felizardo\Documents\Thesis Files\Queen MIDI Dataset\Save Me.mid</t>
  </si>
  <si>
    <t>C:\Users\Earl Felizardo\Documents\Thesis Files\Queen MIDI Dataset\Now I'm Here.mid</t>
  </si>
  <si>
    <t>C:\Users\Earl Felizardo\Documents\Thesis Files\Queen MIDI Dataset\One Year of Love.mid</t>
  </si>
  <si>
    <t>C:\Users\Earl Felizardo\Documents\Thesis Files\Queen MIDI Dataset\Play the Game.1.mid</t>
  </si>
  <si>
    <t>C:\Users\Earl Felizardo\Documents\Thesis Files\Queen MIDI Dataset\Play the Game.mid</t>
  </si>
  <si>
    <t>C:\Users\Earl Felizardo\Documents\Thesis Files\Queen MIDI Dataset\Princes of the Universe.mid</t>
  </si>
  <si>
    <t>C:\Users\Earl Felizardo\Documents\Thesis Files\Queen MIDI Dataset\Radio Ga Ga.1.mid</t>
  </si>
  <si>
    <t>C:\Users\Earl Felizardo\Documents\Thesis Files\Queen MIDI Dataset\Radio Ga Ga.2.mid</t>
  </si>
  <si>
    <t>C:\Users\Earl Felizardo\Documents\Thesis Files\Queen MIDI Dataset\Radio Ga Ga.7.mid</t>
  </si>
  <si>
    <t>C:\Users\Earl Felizardo\Documents\Thesis Files\Queen MIDI Dataset\Radio Ga Ga.8.mid</t>
  </si>
  <si>
    <t>C:\Users\Earl Felizardo\Documents\Thesis Files\Queen MIDI Dataset\Seven Seas of Rhye.mid</t>
  </si>
  <si>
    <t>C:\Users\Earl Felizardo\Documents\Thesis Files\Queen MIDI Dataset\Rain Must Fall.mid</t>
  </si>
  <si>
    <t>C:\Users\Earl Felizardo\Documents\Thesis Files\Queen MIDI Dataset\The Miracle.4.mid</t>
  </si>
  <si>
    <t>C:\Users\Earl Felizardo\Documents\Thesis Files\Queen MIDI Dataset\Save Me.1.mid</t>
  </si>
  <si>
    <t>C:\Users\Earl Felizardo\Documents\Thesis Files\Queen MIDI Dataset\These Are the Days of Our Lives.mid</t>
  </si>
  <si>
    <t>C:\Users\Earl Felizardo\Documents\Thesis Files\Queen MIDI Dataset\Too Much Love Will Kill You.1.mid</t>
  </si>
  <si>
    <t>C:\Users\Earl Felizardo\Documents\Thesis Files\Queen MIDI Dataset\We Are The Champions.3.mid</t>
  </si>
  <si>
    <t>C:\Users\Earl Felizardo\Documents\Thesis Files\Queen MIDI Dataset\We Will Rock You.3.mid</t>
  </si>
  <si>
    <t>C:\Users\Earl Felizardo\Documents\Thesis Files\Queen MIDI Dataset\Seven Seas of Rhye.1.mid</t>
  </si>
  <si>
    <t>C:\Users\Earl Felizardo\Documents\Thesis Files\Queen MIDI Dataset\Somebody to Love.2.mid</t>
  </si>
  <si>
    <t>C:\Users\Earl Felizardo\Documents\Thesis Files\Queen MIDI Dataset\Somebody to Love.3.mid</t>
  </si>
  <si>
    <t>C:\Users\Earl Felizardo\Documents\Thesis Files\Queen MIDI Dataset\Somebody to Love.4.mid</t>
  </si>
  <si>
    <t>C:\Users\Earl Felizardo\Documents\Thesis Files\Queen MIDI Dataset\Somebody to Love.5.mid</t>
  </si>
  <si>
    <t>C:\Users\Earl Felizardo\Documents\Thesis Files\Queen MIDI Dataset\Son and Daughter.mid</t>
  </si>
  <si>
    <t>C:\Users\Earl Felizardo\Documents\Thesis Files\Queen MIDI Dataset\Spread Your Wings.mid</t>
  </si>
  <si>
    <t>C:\Users\Earl Felizardo\Documents\Thesis Files\Queen MIDI Dataset\The Great Pretender.mid</t>
  </si>
  <si>
    <t>C:\Users\Earl Felizardo\Documents\Thesis Files\Queen MIDI Dataset\The Invisible Man.1.mid</t>
  </si>
  <si>
    <t>C:\Users\Earl Felizardo\Documents\Thesis Files\Queen MIDI Dataset\The Invisible Man.2.mid</t>
  </si>
  <si>
    <t>C:\Users\Earl Felizardo\Documents\Thesis Files\Queen MIDI Dataset\The Invisible Man.mid</t>
  </si>
  <si>
    <t>C:\Users\Earl Felizardo\Documents\Thesis Files\Queen MIDI Dataset\The Miracle.3.mid</t>
  </si>
  <si>
    <t>C:\Users\Earl Felizardo\Documents\Thesis Files\Queen MIDI Dataset\The Miracle.mid</t>
  </si>
  <si>
    <t>C:\Users\Earl Felizardo\Documents\Thesis Files\Queen MIDI Dataset\The Show Must Go On.2.mid</t>
  </si>
  <si>
    <t>C:\Users\Earl Felizardo\Documents\Thesis Files\Queen MIDI Dataset\The Show Must Go On.4.mid</t>
  </si>
  <si>
    <t>C:\Users\Earl Felizardo\Documents\Thesis Files\Queen MIDI Dataset\The Miracle.1.mid</t>
  </si>
  <si>
    <t>C:\Users\Earl Felizardo\Documents\Thesis Files\Queen MIDI Dataset\These Are the Days of Our Lives.3.mid</t>
  </si>
  <si>
    <t>C:\Users\Earl Felizardo\Documents\Thesis Files\Queen MIDI Dataset\Who Wants to Live Forever.6.mid</t>
  </si>
  <si>
    <t>C:\Users\Earl Felizardo\Documents\Thesis Files\Queen MIDI Dataset\You Don't Fool Me.mid</t>
  </si>
  <si>
    <t>C:\Users\Earl Felizardo\Documents\Thesis Files\Queen MIDI Dataset\You're My Best Friend.2.mid</t>
  </si>
  <si>
    <t>C:\Users\Earl Felizardo\Documents\Thesis Files\Queen MIDI Dataset\The Show Must Go On.3.mid</t>
  </si>
  <si>
    <t>C:\Users\Earl Felizardo\Documents\Thesis Files\Queen MIDI Dataset\Too Much Love Will Kill You.2.mid</t>
  </si>
  <si>
    <t>C:\Users\Earl Felizardo\Documents\Thesis Files\Queen MIDI Dataset\Too Much Love Will Kill You.3.mid</t>
  </si>
  <si>
    <t>C:\Users\Earl Felizardo\Documents\Thesis Files\Queen MIDI Dataset\Too Much Love Will Kill You.mid</t>
  </si>
  <si>
    <t>C:\Users\Earl Felizardo\Documents\Thesis Files\Queen MIDI Dataset\These Are the Days of Our Lives.1.mid</t>
  </si>
  <si>
    <t>C:\Users\Earl Felizardo\Documents\Thesis Files\Queen MIDI Dataset\Under Pressure.1.mid</t>
  </si>
  <si>
    <t>C:\Users\Earl Felizardo\Documents\Thesis Files\Queen MIDI Dataset\The Show Must Go On.1.mid</t>
  </si>
  <si>
    <t>C:\Users\Earl Felizardo\Documents\Thesis Files\Queen MIDI Dataset\Under Pressure.7.mid</t>
  </si>
  <si>
    <t>C:\Users\Earl Felizardo\Documents\Thesis Files\Queen MIDI Dataset\We Are The Champions.5.mid</t>
  </si>
  <si>
    <t>C:\Users\Earl Felizardo\Documents\Thesis Files\Queen MIDI Dataset\We Are The Champions.1.mid</t>
  </si>
  <si>
    <t>C:\Users\Earl Felizardo\Documents\Thesis Files\Queen MIDI Dataset\These Are the Days of Our Lives.4.mid</t>
  </si>
  <si>
    <t>C:\Users\Earl Felizardo\Documents\Thesis Files\Queen MIDI Dataset\We Are The Champions.4.mid</t>
  </si>
  <si>
    <t>C:\Users\Earl Felizardo\Documents\Thesis Files\Queen MIDI Dataset\We Will Rock You.5.mid</t>
  </si>
  <si>
    <t>C:\Users\Earl Felizardo\Documents\Thesis Files\Queen MIDI Dataset\You're My Best Friend.mid</t>
  </si>
  <si>
    <t>C:\Users\Earl Felizardo\Documents\Thesis Files\Queen MIDI Dataset\White Man.mid</t>
  </si>
  <si>
    <t>C:\Users\Earl Felizardo\Documents\Thesis Files\Queen MIDI Dataset\Who Wants to Live Forever.8.mid</t>
  </si>
  <si>
    <t>C:\Users\Earl Felizardo\Documents\Thesis Files\Queen MIDI Dataset\You Don't Fool Me.3.mid</t>
  </si>
  <si>
    <t>C:\Users\Earl Felizardo\Documents\Thesis Files\Queen MIDI Dataset\You're My Best Friend.1.mid</t>
  </si>
  <si>
    <t>Cluster #</t>
  </si>
  <si>
    <t>Songs</t>
  </si>
  <si>
    <t>MIDI</t>
  </si>
  <si>
    <t>Total MIDI</t>
  </si>
  <si>
    <t>Total Songs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</si>
</sst>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Proxima Nova"/>
    </font>
    <font>
      <sz val="10.0"/>
      <color theme="1"/>
      <name val="Proxima Nova"/>
    </font>
    <font>
      <b/>
      <color theme="1"/>
      <name val="Proxima Nova"/>
    </font>
    <font>
      <b/>
      <sz val="10.0"/>
      <color theme="1"/>
      <name val="Proxima Nova"/>
    </font>
    <font/>
    <font>
      <u/>
      <color rgb="FF000000"/>
      <name val="Proxima Nova"/>
    </font>
    <font>
      <u/>
      <color rgb="FF0000FF"/>
      <name val="Proxima Nova"/>
    </font>
    <font>
      <color rgb="FF000000"/>
      <name val="Proxima Nova"/>
    </font>
    <font>
      <b/>
      <color theme="1"/>
      <name val="Arial"/>
    </font>
    <font>
      <color theme="1"/>
      <name val="Arial"/>
    </font>
    <font>
      <sz val="10.0"/>
      <color rgb="FF000000"/>
      <name val="Arial"/>
    </font>
    <font>
      <sz val="10.0"/>
      <color theme="1"/>
      <name val="Arial"/>
    </font>
  </fonts>
  <fills count="21">
    <fill>
      <patternFill patternType="none"/>
    </fill>
    <fill>
      <patternFill patternType="lightGray"/>
    </fill>
    <fill>
      <patternFill patternType="solid">
        <fgColor rgb="FF221F1F"/>
        <bgColor rgb="FF221F1F"/>
      </patternFill>
    </fill>
    <fill>
      <patternFill patternType="solid">
        <fgColor rgb="FFFFFFFF"/>
        <bgColor rgb="FFFFFFFF"/>
      </patternFill>
    </fill>
    <fill>
      <patternFill patternType="solid">
        <fgColor rgb="FFF8FAF8"/>
        <bgColor rgb="FFF8FAF8"/>
      </patternFill>
    </fill>
    <fill>
      <patternFill patternType="solid">
        <fgColor rgb="FF000000"/>
        <bgColor rgb="FF000000"/>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s>
  <borders count="13">
    <border/>
    <border>
      <left style="thin">
        <color rgb="FFF8FAF8"/>
      </left>
      <right style="thin">
        <color rgb="FFF8FAF8"/>
      </right>
      <top style="thin">
        <color rgb="FFF8FAF8"/>
      </top>
      <bottom style="thin">
        <color rgb="FFF8FAF8"/>
      </bottom>
    </border>
    <border>
      <left style="thin">
        <color rgb="FFF8FAF8"/>
      </left>
      <top style="thin">
        <color rgb="FFF8FAF8"/>
      </top>
      <bottom style="thin">
        <color rgb="FFF8FAF8"/>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top style="thin">
        <color rgb="FFEFEFEF"/>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221F1F"/>
      </left>
    </border>
    <border>
      <right style="thick">
        <color rgb="FF000000"/>
      </right>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0"/>
    </xf>
    <xf borderId="0" fillId="2" fontId="1" numFmtId="0" xfId="0" applyAlignment="1" applyFont="1">
      <alignment shrinkToFit="0" wrapText="1"/>
    </xf>
    <xf borderId="0" fillId="2" fontId="2" numFmtId="0" xfId="0" applyFont="1"/>
    <xf borderId="0" fillId="0" fontId="3" numFmtId="0" xfId="0" applyAlignment="1" applyFont="1">
      <alignment horizontal="center" shrinkToFit="0" vertical="center" wrapText="0"/>
    </xf>
    <xf borderId="0" fillId="0" fontId="4" numFmtId="0" xfId="0" applyAlignment="1" applyFont="1">
      <alignment horizontal="center" vertical="center"/>
    </xf>
    <xf borderId="0" fillId="0" fontId="4" numFmtId="0" xfId="0" applyAlignment="1" applyFont="1">
      <alignment horizontal="center" shrinkToFit="0" vertical="center" wrapText="1"/>
    </xf>
    <xf borderId="0" fillId="0" fontId="4" numFmtId="0" xfId="0" applyAlignment="1" applyFont="1">
      <alignment horizontal="center" shrinkToFit="0" vertical="center" wrapText="0"/>
    </xf>
    <xf borderId="0" fillId="2" fontId="1" numFmtId="0" xfId="0" applyAlignment="1" applyFont="1">
      <alignment vertical="center"/>
    </xf>
    <xf borderId="0" fillId="0" fontId="1" numFmtId="0" xfId="0" applyAlignment="1" applyFont="1">
      <alignment shrinkToFit="0" vertical="center" wrapText="0"/>
    </xf>
    <xf borderId="0" fillId="0" fontId="3" numFmtId="0" xfId="0" applyAlignment="1" applyFont="1">
      <alignment horizontal="center" vertical="center"/>
    </xf>
    <xf borderId="0" fillId="0" fontId="3"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2" numFmtId="0" xfId="0" applyAlignment="1" applyFont="1">
      <alignment vertical="center"/>
    </xf>
    <xf borderId="0" fillId="3" fontId="1" numFmtId="0" xfId="0" applyAlignment="1" applyFill="1" applyFont="1">
      <alignment shrinkToFit="0" vertical="center" wrapText="0"/>
    </xf>
    <xf borderId="1" fillId="4" fontId="1" numFmtId="0" xfId="0" applyBorder="1" applyFill="1" applyFont="1"/>
    <xf borderId="1" fillId="4" fontId="1" numFmtId="0" xfId="0" applyAlignment="1" applyBorder="1" applyFont="1">
      <alignment shrinkToFit="0" wrapText="0"/>
    </xf>
    <xf borderId="1" fillId="4" fontId="1" numFmtId="0" xfId="0" applyAlignment="1" applyBorder="1" applyFont="1">
      <alignment shrinkToFit="0" wrapText="1"/>
    </xf>
    <xf borderId="2" fillId="4" fontId="1" numFmtId="0" xfId="0" applyAlignment="1" applyBorder="1" applyFont="1">
      <alignment shrinkToFit="0" wrapText="1"/>
    </xf>
    <xf borderId="3" fillId="0" fontId="4" numFmtId="0" xfId="0" applyAlignment="1" applyBorder="1" applyFont="1">
      <alignment horizontal="center"/>
    </xf>
    <xf borderId="4" fillId="0" fontId="5" numFmtId="0" xfId="0" applyBorder="1" applyFont="1"/>
    <xf borderId="5" fillId="0" fontId="1" numFmtId="0" xfId="0" applyAlignment="1" applyBorder="1" applyFont="1">
      <alignment horizontal="center" shrinkToFit="0" wrapText="1"/>
    </xf>
    <xf borderId="6" fillId="0" fontId="4" numFmtId="0" xfId="0" applyAlignment="1" applyBorder="1" applyFont="1">
      <alignment horizontal="center"/>
    </xf>
    <xf borderId="7" fillId="0" fontId="1" numFmtId="0" xfId="0" applyAlignment="1" applyBorder="1" applyFont="1">
      <alignment horizontal="center" shrinkToFit="0" wrapText="1"/>
    </xf>
    <xf borderId="8" fillId="0" fontId="4" numFmtId="0" xfId="0" applyAlignment="1" applyBorder="1" applyFont="1">
      <alignment horizontal="center"/>
    </xf>
    <xf borderId="9" fillId="0" fontId="5" numFmtId="0" xfId="0" applyBorder="1" applyFont="1"/>
    <xf borderId="10" fillId="0" fontId="1" numFmtId="0" xfId="0" applyAlignment="1" applyBorder="1" applyFont="1">
      <alignment horizontal="center" shrinkToFit="0" wrapText="1"/>
    </xf>
    <xf borderId="6" fillId="2" fontId="4" numFmtId="0" xfId="0" applyAlignment="1" applyBorder="1" applyFont="1">
      <alignment horizontal="center"/>
    </xf>
    <xf borderId="11" fillId="2" fontId="4" numFmtId="0" xfId="0" applyAlignment="1" applyBorder="1" applyFont="1">
      <alignment horizontal="center"/>
    </xf>
    <xf borderId="0" fillId="2" fontId="1" numFmtId="0" xfId="0" applyAlignment="1" applyFont="1">
      <alignment horizontal="center" shrinkToFit="0" wrapText="1"/>
    </xf>
    <xf borderId="0" fillId="5" fontId="1" numFmtId="0" xfId="0" applyAlignment="1" applyFill="1" applyFont="1">
      <alignment horizontal="center" readingOrder="0"/>
    </xf>
    <xf borderId="0" fillId="5" fontId="1" numFmtId="0" xfId="0" applyAlignment="1" applyFont="1">
      <alignment horizontal="center"/>
    </xf>
    <xf borderId="0" fillId="5" fontId="1" numFmtId="0" xfId="0" applyAlignment="1" applyFont="1">
      <alignment horizontal="center" vertical="center"/>
    </xf>
    <xf borderId="0" fillId="0" fontId="3" numFmtId="0" xfId="0" applyAlignment="1" applyFont="1">
      <alignment horizontal="center" readingOrder="0" vertical="center"/>
    </xf>
    <xf borderId="0" fillId="6" fontId="3" numFmtId="0" xfId="0" applyAlignment="1" applyFill="1" applyFont="1">
      <alignment horizontal="center" readingOrder="0" vertical="center"/>
    </xf>
    <xf borderId="0" fillId="7" fontId="3" numFmtId="0" xfId="0" applyAlignment="1" applyFill="1" applyFont="1">
      <alignment horizontal="center" readingOrder="0" vertical="center"/>
    </xf>
    <xf borderId="0" fillId="8" fontId="3" numFmtId="0" xfId="0" applyAlignment="1" applyFill="1" applyFont="1">
      <alignment horizontal="center" readingOrder="0" vertical="center"/>
    </xf>
    <xf borderId="0" fillId="9" fontId="3" numFmtId="0" xfId="0" applyAlignment="1" applyFill="1" applyFont="1">
      <alignment horizontal="center" readingOrder="0" vertical="center"/>
    </xf>
    <xf borderId="0" fillId="10" fontId="3" numFmtId="0" xfId="0" applyAlignment="1" applyFill="1" applyFont="1">
      <alignment horizontal="center" readingOrder="0" vertical="center"/>
    </xf>
    <xf borderId="0" fillId="11" fontId="3" numFmtId="0" xfId="0" applyAlignment="1" applyFill="1" applyFont="1">
      <alignment horizontal="center" readingOrder="0" vertical="center"/>
    </xf>
    <xf borderId="0" fillId="12" fontId="3" numFmtId="0" xfId="0" applyAlignment="1" applyFill="1" applyFont="1">
      <alignment horizontal="center" readingOrder="0" vertical="center"/>
    </xf>
    <xf borderId="0" fillId="13" fontId="3" numFmtId="0" xfId="0" applyAlignment="1" applyFill="1" applyFont="1">
      <alignment horizontal="center" readingOrder="0" vertical="center"/>
    </xf>
    <xf borderId="0" fillId="14" fontId="3" numFmtId="0" xfId="0" applyAlignment="1" applyFill="1" applyFont="1">
      <alignment horizontal="center" readingOrder="0" vertical="center"/>
    </xf>
    <xf borderId="0" fillId="15" fontId="3" numFmtId="0" xfId="0" applyAlignment="1" applyFill="1" applyFont="1">
      <alignment horizontal="center" readingOrder="0" vertical="center"/>
    </xf>
    <xf borderId="0" fillId="16" fontId="3" numFmtId="0" xfId="0" applyAlignment="1" applyFill="1" applyFont="1">
      <alignment horizontal="center" readingOrder="0" vertical="center"/>
    </xf>
    <xf borderId="0" fillId="17" fontId="3" numFmtId="0" xfId="0" applyAlignment="1" applyFill="1" applyFont="1">
      <alignment horizontal="center" readingOrder="0" vertical="center"/>
    </xf>
    <xf borderId="0" fillId="18" fontId="3" numFmtId="0" xfId="0" applyAlignment="1" applyFill="1" applyFont="1">
      <alignment horizontal="center" readingOrder="0" vertical="center"/>
    </xf>
    <xf borderId="0" fillId="19" fontId="3" numFmtId="0" xfId="0" applyAlignment="1" applyFill="1" applyFont="1">
      <alignment horizontal="center" readingOrder="0" vertical="center"/>
    </xf>
    <xf borderId="0" fillId="20" fontId="3" numFmtId="0" xfId="0" applyAlignment="1" applyFill="1" applyFont="1">
      <alignment horizontal="center" readingOrder="0" vertical="center"/>
    </xf>
    <xf borderId="0" fillId="5" fontId="3" numFmtId="0" xfId="0" applyAlignment="1" applyFont="1">
      <alignment horizontal="center" vertical="center"/>
    </xf>
    <xf borderId="9" fillId="0" fontId="3" numFmtId="0" xfId="0" applyAlignment="1" applyBorder="1" applyFont="1">
      <alignment horizontal="center" readingOrder="0" shrinkToFit="0" vertical="center" wrapText="1"/>
    </xf>
    <xf borderId="9" fillId="6" fontId="3" numFmtId="0" xfId="0" applyAlignment="1" applyBorder="1" applyFont="1">
      <alignment horizontal="center" readingOrder="0" vertical="center"/>
    </xf>
    <xf borderId="9" fillId="7" fontId="3" numFmtId="0" xfId="0" applyAlignment="1" applyBorder="1" applyFont="1">
      <alignment horizontal="center" readingOrder="0" vertical="center"/>
    </xf>
    <xf borderId="9" fillId="8" fontId="3" numFmtId="0" xfId="0" applyAlignment="1" applyBorder="1" applyFont="1">
      <alignment horizontal="center" readingOrder="0" vertical="center"/>
    </xf>
    <xf borderId="9" fillId="9" fontId="3" numFmtId="0" xfId="0" applyAlignment="1" applyBorder="1" applyFont="1">
      <alignment horizontal="center" readingOrder="0" vertical="center"/>
    </xf>
    <xf borderId="9" fillId="10" fontId="3" numFmtId="0" xfId="0" applyAlignment="1" applyBorder="1" applyFont="1">
      <alignment horizontal="center" readingOrder="0" vertical="center"/>
    </xf>
    <xf borderId="9" fillId="11" fontId="3" numFmtId="0" xfId="0" applyAlignment="1" applyBorder="1" applyFont="1">
      <alignment horizontal="center" readingOrder="0" vertical="center"/>
    </xf>
    <xf borderId="9" fillId="12" fontId="3" numFmtId="0" xfId="0" applyAlignment="1" applyBorder="1" applyFont="1">
      <alignment horizontal="center" readingOrder="0" vertical="center"/>
    </xf>
    <xf borderId="9" fillId="13" fontId="3" numFmtId="0" xfId="0" applyAlignment="1" applyBorder="1" applyFont="1">
      <alignment horizontal="center" readingOrder="0" vertical="center"/>
    </xf>
    <xf borderId="9" fillId="14" fontId="3" numFmtId="0" xfId="0" applyAlignment="1" applyBorder="1" applyFont="1">
      <alignment horizontal="center" readingOrder="0" vertical="center"/>
    </xf>
    <xf borderId="9" fillId="15" fontId="3" numFmtId="0" xfId="0" applyAlignment="1" applyBorder="1" applyFont="1">
      <alignment horizontal="center" readingOrder="0" vertical="center"/>
    </xf>
    <xf borderId="9" fillId="16" fontId="3" numFmtId="0" xfId="0" applyAlignment="1" applyBorder="1" applyFont="1">
      <alignment horizontal="center" readingOrder="0" vertical="center"/>
    </xf>
    <xf borderId="9" fillId="17" fontId="3" numFmtId="0" xfId="0" applyAlignment="1" applyBorder="1" applyFont="1">
      <alignment horizontal="center" readingOrder="0" vertical="center"/>
    </xf>
    <xf borderId="9" fillId="18" fontId="3" numFmtId="0" xfId="0" applyAlignment="1" applyBorder="1" applyFont="1">
      <alignment horizontal="center" readingOrder="0" vertical="center"/>
    </xf>
    <xf borderId="9" fillId="19" fontId="3" numFmtId="0" xfId="0" applyAlignment="1" applyBorder="1" applyFont="1">
      <alignment horizontal="center" readingOrder="0" vertical="center"/>
    </xf>
    <xf borderId="9" fillId="20" fontId="3" numFmtId="0" xfId="0" applyAlignment="1" applyBorder="1" applyFont="1">
      <alignment horizontal="center" readingOrder="0" vertical="center"/>
    </xf>
    <xf borderId="9" fillId="5" fontId="3" numFmtId="0" xfId="0" applyAlignment="1" applyBorder="1" applyFont="1">
      <alignment horizontal="center" vertical="center"/>
    </xf>
    <xf borderId="0" fillId="6" fontId="1" numFmtId="0" xfId="0" applyAlignment="1" applyFont="1">
      <alignment horizontal="center" readingOrder="0"/>
    </xf>
    <xf borderId="0" fillId="7" fontId="1" numFmtId="0" xfId="0" applyAlignment="1" applyFont="1">
      <alignment horizontal="center" readingOrder="0"/>
    </xf>
    <xf borderId="0" fillId="8" fontId="1" numFmtId="0" xfId="0" applyAlignment="1" applyFont="1">
      <alignment horizontal="center" readingOrder="0"/>
    </xf>
    <xf borderId="0" fillId="9" fontId="1" numFmtId="0" xfId="0" applyAlignment="1" applyFont="1">
      <alignment horizontal="center" readingOrder="0"/>
    </xf>
    <xf borderId="0" fillId="10" fontId="1" numFmtId="0" xfId="0" applyAlignment="1" applyFont="1">
      <alignment horizontal="center" readingOrder="0"/>
    </xf>
    <xf borderId="0" fillId="11" fontId="1" numFmtId="0" xfId="0" applyAlignment="1" applyFont="1">
      <alignment horizontal="center" readingOrder="0"/>
    </xf>
    <xf borderId="0" fillId="12" fontId="1" numFmtId="0" xfId="0" applyAlignment="1" applyFont="1">
      <alignment horizontal="center" readingOrder="0"/>
    </xf>
    <xf borderId="0" fillId="13" fontId="1" numFmtId="0" xfId="0" applyAlignment="1" applyFont="1">
      <alignment horizontal="center" readingOrder="0"/>
    </xf>
    <xf borderId="0" fillId="14" fontId="1" numFmtId="0" xfId="0" applyAlignment="1" applyFont="1">
      <alignment horizontal="center" readingOrder="0"/>
    </xf>
    <xf borderId="0" fillId="15" fontId="1" numFmtId="0" xfId="0" applyAlignment="1" applyFont="1">
      <alignment horizontal="center" readingOrder="0"/>
    </xf>
    <xf borderId="0" fillId="16" fontId="1" numFmtId="0" xfId="0" applyAlignment="1" applyFont="1">
      <alignment horizontal="center" readingOrder="0"/>
    </xf>
    <xf borderId="0" fillId="17" fontId="1" numFmtId="0" xfId="0" applyAlignment="1" applyFont="1">
      <alignment horizontal="center" readingOrder="0"/>
    </xf>
    <xf borderId="0" fillId="18" fontId="1" numFmtId="0" xfId="0" applyAlignment="1" applyFont="1">
      <alignment horizontal="center" readingOrder="0"/>
    </xf>
    <xf borderId="0" fillId="19" fontId="1" numFmtId="0" xfId="0" applyAlignment="1" applyFont="1">
      <alignment horizontal="center" readingOrder="0"/>
    </xf>
    <xf borderId="0" fillId="20" fontId="1" numFmtId="0" xfId="0" applyAlignment="1" applyFont="1">
      <alignment horizontal="center" readingOrder="0"/>
    </xf>
    <xf quotePrefix="1" borderId="0" fillId="9" fontId="1" numFmtId="0" xfId="0" applyAlignment="1" applyFont="1">
      <alignment horizontal="center" readingOrder="0"/>
    </xf>
    <xf borderId="0" fillId="16" fontId="1" numFmtId="0" xfId="0" applyAlignment="1" applyFont="1">
      <alignment horizontal="center"/>
    </xf>
    <xf borderId="0" fillId="17" fontId="1" numFmtId="0" xfId="0" applyAlignment="1" applyFont="1">
      <alignment horizontal="center"/>
    </xf>
    <xf borderId="0" fillId="6" fontId="1" numFmtId="0" xfId="0" applyAlignment="1" applyFont="1">
      <alignment horizontal="center"/>
    </xf>
    <xf borderId="0" fillId="10" fontId="1" numFmtId="0" xfId="0" applyAlignment="1" applyFont="1">
      <alignment horizontal="center"/>
    </xf>
    <xf borderId="0" fillId="13" fontId="1" numFmtId="0" xfId="0" applyAlignment="1" applyFont="1">
      <alignment horizontal="center"/>
    </xf>
    <xf borderId="0" fillId="18" fontId="1" numFmtId="0" xfId="0" applyAlignment="1" applyFont="1">
      <alignment horizontal="center"/>
    </xf>
    <xf borderId="0" fillId="7" fontId="1" numFmtId="0" xfId="0" applyAlignment="1" applyFont="1">
      <alignment horizontal="center"/>
    </xf>
    <xf borderId="0" fillId="11" fontId="1" numFmtId="0" xfId="0" applyAlignment="1" applyFont="1">
      <alignment horizontal="center"/>
    </xf>
    <xf borderId="0" fillId="15" fontId="1" numFmtId="0" xfId="0" applyAlignment="1" applyFont="1">
      <alignment horizontal="center"/>
    </xf>
    <xf borderId="0" fillId="8" fontId="1" numFmtId="0" xfId="0" applyAlignment="1" applyFont="1">
      <alignment horizontal="center"/>
    </xf>
    <xf borderId="0" fillId="9" fontId="1" numFmtId="0" xfId="0" applyAlignment="1" applyFont="1">
      <alignment horizontal="center"/>
    </xf>
    <xf borderId="0" fillId="19" fontId="1" numFmtId="0" xfId="0" applyAlignment="1" applyFont="1">
      <alignment horizontal="center"/>
    </xf>
    <xf borderId="0" fillId="12" fontId="1" numFmtId="0" xfId="0" applyAlignment="1" applyFont="1">
      <alignment horizontal="center"/>
    </xf>
    <xf borderId="0" fillId="20" fontId="1" numFmtId="0" xfId="0" applyAlignment="1" applyFont="1">
      <alignment horizontal="center"/>
    </xf>
    <xf borderId="0" fillId="5" fontId="3" numFmtId="0" xfId="0" applyAlignment="1" applyFont="1">
      <alignment horizontal="center" readingOrder="0" vertical="center"/>
    </xf>
    <xf borderId="6" fillId="3" fontId="3" numFmtId="0" xfId="0" applyAlignment="1" applyBorder="1" applyFont="1">
      <alignment horizontal="center" readingOrder="0" vertical="center"/>
    </xf>
    <xf borderId="12" fillId="0" fontId="5" numFmtId="0" xfId="0" applyBorder="1" applyFont="1"/>
    <xf borderId="9" fillId="0" fontId="3" numFmtId="0" xfId="0" applyAlignment="1" applyBorder="1" applyFont="1">
      <alignment horizontal="center" readingOrder="0" vertical="center"/>
    </xf>
    <xf borderId="8" fillId="0" fontId="5" numFmtId="0" xfId="0" applyBorder="1" applyFont="1"/>
    <xf borderId="10" fillId="0" fontId="5" numFmtId="0" xfId="0" applyBorder="1" applyFont="1"/>
    <xf borderId="0" fillId="0" fontId="1" numFmtId="0" xfId="0" applyAlignment="1" applyFont="1">
      <alignment readingOrder="0"/>
    </xf>
    <xf borderId="0" fillId="0" fontId="6" numFmtId="0" xfId="0" applyAlignment="1" applyFont="1">
      <alignment readingOrder="0"/>
    </xf>
    <xf borderId="6" fillId="0" fontId="3" numFmtId="0" xfId="0" applyAlignment="1" applyBorder="1" applyFont="1">
      <alignment horizontal="center" readingOrder="0" vertical="center"/>
    </xf>
    <xf borderId="12" fillId="3" fontId="1" numFmtId="0" xfId="0" applyAlignment="1" applyBorder="1" applyFont="1">
      <alignment horizontal="center"/>
    </xf>
    <xf borderId="0" fillId="0" fontId="7" numFmtId="0" xfId="0" applyAlignment="1" applyFont="1">
      <alignment readingOrder="0"/>
    </xf>
    <xf borderId="0" fillId="10" fontId="1" numFmtId="0" xfId="0" applyAlignment="1" applyFont="1">
      <alignment horizontal="left" readingOrder="0"/>
    </xf>
    <xf borderId="0" fillId="0" fontId="1" numFmtId="0" xfId="0" applyAlignment="1" applyFont="1">
      <alignment horizontal="left" readingOrder="0"/>
    </xf>
    <xf borderId="0" fillId="9" fontId="1" numFmtId="0" xfId="0" applyAlignment="1" applyFont="1">
      <alignment horizontal="left" readingOrder="0"/>
    </xf>
    <xf borderId="6" fillId="0" fontId="3" numFmtId="0" xfId="0" applyAlignment="1" applyBorder="1" applyFont="1">
      <alignment horizontal="center" readingOrder="0"/>
    </xf>
    <xf borderId="8" fillId="3" fontId="3" numFmtId="0" xfId="0" applyAlignment="1" applyBorder="1" applyFont="1">
      <alignment horizontal="center" readingOrder="0"/>
    </xf>
    <xf borderId="10" fillId="3" fontId="1" numFmtId="0" xfId="0" applyAlignment="1" applyBorder="1" applyFont="1">
      <alignment horizontal="center"/>
    </xf>
    <xf borderId="0" fillId="13" fontId="1" numFmtId="0" xfId="0" applyAlignment="1" applyFont="1">
      <alignment readingOrder="0"/>
    </xf>
    <xf borderId="0" fillId="13" fontId="1" numFmtId="0" xfId="0" applyAlignment="1" applyFont="1">
      <alignment horizontal="left" readingOrder="0"/>
    </xf>
    <xf borderId="0" fillId="0" fontId="8" numFmtId="0" xfId="0" applyAlignment="1" applyFont="1">
      <alignment readingOrder="0"/>
    </xf>
    <xf borderId="0" fillId="6" fontId="1" numFmtId="0" xfId="0" applyAlignment="1" applyFont="1">
      <alignment horizontal="left" readingOrder="0"/>
    </xf>
    <xf borderId="0" fillId="7" fontId="1" numFmtId="0" xfId="0" applyAlignment="1" applyFont="1">
      <alignment horizontal="left" readingOrder="0"/>
    </xf>
    <xf borderId="0" fillId="5" fontId="9" numFmtId="0" xfId="0" applyFont="1"/>
    <xf borderId="0" fillId="5" fontId="10" numFmtId="0" xfId="0" applyFont="1"/>
    <xf borderId="0" fillId="0" fontId="9" numFmtId="0" xfId="0" applyFont="1"/>
    <xf borderId="0" fillId="5" fontId="11" numFmtId="0" xfId="0" applyAlignment="1" applyFont="1">
      <alignment horizontal="right" shrinkToFit="0" vertical="bottom" wrapText="0"/>
    </xf>
    <xf borderId="0" fillId="0" fontId="11" numFmtId="0" xfId="0" applyAlignment="1" applyFont="1">
      <alignment horizontal="right" shrinkToFit="0" vertical="bottom" wrapText="0"/>
    </xf>
    <xf borderId="0" fillId="0" fontId="11" numFmtId="0" xfId="0" applyAlignment="1" applyFont="1">
      <alignment shrinkToFit="0" vertical="bottom" wrapText="0"/>
    </xf>
    <xf borderId="0" fillId="0" fontId="12" numFmtId="0" xfId="0" applyAlignment="1" applyFont="1">
      <alignment shrinkToFit="0" wrapText="0"/>
    </xf>
    <xf borderId="0" fillId="0" fontId="10" numFmtId="0" xfId="0" applyFont="1"/>
    <xf borderId="0" fillId="0" fontId="10" numFmtId="0" xfId="0" applyAlignment="1" applyFont="1">
      <alignment shrinkToFit="0" wrapText="0"/>
    </xf>
    <xf borderId="0" fillId="5" fontId="10" numFmtId="0" xfId="0" applyAlignment="1" applyFont="1">
      <alignment shrinkToFit="0" wrapText="0"/>
    </xf>
  </cellXfs>
  <cellStyles count="1">
    <cellStyle xfId="0" name="Normal" builtinId="0"/>
  </cellStyles>
  <dxfs count="20">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CCC"/>
          <bgColor rgb="FFF4CCCC"/>
        </patternFill>
      </fill>
      <border/>
    </dxf>
    <dxf>
      <font>
        <color rgb="FFFFFFFF"/>
      </font>
      <fill>
        <patternFill patternType="solid">
          <fgColor rgb="FFFFFFFF"/>
          <bgColor rgb="FFFFFFFF"/>
        </patternFill>
      </fill>
      <border/>
    </dxf>
    <dxf>
      <font>
        <b/>
        <color rgb="FFFFFFFF"/>
      </font>
      <fill>
        <patternFill patternType="solid">
          <fgColor rgb="FFCC0000"/>
          <bgColor rgb="FFCC0000"/>
        </patternFill>
      </fill>
      <border/>
    </dxf>
    <dxf>
      <font>
        <color rgb="FF000000"/>
      </font>
      <fill>
        <patternFill patternType="solid">
          <fgColor rgb="FFE6B8AF"/>
          <bgColor rgb="FFE6B8AF"/>
        </patternFill>
      </fill>
      <border/>
    </dxf>
    <dxf>
      <font>
        <color rgb="FF000000"/>
      </font>
      <fill>
        <patternFill patternType="solid">
          <fgColor rgb="FFF4CCCC"/>
          <bgColor rgb="FFF4CCCC"/>
        </patternFill>
      </fill>
      <border/>
    </dxf>
    <dxf>
      <font>
        <color rgb="FF000000"/>
      </font>
      <fill>
        <patternFill patternType="solid">
          <fgColor rgb="FFFCE5CD"/>
          <bgColor rgb="FFFCE5CD"/>
        </patternFill>
      </fill>
      <border/>
    </dxf>
    <dxf>
      <font>
        <color rgb="FF000000"/>
      </font>
      <fill>
        <patternFill patternType="solid">
          <fgColor rgb="FFFFF2CC"/>
          <bgColor rgb="FFFFF2CC"/>
        </patternFill>
      </fill>
      <border/>
    </dxf>
    <dxf>
      <font>
        <color rgb="FF000000"/>
      </font>
      <fill>
        <patternFill patternType="solid">
          <fgColor rgb="FFD9EAD3"/>
          <bgColor rgb="FFD9EAD3"/>
        </patternFill>
      </fill>
      <border/>
    </dxf>
    <dxf>
      <font>
        <color rgb="FF000000"/>
      </font>
      <fill>
        <patternFill patternType="solid">
          <fgColor rgb="FFD0E0E3"/>
          <bgColor rgb="FFD0E0E3"/>
        </patternFill>
      </fill>
      <border/>
    </dxf>
    <dxf>
      <font>
        <color rgb="FF000000"/>
      </font>
      <fill>
        <patternFill patternType="solid">
          <fgColor rgb="FFC9DAF8"/>
          <bgColor rgb="FFC9DAF8"/>
        </patternFill>
      </fill>
      <border/>
    </dxf>
    <dxf>
      <font>
        <color rgb="FF000000"/>
      </font>
      <fill>
        <patternFill patternType="solid">
          <fgColor rgb="FFCFE2F3"/>
          <bgColor rgb="FFCFE2F3"/>
        </patternFill>
      </fill>
      <border/>
    </dxf>
    <dxf>
      <font>
        <color rgb="FF000000"/>
      </font>
      <fill>
        <patternFill patternType="solid">
          <fgColor rgb="FFD9D2E9"/>
          <bgColor rgb="FFD9D2E9"/>
        </patternFill>
      </fill>
      <border/>
    </dxf>
    <dxf>
      <font>
        <color rgb="FF000000"/>
      </font>
      <fill>
        <patternFill patternType="solid">
          <fgColor rgb="FFEAD1DC"/>
          <bgColor rgb="FFEAD1DC"/>
        </patternFill>
      </fill>
      <border/>
    </dxf>
    <dxf>
      <font>
        <color rgb="FF000000"/>
      </font>
      <fill>
        <patternFill patternType="solid">
          <fgColor rgb="FFEA9999"/>
          <bgColor rgb="FFEA9999"/>
        </patternFill>
      </fill>
      <border/>
    </dxf>
    <dxf>
      <font>
        <color rgb="FF000000"/>
      </font>
      <fill>
        <patternFill patternType="solid">
          <fgColor rgb="FFF9CB9C"/>
          <bgColor rgb="FFF9CB9C"/>
        </patternFill>
      </fill>
      <border/>
    </dxf>
    <dxf>
      <font>
        <color rgb="FF000000"/>
      </font>
      <fill>
        <patternFill patternType="solid">
          <fgColor rgb="FFFFE599"/>
          <bgColor rgb="FFFFE599"/>
        </patternFill>
      </fill>
      <border/>
    </dxf>
    <dxf>
      <font>
        <color rgb="FF000000"/>
      </font>
      <fill>
        <patternFill patternType="solid">
          <fgColor rgb="FFB6D7A8"/>
          <bgColor rgb="FFB6D7A8"/>
        </patternFill>
      </fill>
      <border/>
    </dxf>
    <dxf>
      <font>
        <color rgb="FF000000"/>
      </font>
      <fill>
        <patternFill patternType="solid">
          <fgColor rgb="FFA2C4C9"/>
          <bgColor rgb="FFA2C4C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jbMgY--TeXE1AvSljRdnGzOz2KzBkhdr&amp;usp=drive_copy" TargetMode="External"/><Relationship Id="rId42" Type="http://schemas.openxmlformats.org/officeDocument/2006/relationships/hyperlink" Target="https://drive.google.com/open?id=1xkOhhMnGyboLjUdS-4xZsi5j1ODsfXhv&amp;usp=drive_copy" TargetMode="External"/><Relationship Id="rId41" Type="http://schemas.openxmlformats.org/officeDocument/2006/relationships/hyperlink" Target="https://drive.google.com/open?id=1wxog7p8vQcqtcNqPxmYF3lMoZvt2d8s1&amp;usp=drive_copy" TargetMode="External"/><Relationship Id="rId44" Type="http://schemas.openxmlformats.org/officeDocument/2006/relationships/hyperlink" Target="https://drive.google.com/open?id=1ivria04DEiRXkGVABlg7ALVaIMmeLGQY&amp;usp=drive_copy" TargetMode="External"/><Relationship Id="rId43" Type="http://schemas.openxmlformats.org/officeDocument/2006/relationships/hyperlink" Target="https://drive.google.com/open?id=1KzPd8MWsRoAebrcj-VslGWi0OdIZcEQO&amp;usp=drive_copy" TargetMode="External"/><Relationship Id="rId46" Type="http://schemas.openxmlformats.org/officeDocument/2006/relationships/hyperlink" Target="https://drive.google.com/open?id=1-XOJcUk-JH7Uq0nPI7DAK08Bssx4Oadr&amp;usp=drive_copy" TargetMode="External"/><Relationship Id="rId45" Type="http://schemas.openxmlformats.org/officeDocument/2006/relationships/hyperlink" Target="https://drive.google.com/open?id=1NyqXiZeltcQD89EAl-5RXs47IOnOYhe9&amp;usp=drive_copy" TargetMode="External"/><Relationship Id="rId1" Type="http://schemas.openxmlformats.org/officeDocument/2006/relationships/hyperlink" Target="https://drive.google.com/open?id=1W86NhTx6I2hsw56EAcW6RGH8B6vNMAi5&amp;usp=drive_copy" TargetMode="External"/><Relationship Id="rId2" Type="http://schemas.openxmlformats.org/officeDocument/2006/relationships/hyperlink" Target="https://drive.google.com/open?id=1vNOdGpqJ0BM5VcIJa1uI_eOtkoyevbBw&amp;usp=drive_copy" TargetMode="External"/><Relationship Id="rId3" Type="http://schemas.openxmlformats.org/officeDocument/2006/relationships/hyperlink" Target="https://drive.google.com/open?id=1IhIQTN5RoB2y1dIUxZ0s5ScL2wPc0Woi&amp;usp=drive_copy" TargetMode="External"/><Relationship Id="rId4" Type="http://schemas.openxmlformats.org/officeDocument/2006/relationships/hyperlink" Target="https://drive.google.com/open?id=1DRxqwQt_SZnLxSl3uB8bIdyS20bCyCia&amp;usp=drive_copy" TargetMode="External"/><Relationship Id="rId9" Type="http://schemas.openxmlformats.org/officeDocument/2006/relationships/hyperlink" Target="https://drive.google.com/open?id=1IHsI2bqTkithPyPSDA4XWQntLskZwrVs&amp;usp=drive_copy" TargetMode="External"/><Relationship Id="rId48" Type="http://schemas.openxmlformats.org/officeDocument/2006/relationships/hyperlink" Target="https://drive.google.com/open?id=1vRMURxZ7Rc6jzwUierdjm6XCSC49Fuj8&amp;usp=drive_copy" TargetMode="External"/><Relationship Id="rId47" Type="http://schemas.openxmlformats.org/officeDocument/2006/relationships/hyperlink" Target="https://drive.google.com/open?id=1-uetMjslnRpRryhdfcQkilqszRQErn-w&amp;usp=drive_copy" TargetMode="External"/><Relationship Id="rId49" Type="http://schemas.openxmlformats.org/officeDocument/2006/relationships/hyperlink" Target="https://drive.google.com/open?id=1BFc3b1eNRJlFfdOvpN0cijMKT--33s44&amp;usp=drive_copy" TargetMode="External"/><Relationship Id="rId5" Type="http://schemas.openxmlformats.org/officeDocument/2006/relationships/hyperlink" Target="https://drive.google.com/open?id=1KuCAL2WFWc1TzdlRmARpZje1q-otj7Bi&amp;usp=drive_copy" TargetMode="External"/><Relationship Id="rId6" Type="http://schemas.openxmlformats.org/officeDocument/2006/relationships/hyperlink" Target="https://drive.google.com/open?id=1wbYpZ3mrZgTNZxCCRQ-fR-KAU2-HBFoG&amp;usp=drive_copy" TargetMode="External"/><Relationship Id="rId7" Type="http://schemas.openxmlformats.org/officeDocument/2006/relationships/hyperlink" Target="https://drive.google.com/open?id=1sLMYmOY_hfsmpIgzH2PbMRbIBEV5MibL&amp;usp=drive_copy" TargetMode="External"/><Relationship Id="rId8" Type="http://schemas.openxmlformats.org/officeDocument/2006/relationships/hyperlink" Target="https://drive.google.com/open?id=178UolXUe3PAAjN6aFmYTWFuAzBWrUIAb&amp;usp=drive_copy" TargetMode="External"/><Relationship Id="rId31" Type="http://schemas.openxmlformats.org/officeDocument/2006/relationships/hyperlink" Target="https://drive.google.com/open?id=1rVNnFfyH-lDWTYPJTgGC0j8zCNLwXnXQ&amp;usp=drive_copy" TargetMode="External"/><Relationship Id="rId30" Type="http://schemas.openxmlformats.org/officeDocument/2006/relationships/hyperlink" Target="https://drive.google.com/open?id=1GTU25uW7qG-wJIauDF5paC4iEqJpFZ-U&amp;usp=drive_copy" TargetMode="External"/><Relationship Id="rId33" Type="http://schemas.openxmlformats.org/officeDocument/2006/relationships/hyperlink" Target="https://drive.google.com/open?id=1zavk9Qvb-TGKVCy1HAYIOr_wignQtqIK&amp;usp=drive_copy" TargetMode="External"/><Relationship Id="rId32" Type="http://schemas.openxmlformats.org/officeDocument/2006/relationships/hyperlink" Target="https://drive.google.com/open?id=10ouH1Wek5uLVqey4VpP-_gd_yUmE_dip&amp;usp=drive_copy" TargetMode="External"/><Relationship Id="rId35" Type="http://schemas.openxmlformats.org/officeDocument/2006/relationships/hyperlink" Target="https://drive.google.com/open?id=1m6KibrOp_PLTDqWn3Q8Ffz1V-jBHYwgF&amp;usp=drive_copy" TargetMode="External"/><Relationship Id="rId34" Type="http://schemas.openxmlformats.org/officeDocument/2006/relationships/hyperlink" Target="https://drive.google.com/open?id=1pe3XnPCzkL-Hr1VJVVOelyL5UR3nVSuu&amp;usp=drive_copy" TargetMode="External"/><Relationship Id="rId37" Type="http://schemas.openxmlformats.org/officeDocument/2006/relationships/hyperlink" Target="https://drive.google.com/open?id=1vUSaOUykzgW7omZInJFz7qtvexsCLDoH&amp;usp=drive_copy" TargetMode="External"/><Relationship Id="rId36" Type="http://schemas.openxmlformats.org/officeDocument/2006/relationships/hyperlink" Target="https://drive.google.com/open?id=1syGUq0O5tTFEKxMX9bx1wQuReuKwJNK3&amp;usp=drive_copy" TargetMode="External"/><Relationship Id="rId39" Type="http://schemas.openxmlformats.org/officeDocument/2006/relationships/hyperlink" Target="https://drive.google.com/open?id=1jQfpHiCNcLUiD5UNl3oWoHZ1XpHzVSUn&amp;usp=drive_copy" TargetMode="External"/><Relationship Id="rId38" Type="http://schemas.openxmlformats.org/officeDocument/2006/relationships/hyperlink" Target="https://drive.google.com/open?id=1fWsUtSRmbh6W-UUKMKiciCus60uMOGum&amp;usp=drive_copy" TargetMode="External"/><Relationship Id="rId62" Type="http://schemas.openxmlformats.org/officeDocument/2006/relationships/hyperlink" Target="https://drive.google.com/open?id=1Z-cWZd6lCn1tVW7EUo8QWWzCOaK7crfw&amp;usp=drive_copy" TargetMode="External"/><Relationship Id="rId61" Type="http://schemas.openxmlformats.org/officeDocument/2006/relationships/hyperlink" Target="https://drive.google.com/open?id=14UyfbVtI2UDblI71Qx7wngFm5hi2slW5&amp;usp=drive_copy" TargetMode="External"/><Relationship Id="rId20" Type="http://schemas.openxmlformats.org/officeDocument/2006/relationships/hyperlink" Target="https://drive.google.com/open?id=1IFaPN9mtoCpMmA8h3dkniSauTsHPg7r5&amp;usp=drive_copy" TargetMode="External"/><Relationship Id="rId64" Type="http://schemas.openxmlformats.org/officeDocument/2006/relationships/drawing" Target="../drawings/drawing3.xml"/><Relationship Id="rId63" Type="http://schemas.openxmlformats.org/officeDocument/2006/relationships/hyperlink" Target="https://drive.google.com/open?id=16Zz0JVfjPFTxQ6BbxUvizcQfQ1V0lLPY&amp;usp=drive_copy" TargetMode="External"/><Relationship Id="rId22" Type="http://schemas.openxmlformats.org/officeDocument/2006/relationships/hyperlink" Target="https://drive.google.com/open?id=1WUdRc0kkLW0QkfkcC3h988hUVdj5Kb6e&amp;usp=drive_copy" TargetMode="External"/><Relationship Id="rId21" Type="http://schemas.openxmlformats.org/officeDocument/2006/relationships/hyperlink" Target="https://drive.google.com/open?id=1ZRV4piIXgiU8mYe8ghNezPC5RA8o3eZE&amp;usp=drive_copy" TargetMode="External"/><Relationship Id="rId24" Type="http://schemas.openxmlformats.org/officeDocument/2006/relationships/hyperlink" Target="https://drive.google.com/open?id=1SsCibstatffSuExMpoPM_JjbNJovhgme&amp;usp=drive_copy" TargetMode="External"/><Relationship Id="rId23" Type="http://schemas.openxmlformats.org/officeDocument/2006/relationships/hyperlink" Target="https://drive.google.com/open?id=1YQbYevWX2pM2j9dSaM_Pu4V_AsVCgPnc&amp;usp=drive_copy" TargetMode="External"/><Relationship Id="rId60" Type="http://schemas.openxmlformats.org/officeDocument/2006/relationships/hyperlink" Target="https://drive.google.com/open?id=1abQAvQPLYL3ld6QHm93Y8tsESEB252oE&amp;usp=drive_copy" TargetMode="External"/><Relationship Id="rId26" Type="http://schemas.openxmlformats.org/officeDocument/2006/relationships/hyperlink" Target="https://drive.google.com/open?id=1UAlkv8YMGUsO19xT5vX0bcCBCrrm65uZ&amp;usp=drive_copy" TargetMode="External"/><Relationship Id="rId25" Type="http://schemas.openxmlformats.org/officeDocument/2006/relationships/hyperlink" Target="https://drive.google.com/open?id=1yq5XrddF29cDeSG-UlDvwp3y6Kw6uRdY&amp;usp=drive_copy" TargetMode="External"/><Relationship Id="rId28" Type="http://schemas.openxmlformats.org/officeDocument/2006/relationships/hyperlink" Target="https://drive.google.com/open?id=11xzS-wT2WVgjN5Sx4ZqB-i_1EncIVVPe&amp;usp=drive_copy" TargetMode="External"/><Relationship Id="rId27" Type="http://schemas.openxmlformats.org/officeDocument/2006/relationships/hyperlink" Target="https://drive.google.com/open?id=1t60xHaq117aZDPS8DkxoxYUxgxiTx_iH&amp;usp=drive_copy" TargetMode="External"/><Relationship Id="rId29" Type="http://schemas.openxmlformats.org/officeDocument/2006/relationships/hyperlink" Target="https://drive.google.com/open?id=1KdfP2jvMVs25JCchXOJgj_ZeyNulyP2i&amp;usp=drive_copy" TargetMode="External"/><Relationship Id="rId51" Type="http://schemas.openxmlformats.org/officeDocument/2006/relationships/hyperlink" Target="https://drive.google.com/open?id=1nx-u8v4muhHU8oMCiXzubfOSi4JotzED&amp;usp=drive_copy" TargetMode="External"/><Relationship Id="rId50" Type="http://schemas.openxmlformats.org/officeDocument/2006/relationships/hyperlink" Target="https://drive.google.com/open?id=1DUvefYcs_lJO_oHGrOBTpWkXhKLBNpyN&amp;usp=drive_copy" TargetMode="External"/><Relationship Id="rId53" Type="http://schemas.openxmlformats.org/officeDocument/2006/relationships/hyperlink" Target="https://drive.google.com/open?id=1secOp7dzwm4v6HMqcW7vBai6HLgy3ISi&amp;usp=drive_copy" TargetMode="External"/><Relationship Id="rId52" Type="http://schemas.openxmlformats.org/officeDocument/2006/relationships/hyperlink" Target="https://drive.google.com/open?id=19K-ujr8cmSKuFmzry4bXmTGO2hyF_hVg&amp;usp=drive_copy" TargetMode="External"/><Relationship Id="rId11" Type="http://schemas.openxmlformats.org/officeDocument/2006/relationships/hyperlink" Target="https://drive.google.com/open?id=1aeabMMaQbkT96gjH06z5WAjUTG6pVWH5&amp;usp=drive_copy" TargetMode="External"/><Relationship Id="rId55" Type="http://schemas.openxmlformats.org/officeDocument/2006/relationships/hyperlink" Target="https://drive.google.com/open?id=1QstexnNIBZZQCoPEXMDHPz82SaRr9J57&amp;usp=drive_copy" TargetMode="External"/><Relationship Id="rId10" Type="http://schemas.openxmlformats.org/officeDocument/2006/relationships/hyperlink" Target="https://drive.google.com/open?id=1XPfOcLxoXQW8-aRtTDuRqqa86Hq6FGEX&amp;usp=drive_copy" TargetMode="External"/><Relationship Id="rId54" Type="http://schemas.openxmlformats.org/officeDocument/2006/relationships/hyperlink" Target="https://drive.google.com/open?id=1XYnDuoGBCJUGuWwf6lAOHHaeeZ5ZqB-8&amp;usp=drive_copy" TargetMode="External"/><Relationship Id="rId13" Type="http://schemas.openxmlformats.org/officeDocument/2006/relationships/hyperlink" Target="https://drive.google.com/open?id=1Md3UwOrvDFvdRtfBtpOhuoPesX2ofj-k&amp;usp=drive_copy" TargetMode="External"/><Relationship Id="rId57" Type="http://schemas.openxmlformats.org/officeDocument/2006/relationships/hyperlink" Target="https://drive.google.com/open?id=1D4oI-Qn6W28nXk7l3eNY77MwZJoyfHbf&amp;usp=drive_copy" TargetMode="External"/><Relationship Id="rId12" Type="http://schemas.openxmlformats.org/officeDocument/2006/relationships/hyperlink" Target="https://drive.google.com/open?id=1mu4PtZ02tjVOO4ArESV4Ol0xHSbEEse1&amp;usp=drive_copy" TargetMode="External"/><Relationship Id="rId56" Type="http://schemas.openxmlformats.org/officeDocument/2006/relationships/hyperlink" Target="https://drive.google.com/open?id=1e6gUFPCnhjCX8C927yCp2yBFOo-2vfdm&amp;usp=drive_copy" TargetMode="External"/><Relationship Id="rId15" Type="http://schemas.openxmlformats.org/officeDocument/2006/relationships/hyperlink" Target="https://drive.google.com/open?id=13B_IkYxd9c7TVgFbddh55CoD8aP6Thxi&amp;usp=drive_copy" TargetMode="External"/><Relationship Id="rId59" Type="http://schemas.openxmlformats.org/officeDocument/2006/relationships/hyperlink" Target="https://drive.google.com/open?id=1dz_TKeXFZdZETcbrtBulMOS_-jMoj48U&amp;usp=drive_copy" TargetMode="External"/><Relationship Id="rId14" Type="http://schemas.openxmlformats.org/officeDocument/2006/relationships/hyperlink" Target="https://drive.google.com/open?id=1EaEwJYdHYBEoRxMty3i4ZYYRMp4NmW3B&amp;usp=drive_copy" TargetMode="External"/><Relationship Id="rId58" Type="http://schemas.openxmlformats.org/officeDocument/2006/relationships/hyperlink" Target="https://drive.google.com/open?id=1G0Z8RA9XmWGuH1fNczwpEKE3HI9HzkhW&amp;usp=drive_copy" TargetMode="External"/><Relationship Id="rId17" Type="http://schemas.openxmlformats.org/officeDocument/2006/relationships/hyperlink" Target="https://drive.google.com/open?id=1NkqBNxX_Mfh5nZWkbDKEZKqHfUjwRmep&amp;usp=drive_copy" TargetMode="External"/><Relationship Id="rId16" Type="http://schemas.openxmlformats.org/officeDocument/2006/relationships/hyperlink" Target="https://drive.google.com/open?id=1Z8TurZQwGOXcidBAEYEVd-NAOVuPwEm2&amp;usp=drive_copy" TargetMode="External"/><Relationship Id="rId19" Type="http://schemas.openxmlformats.org/officeDocument/2006/relationships/hyperlink" Target="https://drive.google.com/open?id=1tcHUyAW2q6y31fzbsrHZILmii-Y8ckOX&amp;usp=drive_copy" TargetMode="External"/><Relationship Id="rId18" Type="http://schemas.openxmlformats.org/officeDocument/2006/relationships/hyperlink" Target="https://drive.google.com/open?id=1rm16SABrLCvmuvGLuWLchxvlmvt2lULn&amp;usp=drive_cop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75"/>
    <col customWidth="1" hidden="1" min="2" max="2" width="12.63"/>
    <col customWidth="1" min="3" max="3" width="9.13"/>
    <col customWidth="1" hidden="1" min="4" max="4" width="29.38"/>
    <col customWidth="1" min="5" max="5" width="42.38"/>
    <col customWidth="1" min="6" max="6" width="61.25"/>
    <col customWidth="1" min="7" max="7" width="137.0"/>
    <col customWidth="1" min="8" max="11" width="9.38"/>
    <col customWidth="1" min="12" max="12" width="25.5"/>
    <col customWidth="1" min="13" max="13" width="2.75"/>
    <col customWidth="1" hidden="1" min="14" max="15" width="11.5"/>
    <col customWidth="1" hidden="1" min="16" max="16" width="6.88"/>
    <col customWidth="1" hidden="1" min="17" max="17" width="6.13"/>
    <col customWidth="1" hidden="1" min="18" max="18" width="2.75"/>
  </cols>
  <sheetData>
    <row r="1" ht="15.75" customHeight="1">
      <c r="A1" s="1"/>
      <c r="B1" s="2"/>
      <c r="C1" s="1"/>
      <c r="D1" s="3"/>
      <c r="E1" s="3"/>
      <c r="F1" s="3"/>
      <c r="G1" s="3"/>
      <c r="H1" s="4"/>
      <c r="I1" s="4"/>
      <c r="J1" s="4"/>
      <c r="K1" s="4"/>
      <c r="L1" s="3"/>
      <c r="M1" s="1"/>
      <c r="N1" s="2"/>
      <c r="O1" s="2"/>
      <c r="P1" s="2"/>
      <c r="Q1" s="2"/>
      <c r="R1" s="1"/>
    </row>
    <row r="2" ht="15.75" customHeight="1">
      <c r="A2" s="1"/>
      <c r="B2" s="5"/>
      <c r="C2" s="6" t="s">
        <v>0</v>
      </c>
      <c r="D2" s="7"/>
      <c r="E2" s="7" t="s">
        <v>1</v>
      </c>
      <c r="F2" s="7" t="s">
        <v>2</v>
      </c>
      <c r="G2" s="7" t="s">
        <v>3</v>
      </c>
      <c r="H2" s="6" t="s">
        <v>4</v>
      </c>
      <c r="J2" s="6" t="s">
        <v>5</v>
      </c>
      <c r="L2" s="7" t="s">
        <v>6</v>
      </c>
      <c r="M2" s="1"/>
      <c r="N2" s="8" t="s">
        <v>7</v>
      </c>
      <c r="O2" s="8" t="s">
        <v>8</v>
      </c>
      <c r="P2" s="7" t="s">
        <v>9</v>
      </c>
      <c r="Q2" s="7" t="s">
        <v>10</v>
      </c>
      <c r="R2" s="1"/>
    </row>
    <row r="3" ht="15.75" customHeight="1">
      <c r="A3" s="1"/>
      <c r="B3" s="5" t="s">
        <v>11</v>
      </c>
      <c r="D3" s="7" t="s">
        <v>12</v>
      </c>
      <c r="H3" s="6" t="s">
        <v>13</v>
      </c>
      <c r="I3" s="6" t="s">
        <v>14</v>
      </c>
      <c r="J3" s="6" t="s">
        <v>13</v>
      </c>
      <c r="K3" s="6" t="s">
        <v>14</v>
      </c>
      <c r="M3" s="1"/>
      <c r="R3" s="1"/>
    </row>
    <row r="4" ht="15.75" customHeight="1">
      <c r="A4" s="9"/>
      <c r="B4" s="10" t="s">
        <v>15</v>
      </c>
      <c r="C4" s="11" t="str">
        <f t="shared" ref="C4:C249" si="1">LEFT(B4,SEARCH(" ",B4)-1)</f>
        <v>P-1</v>
      </c>
      <c r="D4" s="12" t="str">
        <f>IFERROR(__xludf.DUMMYFUNCTION("REGEXREPLACE(B4,""(.*):(.*)"", ""$1"")"),"P-1 Basic Pitch Histogram")</f>
        <v>P-1 Basic Pitch Histogram</v>
      </c>
      <c r="E4" s="12" t="str">
        <f t="shared" ref="E4:E249" si="2">MID(D4,FIND(" ",D4)+1,256)</f>
        <v>Basic Pitch Histogram</v>
      </c>
      <c r="F4" s="13"/>
      <c r="G4" s="14" t="str">
        <f>IFERROR(__xludf.DUMMYFUNCTION("REGEXREPLACE(B4,""(.*): (.*)"", ""$2"")"),"A feature vector consisting of bin magnitudes of the basic pitch histogram described above. Each bin corresponds to one of the 128 MIDI pitches, ordered from lowest to highest, and with an interval of a semitone between each (enharmonic equivalents are as"&amp;"signed the same pitch number). Bin 60 corresponds to middle C. The magnitude of of each bin is proportional to the the number of times notes occurred at the bin's pitch in the piece, relative to all other pitches in the piece (the histogram is normalized)"&amp;".")</f>
        <v>A feature vector consisting of bin magnitudes of the basic pitch histogram described above. Each bin corresponds to one of the 128 MIDI pitches, ordered from lowest to highest, and with an interval of a semitone between each (enharmonic equivalents are assigned the same pitch number). Bin 60 corresponds to middle C. The magnitude of of each bin is proportional to the the number of times notes occurred at the bin's pitch in the piece, relative to all other pitches in the piece (the histogram is normalized).</v>
      </c>
      <c r="H4" s="6">
        <f>INT(I4)</f>
        <v>0</v>
      </c>
      <c r="I4" s="15" t="b">
        <v>0</v>
      </c>
      <c r="J4" s="6">
        <f>INT(K4)</f>
        <v>0</v>
      </c>
      <c r="K4" s="15" t="b">
        <v>0</v>
      </c>
      <c r="L4" s="14"/>
      <c r="M4" s="9"/>
      <c r="N4" s="16" t="str">
        <f t="shared" ref="N4:N249" si="3">IF(I4,CONCATENATE("'",F4,"',"),"")</f>
        <v/>
      </c>
      <c r="O4" s="16" t="str">
        <f t="shared" ref="O4:O249" si="4">IF(K4,CONCATENATE("'",F4,"',"),"")</f>
        <v/>
      </c>
      <c r="P4" s="16" t="s">
        <v>16</v>
      </c>
      <c r="Q4" s="16" t="str">
        <f>CONCATENATE(
"column_names = [",
LEFT(
TEXTJOIN(CHAR(10),TRUE,N4:N249),
LEN(CONCATENATE(N4:N249))-1),"]")</f>
        <v>column_names = ['Number_of_Pitches',
'Number_of_Pitch_Classes',
'Number_of_Common_Pitches',
'Number_of_Common_Pitch_Classes',
'Range',
'Importance_of_Bass_Register',
'Importance_of_Middle_Register',
'Importance_of_High_Register',
'Dominant_Spread',
'Strong_Tonal_Centres',
'Mean_Pitch',
'Mean_Pitch_Class',
'Most_Common_Pitch',
'Most_Common_Pitch_Class',
'Prevalence_of_Most_Common_Pitch',
'Prevalence_of_Most_Common_Pitch_Class',
'Relative_Prevalence_of_Top_Pitches',
'Relative_Prevalence_of_Top_Pitch_Classes',
'Interval_Between_Most_Prevalent_Pitches',
'Interval_Between_Most_Prevalent_Pitch_Classes',
'Pitch_Variability',
'Pitch_Class_Variability',
'Pitch_Class_Variability_After_Folding',
'Pitch_Skewness',
'Pitch_Class_Skewness',
'Pitch_Class_Skewness_After_Folding',
'Pitch_Kurtosis',
'Pitch_Class_Kurtosis',
'Pitch_Class_Kurtosis_After_Folding',
'Major_or_Minor',
'First_Pitch',
'First_Pitch_Class',
'Last_Pitch',
'Last_Pitch_Class',
'Glissando_Prevalence',
'Average_Range_of_Glissandos',
'Vibrato_Prevalence',
'Microtone_Prevalence',
'Most_Common_Melodic_Interval',
'Mean_Melodic_Interval',
'Number_of_Common_Melodic_Intervals',
'Distance_Between_Most_Prevalent_Melodic_Intervals',
'Prevalence_of_Most_Common_Melodic_Interval',
'Relative_Prevalence_of_Most_Common_Melodic_Intervals',
'Amount_of_Arpeggiation',
'Repeated_Notes',
'Chromatic_Motion',
'Stepwise_Motion',
'Melodic_Thirds',
'Melodic_Perfect_Fourths',
'Melodic_Tritones',
'Melodic_Perfect_Fifths',
'Melodic_Sixths',
'Melodic_Sevenths',
'Melodic_Octaves',
'Melodic_Large_Intervals',
'Minor_Major_Melodic_Third_Ratio',
'Melodic_Embellishments',
'Direction_of_Melodic_Motion',
'Average_Length_of_Melodic_Arcs',
'Average_Interval_Spanned_by_Melodic_Arcs',
'Melodic_Pitch_Variety',
'Average_Number_of_Simultaneous_Pitch_Classes',
'Variability_of_Number_of_Simultaneous_Pitch_Classes',
'Average_Number_of_Simultaneous_Pitches',
'Variability_of_Number_of_Simultaneous_Pitches',
'Most_Common_Vertical_Interval',
'Second_Most_Common_Vertical_Interval',
'Distance_Between_Two_Most_Common_Vertical_Intervals',
'Prevalence_of_Most_Common_Vertical_Interval',
'Prevalence_of_Second_Most_Common_Vertical_Interval',
'Prevalence_Ratio_of_Two_Most_Common_Vertical_Intervals',
'Vertical_Unisons',
'Vertical_Minor_Seconds',
'Vertical_Thirds',
'Vertical_Tritones',
'Vertical_Perfect_Fourths',
'Vertical_Perfect_Fifths',
'Vertical_Sixths',
'Vertical_Sevenths',
'Vertical_Octaves',
'Perfect_Vertical_Intervals',
'Vertical_Dissonance_Ratio',
'Vertical_Minor_Third_Prevalence',
'Vertical_Major_Third_Prevalence',
'Chord_Duration',
'Partial_Chords',
'Standard_Triads',
'Diminished_and_Augmented_Triads',
'Dominant_Seventh_Chords',
'Seventh_Chords',
'Non-Standard_Chords',
'Complex_Chords',
'Minor_Major_Triad_Ratio',
'Simple_Initial_Meter',
'Compound_Initial_Meter',
'Complex_Initial_Meter',
'Duple_Initial_Meter',
'Triple_Initial_Meter',
'Quadruple_Initial_Meter',
'Metrical_Diversity',
'Total_Number_of_Notes',
'Note_Density_per_Quarter_Note',
'Note_Density_per_Quarter_Note_per_Voice',
'Range_of_Rhythmic_Values',
'Number_of_Different_Rhythmic_Values_Present',
'Number_of_Common_Rhythmic_Values_Present',
'Prevalence_of_Very_Short_Rhythmic_Values',
'Prevalence_of_Short_Rhythmic_Values',
'Prevalence_of_Medium_Rhythmic_Values',
'Prevalence_of_Long_Rhythmic_Values',
'Prevalence_of_Very_Long_Rhythmic_Values',
'Prevalence_of_Dotted_Notes',
'Shortest_Rhythmic_Value',
'Longest_Rhythmic_Value',
'Mean_Rhythmic_Value',
'Most_Common_Rhythmic_Value',
'Prevalence_of_Most_Common_Rhythmic_Value',
'Relative_Prevalence_of_Most_Common_Rhythmic_Values',
'Difference_Between_Most_Common_Rhythmic_Values',
'Rhythmic_Value_Variability',
'Rhythmic_Value_Skewness',
'Rhythmic_Value_Kurtosis',
'Mean_Rhythmic_Value_Run_Length',
'Median_Rhythmic_Value_Run_Length',
'Variability_in_Rhythmic_Value_Run_Lengths',
'Mean_Rhythmic_Value_Offset',
'Median_Rhythmic_Value_Offset',
'Variability_of_Rhythmic_Value_Offsets',
'Complete_Rests_Fraction',
'Partial_Rests_Fraction',
'Average_Rest_Fraction_Across_Voices',
'Longest_Complete_Rest',
'Longest_Partial_Rest',
'Mean_Complete_Rest_Duration',
'Mean_Partial_Rest_Duration',
'Median_Complete_Rest_Duration',
'Median_Partial_Rest_Duration',
'Variability_of_Complete_Rest_Durations',
'Variability_of_Partial_Rest_Durations',
'Variability_Across_Voices_of_Combined_Rests',
'Number_of_Strong_Rhythmic_Pulses_-_Tempo_Standardized',
'Number_of_Moderate_Rhythmic_Pulses_-_Tempo_Standardized',
'Number_of_Relatively_Strong_Rhythmic_Pulses_-_Tempo_Standardized',
'Strongest_Rhythmic_Pulse_-_Tempo_Standardized',
'Second_Strongest_Rhythmic_Pulse_-_Tempo_Standardized',
'Harmonicity_of_Two_Strongest_Rhythmic_Pulses_-_Tempo_Standardized',
'Strength_of_Strongest_Rhythmic_Pulse_-_Tempo_Standardized',
'Strength_of_Second_Strongest_Rhythmic_Pulse_-_Tempo_Standardized',
'Strength_Ratio_of_Two_Strongest_Rhythmic_Pulses_-_Tempo_Standardized',
'Combined_Strength_of_Two_Strongest_Rhythmic_Pulses_-_Tempo_Standardized',
'Rhythmic_Variability_-_Tempo_Standardized',
'Rhythmic_Looseness_-_Tempo_Standardized',
'Polyrhythms_-_Tempo_Standardized',
'Initial_Tempo',
'Mean_Tempo',
'Tempo_Variability',
'Duration_in_Seconds',
'Note_Density',
'Note_Density_Variability',
'Average_Time_Between_Attacks',
'Average_Time_Between_Attacks_for_Each_Voice',
'Variability_of_Time_Between_Attacks',
'Average_Variability_of_Time_Between_Attacks_for_Each_Voice',
'Minimum_Note_Duration',
'Maximum_Note_Duration',
'Average_Note_Duration',
'Variability_of_Note_Durations',
'Amount_of_Staccato',
'Number_of_Strong_Rhythmic_Pulses',
'Number_of_Moderate_Rhythmic_Pulses',
'Number_of_Relatively_Strong_Rhythmic_Pulses',
'Strongest_Rhythmic_Pulse',
'Second_Strongest_Rhythmic_Pulse',
'Harmonicity_of_Two_Strongest_Rhythmic_Pulses',
'Strength_of_Strongest_Rhythmic_Pulse',
'Strength_of_Second_Strongest_Rhythmic_Pulse',
'Strength_Ratio_of_Two_Strongest_Rhythmic_Pulses',
'Combined_Strength_of_Two_Strongest_Rhythmic_Pulses',
'Rhythmic_Variability',
'Rhythmic_Looseness',
'Polyrhythms',
'Variability_of_Note_Prevalence_of_Pitched_Instruments',
'Variability_of_Note_Prevalence_of_Unpitched_Instruments',
'Number_of_Pitched_Instruments',
'Number_of_Unpitched_Instruments',
'Unpitched_Percussion_Instrument_Prevalence',
'String_Keyboard_Prevalence',
'Acoustic_Guitar_Prevalence',
'Electric_Guitar_Prevalence',
'Violin_Prevalence',
'Saxophone_Prevalence',
'Brass_Prevalence',
'Woodwinds_Prevalence',
'Orchestral_Strings_Prevalence',
'String_Ensemble_Prevalence',
'Electric_Instrument_Prevalence',
'Maximum_Number_of_Independent_Voices',
'Average_Number_of_Independent_Voices',
'Variability_of_Number_of_Independent_Voices',
'Voice_Equality_-_Number_of_Notes',
'Voice_Equality_-_Note_Duration',
'Voice_Equality_-_Dynamics',
'Voice_Equality_-_Melodic_Leaps',
'Voice_Equality_-_Range',
'Importance_of_Loudest_Voice',
'Relative_Range_of_Loudest_Voice',
'Relative_Range_Isolation_of_Loudest_Voice',
'Relative_Range_of_Highest_Line',
'Relative_Note_Density_of_Highest_Line',
'Relative_Note_Durations_of_Lowest_Line',
'Relative_Size_of_Melodic_Intervals_in_Lowest_Line',
'Voice_Overlap',
'Voice_Separation',
'Variability_of_Voice_Separation',
'Parallel_M]</v>
      </c>
      <c r="R4" s="9"/>
    </row>
    <row r="5" ht="15.75" customHeight="1">
      <c r="A5" s="9"/>
      <c r="B5" s="10" t="s">
        <v>17</v>
      </c>
      <c r="C5" s="11" t="str">
        <f t="shared" si="1"/>
        <v>P-2</v>
      </c>
      <c r="D5" s="12" t="str">
        <f>IFERROR(__xludf.DUMMYFUNCTION("REGEXREPLACE(B5,""(.*):(.*)"", ""$1"")"),"P-2 Pitch Class Histogram")</f>
        <v>P-2 Pitch Class Histogram</v>
      </c>
      <c r="E5" s="12" t="str">
        <f t="shared" si="2"/>
        <v>Pitch Class Histogram</v>
      </c>
      <c r="F5" s="14"/>
      <c r="G5" s="14" t="str">
        <f>IFERROR(__xludf.DUMMYFUNCTION("REGEXREPLACE(B5,""(.*): (.*)"", ""$2"")"),"A feature vector consisting of bin magnitudes of the pitch class histogram described above. Each bin corresponds to one of the 12 pitch classes, ordered in increasing pitch with an interval of a semitone between each (enharmonic equivalents are assigned t"&amp;"he same pitch class number). The first bin corresponds to the most common pitch class in the piece under consideration (it does NOT correspond to a set pitch class). The magnitude of of each bin is proportional to the the number of times notes occurred at"&amp;" the bin's pitch class in the piece, relative to all other pitch classes in the piece (the histogram is normalized).")</f>
        <v>A feature vector consisting of bin magnitudes of the pitch class histogram described above. Each bin corresponds to one of the 12 pitch classes, ordered in increasing pitch with an interval of a semitone between each (enharmonic equivalents are assigned the same pitch class number). The first bin corresponds to the most common pitch class in the piece under consideration (it does NOT correspond to a set pitch class). The magnitude of of each bin is proportional to the the number of times notes occurred at the bin's pitch class in the piece, relative to all other pitch classes in the piece (the histogram is normalized).</v>
      </c>
      <c r="H5" s="6">
        <f t="shared" ref="H5:H249" si="5">I5+H4</f>
        <v>0</v>
      </c>
      <c r="I5" s="15" t="b">
        <v>0</v>
      </c>
      <c r="J5" s="6">
        <f t="shared" ref="J5:J249" si="6">K5+J4</f>
        <v>0</v>
      </c>
      <c r="K5" s="15" t="b">
        <v>0</v>
      </c>
      <c r="L5" s="14"/>
      <c r="M5" s="9"/>
      <c r="N5" s="16" t="str">
        <f t="shared" si="3"/>
        <v/>
      </c>
      <c r="O5" s="16" t="str">
        <f t="shared" si="4"/>
        <v/>
      </c>
      <c r="P5" s="16" t="s">
        <v>18</v>
      </c>
      <c r="Q5" s="16" t="str">
        <f>CONCATENATE(
"column_names = [",
LEFT(
TEXTJOIN(CHAR(10),TRUE,O4:O249),
LEN(CONCATENATE(O4:O249))-1),"]")</f>
        <v>column_names = ['Number_of_Pitches',
'Number_of_Pitch_Classes',
'Number_of_Common_Pitches',
'Number_of_Common_Pitch_Classes',
'Range',
'Importance_of_Bass_Register',
'Importance_of_Middle_Register',
'Importance_of_High_Register',
'Dominant_Spread',
'Strong_Tonal_Centres',
'Relative_Prevalence_of_Top_Pitches',
'Relative_Prevalence_of_Top_Pitch_Classes',
'Interval_Between_Most_Prevalent_Pitches',
'Interval_Between_Most_Prevalent_Pitch_Classes',
'Pitch_Variability',
'Pitch_Class_Variability',
'Pitch_Class_Variability_After_Folding',
'Pitch_Skewness',
'Pitch_Class_Skewness',
'Pitch_Class_Skewness_After_Folding',
'Pitch_Kurtosis',
'Pitch_Class_Kurtosis',
'Pitch_Class_Kurtosis_After_Folding',
'Most_Common_Melodic_Interval',
'Mean_Melodic_Interval',
'Number_of_Common_Melodic_Intervals',
'Distance_Between_Most_Prevalent_Melodic_Intervals',
'Prevalence_of_Most_Common_Melodic_Interval',
'Relative_Prevalence_of_Most_Common_Melodic_Intervals',
'Amount_of_Arpeggiation',
'Repeated_Notes',
'Chromatic_Motion',
'Stepwise_Motion',
'Melodic_Thirds',
'Melodic_Perfect_Fourths',
'Melodic_Tritones',
'Melodic_Perfect_Fifths',
'Melodic_Sixths',
'Melodic_Sevenths',
'Melodic_Octaves',
'Melodic_Large_Intervals',
'Minor_Major_Melodic_Third_Ratio',
'Melodic_Embellishments',
'Direction_of_Melodic_Motion',
'Average_Length_of_Melodic_Arcs',
'Average_Interval_Spanned_by_Melodic_Arcs',
'Melodic_Pitch_Variety',
'Average_Number_of_Simultaneous_Pitch_Classes',
'Variability_of_Number_of_Simultaneous_Pitch_Classes',
'Average_Number_of_Simultaneous_Pitches',
'Variability_of_Number_of_Simultaneous_Pitches',
'Most_Common_Vertical_Interval',
'Second_Most_Common_Vertical_Interval',
'Distance_Between_Two_Most_Common_Vertical_Intervals',
'Prevalence_of_Most_Common_Vertical_Interval',
'Prevalence_of_Second_Most_Common_Vertical_Interval',
'Prevalence_Ratio_of_Two_Most_Common_Vertical_Intervals',
'Vertical_Unisons',
'Vertical_Minor_Seconds',
'Vertical_Thirds',
'Vertical_Tritones',
'Vertical_Perfect_Fourths',
'Vertical_Perfect_Fifths',
'Vertical_Sixths',
'Vertical_Sevenths',
'Vertical_Octaves',
'Perfect_Vertical_Intervals',
'Vertical_Dissonance_Ratio',
'Vertical_Minor_Third_Prevalence',
'Vertical_Major_Third_Prevalence',
'Chord_Duration',
'Partial_Chords',
'Standard_Triads',
'Diminished_and_Augmented_Triads',
'Dominant_Seventh_Chords',
'Seventh_Chords',
'Non-Standard_Chords',
'Complex_Chords',
'Minor_Major_Triad_Ratio',
'Simple_Initial_Meter',
'Compound_Initial_Meter',
'Complex_Initial_Meter',
'Duple_Initial_Meter',
'Triple_Initial_Meter',
'Quadruple_Initial_Meter',
'Metrical_Diversity',
'Total_Number_of_Notes',
'Note_Density_per_Quarter_Note',
'Note_Density_per_Quarter_Note_per_Voice',
'Range_of_Rhythmic_Values',
'Number_of_Different_Rhythmic_Values_Present',
'Number_of_Common_Rhythmic_Values_Present',
'Prevalence_of_Very_Short_Rhythmic_Values',
'Prevalence_of_Short_Rhythmic_Values',
'Prevalence_of_Medium_Rhythmic_Values',
'Prevalence_of_Long_Rhythmic_Values',
'Prevalence_of_Very_Long_Rhythmic_Values',
'Prevalence_of_Dotted_Notes',
'Shortest_Rhythmic_Value',
'Longest_Rhythmic_Value',
'Mean_Rhythmic_Value',
'Most_Common_Rhythmic_Value',
'Prevalence_of_Most_Common_Rhythmic_Value',
'Relative_Prevalence_of_Most_Common_Rhythmic_Values',
'Difference_Between_Most_Common_Rhythmic_Values',
'Rhythmic_Value_Variability',
'Rhythmic_Value_Skewness',
'Rhythmic_Value_Kurtosis',
'Mean_Rhythmic_Value_Run_Length',
'Median_Rhythmic_Value_Run_Length',
'Variability_in_Rhythmic_Value_Run_Lengths',
'Complete_Rests_Fraction',
'Average_Rest_Fraction_Across_Voices',
'Longest_Complete_Rest',
'Mean_Complete_Rest_Duration',
'Median_Complete_Rest_Duration',
'Variability_of_Complete_Rest_Durations',
'Polyrhythms_-_Tempo_Standardized',
'Initial_Tempo',
'Mean_Tempo',
'Tempo_Variability',
'Duration_in_Seconds',
'Note_Density',
'Note_Density_Variability',
'Average_Time_Between_Attacks',
'Average_Time_Between_Attacks_for_Each_Voice',
'Variability_of_Time_Between_Attacks',
'Average_Variability_of_Time_Between_Attacks_for_Each_Voice',
'Average_Note_Duration',
'Variability_of_Note_Durations',
'Amount_of_Staccato',
'Variability_of_Note_Prevalence_of_Pitched_Instruments',
'Variability_of_Note_Prevalence_of_Unpitched_Instruments',
'Number_of_Pitched_Instruments',
'Number_of_Unpitched_Instruments',
'Unpitched_Percussion_Instrument_Prevalence',
'String_Keyboard_Prevalence',
'Acoustic_Guitar_Prevalence',
'Electric_Guitar_Prevalence',
'Violin_Prevalence',
'Saxophone_Prevalence',
'Brass_Prevalence',
'Woodwinds_Prevalence',
'Orchestral_Strings_Prevalence',
'String_Ensemble_Prevalence',
'Electric_Instrument_Prevalence',
'Maximum_Number_of_Independent_Voices',
'Average_Number_of_Independent_Voices',
'Variability_of_Number_of_Independent_Voices',
'Voice_Equality_-_Number_of_Notes',
'Voice_Equality_-_Note_Duration',
'Voice_Equality_-_Melodic_Leaps',
'Voice_Equality_-_Range',
'Relative_Range_of_Highest_Line',
'Relative_Note_Density_of_Highest_Line',
'Relative_Note_Durations_of_Lowest_Line',
'Relative_Size_of_Melodic_Intervals_in_Lowest_Line',
'Voice_Overlap',
']</v>
      </c>
      <c r="R5" s="9"/>
    </row>
    <row r="6" ht="15.75" customHeight="1">
      <c r="A6" s="9"/>
      <c r="B6" s="10" t="s">
        <v>19</v>
      </c>
      <c r="C6" s="11" t="str">
        <f t="shared" si="1"/>
        <v>P-3</v>
      </c>
      <c r="D6" s="12" t="str">
        <f>IFERROR(__xludf.DUMMYFUNCTION("REGEXREPLACE(B6,""(.*):(.*)"", ""$1"")"),"P-3 Folded Fifths Pitch Class Histogram")</f>
        <v>P-3 Folded Fifths Pitch Class Histogram</v>
      </c>
      <c r="E6" s="12" t="str">
        <f t="shared" si="2"/>
        <v>Folded Fifths Pitch Class Histogram</v>
      </c>
      <c r="F6" s="14"/>
      <c r="G6" s="14" t="str">
        <f>IFERROR(__xludf.DUMMYFUNCTION("REGEXREPLACE(B6,""(.*): (.*)"", ""$2"")"),"A feature vector consisting of bin magnitudes of the folded fifths pitch class histogram described above. Each bin corresponds to one of the 12 pitch classes, and the bins are ordered such that adjacent bins are separated by an ascending perfect fifth. Bi"&amp;"n 0 corresponds to C. Enharmonic equivalents are assigned the same pitch class number. The magnitude of of each bin is proportional to the the number of times notes occurred at the bin's pitch class in the piece, relative to all other pitch classes in the"&amp;" piece (the histogram is normalized).")</f>
        <v>A feature vector consisting of bin magnitudes of the folded fifths pitch class histogram described above. Each bin corresponds to one of the 12 pitch classes, and the bins are ordered such that adjacent bins are separated by an ascending perfect fifth. Bin 0 corresponds to C. Enharmonic equivalents are assigned the same pitch class number. The magnitude of of each bin is proportional to the the number of times notes occurred at the bin's pitch class in the piece, relative to all other pitch classes in the piece (the histogram is normalized).</v>
      </c>
      <c r="H6" s="6">
        <f t="shared" si="5"/>
        <v>0</v>
      </c>
      <c r="I6" s="15" t="b">
        <v>0</v>
      </c>
      <c r="J6" s="6">
        <f t="shared" si="6"/>
        <v>0</v>
      </c>
      <c r="K6" s="15" t="b">
        <v>0</v>
      </c>
      <c r="L6" s="14"/>
      <c r="M6" s="9"/>
      <c r="N6" s="16" t="str">
        <f t="shared" si="3"/>
        <v/>
      </c>
      <c r="O6" s="16" t="str">
        <f t="shared" si="4"/>
        <v/>
      </c>
      <c r="P6" s="16" t="s">
        <v>20</v>
      </c>
      <c r="Q6" s="16" t="str">
        <f>"fs2_"&amp;TEXTJOIN(CONCATENATE(", fs2_"),TRUE,P4:P229)</f>
        <v>fs2_col1, fs2_col2, fs2_col3, fs2_col4, fs2_col5, fs2_col6, fs2_col7, fs2_col8, fs2_col9, fs2_col10, fs2_col11, fs2_col12, fs2_col13, fs2_col14, fs2_col15, fs2_col16, fs2_col17, fs2_col18, fs2_col19, fs2_col20, fs2_col21, fs2_col22, fs2_col23, fs2_col24, fs2_col25, fs2_col26, fs2_col27, fs2_col28, fs2_col29, fs2_col30, fs2_col31, fs2_col32, fs2_col33, fs2_col34, fs2_col35, fs2_col36, fs2_col37, fs2_col38, fs2_col39, fs2_col40, fs2_col41, fs2_col42, fs2_col43, fs2_col44, fs2_col45, fs2_col46, fs2_col47, fs2_col48, fs2_col49, fs2_col50, fs2_col51, fs2_col52, fs2_col53, fs2_col54, fs2_col55, fs2_col56, fs2_col57, fs2_col58, fs2_col59, fs2_col60, fs2_col61, fs2_col62, fs2_col63, fs2_col64, fs2_col65, fs2_col66, fs2_col67, fs2_col68, fs2_col69, fs2_col70, fs2_col71, fs2_col72, fs2_col73, fs2_col74, fs2_col75, fs2_col76, fs2_col77, fs2_col78, fs2_col79, fs2_col80, fs2_col81, fs2_col82, fs2_col83, fs2_col84, fs2_col85, fs2_col86, fs2_col87, fs2_col88, fs2_col89, fs2_col90, fs2_col91, fs2_col92, fs2_col93, fs2_col94, fs2_col95, fs2_col96, fs2_col97, fs2_col98, fs2_col99, fs2_col100, fs2_col101, fs2_col102, fs2_col103, fs2_col104, fs2_col105, fs2_col106, fs2_col107, fs2_col108, fs2_col109, fs2_col110, fs2_col111, fs2_col112, fs2_col113, fs2_col114, fs2_col115, fs2_col116, fs2_col117, fs2_col118, fs2_col119, fs2_col120, fs2_col121, fs2_col122, fs2_col123, fs2_col124, fs2_col125, fs2_col126, fs2_col127, fs2_col128, fs2_col129, fs2_col130, fs2_col131, fs2_col132, fs2_col133, fs2_col134, fs2_col135, fs2_col136, fs2_col137, fs2_col138, fs2_col139, fs2_col140, fs2_col141, fs2_col142, fs2_col143, fs2_col144, fs2_col145, fs2_col146, fs2_col147, fs2_col148, fs2_col149, fs2_col150, fs2_col151, fs2_col152, fs2_col153, fs2_col154, fs2_col155, fs2_col156, fs2_col157, fs2_col158, fs2_col159, fs2_col160, fs2_col161, fs2_col162, fs2_col163, fs2_col164, fs2_col165, fs2_col166, fs2_col167, fs2_col168, fs2_col169, fs2_col170, fs2_col171, fs2_col172, fs2_col173, fs2_col174, fs2_col175, fs2_col176, fs2_col177, fs2_col178, fs2_col179, fs2_col180, fs2_col181, fs2_col182, fs2_col183, fs2_col184, fs2_col185, fs2_col186, fs2_col187, fs2_col188, fs2_col189, fs2_col190, fs2_col191, fs2_col192, fs2_col193, fs2_col194, fs2_col195, fs2_col196, fs2_col197, fs2_col198, fs2_col199, fs2_col200, fs2_col201, fs2_col202, fs2_col203, fs2_col204, fs2_col205, fs2_col206, fs2_col207, fs2_col208, fs2_col209, fs2_col210, fs2_col211, fs2_col212, fs2_col213, fs2_col214, fs2_col215, fs2_col216, fs2_col217, fs2_col218, fs2_col219, fs2_col220, fs2_col221, fs2_col222, fs2_col223, fs2_col224, fs2_col225, fs2_col226</v>
      </c>
      <c r="R6" s="9"/>
    </row>
    <row r="7" ht="15.75" customHeight="1">
      <c r="A7" s="9"/>
      <c r="B7" s="10" t="s">
        <v>21</v>
      </c>
      <c r="C7" s="11" t="str">
        <f t="shared" si="1"/>
        <v>P-4</v>
      </c>
      <c r="D7" s="12" t="str">
        <f>IFERROR(__xludf.DUMMYFUNCTION("REGEXREPLACE(B7,""(.*):(.*)"", ""$1"")"),"P-4 Number of Pitches")</f>
        <v>P-4 Number of Pitches</v>
      </c>
      <c r="E7" s="12" t="str">
        <f t="shared" si="2"/>
        <v>Number of Pitches</v>
      </c>
      <c r="F7" s="14" t="s">
        <v>22</v>
      </c>
      <c r="G7" s="14" t="str">
        <f>IFERROR(__xludf.DUMMYFUNCTION("REGEXREPLACE(B7,""(.*): (.*)"", ""$2"")"),"Number of unique pitches that occur at least once in the piece. Enharmonic equivalents are grouped together for the purpose of this calculation.")</f>
        <v>Number of unique pitches that occur at least once in the piece. Enharmonic equivalents are grouped together for the purpose of this calculation.</v>
      </c>
      <c r="H7" s="6">
        <f t="shared" si="5"/>
        <v>1</v>
      </c>
      <c r="I7" s="15" t="b">
        <v>1</v>
      </c>
      <c r="J7" s="6">
        <f t="shared" si="6"/>
        <v>1</v>
      </c>
      <c r="K7" s="15" t="b">
        <v>1</v>
      </c>
      <c r="L7" s="14"/>
      <c r="M7" s="9"/>
      <c r="N7" s="16" t="str">
        <f t="shared" si="3"/>
        <v>'Number_of_Pitches',</v>
      </c>
      <c r="O7" s="16" t="str">
        <f t="shared" si="4"/>
        <v>'Number_of_Pitches',</v>
      </c>
      <c r="P7" s="16" t="s">
        <v>23</v>
      </c>
      <c r="Q7" s="16"/>
      <c r="R7" s="9"/>
    </row>
    <row r="8" ht="15.75" customHeight="1">
      <c r="A8" s="9"/>
      <c r="B8" s="10" t="s">
        <v>24</v>
      </c>
      <c r="C8" s="11" t="str">
        <f t="shared" si="1"/>
        <v>P-5</v>
      </c>
      <c r="D8" s="12" t="str">
        <f>IFERROR(__xludf.DUMMYFUNCTION("REGEXREPLACE(B8,""(.*):(.*)"", ""$1"")"),"P-5 Number of Pitch Classes")</f>
        <v>P-5 Number of Pitch Classes</v>
      </c>
      <c r="E8" s="12" t="str">
        <f t="shared" si="2"/>
        <v>Number of Pitch Classes</v>
      </c>
      <c r="F8" s="14" t="s">
        <v>25</v>
      </c>
      <c r="G8" s="14" t="str">
        <f>IFERROR(__xludf.DUMMYFUNCTION("REGEXREPLACE(B8,""(.*): (.*)"", ""$2"")"),"Number of pitch classes that occur at least once in the piece. Enharmonic equivalents are grouped together for the purpose of this calculation.")</f>
        <v>Number of pitch classes that occur at least once in the piece. Enharmonic equivalents are grouped together for the purpose of this calculation.</v>
      </c>
      <c r="H8" s="6">
        <f t="shared" si="5"/>
        <v>2</v>
      </c>
      <c r="I8" s="15" t="b">
        <v>1</v>
      </c>
      <c r="J8" s="6">
        <f t="shared" si="6"/>
        <v>2</v>
      </c>
      <c r="K8" s="15" t="b">
        <v>1</v>
      </c>
      <c r="L8" s="14"/>
      <c r="M8" s="9"/>
      <c r="N8" s="16" t="str">
        <f t="shared" si="3"/>
        <v>'Number_of_Pitch_Classes',</v>
      </c>
      <c r="O8" s="16" t="str">
        <f t="shared" si="4"/>
        <v>'Number_of_Pitch_Classes',</v>
      </c>
      <c r="P8" s="16" t="s">
        <v>26</v>
      </c>
      <c r="Q8" s="16"/>
      <c r="R8" s="9"/>
    </row>
    <row r="9" ht="15.75" customHeight="1">
      <c r="A9" s="9"/>
      <c r="B9" s="10" t="s">
        <v>27</v>
      </c>
      <c r="C9" s="11" t="str">
        <f t="shared" si="1"/>
        <v>P-6</v>
      </c>
      <c r="D9" s="12" t="str">
        <f>IFERROR(__xludf.DUMMYFUNCTION("REGEXREPLACE(B9,""(.*):(.*)"", ""$1"")"),"P-6 Number of Common Pitches")</f>
        <v>P-6 Number of Common Pitches</v>
      </c>
      <c r="E9" s="12" t="str">
        <f t="shared" si="2"/>
        <v>Number of Common Pitches</v>
      </c>
      <c r="F9" s="14" t="s">
        <v>28</v>
      </c>
      <c r="G9" s="14" t="str">
        <f>IFERROR(__xludf.DUMMYFUNCTION("REGEXREPLACE(B9,""(.*): (.*)"", ""$2"")"),"Number of unique pitches that account individually for at least 9% of all notes. Enharmonic equivalents are grouped together for the purpose of this calculation.")</f>
        <v>Number of unique pitches that account individually for at least 9% of all notes. Enharmonic equivalents are grouped together for the purpose of this calculation.</v>
      </c>
      <c r="H9" s="6">
        <f t="shared" si="5"/>
        <v>3</v>
      </c>
      <c r="I9" s="15" t="b">
        <v>1</v>
      </c>
      <c r="J9" s="6">
        <f t="shared" si="6"/>
        <v>3</v>
      </c>
      <c r="K9" s="15" t="b">
        <v>1</v>
      </c>
      <c r="L9" s="14"/>
      <c r="M9" s="9"/>
      <c r="N9" s="16" t="str">
        <f t="shared" si="3"/>
        <v>'Number_of_Common_Pitches',</v>
      </c>
      <c r="O9" s="16" t="str">
        <f t="shared" si="4"/>
        <v>'Number_of_Common_Pitches',</v>
      </c>
      <c r="P9" s="16" t="s">
        <v>29</v>
      </c>
      <c r="Q9" s="16"/>
      <c r="R9" s="9"/>
    </row>
    <row r="10" ht="15.75" customHeight="1">
      <c r="A10" s="9"/>
      <c r="B10" s="10" t="s">
        <v>30</v>
      </c>
      <c r="C10" s="11" t="str">
        <f t="shared" si="1"/>
        <v>P-7</v>
      </c>
      <c r="D10" s="12" t="str">
        <f>IFERROR(__xludf.DUMMYFUNCTION("REGEXREPLACE(B10,""(.*):(.*)"", ""$1"")"),"P-7 Number of Common Pitch Classes")</f>
        <v>P-7 Number of Common Pitch Classes</v>
      </c>
      <c r="E10" s="12" t="str">
        <f t="shared" si="2"/>
        <v>Number of Common Pitch Classes</v>
      </c>
      <c r="F10" s="14" t="s">
        <v>31</v>
      </c>
      <c r="G10" s="14" t="str">
        <f>IFERROR(__xludf.DUMMYFUNCTION("REGEXREPLACE(B10,""(.*): (.*)"", ""$2"")"),"Number of pitch classes that account individually for at least 20% of all notes. Enharmonic equivalents are grouped together for the purpose of this calculation.")</f>
        <v>Number of pitch classes that account individually for at least 20% of all notes. Enharmonic equivalents are grouped together for the purpose of this calculation.</v>
      </c>
      <c r="H10" s="6">
        <f t="shared" si="5"/>
        <v>4</v>
      </c>
      <c r="I10" s="15" t="b">
        <v>1</v>
      </c>
      <c r="J10" s="6">
        <f t="shared" si="6"/>
        <v>4</v>
      </c>
      <c r="K10" s="15" t="b">
        <v>1</v>
      </c>
      <c r="L10" s="14"/>
      <c r="M10" s="9"/>
      <c r="N10" s="16" t="str">
        <f t="shared" si="3"/>
        <v>'Number_of_Common_Pitch_Classes',</v>
      </c>
      <c r="O10" s="16" t="str">
        <f t="shared" si="4"/>
        <v>'Number_of_Common_Pitch_Classes',</v>
      </c>
      <c r="P10" s="16" t="s">
        <v>32</v>
      </c>
      <c r="Q10" s="16"/>
      <c r="R10" s="9"/>
    </row>
    <row r="11" ht="15.75" customHeight="1">
      <c r="A11" s="9"/>
      <c r="B11" s="10" t="s">
        <v>33</v>
      </c>
      <c r="C11" s="11" t="str">
        <f t="shared" si="1"/>
        <v>P-8</v>
      </c>
      <c r="D11" s="12" t="str">
        <f>IFERROR(__xludf.DUMMYFUNCTION("REGEXREPLACE(B11,""(.*):(.*)"", ""$1"")"),"P-8 Range")</f>
        <v>P-8 Range</v>
      </c>
      <c r="E11" s="12" t="str">
        <f t="shared" si="2"/>
        <v>Range</v>
      </c>
      <c r="F11" s="14" t="s">
        <v>34</v>
      </c>
      <c r="G11" s="14" t="str">
        <f>IFERROR(__xludf.DUMMYFUNCTION("REGEXREPLACE(B11,""(.*): (.*)"", ""$2"")"),"Difference in semitones between the highest and lowest pitches.")</f>
        <v>Difference in semitones between the highest and lowest pitches.</v>
      </c>
      <c r="H11" s="6">
        <f t="shared" si="5"/>
        <v>5</v>
      </c>
      <c r="I11" s="15" t="b">
        <v>1</v>
      </c>
      <c r="J11" s="6">
        <f t="shared" si="6"/>
        <v>5</v>
      </c>
      <c r="K11" s="15" t="b">
        <v>1</v>
      </c>
      <c r="L11" s="14"/>
      <c r="M11" s="9"/>
      <c r="N11" s="16" t="str">
        <f t="shared" si="3"/>
        <v>'Range',</v>
      </c>
      <c r="O11" s="16" t="str">
        <f t="shared" si="4"/>
        <v>'Range',</v>
      </c>
      <c r="P11" s="16" t="s">
        <v>35</v>
      </c>
      <c r="Q11" s="16"/>
      <c r="R11" s="9"/>
    </row>
    <row r="12" ht="15.75" customHeight="1">
      <c r="A12" s="9"/>
      <c r="B12" s="10" t="s">
        <v>36</v>
      </c>
      <c r="C12" s="11" t="str">
        <f t="shared" si="1"/>
        <v>P-9</v>
      </c>
      <c r="D12" s="12" t="str">
        <f>IFERROR(__xludf.DUMMYFUNCTION("REGEXREPLACE(B12,""(.*):(.*)"", ""$1"")"),"P-9 Importance of Bass Register")</f>
        <v>P-9 Importance of Bass Register</v>
      </c>
      <c r="E12" s="12" t="str">
        <f t="shared" si="2"/>
        <v>Importance of Bass Register</v>
      </c>
      <c r="F12" s="14" t="s">
        <v>37</v>
      </c>
      <c r="G12" s="14" t="str">
        <f>IFERROR(__xludf.DUMMYFUNCTION("REGEXREPLACE(B12,""(.*): (.*)"", ""$2"")"),"Fraction of notes between MIDI pitches 0 and 54.")</f>
        <v>Fraction of notes between MIDI pitches 0 and 54.</v>
      </c>
      <c r="H12" s="6">
        <f t="shared" si="5"/>
        <v>6</v>
      </c>
      <c r="I12" s="15" t="b">
        <v>1</v>
      </c>
      <c r="J12" s="6">
        <f t="shared" si="6"/>
        <v>6</v>
      </c>
      <c r="K12" s="15" t="b">
        <v>1</v>
      </c>
      <c r="L12" s="14"/>
      <c r="M12" s="9"/>
      <c r="N12" s="16" t="str">
        <f t="shared" si="3"/>
        <v>'Importance_of_Bass_Register',</v>
      </c>
      <c r="O12" s="16" t="str">
        <f t="shared" si="4"/>
        <v>'Importance_of_Bass_Register',</v>
      </c>
      <c r="P12" s="16" t="s">
        <v>38</v>
      </c>
      <c r="Q12" s="16"/>
      <c r="R12" s="9"/>
    </row>
    <row r="13" ht="15.75" customHeight="1">
      <c r="A13" s="9"/>
      <c r="B13" s="10" t="s">
        <v>39</v>
      </c>
      <c r="C13" s="11" t="str">
        <f t="shared" si="1"/>
        <v>P-10</v>
      </c>
      <c r="D13" s="12" t="str">
        <f>IFERROR(__xludf.DUMMYFUNCTION("REGEXREPLACE(B13,""(.*):(.*)"", ""$1"")"),"P-10 Importance of Middle Register")</f>
        <v>P-10 Importance of Middle Register</v>
      </c>
      <c r="E13" s="12" t="str">
        <f t="shared" si="2"/>
        <v>Importance of Middle Register</v>
      </c>
      <c r="F13" s="14" t="s">
        <v>40</v>
      </c>
      <c r="G13" s="14" t="str">
        <f>IFERROR(__xludf.DUMMYFUNCTION("REGEXREPLACE(B13,""(.*): (.*)"", ""$2"")"),"Fraction of notes between MIDI pitches 55 and 72.")</f>
        <v>Fraction of notes between MIDI pitches 55 and 72.</v>
      </c>
      <c r="H13" s="6">
        <f t="shared" si="5"/>
        <v>7</v>
      </c>
      <c r="I13" s="15" t="b">
        <v>1</v>
      </c>
      <c r="J13" s="6">
        <f t="shared" si="6"/>
        <v>7</v>
      </c>
      <c r="K13" s="15" t="b">
        <v>1</v>
      </c>
      <c r="L13" s="14"/>
      <c r="M13" s="9"/>
      <c r="N13" s="16" t="str">
        <f t="shared" si="3"/>
        <v>'Importance_of_Middle_Register',</v>
      </c>
      <c r="O13" s="16" t="str">
        <f t="shared" si="4"/>
        <v>'Importance_of_Middle_Register',</v>
      </c>
      <c r="P13" s="16" t="s">
        <v>41</v>
      </c>
      <c r="Q13" s="16"/>
      <c r="R13" s="9"/>
    </row>
    <row r="14" ht="15.75" customHeight="1">
      <c r="A14" s="9"/>
      <c r="B14" s="10" t="s">
        <v>42</v>
      </c>
      <c r="C14" s="11" t="str">
        <f t="shared" si="1"/>
        <v>P-11</v>
      </c>
      <c r="D14" s="12" t="str">
        <f>IFERROR(__xludf.DUMMYFUNCTION("REGEXREPLACE(B14,""(.*):(.*)"", ""$1"")"),"P-11 Importance of High Register")</f>
        <v>P-11 Importance of High Register</v>
      </c>
      <c r="E14" s="12" t="str">
        <f t="shared" si="2"/>
        <v>Importance of High Register</v>
      </c>
      <c r="F14" s="14" t="s">
        <v>43</v>
      </c>
      <c r="G14" s="14" t="str">
        <f>IFERROR(__xludf.DUMMYFUNCTION("REGEXREPLACE(B14,""(.*): (.*)"", ""$2"")"),"Fraction of notes between MIDI pitches 73 and 127.")</f>
        <v>Fraction of notes between MIDI pitches 73 and 127.</v>
      </c>
      <c r="H14" s="6">
        <f t="shared" si="5"/>
        <v>8</v>
      </c>
      <c r="I14" s="15" t="b">
        <v>1</v>
      </c>
      <c r="J14" s="6">
        <f t="shared" si="6"/>
        <v>8</v>
      </c>
      <c r="K14" s="15" t="b">
        <v>1</v>
      </c>
      <c r="L14" s="14"/>
      <c r="M14" s="9"/>
      <c r="N14" s="16" t="str">
        <f t="shared" si="3"/>
        <v>'Importance_of_High_Register',</v>
      </c>
      <c r="O14" s="16" t="str">
        <f t="shared" si="4"/>
        <v>'Importance_of_High_Register',</v>
      </c>
      <c r="P14" s="16" t="s">
        <v>44</v>
      </c>
      <c r="Q14" s="16"/>
      <c r="R14" s="9"/>
    </row>
    <row r="15" ht="15.75" customHeight="1">
      <c r="A15" s="9"/>
      <c r="B15" s="10" t="s">
        <v>45</v>
      </c>
      <c r="C15" s="11" t="str">
        <f t="shared" si="1"/>
        <v>P-12</v>
      </c>
      <c r="D15" s="12" t="str">
        <f>IFERROR(__xludf.DUMMYFUNCTION("REGEXREPLACE(B15,""(.*):(.*)"", ""$1"")"),"P-12 Dominant Spread")</f>
        <v>P-12 Dominant Spread</v>
      </c>
      <c r="E15" s="12" t="str">
        <f t="shared" si="2"/>
        <v>Dominant Spread</v>
      </c>
      <c r="F15" s="14" t="s">
        <v>46</v>
      </c>
      <c r="G15" s="14" t="str">
        <f>IFERROR(__xludf.DUMMYFUNCTION("REGEXREPLACE(B15,""(.*): (.*)"", ""$2"")"),"Largest number of consecutive pitch classes separated by perfect 5ths that each individually account for at least 9% of the total notes in the piece.")</f>
        <v>Largest number of consecutive pitch classes separated by perfect 5ths that each individually account for at least 9% of the total notes in the piece.</v>
      </c>
      <c r="H15" s="6">
        <f t="shared" si="5"/>
        <v>9</v>
      </c>
      <c r="I15" s="15" t="b">
        <v>1</v>
      </c>
      <c r="J15" s="6">
        <f t="shared" si="6"/>
        <v>9</v>
      </c>
      <c r="K15" s="15" t="b">
        <v>1</v>
      </c>
      <c r="L15" s="14"/>
      <c r="M15" s="9"/>
      <c r="N15" s="16" t="str">
        <f t="shared" si="3"/>
        <v>'Dominant_Spread',</v>
      </c>
      <c r="O15" s="16" t="str">
        <f t="shared" si="4"/>
        <v>'Dominant_Spread',</v>
      </c>
      <c r="P15" s="16" t="s">
        <v>47</v>
      </c>
      <c r="Q15" s="16"/>
      <c r="R15" s="9"/>
    </row>
    <row r="16" ht="15.75" customHeight="1">
      <c r="A16" s="9"/>
      <c r="B16" s="10" t="s">
        <v>48</v>
      </c>
      <c r="C16" s="11" t="str">
        <f t="shared" si="1"/>
        <v>P-13</v>
      </c>
      <c r="D16" s="12" t="str">
        <f>IFERROR(__xludf.DUMMYFUNCTION("REGEXREPLACE(B16,""(.*):(.*)"", ""$1"")"),"P-13 Strong Tonal Centres")</f>
        <v>P-13 Strong Tonal Centres</v>
      </c>
      <c r="E16" s="12" t="str">
        <f t="shared" si="2"/>
        <v>Strong Tonal Centres</v>
      </c>
      <c r="F16" s="14" t="s">
        <v>49</v>
      </c>
      <c r="G16" s="14" t="str">
        <f>IFERROR(__xludf.DUMMYFUNCTION("REGEXREPLACE(B16,""(.*): (.*)"", ""$2"")"),"Number of isolated peaks in the fifths pitch histogram that each individually account for at least 9% of all notes in the piece.")</f>
        <v>Number of isolated peaks in the fifths pitch histogram that each individually account for at least 9% of all notes in the piece.</v>
      </c>
      <c r="H16" s="6">
        <f t="shared" si="5"/>
        <v>10</v>
      </c>
      <c r="I16" s="15" t="b">
        <v>1</v>
      </c>
      <c r="J16" s="6">
        <f t="shared" si="6"/>
        <v>10</v>
      </c>
      <c r="K16" s="15" t="b">
        <v>1</v>
      </c>
      <c r="L16" s="14"/>
      <c r="M16" s="9"/>
      <c r="N16" s="16" t="str">
        <f t="shared" si="3"/>
        <v>'Strong_Tonal_Centres',</v>
      </c>
      <c r="O16" s="16" t="str">
        <f t="shared" si="4"/>
        <v>'Strong_Tonal_Centres',</v>
      </c>
      <c r="P16" s="16" t="s">
        <v>50</v>
      </c>
      <c r="Q16" s="16"/>
      <c r="R16" s="9"/>
    </row>
    <row r="17" ht="15.75" customHeight="1">
      <c r="A17" s="9"/>
      <c r="B17" s="10" t="s">
        <v>51</v>
      </c>
      <c r="C17" s="11" t="str">
        <f t="shared" si="1"/>
        <v>P-14</v>
      </c>
      <c r="D17" s="12" t="str">
        <f>IFERROR(__xludf.DUMMYFUNCTION("REGEXREPLACE(B17,""(.*):(.*)"", ""$1"")"),"P-14 Mean Pitch")</f>
        <v>P-14 Mean Pitch</v>
      </c>
      <c r="E17" s="12" t="str">
        <f t="shared" si="2"/>
        <v>Mean Pitch</v>
      </c>
      <c r="F17" s="14" t="s">
        <v>52</v>
      </c>
      <c r="G17" s="14" t="str">
        <f>IFERROR(__xludf.DUMMYFUNCTION("REGEXREPLACE(B17,""(.*): (.*)"", ""$2"")"),"Mean MIDI pitch value, averaged across all pitched notes in the piece. Set to 0 if there are no pitched notes.")</f>
        <v>Mean MIDI pitch value, averaged across all pitched notes in the piece. Set to 0 if there are no pitched notes.</v>
      </c>
      <c r="H17" s="6">
        <f t="shared" si="5"/>
        <v>11</v>
      </c>
      <c r="I17" s="15" t="b">
        <v>1</v>
      </c>
      <c r="J17" s="6">
        <f t="shared" si="6"/>
        <v>10</v>
      </c>
      <c r="K17" s="15" t="b">
        <v>0</v>
      </c>
      <c r="L17" s="14" t="s">
        <v>53</v>
      </c>
      <c r="M17" s="9"/>
      <c r="N17" s="16" t="str">
        <f t="shared" si="3"/>
        <v>'Mean_Pitch',</v>
      </c>
      <c r="O17" s="16" t="str">
        <f t="shared" si="4"/>
        <v/>
      </c>
      <c r="P17" s="16" t="s">
        <v>54</v>
      </c>
      <c r="Q17" s="16"/>
      <c r="R17" s="9"/>
    </row>
    <row r="18" ht="15.75" customHeight="1">
      <c r="A18" s="9"/>
      <c r="B18" s="10" t="s">
        <v>55</v>
      </c>
      <c r="C18" s="11" t="str">
        <f t="shared" si="1"/>
        <v>P-15</v>
      </c>
      <c r="D18" s="12" t="str">
        <f>IFERROR(__xludf.DUMMYFUNCTION("REGEXREPLACE(B18,""(.*):(.*)"", ""$1"")"),"P-15 Mean Pitch Class")</f>
        <v>P-15 Mean Pitch Class</v>
      </c>
      <c r="E18" s="12" t="str">
        <f t="shared" si="2"/>
        <v>Mean Pitch Class</v>
      </c>
      <c r="F18" s="14" t="s">
        <v>56</v>
      </c>
      <c r="G18" s="14" t="str">
        <f>IFERROR(__xludf.DUMMYFUNCTION("REGEXREPLACE(B18,""(.*): (.*)"", ""$2"")"),"Mean pitch class value, averaged across all pitched notes in the piece. A value of 0 corresponds to a mean pitch class of C, and pitches increase chromatically by semitone in integer units from there (e.g. a value of 2 would mean that D is the mean pitch "&amp;"class). Enharmonic equivalents are treated as a single pitch class.")</f>
        <v>Mean pitch class value, averaged across all pitched notes in the piece. A value of 0 corresponds to a mean pitch class of C, and pitches increase chromatically by semitone in integer units from there (e.g. a value of 2 would mean that D is the mean pitch class). Enharmonic equivalents are treated as a single pitch class.</v>
      </c>
      <c r="H18" s="6">
        <f t="shared" si="5"/>
        <v>12</v>
      </c>
      <c r="I18" s="15" t="b">
        <v>1</v>
      </c>
      <c r="J18" s="6">
        <f t="shared" si="6"/>
        <v>10</v>
      </c>
      <c r="K18" s="15" t="b">
        <v>0</v>
      </c>
      <c r="M18" s="9"/>
      <c r="N18" s="16" t="str">
        <f t="shared" si="3"/>
        <v>'Mean_Pitch_Class',</v>
      </c>
      <c r="O18" s="16" t="str">
        <f t="shared" si="4"/>
        <v/>
      </c>
      <c r="P18" s="16" t="s">
        <v>57</v>
      </c>
      <c r="Q18" s="16"/>
      <c r="R18" s="9"/>
    </row>
    <row r="19" ht="15.75" customHeight="1">
      <c r="A19" s="9"/>
      <c r="B19" s="10" t="s">
        <v>58</v>
      </c>
      <c r="C19" s="11" t="str">
        <f t="shared" si="1"/>
        <v>P-16</v>
      </c>
      <c r="D19" s="12" t="str">
        <f>IFERROR(__xludf.DUMMYFUNCTION("REGEXREPLACE(B19,""(.*):(.*)"", ""$1"")"),"P-16 Most Common Pitch")</f>
        <v>P-16 Most Common Pitch</v>
      </c>
      <c r="E19" s="12" t="str">
        <f t="shared" si="2"/>
        <v>Most Common Pitch</v>
      </c>
      <c r="F19" s="14" t="s">
        <v>59</v>
      </c>
      <c r="G19" s="14" t="str">
        <f>IFERROR(__xludf.DUMMYFUNCTION("REGEXREPLACE(B19,""(.*): (.*)"", ""$2"")"),"MIDI pitch value of the most frequently occurring pitch.")</f>
        <v>MIDI pitch value of the most frequently occurring pitch.</v>
      </c>
      <c r="H19" s="6">
        <f t="shared" si="5"/>
        <v>13</v>
      </c>
      <c r="I19" s="15" t="b">
        <v>1</v>
      </c>
      <c r="J19" s="6">
        <f t="shared" si="6"/>
        <v>10</v>
      </c>
      <c r="K19" s="15" t="b">
        <v>0</v>
      </c>
      <c r="M19" s="9"/>
      <c r="N19" s="16" t="str">
        <f t="shared" si="3"/>
        <v>'Most_Common_Pitch',</v>
      </c>
      <c r="O19" s="16" t="str">
        <f t="shared" si="4"/>
        <v/>
      </c>
      <c r="P19" s="16" t="s">
        <v>60</v>
      </c>
      <c r="Q19" s="16"/>
      <c r="R19" s="9"/>
    </row>
    <row r="20" ht="15.75" customHeight="1">
      <c r="A20" s="9"/>
      <c r="B20" s="10" t="s">
        <v>61</v>
      </c>
      <c r="C20" s="11" t="str">
        <f t="shared" si="1"/>
        <v>P-17</v>
      </c>
      <c r="D20" s="12" t="str">
        <f>IFERROR(__xludf.DUMMYFUNCTION("REGEXREPLACE(B20,""(.*):(.*)"", ""$1"")"),"P-17 Most Common Pitch Class")</f>
        <v>P-17 Most Common Pitch Class</v>
      </c>
      <c r="E20" s="12" t="str">
        <f t="shared" si="2"/>
        <v>Most Common Pitch Class</v>
      </c>
      <c r="F20" s="14" t="s">
        <v>62</v>
      </c>
      <c r="G20" s="14" t="str">
        <f>IFERROR(__xludf.DUMMYFUNCTION("REGEXREPLACE(B20,""(.*): (.*)"", ""$2"")"),"The pitch class that occurs most frequently compared to other pitch classes. A value of 0 corresponds to C, and pitches increase chromatically by semitone in integer units (e.g. a value of 2 would mean that D is the most common pitch class). Enharmonic eq"&amp;"uivalents are treated as a single pitch class.")</f>
        <v>The pitch class that occurs most frequently compared to other pitch classes. A value of 0 corresponds to C, and pitches increase chromatically by semitone in integer units (e.g. a value of 2 would mean that D is the most common pitch class). Enharmonic equivalents are treated as a single pitch class.</v>
      </c>
      <c r="H20" s="6">
        <f t="shared" si="5"/>
        <v>14</v>
      </c>
      <c r="I20" s="15" t="b">
        <v>1</v>
      </c>
      <c r="J20" s="6">
        <f t="shared" si="6"/>
        <v>10</v>
      </c>
      <c r="K20" s="15" t="b">
        <v>0</v>
      </c>
      <c r="M20" s="9"/>
      <c r="N20" s="16" t="str">
        <f t="shared" si="3"/>
        <v>'Most_Common_Pitch_Class',</v>
      </c>
      <c r="O20" s="16" t="str">
        <f t="shared" si="4"/>
        <v/>
      </c>
      <c r="P20" s="16" t="s">
        <v>63</v>
      </c>
      <c r="Q20" s="16"/>
      <c r="R20" s="9"/>
    </row>
    <row r="21" ht="15.75" customHeight="1">
      <c r="A21" s="9"/>
      <c r="B21" s="10" t="s">
        <v>64</v>
      </c>
      <c r="C21" s="11" t="str">
        <f t="shared" si="1"/>
        <v>P-18</v>
      </c>
      <c r="D21" s="12" t="str">
        <f>IFERROR(__xludf.DUMMYFUNCTION("REGEXREPLACE(B21,""(.*):(.*)"", ""$1"")"),"P-18 Prevalence of Most Common Pitch")</f>
        <v>P-18 Prevalence of Most Common Pitch</v>
      </c>
      <c r="E21" s="12" t="str">
        <f t="shared" si="2"/>
        <v>Prevalence of Most Common Pitch</v>
      </c>
      <c r="F21" s="14" t="s">
        <v>65</v>
      </c>
      <c r="G21" s="14" t="str">
        <f>IFERROR(__xludf.DUMMYFUNCTION("REGEXREPLACE(B21,""(.*): (.*)"", ""$2"")"),"Fraction of notes that correspond to the most common pitch.")</f>
        <v>Fraction of notes that correspond to the most common pitch.</v>
      </c>
      <c r="H21" s="6">
        <f t="shared" si="5"/>
        <v>15</v>
      </c>
      <c r="I21" s="15" t="b">
        <v>1</v>
      </c>
      <c r="J21" s="6">
        <f t="shared" si="6"/>
        <v>10</v>
      </c>
      <c r="K21" s="15" t="b">
        <v>0</v>
      </c>
      <c r="M21" s="9"/>
      <c r="N21" s="16" t="str">
        <f t="shared" si="3"/>
        <v>'Prevalence_of_Most_Common_Pitch',</v>
      </c>
      <c r="O21" s="16" t="str">
        <f t="shared" si="4"/>
        <v/>
      </c>
      <c r="P21" s="16" t="s">
        <v>66</v>
      </c>
      <c r="Q21" s="16"/>
      <c r="R21" s="9"/>
    </row>
    <row r="22" ht="15.75" customHeight="1">
      <c r="A22" s="9"/>
      <c r="B22" s="10" t="s">
        <v>67</v>
      </c>
      <c r="C22" s="11" t="str">
        <f t="shared" si="1"/>
        <v>P-19</v>
      </c>
      <c r="D22" s="12" t="str">
        <f>IFERROR(__xludf.DUMMYFUNCTION("REGEXREPLACE(B22,""(.*):(.*)"", ""$1"")"),"P-19 Prevalence of Most Common Pitch Class")</f>
        <v>P-19 Prevalence of Most Common Pitch Class</v>
      </c>
      <c r="E22" s="12" t="str">
        <f t="shared" si="2"/>
        <v>Prevalence of Most Common Pitch Class</v>
      </c>
      <c r="F22" s="14" t="s">
        <v>68</v>
      </c>
      <c r="G22" s="14" t="str">
        <f>IFERROR(__xludf.DUMMYFUNCTION("REGEXREPLACE(B22,""(.*): (.*)"", ""$2"")"),"Fraction of notes that correspond to the most common pitch class.")</f>
        <v>Fraction of notes that correspond to the most common pitch class.</v>
      </c>
      <c r="H22" s="6">
        <f t="shared" si="5"/>
        <v>16</v>
      </c>
      <c r="I22" s="15" t="b">
        <v>1</v>
      </c>
      <c r="J22" s="6">
        <f t="shared" si="6"/>
        <v>10</v>
      </c>
      <c r="K22" s="15" t="b">
        <v>0</v>
      </c>
      <c r="M22" s="9"/>
      <c r="N22" s="16" t="str">
        <f t="shared" si="3"/>
        <v>'Prevalence_of_Most_Common_Pitch_Class',</v>
      </c>
      <c r="O22" s="16" t="str">
        <f t="shared" si="4"/>
        <v/>
      </c>
      <c r="P22" s="16" t="s">
        <v>69</v>
      </c>
      <c r="Q22" s="16"/>
      <c r="R22" s="9"/>
    </row>
    <row r="23" ht="15.75" customHeight="1">
      <c r="A23" s="9"/>
      <c r="B23" s="10" t="s">
        <v>70</v>
      </c>
      <c r="C23" s="11" t="str">
        <f t="shared" si="1"/>
        <v>P-20</v>
      </c>
      <c r="D23" s="12" t="str">
        <f>IFERROR(__xludf.DUMMYFUNCTION("REGEXREPLACE(B23,""(.*):(.*)"", ""$1"")"),"P-20 Relative Prevalence of Top Pitches")</f>
        <v>P-20 Relative Prevalence of Top Pitches</v>
      </c>
      <c r="E23" s="12" t="str">
        <f t="shared" si="2"/>
        <v>Relative Prevalence of Top Pitches</v>
      </c>
      <c r="F23" s="14" t="s">
        <v>71</v>
      </c>
      <c r="G23" s="14" t="str">
        <f>IFERROR(__xludf.DUMMYFUNCTION("REGEXREPLACE(B23,""(.*): (.*)"", ""$2"")"),"Relative frequency of the second most common pitch in the piece, divided by the relative frequency of the most common pitch.")</f>
        <v>Relative frequency of the second most common pitch in the piece, divided by the relative frequency of the most common pitch.</v>
      </c>
      <c r="H23" s="6">
        <f t="shared" si="5"/>
        <v>17</v>
      </c>
      <c r="I23" s="15" t="b">
        <v>1</v>
      </c>
      <c r="J23" s="6">
        <f t="shared" si="6"/>
        <v>11</v>
      </c>
      <c r="K23" s="15" t="b">
        <v>1</v>
      </c>
      <c r="L23" s="14"/>
      <c r="M23" s="9"/>
      <c r="N23" s="16" t="str">
        <f t="shared" si="3"/>
        <v>'Relative_Prevalence_of_Top_Pitches',</v>
      </c>
      <c r="O23" s="16" t="str">
        <f t="shared" si="4"/>
        <v>'Relative_Prevalence_of_Top_Pitches',</v>
      </c>
      <c r="P23" s="16" t="s">
        <v>72</v>
      </c>
      <c r="Q23" s="16"/>
      <c r="R23" s="9"/>
    </row>
    <row r="24" ht="15.75" customHeight="1">
      <c r="A24" s="9"/>
      <c r="B24" s="10" t="s">
        <v>73</v>
      </c>
      <c r="C24" s="11" t="str">
        <f t="shared" si="1"/>
        <v>P-21</v>
      </c>
      <c r="D24" s="12" t="str">
        <f>IFERROR(__xludf.DUMMYFUNCTION("REGEXREPLACE(B24,""(.*):(.*)"", ""$1"")"),"P-21 Relative Prevalence of Top Pitch Classes")</f>
        <v>P-21 Relative Prevalence of Top Pitch Classes</v>
      </c>
      <c r="E24" s="12" t="str">
        <f t="shared" si="2"/>
        <v>Relative Prevalence of Top Pitch Classes</v>
      </c>
      <c r="F24" s="14" t="s">
        <v>74</v>
      </c>
      <c r="G24" s="14" t="str">
        <f>IFERROR(__xludf.DUMMYFUNCTION("REGEXREPLACE(B24,""(.*): (.*)"", ""$2"")"),"Relative frequency of the of the second most common pitch class in the piece, divided by the relative frequency of the most common pitch class.")</f>
        <v>Relative frequency of the of the second most common pitch class in the piece, divided by the relative frequency of the most common pitch class.</v>
      </c>
      <c r="H24" s="6">
        <f t="shared" si="5"/>
        <v>18</v>
      </c>
      <c r="I24" s="15" t="b">
        <v>1</v>
      </c>
      <c r="J24" s="6">
        <f t="shared" si="6"/>
        <v>12</v>
      </c>
      <c r="K24" s="15" t="b">
        <v>1</v>
      </c>
      <c r="L24" s="14"/>
      <c r="M24" s="9"/>
      <c r="N24" s="16" t="str">
        <f t="shared" si="3"/>
        <v>'Relative_Prevalence_of_Top_Pitch_Classes',</v>
      </c>
      <c r="O24" s="16" t="str">
        <f t="shared" si="4"/>
        <v>'Relative_Prevalence_of_Top_Pitch_Classes',</v>
      </c>
      <c r="P24" s="16" t="s">
        <v>75</v>
      </c>
      <c r="Q24" s="16"/>
      <c r="R24" s="9"/>
    </row>
    <row r="25" ht="15.75" customHeight="1">
      <c r="A25" s="9"/>
      <c r="B25" s="10" t="s">
        <v>76</v>
      </c>
      <c r="C25" s="11" t="str">
        <f t="shared" si="1"/>
        <v>P-22</v>
      </c>
      <c r="D25" s="12" t="str">
        <f>IFERROR(__xludf.DUMMYFUNCTION("REGEXREPLACE(B25,""(.*):(.*)"", ""$1"")"),"P-22 Interval Between Most Prevalent Pitches")</f>
        <v>P-22 Interval Between Most Prevalent Pitches</v>
      </c>
      <c r="E25" s="12" t="str">
        <f t="shared" si="2"/>
        <v>Interval Between Most Prevalent Pitches</v>
      </c>
      <c r="F25" s="14" t="s">
        <v>77</v>
      </c>
      <c r="G25" s="14" t="str">
        <f>IFERROR(__xludf.DUMMYFUNCTION("REGEXREPLACE(B25,""(.*): (.*)"", ""$2"")"),"Absolute value of the difference (in semitones) between the pitches of the two most frequently occurring pitches.")</f>
        <v>Absolute value of the difference (in semitones) between the pitches of the two most frequently occurring pitches.</v>
      </c>
      <c r="H25" s="6">
        <f t="shared" si="5"/>
        <v>19</v>
      </c>
      <c r="I25" s="15" t="b">
        <v>1</v>
      </c>
      <c r="J25" s="6">
        <f t="shared" si="6"/>
        <v>13</v>
      </c>
      <c r="K25" s="15" t="b">
        <v>1</v>
      </c>
      <c r="L25" s="14"/>
      <c r="M25" s="9"/>
      <c r="N25" s="16" t="str">
        <f t="shared" si="3"/>
        <v>'Interval_Between_Most_Prevalent_Pitches',</v>
      </c>
      <c r="O25" s="16" t="str">
        <f t="shared" si="4"/>
        <v>'Interval_Between_Most_Prevalent_Pitches',</v>
      </c>
      <c r="P25" s="16" t="s">
        <v>78</v>
      </c>
      <c r="Q25" s="16"/>
      <c r="R25" s="9"/>
    </row>
    <row r="26" ht="15.75" customHeight="1">
      <c r="A26" s="9"/>
      <c r="B26" s="10" t="s">
        <v>79</v>
      </c>
      <c r="C26" s="11" t="str">
        <f t="shared" si="1"/>
        <v>P-23</v>
      </c>
      <c r="D26" s="12" t="str">
        <f>IFERROR(__xludf.DUMMYFUNCTION("REGEXREPLACE(B26,""(.*):(.*)"", ""$1"")"),"P-23 Interval Between Most Prevalent Pitch Classes")</f>
        <v>P-23 Interval Between Most Prevalent Pitch Classes</v>
      </c>
      <c r="E26" s="12" t="str">
        <f t="shared" si="2"/>
        <v>Interval Between Most Prevalent Pitch Classes</v>
      </c>
      <c r="F26" s="14" t="s">
        <v>80</v>
      </c>
      <c r="G26" s="14" t="str">
        <f>IFERROR(__xludf.DUMMYFUNCTION("REGEXREPLACE(B26,""(.*): (.*)"", ""$2"")"),"Absolute value of the difference (in semitones) between the pitches of the two most frequently occurring pitch classes.")</f>
        <v>Absolute value of the difference (in semitones) between the pitches of the two most frequently occurring pitch classes.</v>
      </c>
      <c r="H26" s="6">
        <f t="shared" si="5"/>
        <v>20</v>
      </c>
      <c r="I26" s="15" t="b">
        <v>1</v>
      </c>
      <c r="J26" s="6">
        <f t="shared" si="6"/>
        <v>14</v>
      </c>
      <c r="K26" s="15" t="b">
        <v>1</v>
      </c>
      <c r="L26" s="14"/>
      <c r="M26" s="9"/>
      <c r="N26" s="16" t="str">
        <f t="shared" si="3"/>
        <v>'Interval_Between_Most_Prevalent_Pitch_Classes',</v>
      </c>
      <c r="O26" s="16" t="str">
        <f t="shared" si="4"/>
        <v>'Interval_Between_Most_Prevalent_Pitch_Classes',</v>
      </c>
      <c r="P26" s="16" t="s">
        <v>81</v>
      </c>
      <c r="Q26" s="16"/>
      <c r="R26" s="9"/>
    </row>
    <row r="27" ht="15.75" customHeight="1">
      <c r="A27" s="9"/>
      <c r="B27" s="10" t="s">
        <v>82</v>
      </c>
      <c r="C27" s="11" t="str">
        <f t="shared" si="1"/>
        <v>P-24</v>
      </c>
      <c r="D27" s="12" t="str">
        <f>IFERROR(__xludf.DUMMYFUNCTION("REGEXREPLACE(B27,""(.*):(.*)"", ""$1"")"),"P-24 Pitch Variability")</f>
        <v>P-24 Pitch Variability</v>
      </c>
      <c r="E27" s="12" t="str">
        <f t="shared" si="2"/>
        <v>Pitch Variability</v>
      </c>
      <c r="F27" s="14" t="s">
        <v>83</v>
      </c>
      <c r="G27" s="14" t="str">
        <f>IFERROR(__xludf.DUMMYFUNCTION("REGEXREPLACE(B27,""(.*): (.*)"", ""$2"")"),"Standard deviation of the MIDI pitches of all pitched notes in the piece. Provides a measure of how close the pitches as a whole are to the mean pitch.")</f>
        <v>Standard deviation of the MIDI pitches of all pitched notes in the piece. Provides a measure of how close the pitches as a whole are to the mean pitch.</v>
      </c>
      <c r="H27" s="6">
        <f t="shared" si="5"/>
        <v>21</v>
      </c>
      <c r="I27" s="15" t="b">
        <v>1</v>
      </c>
      <c r="J27" s="6">
        <f t="shared" si="6"/>
        <v>15</v>
      </c>
      <c r="K27" s="15" t="b">
        <v>1</v>
      </c>
      <c r="L27" s="14"/>
      <c r="M27" s="9"/>
      <c r="N27" s="16" t="str">
        <f t="shared" si="3"/>
        <v>'Pitch_Variability',</v>
      </c>
      <c r="O27" s="16" t="str">
        <f t="shared" si="4"/>
        <v>'Pitch_Variability',</v>
      </c>
      <c r="P27" s="16" t="s">
        <v>84</v>
      </c>
      <c r="Q27" s="16"/>
      <c r="R27" s="9"/>
    </row>
    <row r="28" ht="15.75" customHeight="1">
      <c r="A28" s="9"/>
      <c r="B28" s="10" t="s">
        <v>85</v>
      </c>
      <c r="C28" s="11" t="str">
        <f t="shared" si="1"/>
        <v>P-25</v>
      </c>
      <c r="D28" s="12" t="str">
        <f>IFERROR(__xludf.DUMMYFUNCTION("REGEXREPLACE(B28,""(.*):(.*)"", ""$1"")"),"P-25 Pitch Class Variability")</f>
        <v>P-25 Pitch Class Variability</v>
      </c>
      <c r="E28" s="12" t="str">
        <f t="shared" si="2"/>
        <v>Pitch Class Variability</v>
      </c>
      <c r="F28" s="14" t="s">
        <v>86</v>
      </c>
      <c r="G28" s="14" t="str">
        <f>IFERROR(__xludf.DUMMYFUNCTION("REGEXREPLACE(B28,""(.*): (.*)"", ""$2"")"),"Standard deviation of the pitch classes (where 0 corresponds to C, 1 to C#/Db, etc.) of all pitched notes in the piece. Provides a measure of how close the pitch classes as a whole are to the mean pitch class.")</f>
        <v>Standard deviation of the pitch classes (where 0 corresponds to C, 1 to C#/Db, etc.) of all pitched notes in the piece. Provides a measure of how close the pitch classes as a whole are to the mean pitch class.</v>
      </c>
      <c r="H28" s="6">
        <f t="shared" si="5"/>
        <v>22</v>
      </c>
      <c r="I28" s="15" t="b">
        <v>1</v>
      </c>
      <c r="J28" s="6">
        <f t="shared" si="6"/>
        <v>16</v>
      </c>
      <c r="K28" s="15" t="b">
        <v>1</v>
      </c>
      <c r="L28" s="14"/>
      <c r="M28" s="9"/>
      <c r="N28" s="16" t="str">
        <f t="shared" si="3"/>
        <v>'Pitch_Class_Variability',</v>
      </c>
      <c r="O28" s="16" t="str">
        <f t="shared" si="4"/>
        <v>'Pitch_Class_Variability',</v>
      </c>
      <c r="P28" s="16" t="s">
        <v>87</v>
      </c>
      <c r="Q28" s="16"/>
      <c r="R28" s="9"/>
    </row>
    <row r="29" ht="15.75" customHeight="1">
      <c r="A29" s="9"/>
      <c r="B29" s="10" t="s">
        <v>88</v>
      </c>
      <c r="C29" s="11" t="str">
        <f t="shared" si="1"/>
        <v>P-26</v>
      </c>
      <c r="D29" s="12" t="str">
        <f>IFERROR(__xludf.DUMMYFUNCTION("REGEXREPLACE(B29,""(.*):(.*)"", ""$1"")"),"P-26 Pitch Class Variability After Folding")</f>
        <v>P-26 Pitch Class Variability After Folding</v>
      </c>
      <c r="E29" s="12" t="str">
        <f t="shared" si="2"/>
        <v>Pitch Class Variability After Folding</v>
      </c>
      <c r="F29" s="14" t="s">
        <v>89</v>
      </c>
      <c r="G29" s="14" t="str">
        <f>IFERROR(__xludf.DUMMYFUNCTION("REGEXREPLACE(B29,""(.*): (.*)"", ""$2"")"),"Standard deviation of the pitch classes in the piece after being folded by perfect fifths as described for the folded fifths pitch class histogram. Provides a measure of how close the pitch classes are as a whole from the mean pitch class from a dominant-"&amp;"tonic perspective.")</f>
        <v>Standard deviation of the pitch classes in the piece after being folded by perfect fifths as described for the folded fifths pitch class histogram. Provides a measure of how close the pitch classes are as a whole from the mean pitch class from a dominant-tonic perspective.</v>
      </c>
      <c r="H29" s="6">
        <f t="shared" si="5"/>
        <v>23</v>
      </c>
      <c r="I29" s="15" t="b">
        <v>1</v>
      </c>
      <c r="J29" s="6">
        <f t="shared" si="6"/>
        <v>17</v>
      </c>
      <c r="K29" s="15" t="b">
        <v>1</v>
      </c>
      <c r="L29" s="14"/>
      <c r="M29" s="9"/>
      <c r="N29" s="16" t="str">
        <f t="shared" si="3"/>
        <v>'Pitch_Class_Variability_After_Folding',</v>
      </c>
      <c r="O29" s="16" t="str">
        <f t="shared" si="4"/>
        <v>'Pitch_Class_Variability_After_Folding',</v>
      </c>
      <c r="P29" s="16" t="s">
        <v>90</v>
      </c>
      <c r="Q29" s="16"/>
      <c r="R29" s="9"/>
    </row>
    <row r="30" ht="15.75" customHeight="1">
      <c r="A30" s="9"/>
      <c r="B30" s="10" t="s">
        <v>91</v>
      </c>
      <c r="C30" s="11" t="str">
        <f t="shared" si="1"/>
        <v>P-27</v>
      </c>
      <c r="D30" s="12" t="str">
        <f>IFERROR(__xludf.DUMMYFUNCTION("REGEXREPLACE(B30,""(.*):(.*)"", ""$1"")"),"P-27 Pitch Skewness")</f>
        <v>P-27 Pitch Skewness</v>
      </c>
      <c r="E30" s="12" t="str">
        <f t="shared" si="2"/>
        <v>Pitch Skewness</v>
      </c>
      <c r="F30" s="14" t="s">
        <v>92</v>
      </c>
      <c r="G30" s="14" t="str">
        <f>IFERROR(__xludf.DUMMYFUNCTION("REGEXREPLACE(B30,""(.*): (.*)"", ""$2"")"),"Skewness of the MIDI pitches of all pitched notes in the piece. Provides a measure of how asymmetrical the pitch distribution is to either the left or the right of the mean pitch. A value of zero indicates no skew.")</f>
        <v>Skewness of the MIDI pitches of all pitched notes in the piece. Provides a measure of how asymmetrical the pitch distribution is to either the left or the right of the mean pitch. A value of zero indicates no skew.</v>
      </c>
      <c r="H30" s="6">
        <f t="shared" si="5"/>
        <v>24</v>
      </c>
      <c r="I30" s="15" t="b">
        <v>1</v>
      </c>
      <c r="J30" s="6">
        <f t="shared" si="6"/>
        <v>18</v>
      </c>
      <c r="K30" s="15" t="b">
        <v>1</v>
      </c>
      <c r="L30" s="14"/>
      <c r="M30" s="9"/>
      <c r="N30" s="16" t="str">
        <f t="shared" si="3"/>
        <v>'Pitch_Skewness',</v>
      </c>
      <c r="O30" s="16" t="str">
        <f t="shared" si="4"/>
        <v>'Pitch_Skewness',</v>
      </c>
      <c r="P30" s="16" t="s">
        <v>93</v>
      </c>
      <c r="Q30" s="16"/>
      <c r="R30" s="9"/>
    </row>
    <row r="31" ht="15.75" customHeight="1">
      <c r="A31" s="9"/>
      <c r="B31" s="10" t="s">
        <v>94</v>
      </c>
      <c r="C31" s="11" t="str">
        <f t="shared" si="1"/>
        <v>P-28</v>
      </c>
      <c r="D31" s="12" t="str">
        <f>IFERROR(__xludf.DUMMYFUNCTION("REGEXREPLACE(B31,""(.*):(.*)"", ""$1"")"),"P-28 Pitch Class Skewness")</f>
        <v>P-28 Pitch Class Skewness</v>
      </c>
      <c r="E31" s="12" t="str">
        <f t="shared" si="2"/>
        <v>Pitch Class Skewness</v>
      </c>
      <c r="F31" s="14" t="s">
        <v>95</v>
      </c>
      <c r="G31" s="14" t="str">
        <f>IFERROR(__xludf.DUMMYFUNCTION("REGEXREPLACE(B31,""(.*): (.*)"", ""$2"")"),"Skewness of the pitch classes (where 0 corresponds to C, 1 to C#/Db, etc.) of all pitched notes in the piece. Provides a measure of how asymmetrical the pitch class distribution is to either the left or the right of the mean pitch class. A value of zero i"&amp;"ndicates no skew.")</f>
        <v>Skewness of the pitch classes (where 0 corresponds to C, 1 to C#/Db, etc.) of all pitched notes in the piece. Provides a measure of how asymmetrical the pitch class distribution is to either the left or the right of the mean pitch class. A value of zero indicates no skew.</v>
      </c>
      <c r="H31" s="6">
        <f t="shared" si="5"/>
        <v>25</v>
      </c>
      <c r="I31" s="15" t="b">
        <v>1</v>
      </c>
      <c r="J31" s="6">
        <f t="shared" si="6"/>
        <v>19</v>
      </c>
      <c r="K31" s="15" t="b">
        <v>1</v>
      </c>
      <c r="L31" s="14"/>
      <c r="M31" s="9"/>
      <c r="N31" s="16" t="str">
        <f t="shared" si="3"/>
        <v>'Pitch_Class_Skewness',</v>
      </c>
      <c r="O31" s="16" t="str">
        <f t="shared" si="4"/>
        <v>'Pitch_Class_Skewness',</v>
      </c>
      <c r="P31" s="16" t="s">
        <v>96</v>
      </c>
      <c r="Q31" s="16"/>
      <c r="R31" s="9"/>
    </row>
    <row r="32" ht="15.75" customHeight="1">
      <c r="A32" s="9"/>
      <c r="B32" s="10" t="s">
        <v>97</v>
      </c>
      <c r="C32" s="11" t="str">
        <f t="shared" si="1"/>
        <v>P-29</v>
      </c>
      <c r="D32" s="12" t="str">
        <f>IFERROR(__xludf.DUMMYFUNCTION("REGEXREPLACE(B32,""(.*):(.*)"", ""$1"")"),"P-29 Pitch Class Skewness After Folding")</f>
        <v>P-29 Pitch Class Skewness After Folding</v>
      </c>
      <c r="E32" s="12" t="str">
        <f t="shared" si="2"/>
        <v>Pitch Class Skewness After Folding</v>
      </c>
      <c r="F32" s="14" t="s">
        <v>98</v>
      </c>
      <c r="G32" s="14" t="str">
        <f>IFERROR(__xludf.DUMMYFUNCTION("REGEXREPLACE(B32,""(.*): (.*)"", ""$2"")"),"Skewness of the pitch classes after being folded by perfect fifths as described for the folded fifths pitch class histogram. Provides a measure of how asymmetrical the pitch class distribution after folding is to either the left or the right of the mean f"&amp;"rom a dominant-tonic perspective. A value of zero indicates no skew.")</f>
        <v>Skewness of the pitch classes after being folded by perfect fifths as described for the folded fifths pitch class histogram. Provides a measure of how asymmetrical the pitch class distribution after folding is to either the left or the right of the mean from a dominant-tonic perspective. A value of zero indicates no skew.</v>
      </c>
      <c r="H32" s="6">
        <f t="shared" si="5"/>
        <v>26</v>
      </c>
      <c r="I32" s="15" t="b">
        <v>1</v>
      </c>
      <c r="J32" s="6">
        <f t="shared" si="6"/>
        <v>20</v>
      </c>
      <c r="K32" s="15" t="b">
        <v>1</v>
      </c>
      <c r="L32" s="14"/>
      <c r="M32" s="9"/>
      <c r="N32" s="16" t="str">
        <f t="shared" si="3"/>
        <v>'Pitch_Class_Skewness_After_Folding',</v>
      </c>
      <c r="O32" s="16" t="str">
        <f t="shared" si="4"/>
        <v>'Pitch_Class_Skewness_After_Folding',</v>
      </c>
      <c r="P32" s="16" t="s">
        <v>99</v>
      </c>
      <c r="Q32" s="16"/>
      <c r="R32" s="9"/>
    </row>
    <row r="33" ht="15.75" customHeight="1">
      <c r="A33" s="9"/>
      <c r="B33" s="10" t="s">
        <v>100</v>
      </c>
      <c r="C33" s="11" t="str">
        <f t="shared" si="1"/>
        <v>P-30</v>
      </c>
      <c r="D33" s="12" t="str">
        <f>IFERROR(__xludf.DUMMYFUNCTION("REGEXREPLACE(B33,""(.*):(.*)"", ""$1"")"),"P-30 Pitch Kurtosis")</f>
        <v>P-30 Pitch Kurtosis</v>
      </c>
      <c r="E33" s="12" t="str">
        <f t="shared" si="2"/>
        <v>Pitch Kurtosis</v>
      </c>
      <c r="F33" s="14" t="s">
        <v>101</v>
      </c>
      <c r="G33" s="14" t="str">
        <f>IFERROR(__xludf.DUMMYFUNCTION("REGEXREPLACE(B33,""(.*): (.*)"", ""$2"")"),"Kurtosis of the MIDI pitches of all pitched notes in the piece. Provides a measure of how peaked or flat the pitch distribution is. The higher the kurtosis, the more the pitches are clustered near the mean and the fewer outliers there are.")</f>
        <v>Kurtosis of the MIDI pitches of all pitched notes in the piece. Provides a measure of how peaked or flat the pitch distribution is. The higher the kurtosis, the more the pitches are clustered near the mean and the fewer outliers there are.</v>
      </c>
      <c r="H33" s="6">
        <f t="shared" si="5"/>
        <v>27</v>
      </c>
      <c r="I33" s="15" t="b">
        <v>1</v>
      </c>
      <c r="J33" s="6">
        <f t="shared" si="6"/>
        <v>21</v>
      </c>
      <c r="K33" s="15" t="b">
        <v>1</v>
      </c>
      <c r="L33" s="14"/>
      <c r="M33" s="9"/>
      <c r="N33" s="16" t="str">
        <f t="shared" si="3"/>
        <v>'Pitch_Kurtosis',</v>
      </c>
      <c r="O33" s="16" t="str">
        <f t="shared" si="4"/>
        <v>'Pitch_Kurtosis',</v>
      </c>
      <c r="P33" s="16" t="s">
        <v>102</v>
      </c>
      <c r="Q33" s="16"/>
      <c r="R33" s="9"/>
    </row>
    <row r="34" ht="15.75" customHeight="1">
      <c r="A34" s="9"/>
      <c r="B34" s="10" t="s">
        <v>103</v>
      </c>
      <c r="C34" s="11" t="str">
        <f t="shared" si="1"/>
        <v>P-31</v>
      </c>
      <c r="D34" s="12" t="str">
        <f>IFERROR(__xludf.DUMMYFUNCTION("REGEXREPLACE(B34,""(.*):(.*)"", ""$1"")"),"P-31 Pitch Class Kurtosis")</f>
        <v>P-31 Pitch Class Kurtosis</v>
      </c>
      <c r="E34" s="12" t="str">
        <f t="shared" si="2"/>
        <v>Pitch Class Kurtosis</v>
      </c>
      <c r="F34" s="14" t="s">
        <v>104</v>
      </c>
      <c r="G34" s="14" t="str">
        <f>IFERROR(__xludf.DUMMYFUNCTION("REGEXREPLACE(B34,""(.*): (.*)"", ""$2"")"),"Kurtosis of the pitch classes (where 0 corresponds to C, 1 to C#/Db, etc.) of all pitched notes in the piece. Provides a measure of how peaked or flat the pitch class distribution is. The higher the kurtosis, the more the pitch classes are clustered near "&amp;"the mean and the fewer outliers there are.")</f>
        <v>Kurtosis of the pitch classes (where 0 corresponds to C, 1 to C#/Db, etc.) of all pitched notes in the piece. Provides a measure of how peaked or flat the pitch class distribution is. The higher the kurtosis, the more the pitch classes are clustered near the mean and the fewer outliers there are.</v>
      </c>
      <c r="H34" s="6">
        <f t="shared" si="5"/>
        <v>28</v>
      </c>
      <c r="I34" s="15" t="b">
        <v>1</v>
      </c>
      <c r="J34" s="6">
        <f t="shared" si="6"/>
        <v>22</v>
      </c>
      <c r="K34" s="15" t="b">
        <v>1</v>
      </c>
      <c r="L34" s="14"/>
      <c r="M34" s="9"/>
      <c r="N34" s="16" t="str">
        <f t="shared" si="3"/>
        <v>'Pitch_Class_Kurtosis',</v>
      </c>
      <c r="O34" s="16" t="str">
        <f t="shared" si="4"/>
        <v>'Pitch_Class_Kurtosis',</v>
      </c>
      <c r="P34" s="16" t="s">
        <v>105</v>
      </c>
      <c r="Q34" s="16"/>
      <c r="R34" s="9"/>
    </row>
    <row r="35" ht="15.75" customHeight="1">
      <c r="A35" s="9"/>
      <c r="B35" s="10" t="s">
        <v>106</v>
      </c>
      <c r="C35" s="11" t="str">
        <f t="shared" si="1"/>
        <v>P-32</v>
      </c>
      <c r="D35" s="12" t="str">
        <f>IFERROR(__xludf.DUMMYFUNCTION("REGEXREPLACE(B35,""(.*):(.*)"", ""$1"")"),"P-32 Pitch Class Kurtosis After Folding")</f>
        <v>P-32 Pitch Class Kurtosis After Folding</v>
      </c>
      <c r="E35" s="12" t="str">
        <f t="shared" si="2"/>
        <v>Pitch Class Kurtosis After Folding</v>
      </c>
      <c r="F35" s="14" t="s">
        <v>107</v>
      </c>
      <c r="G35" s="14" t="str">
        <f>IFERROR(__xludf.DUMMYFUNCTION("REGEXREPLACE(B35,""(.*): (.*)"", ""$2"")"),"Kurtosis of the pitch classes after being folded by perfect fifths as described for the folded fifths pitch class histogram. Provides a measure of how peaked or flat the pitch classes are from a dominant-tonic perspective.")</f>
        <v>Kurtosis of the pitch classes after being folded by perfect fifths as described for the folded fifths pitch class histogram. Provides a measure of how peaked or flat the pitch classes are from a dominant-tonic perspective.</v>
      </c>
      <c r="H35" s="6">
        <f t="shared" si="5"/>
        <v>29</v>
      </c>
      <c r="I35" s="15" t="b">
        <v>1</v>
      </c>
      <c r="J35" s="6">
        <f t="shared" si="6"/>
        <v>23</v>
      </c>
      <c r="K35" s="15" t="b">
        <v>1</v>
      </c>
      <c r="L35" s="14"/>
      <c r="M35" s="9"/>
      <c r="N35" s="16" t="str">
        <f t="shared" si="3"/>
        <v>'Pitch_Class_Kurtosis_After_Folding',</v>
      </c>
      <c r="O35" s="16" t="str">
        <f t="shared" si="4"/>
        <v>'Pitch_Class_Kurtosis_After_Folding',</v>
      </c>
      <c r="P35" s="16" t="s">
        <v>108</v>
      </c>
      <c r="Q35" s="16"/>
      <c r="R35" s="9"/>
    </row>
    <row r="36" ht="15.75" customHeight="1">
      <c r="A36" s="9"/>
      <c r="B36" s="10" t="s">
        <v>109</v>
      </c>
      <c r="C36" s="11" t="str">
        <f t="shared" si="1"/>
        <v>P-33</v>
      </c>
      <c r="D36" s="12" t="str">
        <f>IFERROR(__xludf.DUMMYFUNCTION("REGEXREPLACE(B36,""(.*):(.*)"", ""$1"")"),"P-33 Major or Minor")</f>
        <v>P-33 Major or Minor</v>
      </c>
      <c r="E36" s="12" t="str">
        <f t="shared" si="2"/>
        <v>Major or Minor</v>
      </c>
      <c r="F36" s="14" t="s">
        <v>110</v>
      </c>
      <c r="G36" s="14" t="str">
        <f>IFERROR(__xludf.DUMMYFUNCTION("REGEXREPLACE(B36,""(.*): (.*)"", ""$2"")"),"Whether the piece is major or minor, as indicated by the first encountered major/minor metadata tag in the piece. Set to 0 if the metadata indicates that the piece is major, or set to 1 if the metadata indicates that it is minor. Defaults to 0 if the key "&amp;"signature is unknown.")</f>
        <v>Whether the piece is major or minor, as indicated by the first encountered major/minor metadata tag in the piece. Set to 0 if the metadata indicates that the piece is major, or set to 1 if the metadata indicates that it is minor. Defaults to 0 if the key signature is unknown.</v>
      </c>
      <c r="H36" s="6">
        <f t="shared" si="5"/>
        <v>30</v>
      </c>
      <c r="I36" s="15" t="b">
        <v>1</v>
      </c>
      <c r="J36" s="6">
        <f t="shared" si="6"/>
        <v>23</v>
      </c>
      <c r="K36" s="15" t="b">
        <v>0</v>
      </c>
      <c r="L36" s="14" t="s">
        <v>111</v>
      </c>
      <c r="M36" s="9"/>
      <c r="N36" s="16" t="str">
        <f t="shared" si="3"/>
        <v>'Major_or_Minor',</v>
      </c>
      <c r="O36" s="16" t="str">
        <f t="shared" si="4"/>
        <v/>
      </c>
      <c r="P36" s="16" t="s">
        <v>112</v>
      </c>
      <c r="Q36" s="16"/>
      <c r="R36" s="9"/>
    </row>
    <row r="37" ht="15.75" customHeight="1">
      <c r="A37" s="9"/>
      <c r="B37" s="10" t="s">
        <v>113</v>
      </c>
      <c r="C37" s="11" t="str">
        <f t="shared" si="1"/>
        <v>P-34</v>
      </c>
      <c r="D37" s="12" t="str">
        <f>IFERROR(__xludf.DUMMYFUNCTION("REGEXREPLACE(B37,""(.*):(.*)"", ""$1"")"),"P-34 First Pitch")</f>
        <v>P-34 First Pitch</v>
      </c>
      <c r="E37" s="12" t="str">
        <f t="shared" si="2"/>
        <v>First Pitch</v>
      </c>
      <c r="F37" s="14" t="s">
        <v>114</v>
      </c>
      <c r="G37" s="14" t="str">
        <f>IFERROR(__xludf.DUMMYFUNCTION("REGEXREPLACE(B37,""(.*): (.*)"", ""$2"")"),"The MIDI pitch value of the first note in the piece. If there are multiple notes with simultaneous attacks at the beginning of the piece, then the one with the lowest pitch is selected. Set to 0 if there are no pitched notes.")</f>
        <v>The MIDI pitch value of the first note in the piece. If there are multiple notes with simultaneous attacks at the beginning of the piece, then the one with the lowest pitch is selected. Set to 0 if there are no pitched notes.</v>
      </c>
      <c r="H37" s="6">
        <f t="shared" si="5"/>
        <v>31</v>
      </c>
      <c r="I37" s="15" t="b">
        <v>1</v>
      </c>
      <c r="J37" s="6">
        <f t="shared" si="6"/>
        <v>23</v>
      </c>
      <c r="K37" s="15" t="b">
        <v>0</v>
      </c>
      <c r="L37" s="14" t="s">
        <v>115</v>
      </c>
      <c r="M37" s="9"/>
      <c r="N37" s="16" t="str">
        <f t="shared" si="3"/>
        <v>'First_Pitch',</v>
      </c>
      <c r="O37" s="16" t="str">
        <f t="shared" si="4"/>
        <v/>
      </c>
      <c r="P37" s="16" t="s">
        <v>116</v>
      </c>
      <c r="Q37" s="16"/>
      <c r="R37" s="9"/>
    </row>
    <row r="38" ht="15.75" customHeight="1">
      <c r="A38" s="9"/>
      <c r="B38" s="10" t="s">
        <v>117</v>
      </c>
      <c r="C38" s="11" t="str">
        <f t="shared" si="1"/>
        <v>P-35</v>
      </c>
      <c r="D38" s="12" t="str">
        <f>IFERROR(__xludf.DUMMYFUNCTION("REGEXREPLACE(B38,""(.*):(.*)"", ""$1"")"),"P-35 First Pitch Class")</f>
        <v>P-35 First Pitch Class</v>
      </c>
      <c r="E38" s="12" t="str">
        <f t="shared" si="2"/>
        <v>First Pitch Class</v>
      </c>
      <c r="F38" s="14" t="s">
        <v>118</v>
      </c>
      <c r="G38" s="14" t="str">
        <f>IFERROR(__xludf.DUMMYFUNCTION("REGEXREPLACE(B38,""(.*): (.*)"", ""$2"")"),"The pitch class of the first note in the piece. If there are multiple notes with simultaneous attacks at the beginning of the piece, then the one with the lowest pitch is selected. A value of 0 corresponds to C, and pitches increase chromatically by semit"&amp;"one in integer units (e.g. a value of 2 would mean that D is the most common pitch class). Enharmonic equivalents are treated as a single pitch class. Set to 0 if there are no pitched notes.")</f>
        <v>The pitch class of the first note in the piece. If there are multiple notes with simultaneous attacks at the beginning of the piece, then the one with the lowest pitch is selected. A value of 0 corresponds to C, and pitches increase chromatically by semitone in integer units (e.g. a value of 2 would mean that D is the most common pitch class). Enharmonic equivalents are treated as a single pitch class. Set to 0 if there are no pitched notes.</v>
      </c>
      <c r="H38" s="6">
        <f t="shared" si="5"/>
        <v>32</v>
      </c>
      <c r="I38" s="15" t="b">
        <v>1</v>
      </c>
      <c r="J38" s="6">
        <f t="shared" si="6"/>
        <v>23</v>
      </c>
      <c r="K38" s="15" t="b">
        <v>0</v>
      </c>
      <c r="M38" s="9"/>
      <c r="N38" s="16" t="str">
        <f t="shared" si="3"/>
        <v>'First_Pitch_Class',</v>
      </c>
      <c r="O38" s="16" t="str">
        <f t="shared" si="4"/>
        <v/>
      </c>
      <c r="P38" s="16" t="s">
        <v>119</v>
      </c>
      <c r="Q38" s="16"/>
      <c r="R38" s="9"/>
    </row>
    <row r="39" ht="15.75" customHeight="1">
      <c r="A39" s="9"/>
      <c r="B39" s="10" t="s">
        <v>120</v>
      </c>
      <c r="C39" s="11" t="str">
        <f t="shared" si="1"/>
        <v>P-36</v>
      </c>
      <c r="D39" s="12" t="str">
        <f>IFERROR(__xludf.DUMMYFUNCTION("REGEXREPLACE(B39,""(.*):(.*)"", ""$1"")"),"P-36 Last Pitch")</f>
        <v>P-36 Last Pitch</v>
      </c>
      <c r="E39" s="12" t="str">
        <f t="shared" si="2"/>
        <v>Last Pitch</v>
      </c>
      <c r="F39" s="14" t="s">
        <v>121</v>
      </c>
      <c r="G39" s="14" t="str">
        <f>IFERROR(__xludf.DUMMYFUNCTION("REGEXREPLACE(B39,""(.*): (.*)"", ""$2"")"),"The MIDI pitch value of the last note in the piece. If there are multiple notes with simultaneous attacks at the end of the piece, then the one with the lowest pitch is selected. Set to 0 if there are no pitched notes.")</f>
        <v>The MIDI pitch value of the last note in the piece. If there are multiple notes with simultaneous attacks at the end of the piece, then the one with the lowest pitch is selected. Set to 0 if there are no pitched notes.</v>
      </c>
      <c r="H39" s="6">
        <f t="shared" si="5"/>
        <v>33</v>
      </c>
      <c r="I39" s="15" t="b">
        <v>1</v>
      </c>
      <c r="J39" s="6">
        <f t="shared" si="6"/>
        <v>23</v>
      </c>
      <c r="K39" s="15" t="b">
        <v>0</v>
      </c>
      <c r="M39" s="9"/>
      <c r="N39" s="16" t="str">
        <f t="shared" si="3"/>
        <v>'Last_Pitch',</v>
      </c>
      <c r="O39" s="16" t="str">
        <f t="shared" si="4"/>
        <v/>
      </c>
      <c r="P39" s="16" t="s">
        <v>122</v>
      </c>
      <c r="Q39" s="16"/>
      <c r="R39" s="9"/>
    </row>
    <row r="40" ht="15.75" customHeight="1">
      <c r="A40" s="9"/>
      <c r="B40" s="10" t="s">
        <v>123</v>
      </c>
      <c r="C40" s="11" t="str">
        <f t="shared" si="1"/>
        <v>P-37</v>
      </c>
      <c r="D40" s="12" t="str">
        <f>IFERROR(__xludf.DUMMYFUNCTION("REGEXREPLACE(B40,""(.*):(.*)"", ""$1"")"),"P-37 Last Pitch Class")</f>
        <v>P-37 Last Pitch Class</v>
      </c>
      <c r="E40" s="12" t="str">
        <f t="shared" si="2"/>
        <v>Last Pitch Class</v>
      </c>
      <c r="F40" s="14" t="s">
        <v>124</v>
      </c>
      <c r="G40" s="14" t="str">
        <f>IFERROR(__xludf.DUMMYFUNCTION("REGEXREPLACE(B40,""(.*): (.*)"", ""$2"")"),"The pitch class of the last note in the piece. If there are multiple notes with simultaneous attacks at the end of the piece, then the one with the lowest pitch is selected. A value of 0 corresponds to C, and pitches increase chromatically by semitone in "&amp;"integer units (e.g. a value of 2 would mean that D is the most common pitch class). Enharmonic equivalents are treated as a single pitch class. Set to 0 if there are no pitched notes.")</f>
        <v>The pitch class of the last note in the piece. If there are multiple notes with simultaneous attacks at the end of the piece, then the one with the lowest pitch is selected. A value of 0 corresponds to C, and pitches increase chromatically by semitone in integer units (e.g. a value of 2 would mean that D is the most common pitch class). Enharmonic equivalents are treated as a single pitch class. Set to 0 if there are no pitched notes.</v>
      </c>
      <c r="H40" s="6">
        <f t="shared" si="5"/>
        <v>34</v>
      </c>
      <c r="I40" s="15" t="b">
        <v>1</v>
      </c>
      <c r="J40" s="6">
        <f t="shared" si="6"/>
        <v>23</v>
      </c>
      <c r="K40" s="15" t="b">
        <v>0</v>
      </c>
      <c r="M40" s="9"/>
      <c r="N40" s="16" t="str">
        <f t="shared" si="3"/>
        <v>'Last_Pitch_Class',</v>
      </c>
      <c r="O40" s="16" t="str">
        <f t="shared" si="4"/>
        <v/>
      </c>
      <c r="P40" s="16" t="s">
        <v>125</v>
      </c>
      <c r="Q40" s="16"/>
      <c r="R40" s="9"/>
    </row>
    <row r="41" ht="15.75" customHeight="1">
      <c r="A41" s="9"/>
      <c r="B41" s="10" t="s">
        <v>126</v>
      </c>
      <c r="C41" s="11" t="str">
        <f t="shared" si="1"/>
        <v>P-38</v>
      </c>
      <c r="D41" s="12" t="str">
        <f>IFERROR(__xludf.DUMMYFUNCTION("REGEXREPLACE(B41,""(.*):(.*)"", ""$1"")"),"P-38 Glissando Prevalence")</f>
        <v>P-38 Glissando Prevalence</v>
      </c>
      <c r="E41" s="12" t="str">
        <f t="shared" si="2"/>
        <v>Glissando Prevalence</v>
      </c>
      <c r="F41" s="14" t="s">
        <v>127</v>
      </c>
      <c r="G41" s="14" t="str">
        <f>IFERROR(__xludf.DUMMYFUNCTION("REGEXREPLACE(B41,""(.*): (.*)"", ""$2"")"),"Number of pitched MIDI Note Ons that have at least one MIDI Pitch Bend associated with them, divided by the total number of pitched Note Ons in the piece.")</f>
        <v>Number of pitched MIDI Note Ons that have at least one MIDI Pitch Bend associated with them, divided by the total number of pitched Note Ons in the piece.</v>
      </c>
      <c r="H41" s="6">
        <f t="shared" si="5"/>
        <v>35</v>
      </c>
      <c r="I41" s="15" t="b">
        <v>1</v>
      </c>
      <c r="J41" s="6">
        <f t="shared" si="6"/>
        <v>23</v>
      </c>
      <c r="K41" s="15" t="b">
        <v>0</v>
      </c>
      <c r="L41" s="14" t="s">
        <v>128</v>
      </c>
      <c r="M41" s="9"/>
      <c r="N41" s="16" t="str">
        <f t="shared" si="3"/>
        <v>'Glissando_Prevalence',</v>
      </c>
      <c r="O41" s="16" t="str">
        <f t="shared" si="4"/>
        <v/>
      </c>
      <c r="P41" s="16" t="s">
        <v>129</v>
      </c>
      <c r="Q41" s="16"/>
      <c r="R41" s="9"/>
    </row>
    <row r="42" ht="15.75" customHeight="1">
      <c r="A42" s="9"/>
      <c r="B42" s="10" t="s">
        <v>130</v>
      </c>
      <c r="C42" s="11" t="str">
        <f t="shared" si="1"/>
        <v>P-39</v>
      </c>
      <c r="D42" s="12" t="str">
        <f>IFERROR(__xludf.DUMMYFUNCTION("REGEXREPLACE(B42,""(.*):(.*)"", ""$1"")"),"P-39 Average Range of Glissandos")</f>
        <v>P-39 Average Range of Glissandos</v>
      </c>
      <c r="E42" s="12" t="str">
        <f t="shared" si="2"/>
        <v>Average Range of Glissandos</v>
      </c>
      <c r="F42" s="14" t="s">
        <v>131</v>
      </c>
      <c r="G42" s="14" t="str">
        <f>IFERROR(__xludf.DUMMYFUNCTION("REGEXREPLACE(B42,""(.*): (.*)"", ""$2"")"),"Average range of MIDI Pitch Bends, where ""range"" is defined as the greatest value of the absolute difference between 64 and the second data byte of all MIDI Pitch Bend messages falling between the Note On and Note Off messages of any note in the piece. "&amp;"Set to 0 if there are no MIDI Pitch Bends in the piece.")</f>
        <v>Average range of MIDI Pitch Bends, where "range" is defined as the greatest value of the absolute difference between 64 and the second data byte of all MIDI Pitch Bend messages falling between the Note On and Note Off messages of any note in the piece. Set to 0 if there are no MIDI Pitch Bends in the piece.</v>
      </c>
      <c r="H42" s="6">
        <f t="shared" si="5"/>
        <v>36</v>
      </c>
      <c r="I42" s="15" t="b">
        <v>1</v>
      </c>
      <c r="J42" s="6">
        <f t="shared" si="6"/>
        <v>23</v>
      </c>
      <c r="K42" s="15" t="b">
        <v>0</v>
      </c>
      <c r="M42" s="9"/>
      <c r="N42" s="16" t="str">
        <f t="shared" si="3"/>
        <v>'Average_Range_of_Glissandos',</v>
      </c>
      <c r="O42" s="16" t="str">
        <f t="shared" si="4"/>
        <v/>
      </c>
      <c r="P42" s="16" t="s">
        <v>132</v>
      </c>
      <c r="Q42" s="16"/>
      <c r="R42" s="9"/>
    </row>
    <row r="43" ht="15.75" customHeight="1">
      <c r="A43" s="9"/>
      <c r="B43" s="10" t="s">
        <v>133</v>
      </c>
      <c r="C43" s="11" t="str">
        <f t="shared" si="1"/>
        <v>P-40</v>
      </c>
      <c r="D43" s="12" t="str">
        <f>IFERROR(__xludf.DUMMYFUNCTION("REGEXREPLACE(B43,""(.*):(.*)"", ""$1"")"),"P-40 Vibrato Prevalence")</f>
        <v>P-40 Vibrato Prevalence</v>
      </c>
      <c r="E43" s="12" t="str">
        <f t="shared" si="2"/>
        <v>Vibrato Prevalence</v>
      </c>
      <c r="F43" s="14" t="s">
        <v>134</v>
      </c>
      <c r="G43" s="14" t="str">
        <f>IFERROR(__xludf.DUMMYFUNCTION("REGEXREPLACE(B43,""(.*): (.*)"", ""$2"")"),"Number of pitched notes that have associated MIDI Pitch Bend messages change direction at least twice in connection with the note in question, divided by the total number of pitched Note Ons in the piece.")</f>
        <v>Number of pitched notes that have associated MIDI Pitch Bend messages change direction at least twice in connection with the note in question, divided by the total number of pitched Note Ons in the piece.</v>
      </c>
      <c r="H43" s="6">
        <f t="shared" si="5"/>
        <v>37</v>
      </c>
      <c r="I43" s="15" t="b">
        <v>1</v>
      </c>
      <c r="J43" s="6">
        <f t="shared" si="6"/>
        <v>23</v>
      </c>
      <c r="K43" s="15" t="b">
        <v>0</v>
      </c>
      <c r="M43" s="9"/>
      <c r="N43" s="16" t="str">
        <f t="shared" si="3"/>
        <v>'Vibrato_Prevalence',</v>
      </c>
      <c r="O43" s="16" t="str">
        <f t="shared" si="4"/>
        <v/>
      </c>
      <c r="P43" s="16" t="s">
        <v>135</v>
      </c>
      <c r="Q43" s="16"/>
      <c r="R43" s="9"/>
    </row>
    <row r="44" ht="15.75" customHeight="1">
      <c r="A44" s="9"/>
      <c r="B44" s="10" t="s">
        <v>136</v>
      </c>
      <c r="C44" s="11" t="str">
        <f t="shared" si="1"/>
        <v>P-41</v>
      </c>
      <c r="D44" s="12" t="str">
        <f>IFERROR(__xludf.DUMMYFUNCTION("REGEXREPLACE(B44,""(.*):(.*)"", ""$1"")"),"P-41 Microtone Prevalence")</f>
        <v>P-41 Microtone Prevalence</v>
      </c>
      <c r="E44" s="12" t="str">
        <f t="shared" si="2"/>
        <v>Microtone Prevalence</v>
      </c>
      <c r="F44" s="14" t="s">
        <v>137</v>
      </c>
      <c r="G44" s="14" t="str">
        <f>IFERROR(__xludf.DUMMYFUNCTION("REGEXREPLACE(B44,""(.*): (.*)"", ""$2"")"),"Number of pitched notes that are each associated with exactly one MIDI Pitch Bend message, divided by the total number of pitched Note Ons in the piece. Set to 0 if there are no pitched Note Ons in the piece.")</f>
        <v>Number of pitched notes that are each associated with exactly one MIDI Pitch Bend message, divided by the total number of pitched Note Ons in the piece. Set to 0 if there are no pitched Note Ons in the piece.</v>
      </c>
      <c r="H44" s="6">
        <f t="shared" si="5"/>
        <v>38</v>
      </c>
      <c r="I44" s="15" t="b">
        <v>1</v>
      </c>
      <c r="J44" s="6">
        <f t="shared" si="6"/>
        <v>23</v>
      </c>
      <c r="K44" s="15" t="b">
        <v>0</v>
      </c>
      <c r="M44" s="9"/>
      <c r="N44" s="16" t="str">
        <f t="shared" si="3"/>
        <v>'Microtone_Prevalence',</v>
      </c>
      <c r="O44" s="16" t="str">
        <f t="shared" si="4"/>
        <v/>
      </c>
      <c r="P44" s="16" t="s">
        <v>138</v>
      </c>
      <c r="Q44" s="16"/>
      <c r="R44" s="9"/>
    </row>
    <row r="45" ht="15.75" customHeight="1">
      <c r="A45" s="9"/>
      <c r="B45" s="10" t="s">
        <v>139</v>
      </c>
      <c r="C45" s="11" t="str">
        <f t="shared" si="1"/>
        <v>M-1</v>
      </c>
      <c r="D45" s="12" t="str">
        <f>IFERROR(__xludf.DUMMYFUNCTION("REGEXREPLACE(B45,""(.*):(.*)"", ""$1"")"),"M-1 Melodic Interval Histogram")</f>
        <v>M-1 Melodic Interval Histogram</v>
      </c>
      <c r="E45" s="12" t="str">
        <f t="shared" si="2"/>
        <v>Melodic Interval Histogram</v>
      </c>
      <c r="F45" s="14"/>
      <c r="G45" s="14" t="str">
        <f>IFERROR(__xludf.DUMMYFUNCTION("REGEXREPLACE(B45,""(.*): (.*)"", ""$2"")"),"A feature vector consisting of the bin magnitudes of the melodic interval histogram described above. Each bin corresponds to a melodic interval, and the bin index indicates the number of semitones comprising the interval associated with the bin (there are"&amp;" 128 bins in all). For example, bin 0 corresponds to repeated pitches, bin 1 to a melodic interval of one semitone, bin 2 to a melodic interval of 2 semitones, etc. The magnitude of each bin is proportional to the fraction of melodic intervals in the piec"&amp;"e that are of the kind associated with the bin (this histogram is normalized). Rising and falling intervals are treated as identical. Melodies are assumed to be contained within individual MIDI tracks and channels, so melodic intervals are found separatel"&amp;"y for each track and channel before being combined in this histogram. It is also assumed that there is only one melody at a time per MIDI channel (if multiple notes occur simultaneously on the same MIDI tick on the same MIDI track and channel, then all no"&amp;"tes but the first note on that tick are ignored). Other than this, all notes on the same track and the same channel are treated as if they are part of a single melody. It is also assumed that melodies do not cross MIDI tracks or channels (i.e. that they a"&amp;"re each separately contained in their own track and channel). Only pitched notes are considered, so all notes on the unpitched MIDI Channel 10 are ignored.")</f>
        <v>A feature vector consisting of the bin magnitudes of the melodic interval histogram described above. Each bin corresponds to a melodic interval, and the bin index indicates the number of semitones comprising the interval associated with the bin (there are 128 bins in all). For example, bin 0 corresponds to repeated pitches, bin 1 to a melodic interval of one semitone, bin 2 to a melodic interval of 2 semitones, etc. The magnitude of each bin is proportional to the fraction of melodic intervals in the piece that are of the kind associated with the bin (this histogram is normalized). Rising and falling intervals are treated as identical. Melodies are assumed to be contained within individual MIDI tracks and channels, so melodic intervals are found separately for each track and channel before being combined in this histogram. It is also assumed that there is only one melody at a time per MIDI channel (if multiple notes occur simultaneously on the same MIDI tick on the same MIDI track and channel, then all notes but the first note on that tick are ignored). Other than this, all notes on the same track and the same channel are treated as if they are part of a single melody. It is also assumed that melodies do not cross MIDI tracks or channels (i.e. that they are each separately contained in their own track and channel). Only pitched notes are considered, so all notes on the unpitched MIDI Channel 10 are ignored.</v>
      </c>
      <c r="H45" s="6">
        <f t="shared" si="5"/>
        <v>38</v>
      </c>
      <c r="I45" s="15" t="b">
        <v>0</v>
      </c>
      <c r="J45" s="6">
        <f t="shared" si="6"/>
        <v>23</v>
      </c>
      <c r="K45" s="15" t="b">
        <v>0</v>
      </c>
      <c r="L45" s="14"/>
      <c r="M45" s="9"/>
      <c r="N45" s="16" t="str">
        <f t="shared" si="3"/>
        <v/>
      </c>
      <c r="O45" s="16" t="str">
        <f t="shared" si="4"/>
        <v/>
      </c>
      <c r="P45" s="16" t="s">
        <v>140</v>
      </c>
      <c r="Q45" s="16"/>
      <c r="R45" s="9"/>
    </row>
    <row r="46" ht="15.75" customHeight="1">
      <c r="A46" s="9"/>
      <c r="B46" s="10" t="s">
        <v>141</v>
      </c>
      <c r="C46" s="11" t="str">
        <f t="shared" si="1"/>
        <v>M-2</v>
      </c>
      <c r="D46" s="12" t="str">
        <f>IFERROR(__xludf.DUMMYFUNCTION("REGEXREPLACE(B46,""(.*):(.*)"", ""$1"")"),"M-2 Most Common Melodic Interval")</f>
        <v>M-2 Most Common Melodic Interval</v>
      </c>
      <c r="E46" s="12" t="str">
        <f t="shared" si="2"/>
        <v>Most Common Melodic Interval</v>
      </c>
      <c r="F46" s="14" t="s">
        <v>142</v>
      </c>
      <c r="G46" s="14" t="str">
        <f>IFERROR(__xludf.DUMMYFUNCTION("REGEXREPLACE(B46,""(.*): (.*)"", ""$2"")"),"Number of semitones corresponding to the most frequently occurring melodic interval.")</f>
        <v>Number of semitones corresponding to the most frequently occurring melodic interval.</v>
      </c>
      <c r="H46" s="6">
        <f t="shared" si="5"/>
        <v>39</v>
      </c>
      <c r="I46" s="15" t="b">
        <v>1</v>
      </c>
      <c r="J46" s="6">
        <f t="shared" si="6"/>
        <v>24</v>
      </c>
      <c r="K46" s="15" t="b">
        <v>1</v>
      </c>
      <c r="L46" s="14"/>
      <c r="M46" s="9"/>
      <c r="N46" s="16" t="str">
        <f t="shared" si="3"/>
        <v>'Most_Common_Melodic_Interval',</v>
      </c>
      <c r="O46" s="16" t="str">
        <f t="shared" si="4"/>
        <v>'Most_Common_Melodic_Interval',</v>
      </c>
      <c r="P46" s="16" t="s">
        <v>143</v>
      </c>
      <c r="Q46" s="16"/>
      <c r="R46" s="9"/>
    </row>
    <row r="47" ht="15.75" customHeight="1">
      <c r="A47" s="9"/>
      <c r="B47" s="10" t="s">
        <v>144</v>
      </c>
      <c r="C47" s="11" t="str">
        <f t="shared" si="1"/>
        <v>M-3</v>
      </c>
      <c r="D47" s="12" t="str">
        <f>IFERROR(__xludf.DUMMYFUNCTION("REGEXREPLACE(B47,""(.*):(.*)"", ""$1"")"),"M-3 Mean Melodic Interval")</f>
        <v>M-3 Mean Melodic Interval</v>
      </c>
      <c r="E47" s="12" t="str">
        <f t="shared" si="2"/>
        <v>Mean Melodic Interval</v>
      </c>
      <c r="F47" s="14" t="s">
        <v>145</v>
      </c>
      <c r="G47" s="14" t="str">
        <f>IFERROR(__xludf.DUMMYFUNCTION("REGEXREPLACE(B47,""(.*): (.*)"", ""$2"")"),"Mean average (in semitones) of the intervals involved in each of the melodic intervals in the piece.")</f>
        <v>Mean average (in semitones) of the intervals involved in each of the melodic intervals in the piece.</v>
      </c>
      <c r="H47" s="6">
        <f t="shared" si="5"/>
        <v>40</v>
      </c>
      <c r="I47" s="15" t="b">
        <v>1</v>
      </c>
      <c r="J47" s="6">
        <f t="shared" si="6"/>
        <v>25</v>
      </c>
      <c r="K47" s="15" t="b">
        <v>1</v>
      </c>
      <c r="L47" s="14"/>
      <c r="M47" s="9"/>
      <c r="N47" s="16" t="str">
        <f t="shared" si="3"/>
        <v>'Mean_Melodic_Interval',</v>
      </c>
      <c r="O47" s="16" t="str">
        <f t="shared" si="4"/>
        <v>'Mean_Melodic_Interval',</v>
      </c>
      <c r="P47" s="16" t="s">
        <v>146</v>
      </c>
      <c r="Q47" s="16"/>
      <c r="R47" s="9"/>
    </row>
    <row r="48" ht="15.75" customHeight="1">
      <c r="A48" s="9"/>
      <c r="B48" s="10" t="s">
        <v>147</v>
      </c>
      <c r="C48" s="11" t="str">
        <f t="shared" si="1"/>
        <v>M-4</v>
      </c>
      <c r="D48" s="12" t="str">
        <f>IFERROR(__xludf.DUMMYFUNCTION("REGEXREPLACE(B48,""(.*):(.*)"", ""$1"")"),"M-4 Number of Common Melodic Intervals")</f>
        <v>M-4 Number of Common Melodic Intervals</v>
      </c>
      <c r="E48" s="12" t="str">
        <f t="shared" si="2"/>
        <v>Number of Common Melodic Intervals</v>
      </c>
      <c r="F48" s="14" t="s">
        <v>148</v>
      </c>
      <c r="G48" s="14" t="str">
        <f>IFERROR(__xludf.DUMMYFUNCTION("REGEXREPLACE(B48,""(.*): (.*)"", ""$2"")"),"Number of different melodic intervals that each account individually for at least 9% of all melodic intervals.")</f>
        <v>Number of different melodic intervals that each account individually for at least 9% of all melodic intervals.</v>
      </c>
      <c r="H48" s="6">
        <f t="shared" si="5"/>
        <v>41</v>
      </c>
      <c r="I48" s="15" t="b">
        <v>1</v>
      </c>
      <c r="J48" s="6">
        <f t="shared" si="6"/>
        <v>26</v>
      </c>
      <c r="K48" s="15" t="b">
        <v>1</v>
      </c>
      <c r="L48" s="14"/>
      <c r="M48" s="9"/>
      <c r="N48" s="16" t="str">
        <f t="shared" si="3"/>
        <v>'Number_of_Common_Melodic_Intervals',</v>
      </c>
      <c r="O48" s="16" t="str">
        <f t="shared" si="4"/>
        <v>'Number_of_Common_Melodic_Intervals',</v>
      </c>
      <c r="P48" s="16" t="s">
        <v>149</v>
      </c>
      <c r="Q48" s="16"/>
      <c r="R48" s="9"/>
    </row>
    <row r="49" ht="15.75" customHeight="1">
      <c r="A49" s="9"/>
      <c r="B49" s="10" t="s">
        <v>150</v>
      </c>
      <c r="C49" s="11" t="str">
        <f t="shared" si="1"/>
        <v>M-5</v>
      </c>
      <c r="D49" s="12" t="str">
        <f>IFERROR(__xludf.DUMMYFUNCTION("REGEXREPLACE(B49,""(.*):(.*)"", ""$1"")"),"M-5 Distance Between Most Prevalent Melodic Intervals")</f>
        <v>M-5 Distance Between Most Prevalent Melodic Intervals</v>
      </c>
      <c r="E49" s="12" t="str">
        <f t="shared" si="2"/>
        <v>Distance Between Most Prevalent Melodic Intervals</v>
      </c>
      <c r="F49" s="14" t="s">
        <v>151</v>
      </c>
      <c r="G49" s="14" t="str">
        <f>IFERROR(__xludf.DUMMYFUNCTION("REGEXREPLACE(B49,""(.*): (.*)"", ""$2"")"),"Absolute value of the difference (in semitones) between the most common and second most common melodic intervals in the piece.")</f>
        <v>Absolute value of the difference (in semitones) between the most common and second most common melodic intervals in the piece.</v>
      </c>
      <c r="H49" s="6">
        <f t="shared" si="5"/>
        <v>42</v>
      </c>
      <c r="I49" s="15" t="b">
        <v>1</v>
      </c>
      <c r="J49" s="6">
        <f t="shared" si="6"/>
        <v>27</v>
      </c>
      <c r="K49" s="15" t="b">
        <v>1</v>
      </c>
      <c r="L49" s="14"/>
      <c r="M49" s="9"/>
      <c r="N49" s="16" t="str">
        <f t="shared" si="3"/>
        <v>'Distance_Between_Most_Prevalent_Melodic_Intervals',</v>
      </c>
      <c r="O49" s="16" t="str">
        <f t="shared" si="4"/>
        <v>'Distance_Between_Most_Prevalent_Melodic_Intervals',</v>
      </c>
      <c r="P49" s="16" t="s">
        <v>152</v>
      </c>
      <c r="Q49" s="16"/>
      <c r="R49" s="9"/>
    </row>
    <row r="50" ht="15.75" customHeight="1">
      <c r="A50" s="9"/>
      <c r="B50" s="10" t="s">
        <v>153</v>
      </c>
      <c r="C50" s="11" t="str">
        <f t="shared" si="1"/>
        <v>M-6</v>
      </c>
      <c r="D50" s="12" t="str">
        <f>IFERROR(__xludf.DUMMYFUNCTION("REGEXREPLACE(B50,""(.*):(.*)"", ""$1"")"),"M-6 Prevalence of Most Common Melodic Interval")</f>
        <v>M-6 Prevalence of Most Common Melodic Interval</v>
      </c>
      <c r="E50" s="12" t="str">
        <f t="shared" si="2"/>
        <v>Prevalence of Most Common Melodic Interval</v>
      </c>
      <c r="F50" s="14" t="s">
        <v>154</v>
      </c>
      <c r="G50" s="14" t="str">
        <f>IFERROR(__xludf.DUMMYFUNCTION("REGEXREPLACE(B50,""(.*): (.*)"", ""$2"")"),"Fraction of all melodic intervals that corresponds to the most common melodic interval.")</f>
        <v>Fraction of all melodic intervals that corresponds to the most common melodic interval.</v>
      </c>
      <c r="H50" s="6">
        <f t="shared" si="5"/>
        <v>43</v>
      </c>
      <c r="I50" s="15" t="b">
        <v>1</v>
      </c>
      <c r="J50" s="6">
        <f t="shared" si="6"/>
        <v>28</v>
      </c>
      <c r="K50" s="15" t="b">
        <v>1</v>
      </c>
      <c r="L50" s="14"/>
      <c r="M50" s="9"/>
      <c r="N50" s="16" t="str">
        <f t="shared" si="3"/>
        <v>'Prevalence_of_Most_Common_Melodic_Interval',</v>
      </c>
      <c r="O50" s="16" t="str">
        <f t="shared" si="4"/>
        <v>'Prevalence_of_Most_Common_Melodic_Interval',</v>
      </c>
      <c r="P50" s="16" t="s">
        <v>155</v>
      </c>
      <c r="Q50" s="16"/>
      <c r="R50" s="9"/>
    </row>
    <row r="51" ht="15.75" customHeight="1">
      <c r="A51" s="9"/>
      <c r="B51" s="10" t="s">
        <v>156</v>
      </c>
      <c r="C51" s="11" t="str">
        <f t="shared" si="1"/>
        <v>M-7</v>
      </c>
      <c r="D51" s="12" t="str">
        <f>IFERROR(__xludf.DUMMYFUNCTION("REGEXREPLACE(B51,""(.*):(.*)"", ""$1"")"),"M-7 Relative Prevalence of Most Common Melodic Intervals")</f>
        <v>M-7 Relative Prevalence of Most Common Melodic Intervals</v>
      </c>
      <c r="E51" s="12" t="str">
        <f t="shared" si="2"/>
        <v>Relative Prevalence of Most Common Melodic Intervals</v>
      </c>
      <c r="F51" s="14" t="s">
        <v>157</v>
      </c>
      <c r="G51" s="14" t="str">
        <f>IFERROR(__xludf.DUMMYFUNCTION("REGEXREPLACE(B51,""(.*): (.*)"", ""$2"")"),"Relative frequency of the second most common melodic interval in the piece, divided by the relative frequency of the most common melodic interval.")</f>
        <v>Relative frequency of the second most common melodic interval in the piece, divided by the relative frequency of the most common melodic interval.</v>
      </c>
      <c r="H51" s="6">
        <f t="shared" si="5"/>
        <v>44</v>
      </c>
      <c r="I51" s="15" t="b">
        <v>1</v>
      </c>
      <c r="J51" s="6">
        <f t="shared" si="6"/>
        <v>29</v>
      </c>
      <c r="K51" s="15" t="b">
        <v>1</v>
      </c>
      <c r="L51" s="14"/>
      <c r="M51" s="9"/>
      <c r="N51" s="16" t="str">
        <f t="shared" si="3"/>
        <v>'Relative_Prevalence_of_Most_Common_Melodic_Intervals',</v>
      </c>
      <c r="O51" s="16" t="str">
        <f t="shared" si="4"/>
        <v>'Relative_Prevalence_of_Most_Common_Melodic_Intervals',</v>
      </c>
      <c r="P51" s="16" t="s">
        <v>158</v>
      </c>
      <c r="Q51" s="16"/>
      <c r="R51" s="9"/>
    </row>
    <row r="52" ht="15.75" customHeight="1">
      <c r="A52" s="9"/>
      <c r="B52" s="10" t="s">
        <v>159</v>
      </c>
      <c r="C52" s="11" t="str">
        <f t="shared" si="1"/>
        <v>M-8</v>
      </c>
      <c r="D52" s="12" t="str">
        <f>IFERROR(__xludf.DUMMYFUNCTION("REGEXREPLACE(B52,""(.*):(.*)"", ""$1"")"),"M-8 Amount of Arpeggiation")</f>
        <v>M-8 Amount of Arpeggiation</v>
      </c>
      <c r="E52" s="12" t="str">
        <f t="shared" si="2"/>
        <v>Amount of Arpeggiation</v>
      </c>
      <c r="F52" s="14" t="s">
        <v>160</v>
      </c>
      <c r="G52" s="14" t="str">
        <f>IFERROR(__xludf.DUMMYFUNCTION("REGEXREPLACE(B52,""(.*): (.*)"", ""$2"")"),"Fraction of melodic intervals that are repeated notes, minor thirds, major thirds, perfect fifths, minor sevenths, major sevenths, octaves, minor tenths or major tenths. This is only a very approximate measure of the amount of arpeggiation in the music, o"&amp;"f course.")</f>
        <v>Fraction of melodic intervals that are repeated notes, minor thirds, major thirds, perfect fifths, minor sevenths, major sevenths, octaves, minor tenths or major tenths. This is only a very approximate measure of the amount of arpeggiation in the music, of course.</v>
      </c>
      <c r="H52" s="6">
        <f t="shared" si="5"/>
        <v>45</v>
      </c>
      <c r="I52" s="15" t="b">
        <v>1</v>
      </c>
      <c r="J52" s="6">
        <f t="shared" si="6"/>
        <v>30</v>
      </c>
      <c r="K52" s="15" t="b">
        <v>1</v>
      </c>
      <c r="L52" s="14"/>
      <c r="M52" s="9"/>
      <c r="N52" s="16" t="str">
        <f t="shared" si="3"/>
        <v>'Amount_of_Arpeggiation',</v>
      </c>
      <c r="O52" s="16" t="str">
        <f t="shared" si="4"/>
        <v>'Amount_of_Arpeggiation',</v>
      </c>
      <c r="P52" s="16" t="s">
        <v>161</v>
      </c>
      <c r="Q52" s="16"/>
      <c r="R52" s="9"/>
    </row>
    <row r="53" ht="15.75" customHeight="1">
      <c r="A53" s="9"/>
      <c r="B53" s="10" t="s">
        <v>162</v>
      </c>
      <c r="C53" s="11" t="str">
        <f t="shared" si="1"/>
        <v>M-9</v>
      </c>
      <c r="D53" s="12" t="str">
        <f>IFERROR(__xludf.DUMMYFUNCTION("REGEXREPLACE(B53,""(.*):(.*)"", ""$1"")"),"M-9 Repeated Notes")</f>
        <v>M-9 Repeated Notes</v>
      </c>
      <c r="E53" s="12" t="str">
        <f t="shared" si="2"/>
        <v>Repeated Notes</v>
      </c>
      <c r="F53" s="14" t="s">
        <v>163</v>
      </c>
      <c r="G53" s="14" t="str">
        <f>IFERROR(__xludf.DUMMYFUNCTION("REGEXREPLACE(B53,""(.*): (.*)"", ""$2"")"),"Fraction of melodic intervals that correspond to repeated notes.")</f>
        <v>Fraction of melodic intervals that correspond to repeated notes.</v>
      </c>
      <c r="H53" s="6">
        <f t="shared" si="5"/>
        <v>46</v>
      </c>
      <c r="I53" s="15" t="b">
        <v>1</v>
      </c>
      <c r="J53" s="6">
        <f t="shared" si="6"/>
        <v>31</v>
      </c>
      <c r="K53" s="15" t="b">
        <v>1</v>
      </c>
      <c r="L53" s="14"/>
      <c r="M53" s="9"/>
      <c r="N53" s="16" t="str">
        <f t="shared" si="3"/>
        <v>'Repeated_Notes',</v>
      </c>
      <c r="O53" s="16" t="str">
        <f t="shared" si="4"/>
        <v>'Repeated_Notes',</v>
      </c>
      <c r="P53" s="16" t="s">
        <v>164</v>
      </c>
      <c r="Q53" s="16"/>
      <c r="R53" s="9"/>
    </row>
    <row r="54" ht="15.75" customHeight="1">
      <c r="A54" s="9"/>
      <c r="B54" s="10" t="s">
        <v>165</v>
      </c>
      <c r="C54" s="11" t="str">
        <f t="shared" si="1"/>
        <v>M-10</v>
      </c>
      <c r="D54" s="12" t="str">
        <f>IFERROR(__xludf.DUMMYFUNCTION("REGEXREPLACE(B54,""(.*):(.*)"", ""$1"")"),"M-10 Chromatic Motion")</f>
        <v>M-10 Chromatic Motion</v>
      </c>
      <c r="E54" s="12" t="str">
        <f t="shared" si="2"/>
        <v>Chromatic Motion</v>
      </c>
      <c r="F54" s="14" t="s">
        <v>166</v>
      </c>
      <c r="G54" s="14" t="str">
        <f>IFERROR(__xludf.DUMMYFUNCTION("REGEXREPLACE(B54,""(.*): (.*)"", ""$2"")"),"Fraction of melodic intervals that correspond to a semitone.")</f>
        <v>Fraction of melodic intervals that correspond to a semitone.</v>
      </c>
      <c r="H54" s="6">
        <f t="shared" si="5"/>
        <v>47</v>
      </c>
      <c r="I54" s="15" t="b">
        <v>1</v>
      </c>
      <c r="J54" s="6">
        <f t="shared" si="6"/>
        <v>32</v>
      </c>
      <c r="K54" s="15" t="b">
        <v>1</v>
      </c>
      <c r="L54" s="14"/>
      <c r="M54" s="9"/>
      <c r="N54" s="16" t="str">
        <f t="shared" si="3"/>
        <v>'Chromatic_Motion',</v>
      </c>
      <c r="O54" s="16" t="str">
        <f t="shared" si="4"/>
        <v>'Chromatic_Motion',</v>
      </c>
      <c r="P54" s="16" t="s">
        <v>167</v>
      </c>
      <c r="Q54" s="16"/>
      <c r="R54" s="9"/>
    </row>
    <row r="55" ht="15.75" customHeight="1">
      <c r="A55" s="9"/>
      <c r="B55" s="10" t="s">
        <v>168</v>
      </c>
      <c r="C55" s="11" t="str">
        <f t="shared" si="1"/>
        <v>M-11</v>
      </c>
      <c r="D55" s="12" t="str">
        <f>IFERROR(__xludf.DUMMYFUNCTION("REGEXREPLACE(B55,""(.*):(.*)"", ""$1"")"),"M-11 Stepwise Motion")</f>
        <v>M-11 Stepwise Motion</v>
      </c>
      <c r="E55" s="12" t="str">
        <f t="shared" si="2"/>
        <v>Stepwise Motion</v>
      </c>
      <c r="F55" s="14" t="s">
        <v>169</v>
      </c>
      <c r="G55" s="14" t="str">
        <f>IFERROR(__xludf.DUMMYFUNCTION("REGEXREPLACE(B55,""(.*): (.*)"", ""$2"")"),"Fraction of melodic intervals that correspond to a minor or major second.")</f>
        <v>Fraction of melodic intervals that correspond to a minor or major second.</v>
      </c>
      <c r="H55" s="6">
        <f t="shared" si="5"/>
        <v>48</v>
      </c>
      <c r="I55" s="15" t="b">
        <v>1</v>
      </c>
      <c r="J55" s="6">
        <f t="shared" si="6"/>
        <v>33</v>
      </c>
      <c r="K55" s="15" t="b">
        <v>1</v>
      </c>
      <c r="L55" s="14"/>
      <c r="M55" s="9"/>
      <c r="N55" s="16" t="str">
        <f t="shared" si="3"/>
        <v>'Stepwise_Motion',</v>
      </c>
      <c r="O55" s="16" t="str">
        <f t="shared" si="4"/>
        <v>'Stepwise_Motion',</v>
      </c>
      <c r="P55" s="16" t="s">
        <v>170</v>
      </c>
      <c r="Q55" s="16"/>
      <c r="R55" s="9"/>
    </row>
    <row r="56" ht="15.75" customHeight="1">
      <c r="A56" s="9"/>
      <c r="B56" s="10" t="s">
        <v>171</v>
      </c>
      <c r="C56" s="11" t="str">
        <f t="shared" si="1"/>
        <v>M-12</v>
      </c>
      <c r="D56" s="12" t="str">
        <f>IFERROR(__xludf.DUMMYFUNCTION("REGEXREPLACE(B56,""(.*):(.*)"", ""$1"")"),"M-12 Melodic Thirds")</f>
        <v>M-12 Melodic Thirds</v>
      </c>
      <c r="E56" s="12" t="str">
        <f t="shared" si="2"/>
        <v>Melodic Thirds</v>
      </c>
      <c r="F56" s="14" t="s">
        <v>172</v>
      </c>
      <c r="G56" s="14" t="str">
        <f>IFERROR(__xludf.DUMMYFUNCTION("REGEXREPLACE(B56,""(.*): (.*)"", ""$2"")"),"Fraction of melodic intervals that are major or minor thirds.")</f>
        <v>Fraction of melodic intervals that are major or minor thirds.</v>
      </c>
      <c r="H56" s="6">
        <f t="shared" si="5"/>
        <v>49</v>
      </c>
      <c r="I56" s="15" t="b">
        <v>1</v>
      </c>
      <c r="J56" s="6">
        <f t="shared" si="6"/>
        <v>34</v>
      </c>
      <c r="K56" s="15" t="b">
        <v>1</v>
      </c>
      <c r="L56" s="14"/>
      <c r="M56" s="9"/>
      <c r="N56" s="16" t="str">
        <f t="shared" si="3"/>
        <v>'Melodic_Thirds',</v>
      </c>
      <c r="O56" s="16" t="str">
        <f t="shared" si="4"/>
        <v>'Melodic_Thirds',</v>
      </c>
      <c r="P56" s="16" t="s">
        <v>173</v>
      </c>
      <c r="Q56" s="16"/>
      <c r="R56" s="9"/>
    </row>
    <row r="57" ht="15.75" customHeight="1">
      <c r="A57" s="9"/>
      <c r="B57" s="10" t="s">
        <v>174</v>
      </c>
      <c r="C57" s="11" t="str">
        <f t="shared" si="1"/>
        <v>M-13</v>
      </c>
      <c r="D57" s="12" t="str">
        <f>IFERROR(__xludf.DUMMYFUNCTION("REGEXREPLACE(B57,""(.*):(.*)"", ""$1"")"),"M-13 Melocid Perfect Fourths")</f>
        <v>M-13 Melocid Perfect Fourths</v>
      </c>
      <c r="E57" s="12" t="str">
        <f t="shared" si="2"/>
        <v>Melocid Perfect Fourths</v>
      </c>
      <c r="F57" s="14" t="s">
        <v>175</v>
      </c>
      <c r="G57" s="14" t="str">
        <f>IFERROR(__xludf.DUMMYFUNCTION("REGEXREPLACE(B57,""(.*): (.*)"", ""$2"")"),"Fraction of melodic intervals that are perfect fourths.")</f>
        <v>Fraction of melodic intervals that are perfect fourths.</v>
      </c>
      <c r="H57" s="6">
        <f t="shared" si="5"/>
        <v>50</v>
      </c>
      <c r="I57" s="15" t="b">
        <v>1</v>
      </c>
      <c r="J57" s="6">
        <f t="shared" si="6"/>
        <v>35</v>
      </c>
      <c r="K57" s="15" t="b">
        <v>1</v>
      </c>
      <c r="L57" s="14"/>
      <c r="M57" s="9"/>
      <c r="N57" s="16" t="str">
        <f t="shared" si="3"/>
        <v>'Melodic_Perfect_Fourths',</v>
      </c>
      <c r="O57" s="16" t="str">
        <f t="shared" si="4"/>
        <v>'Melodic_Perfect_Fourths',</v>
      </c>
      <c r="P57" s="16" t="s">
        <v>176</v>
      </c>
      <c r="Q57" s="16"/>
      <c r="R57" s="9"/>
    </row>
    <row r="58" ht="15.75" customHeight="1">
      <c r="A58" s="9"/>
      <c r="B58" s="10" t="s">
        <v>177</v>
      </c>
      <c r="C58" s="11" t="str">
        <f t="shared" si="1"/>
        <v>M-14</v>
      </c>
      <c r="D58" s="12" t="str">
        <f>IFERROR(__xludf.DUMMYFUNCTION("REGEXREPLACE(B58,""(.*):(.*)"", ""$1"")"),"M-14 Melodic Tritones")</f>
        <v>M-14 Melodic Tritones</v>
      </c>
      <c r="E58" s="12" t="str">
        <f t="shared" si="2"/>
        <v>Melodic Tritones</v>
      </c>
      <c r="F58" s="14" t="s">
        <v>178</v>
      </c>
      <c r="G58" s="14" t="str">
        <f>IFERROR(__xludf.DUMMYFUNCTION("REGEXREPLACE(B58,""(.*): (.*)"", ""$2"")"),"Fraction of melodic intervals that are tritones.")</f>
        <v>Fraction of melodic intervals that are tritones.</v>
      </c>
      <c r="H58" s="6">
        <f t="shared" si="5"/>
        <v>51</v>
      </c>
      <c r="I58" s="15" t="b">
        <v>1</v>
      </c>
      <c r="J58" s="6">
        <f t="shared" si="6"/>
        <v>36</v>
      </c>
      <c r="K58" s="15" t="b">
        <v>1</v>
      </c>
      <c r="L58" s="14"/>
      <c r="M58" s="9"/>
      <c r="N58" s="16" t="str">
        <f t="shared" si="3"/>
        <v>'Melodic_Tritones',</v>
      </c>
      <c r="O58" s="16" t="str">
        <f t="shared" si="4"/>
        <v>'Melodic_Tritones',</v>
      </c>
      <c r="P58" s="16" t="s">
        <v>179</v>
      </c>
      <c r="Q58" s="16"/>
      <c r="R58" s="9"/>
    </row>
    <row r="59" ht="15.75" customHeight="1">
      <c r="A59" s="9"/>
      <c r="B59" s="10" t="s">
        <v>180</v>
      </c>
      <c r="C59" s="11" t="str">
        <f t="shared" si="1"/>
        <v>M-15</v>
      </c>
      <c r="D59" s="12" t="str">
        <f>IFERROR(__xludf.DUMMYFUNCTION("REGEXREPLACE(B59,""(.*):(.*)"", ""$1"")"),"M-15 Melodic Fifths")</f>
        <v>M-15 Melodic Fifths</v>
      </c>
      <c r="E59" s="12" t="str">
        <f t="shared" si="2"/>
        <v>Melodic Fifths</v>
      </c>
      <c r="F59" s="14" t="s">
        <v>181</v>
      </c>
      <c r="G59" s="14" t="str">
        <f>IFERROR(__xludf.DUMMYFUNCTION("REGEXREPLACE(B59,""(.*): (.*)"", ""$2"")"),"Fraction of melodic intervals that are perfect fifths.")</f>
        <v>Fraction of melodic intervals that are perfect fifths.</v>
      </c>
      <c r="H59" s="6">
        <f t="shared" si="5"/>
        <v>52</v>
      </c>
      <c r="I59" s="15" t="b">
        <v>1</v>
      </c>
      <c r="J59" s="6">
        <f t="shared" si="6"/>
        <v>37</v>
      </c>
      <c r="K59" s="15" t="b">
        <v>1</v>
      </c>
      <c r="L59" s="14"/>
      <c r="M59" s="9"/>
      <c r="N59" s="16" t="str">
        <f t="shared" si="3"/>
        <v>'Melodic_Perfect_Fifths',</v>
      </c>
      <c r="O59" s="16" t="str">
        <f t="shared" si="4"/>
        <v>'Melodic_Perfect_Fifths',</v>
      </c>
      <c r="P59" s="16" t="s">
        <v>182</v>
      </c>
      <c r="Q59" s="16"/>
      <c r="R59" s="9"/>
    </row>
    <row r="60" ht="15.75" customHeight="1">
      <c r="A60" s="9"/>
      <c r="B60" s="10" t="s">
        <v>183</v>
      </c>
      <c r="C60" s="11" t="str">
        <f t="shared" si="1"/>
        <v>M-16</v>
      </c>
      <c r="D60" s="12" t="str">
        <f>IFERROR(__xludf.DUMMYFUNCTION("REGEXREPLACE(B60,""(.*):(.*)"", ""$1"")"),"M-16 Melodic Sixths")</f>
        <v>M-16 Melodic Sixths</v>
      </c>
      <c r="E60" s="12" t="str">
        <f t="shared" si="2"/>
        <v>Melodic Sixths</v>
      </c>
      <c r="F60" s="14" t="s">
        <v>184</v>
      </c>
      <c r="G60" s="14" t="str">
        <f>IFERROR(__xludf.DUMMYFUNCTION("REGEXREPLACE(B60,""(.*): (.*)"", ""$2"")"),"Fraction of melodic intervals that are major or minor sixths.")</f>
        <v>Fraction of melodic intervals that are major or minor sixths.</v>
      </c>
      <c r="H60" s="6">
        <f t="shared" si="5"/>
        <v>53</v>
      </c>
      <c r="I60" s="15" t="b">
        <v>1</v>
      </c>
      <c r="J60" s="6">
        <f t="shared" si="6"/>
        <v>38</v>
      </c>
      <c r="K60" s="15" t="b">
        <v>1</v>
      </c>
      <c r="L60" s="14"/>
      <c r="M60" s="9"/>
      <c r="N60" s="16" t="str">
        <f t="shared" si="3"/>
        <v>'Melodic_Sixths',</v>
      </c>
      <c r="O60" s="16" t="str">
        <f t="shared" si="4"/>
        <v>'Melodic_Sixths',</v>
      </c>
      <c r="P60" s="16" t="s">
        <v>185</v>
      </c>
      <c r="Q60" s="16"/>
      <c r="R60" s="9"/>
    </row>
    <row r="61" ht="15.75" customHeight="1">
      <c r="A61" s="9"/>
      <c r="B61" s="10" t="s">
        <v>186</v>
      </c>
      <c r="C61" s="11" t="str">
        <f t="shared" si="1"/>
        <v>M-17</v>
      </c>
      <c r="D61" s="12" t="str">
        <f>IFERROR(__xludf.DUMMYFUNCTION("REGEXREPLACE(B61,""(.*):(.*)"", ""$1"")"),"M-17 Melodic Sevenths")</f>
        <v>M-17 Melodic Sevenths</v>
      </c>
      <c r="E61" s="12" t="str">
        <f t="shared" si="2"/>
        <v>Melodic Sevenths</v>
      </c>
      <c r="F61" s="14" t="s">
        <v>187</v>
      </c>
      <c r="G61" s="14" t="str">
        <f>IFERROR(__xludf.DUMMYFUNCTION("REGEXREPLACE(B61,""(.*): (.*)"", ""$2"")"),"Fraction of melodic intervals that are major or minor sevenths.")</f>
        <v>Fraction of melodic intervals that are major or minor sevenths.</v>
      </c>
      <c r="H61" s="6">
        <f t="shared" si="5"/>
        <v>54</v>
      </c>
      <c r="I61" s="15" t="b">
        <v>1</v>
      </c>
      <c r="J61" s="6">
        <f t="shared" si="6"/>
        <v>39</v>
      </c>
      <c r="K61" s="15" t="b">
        <v>1</v>
      </c>
      <c r="L61" s="14"/>
      <c r="M61" s="9"/>
      <c r="N61" s="16" t="str">
        <f t="shared" si="3"/>
        <v>'Melodic_Sevenths',</v>
      </c>
      <c r="O61" s="16" t="str">
        <f t="shared" si="4"/>
        <v>'Melodic_Sevenths',</v>
      </c>
      <c r="P61" s="16" t="s">
        <v>188</v>
      </c>
      <c r="Q61" s="16"/>
      <c r="R61" s="9"/>
    </row>
    <row r="62" ht="15.75" customHeight="1">
      <c r="A62" s="9"/>
      <c r="B62" s="10" t="s">
        <v>189</v>
      </c>
      <c r="C62" s="11" t="str">
        <f t="shared" si="1"/>
        <v>M-18</v>
      </c>
      <c r="D62" s="12" t="str">
        <f>IFERROR(__xludf.DUMMYFUNCTION("REGEXREPLACE(B62,""(.*):(.*)"", ""$1"")"),"M-18 Melodic Octaves")</f>
        <v>M-18 Melodic Octaves</v>
      </c>
      <c r="E62" s="12" t="str">
        <f t="shared" si="2"/>
        <v>Melodic Octaves</v>
      </c>
      <c r="F62" s="14" t="s">
        <v>190</v>
      </c>
      <c r="G62" s="14" t="str">
        <f>IFERROR(__xludf.DUMMYFUNCTION("REGEXREPLACE(B62,""(.*): (.*)"", ""$2"")"),"Fraction of melodic intervals that are octaves.")</f>
        <v>Fraction of melodic intervals that are octaves.</v>
      </c>
      <c r="H62" s="6">
        <f t="shared" si="5"/>
        <v>55</v>
      </c>
      <c r="I62" s="15" t="b">
        <v>1</v>
      </c>
      <c r="J62" s="6">
        <f t="shared" si="6"/>
        <v>40</v>
      </c>
      <c r="K62" s="15" t="b">
        <v>1</v>
      </c>
      <c r="L62" s="14"/>
      <c r="M62" s="9"/>
      <c r="N62" s="16" t="str">
        <f t="shared" si="3"/>
        <v>'Melodic_Octaves',</v>
      </c>
      <c r="O62" s="16" t="str">
        <f t="shared" si="4"/>
        <v>'Melodic_Octaves',</v>
      </c>
      <c r="P62" s="16" t="s">
        <v>191</v>
      </c>
      <c r="Q62" s="16"/>
      <c r="R62" s="9"/>
    </row>
    <row r="63" ht="15.75" customHeight="1">
      <c r="A63" s="9"/>
      <c r="B63" s="10" t="s">
        <v>192</v>
      </c>
      <c r="C63" s="11" t="str">
        <f t="shared" si="1"/>
        <v>M-19</v>
      </c>
      <c r="D63" s="12" t="str">
        <f>IFERROR(__xludf.DUMMYFUNCTION("REGEXREPLACE(B63,""(.*):(.*)"", ""$1"")"),"M-19 Melodic Large Intervals")</f>
        <v>M-19 Melodic Large Intervals</v>
      </c>
      <c r="E63" s="12" t="str">
        <f t="shared" si="2"/>
        <v>Melodic Large Intervals</v>
      </c>
      <c r="F63" s="14" t="s">
        <v>193</v>
      </c>
      <c r="G63" s="14" t="str">
        <f>IFERROR(__xludf.DUMMYFUNCTION("REGEXREPLACE(B63,""(.*): (.*)"", ""$2"")"),"Fraction of melodic intervals greater than one octave.")</f>
        <v>Fraction of melodic intervals greater than one octave.</v>
      </c>
      <c r="H63" s="6">
        <f t="shared" si="5"/>
        <v>56</v>
      </c>
      <c r="I63" s="15" t="b">
        <v>1</v>
      </c>
      <c r="J63" s="6">
        <f t="shared" si="6"/>
        <v>41</v>
      </c>
      <c r="K63" s="15" t="b">
        <v>1</v>
      </c>
      <c r="L63" s="14"/>
      <c r="M63" s="9"/>
      <c r="N63" s="16" t="str">
        <f t="shared" si="3"/>
        <v>'Melodic_Large_Intervals',</v>
      </c>
      <c r="O63" s="16" t="str">
        <f t="shared" si="4"/>
        <v>'Melodic_Large_Intervals',</v>
      </c>
      <c r="P63" s="16" t="s">
        <v>194</v>
      </c>
      <c r="Q63" s="16"/>
      <c r="R63" s="9"/>
    </row>
    <row r="64" ht="15.75" customHeight="1">
      <c r="A64" s="9"/>
      <c r="B64" s="10" t="s">
        <v>195</v>
      </c>
      <c r="C64" s="11" t="str">
        <f t="shared" si="1"/>
        <v>M-20</v>
      </c>
      <c r="D64" s="12" t="str">
        <f>IFERROR(__xludf.DUMMYFUNCTION("REGEXREPLACE(B64,""(.*):(.*)"", ""$1"")"),"M-20 Minor Major Melodic Third Ratio")</f>
        <v>M-20 Minor Major Melodic Third Ratio</v>
      </c>
      <c r="E64" s="12" t="str">
        <f t="shared" si="2"/>
        <v>Minor Major Melodic Third Ratio</v>
      </c>
      <c r="F64" s="14" t="s">
        <v>196</v>
      </c>
      <c r="G64" s="14" t="str">
        <f>IFERROR(__xludf.DUMMYFUNCTION("REGEXREPLACE(B64,""(.*): (.*)"", ""$2"")"),"Combined fraction of all melodic intervals that are minor thirds, divided by the combined fraction of all melodic intervals that are major thirds. Set to 0 if there are no melodic minor thirds or melodic major thirds.")</f>
        <v>Combined fraction of all melodic intervals that are minor thirds, divided by the combined fraction of all melodic intervals that are major thirds. Set to 0 if there are no melodic minor thirds or melodic major thirds.</v>
      </c>
      <c r="H64" s="6">
        <f t="shared" si="5"/>
        <v>57</v>
      </c>
      <c r="I64" s="15" t="b">
        <v>1</v>
      </c>
      <c r="J64" s="6">
        <f t="shared" si="6"/>
        <v>42</v>
      </c>
      <c r="K64" s="15" t="b">
        <v>1</v>
      </c>
      <c r="L64" s="14"/>
      <c r="M64" s="9"/>
      <c r="N64" s="16" t="str">
        <f t="shared" si="3"/>
        <v>'Minor_Major_Melodic_Third_Ratio',</v>
      </c>
      <c r="O64" s="16" t="str">
        <f t="shared" si="4"/>
        <v>'Minor_Major_Melodic_Third_Ratio',</v>
      </c>
      <c r="P64" s="16" t="s">
        <v>197</v>
      </c>
      <c r="Q64" s="16"/>
      <c r="R64" s="9"/>
    </row>
    <row r="65" ht="15.75" customHeight="1">
      <c r="A65" s="9"/>
      <c r="B65" s="10" t="s">
        <v>198</v>
      </c>
      <c r="C65" s="11" t="str">
        <f t="shared" si="1"/>
        <v>M-21</v>
      </c>
      <c r="D65" s="12" t="str">
        <f>IFERROR(__xludf.DUMMYFUNCTION("REGEXREPLACE(B65,""(.*):(.*)"", ""$1"")"),"M-21 Melodic Embellishments")</f>
        <v>M-21 Melodic Embellishments</v>
      </c>
      <c r="E65" s="12" t="str">
        <f t="shared" si="2"/>
        <v>Melodic Embellishments</v>
      </c>
      <c r="F65" s="14" t="s">
        <v>199</v>
      </c>
      <c r="G65" s="14" t="str">
        <f>IFERROR(__xludf.DUMMYFUNCTION("REGEXREPLACE(B65,""(.*): (.*)"", ""$2"")"),"Fraction of all notes that are surrounded on both sides by MIDI Note Ons on the same MIDI channel that have durations at least three times as long as the central note. Set to 0 if there are no notes in the piece.")</f>
        <v>Fraction of all notes that are surrounded on both sides by MIDI Note Ons on the same MIDI channel that have durations at least three times as long as the central note. Set to 0 if there are no notes in the piece.</v>
      </c>
      <c r="H65" s="6">
        <f t="shared" si="5"/>
        <v>58</v>
      </c>
      <c r="I65" s="15" t="b">
        <v>1</v>
      </c>
      <c r="J65" s="6">
        <f t="shared" si="6"/>
        <v>43</v>
      </c>
      <c r="K65" s="15" t="b">
        <v>1</v>
      </c>
      <c r="L65" s="14"/>
      <c r="M65" s="9"/>
      <c r="N65" s="16" t="str">
        <f t="shared" si="3"/>
        <v>'Melodic_Embellishments',</v>
      </c>
      <c r="O65" s="16" t="str">
        <f t="shared" si="4"/>
        <v>'Melodic_Embellishments',</v>
      </c>
      <c r="P65" s="16" t="s">
        <v>200</v>
      </c>
      <c r="Q65" s="16"/>
      <c r="R65" s="9"/>
    </row>
    <row r="66" ht="15.75" customHeight="1">
      <c r="A66" s="9"/>
      <c r="B66" s="10" t="s">
        <v>201</v>
      </c>
      <c r="C66" s="11" t="str">
        <f t="shared" si="1"/>
        <v>M-22</v>
      </c>
      <c r="D66" s="12" t="str">
        <f>IFERROR(__xludf.DUMMYFUNCTION("REGEXREPLACE(B66,""(.*):(.*)"", ""$1"")"),"M-22 Direction of Melodic Motion")</f>
        <v>M-22 Direction of Melodic Motion</v>
      </c>
      <c r="E66" s="12" t="str">
        <f t="shared" si="2"/>
        <v>Direction of Melodic Motion</v>
      </c>
      <c r="F66" s="14" t="s">
        <v>202</v>
      </c>
      <c r="G66" s="14" t="str">
        <f>IFERROR(__xludf.DUMMYFUNCTION("REGEXREPLACE(B66,""(.*): (.*)"", ""$2"")"),"Fraction of melodic intervals that are rising in pitch. Set to zero if no rising or falling melodic intervals are found.")</f>
        <v>Fraction of melodic intervals that are rising in pitch. Set to zero if no rising or falling melodic intervals are found.</v>
      </c>
      <c r="H66" s="6">
        <f t="shared" si="5"/>
        <v>59</v>
      </c>
      <c r="I66" s="15" t="b">
        <v>1</v>
      </c>
      <c r="J66" s="6">
        <f t="shared" si="6"/>
        <v>44</v>
      </c>
      <c r="K66" s="15" t="b">
        <v>1</v>
      </c>
      <c r="L66" s="14"/>
      <c r="M66" s="9"/>
      <c r="N66" s="16" t="str">
        <f t="shared" si="3"/>
        <v>'Direction_of_Melodic_Motion',</v>
      </c>
      <c r="O66" s="16" t="str">
        <f t="shared" si="4"/>
        <v>'Direction_of_Melodic_Motion',</v>
      </c>
      <c r="P66" s="16" t="s">
        <v>203</v>
      </c>
      <c r="Q66" s="16"/>
      <c r="R66" s="9"/>
    </row>
    <row r="67" ht="15.75" customHeight="1">
      <c r="A67" s="9"/>
      <c r="B67" s="10" t="s">
        <v>204</v>
      </c>
      <c r="C67" s="11" t="str">
        <f t="shared" si="1"/>
        <v>M-23</v>
      </c>
      <c r="D67" s="12" t="str">
        <f>IFERROR(__xludf.DUMMYFUNCTION("REGEXREPLACE(B67,""(.*):(.*)"", ""$1"")"),"M-23 Average Length of Melodic Arcs")</f>
        <v>M-23 Average Length of Melodic Arcs</v>
      </c>
      <c r="E67" s="12" t="str">
        <f t="shared" si="2"/>
        <v>Average Length of Melodic Arcs</v>
      </c>
      <c r="F67" s="14" t="s">
        <v>205</v>
      </c>
      <c r="G67" s="14" t="str">
        <f>IFERROR(__xludf.DUMMYFUNCTION("REGEXREPLACE(B67,""(.*): (.*)"", ""$2"")"),"Average number of notes that separate melodic peaks and troughs. Similar assumptions are made in the calculation of this feature as for the Melodic Interval Histogram. Set to 0 if no melodic arcs are found.")</f>
        <v>Average number of notes that separate melodic peaks and troughs. Similar assumptions are made in the calculation of this feature as for the Melodic Interval Histogram. Set to 0 if no melodic arcs are found.</v>
      </c>
      <c r="H67" s="6">
        <f t="shared" si="5"/>
        <v>60</v>
      </c>
      <c r="I67" s="15" t="b">
        <v>1</v>
      </c>
      <c r="J67" s="6">
        <f t="shared" si="6"/>
        <v>45</v>
      </c>
      <c r="K67" s="15" t="b">
        <v>1</v>
      </c>
      <c r="L67" s="14"/>
      <c r="M67" s="9"/>
      <c r="N67" s="16" t="str">
        <f t="shared" si="3"/>
        <v>'Average_Length_of_Melodic_Arcs',</v>
      </c>
      <c r="O67" s="16" t="str">
        <f t="shared" si="4"/>
        <v>'Average_Length_of_Melodic_Arcs',</v>
      </c>
      <c r="P67" s="16" t="s">
        <v>206</v>
      </c>
      <c r="Q67" s="16"/>
      <c r="R67" s="9"/>
    </row>
    <row r="68" ht="15.75" customHeight="1">
      <c r="A68" s="9"/>
      <c r="B68" s="10" t="s">
        <v>207</v>
      </c>
      <c r="C68" s="11" t="str">
        <f t="shared" si="1"/>
        <v>M-24</v>
      </c>
      <c r="D68" s="12" t="str">
        <f>IFERROR(__xludf.DUMMYFUNCTION("REGEXREPLACE(B68,""(.*):(.*)"", ""$1"")"),"M-24 Average Interval Spanned by Melodic Arcs")</f>
        <v>M-24 Average Interval Spanned by Melodic Arcs</v>
      </c>
      <c r="E68" s="12" t="str">
        <f t="shared" si="2"/>
        <v>Average Interval Spanned by Melodic Arcs</v>
      </c>
      <c r="F68" s="14" t="s">
        <v>208</v>
      </c>
      <c r="G68" s="14" t="str">
        <f>IFERROR(__xludf.DUMMYFUNCTION("REGEXREPLACE(B68,""(.*): (.*)"", ""$2"")"),"Average melodic interval (in semitones) separating the top note of melodic peaks and the bottom note of adjacent melodic troughs. Similar assumptions are made in the calculation of this feature as for the Melodic Interval Histogram.")</f>
        <v>Average melodic interval (in semitones) separating the top note of melodic peaks and the bottom note of adjacent melodic troughs. Similar assumptions are made in the calculation of this feature as for the Melodic Interval Histogram.</v>
      </c>
      <c r="H68" s="6">
        <f t="shared" si="5"/>
        <v>61</v>
      </c>
      <c r="I68" s="15" t="b">
        <v>1</v>
      </c>
      <c r="J68" s="6">
        <f t="shared" si="6"/>
        <v>46</v>
      </c>
      <c r="K68" s="15" t="b">
        <v>1</v>
      </c>
      <c r="L68" s="14"/>
      <c r="M68" s="9"/>
      <c r="N68" s="16" t="str">
        <f t="shared" si="3"/>
        <v>'Average_Interval_Spanned_by_Melodic_Arcs',</v>
      </c>
      <c r="O68" s="16" t="str">
        <f t="shared" si="4"/>
        <v>'Average_Interval_Spanned_by_Melodic_Arcs',</v>
      </c>
      <c r="P68" s="16" t="s">
        <v>209</v>
      </c>
      <c r="Q68" s="16"/>
      <c r="R68" s="9"/>
    </row>
    <row r="69" ht="15.75" customHeight="1">
      <c r="A69" s="9"/>
      <c r="B69" s="10" t="s">
        <v>210</v>
      </c>
      <c r="C69" s="11" t="str">
        <f t="shared" si="1"/>
        <v>M-25</v>
      </c>
      <c r="D69" s="12" t="str">
        <f>IFERROR(__xludf.DUMMYFUNCTION("REGEXREPLACE(B69,""(.*):(.*)"", ""$1"")"),"M-25 Melodic Pitch Variety")</f>
        <v>M-25 Melodic Pitch Variety</v>
      </c>
      <c r="E69" s="12" t="str">
        <f t="shared" si="2"/>
        <v>Melodic Pitch Variety</v>
      </c>
      <c r="F69" s="14" t="s">
        <v>211</v>
      </c>
      <c r="G69" s="14" t="str">
        <f>IFERROR(__xludf.DUMMYFUNCTION("REGEXREPLACE(B69,""(.*): (.*)"", ""$2"")"),"Average number of notes that go by in a MIDI channel before a note's pitch is repeated (including the repeated note itself). This is calculated across each channel individually before being combined. Notes that occur simultaneously on the same MIDI tick a"&amp;"re only counted as one note for the purpose of this calculation. Notes that do not recur after 16 notes in the same channel are not included in this calculation. Set to 0 if there are no qualifying repeated notes in the piece.")</f>
        <v>Average number of notes that go by in a MIDI channel before a note's pitch is repeated (including the repeated note itself). This is calculated across each channel individually before being combined. Notes that occur simultaneously on the same MIDI tick are only counted as one note for the purpose of this calculation. Notes that do not recur after 16 notes in the same channel are not included in this calculation. Set to 0 if there are no qualifying repeated notes in the piece.</v>
      </c>
      <c r="H69" s="6">
        <f t="shared" si="5"/>
        <v>62</v>
      </c>
      <c r="I69" s="15" t="b">
        <v>1</v>
      </c>
      <c r="J69" s="6">
        <f t="shared" si="6"/>
        <v>47</v>
      </c>
      <c r="K69" s="15" t="b">
        <v>1</v>
      </c>
      <c r="L69" s="14"/>
      <c r="M69" s="9"/>
      <c r="N69" s="16" t="str">
        <f t="shared" si="3"/>
        <v>'Melodic_Pitch_Variety',</v>
      </c>
      <c r="O69" s="16" t="str">
        <f t="shared" si="4"/>
        <v>'Melodic_Pitch_Variety',</v>
      </c>
      <c r="P69" s="16" t="s">
        <v>212</v>
      </c>
      <c r="Q69" s="16"/>
      <c r="R69" s="9"/>
    </row>
    <row r="70" ht="15.75" customHeight="1">
      <c r="A70" s="9"/>
      <c r="B70" s="10" t="s">
        <v>213</v>
      </c>
      <c r="C70" s="11" t="str">
        <f t="shared" si="1"/>
        <v>C-1</v>
      </c>
      <c r="D70" s="12" t="str">
        <f>IFERROR(__xludf.DUMMYFUNCTION("REGEXREPLACE(B70,""(.*):(.*)"", ""$1"")"),"C-1 Vertical Interval Histogram")</f>
        <v>C-1 Vertical Interval Histogram</v>
      </c>
      <c r="E70" s="12" t="str">
        <f t="shared" si="2"/>
        <v>Vertical Interval Histogram</v>
      </c>
      <c r="F70" s="14"/>
      <c r="G70" s="14" t="str">
        <f>IFERROR(__xludf.DUMMYFUNCTION("REGEXREPLACE(B70,""(.*): (.*)"", ""$2"")"),"A feature vector consisting of bin magnitudes of the vertical interval histogram described above. Each of the bins is associated with a different vertical pitch interval, and is labeled with the number of semitones in that corresponding interval. More spe"&amp;"cifically, these are numbered from 0 (a unison) to 127 (a vertical interval of 127 semitones). The magnitude of each bin is found by going through a recoding MIDI tick by MIDI tick and noting all vertical intervals that are sounding at each tick, as well "&amp;"as the MIDI velocities of the pair of notes involved in each vertical interval. The end result is a histogram that indicates which vertical intervals are present, and how significant these vertical intervals are relative to one another, with a weighting b"&amp;"ased on both MIDI velocity and the aggragated durations with which each interval is held throughout the piece. Finally, the histogram is normalized.")</f>
        <v>A feature vector consisting of bin magnitudes of the vertical interval histogram described above. Each of the bins is associated with a different vertical pitch interval, and is labeled with the number of semitones in that corresponding interval. More specifically, these are numbered from 0 (a unison) to 127 (a vertical interval of 127 semitones). The magnitude of each bin is found by going through a recoding MIDI tick by MIDI tick and noting all vertical intervals that are sounding at each tick, as well as the MIDI velocities of the pair of notes involved in each vertical interval. The end result is a histogram that indicates which vertical intervals are present, and how significant these vertical intervals are relative to one another, with a weighting based on both MIDI velocity and the aggragated durations with which each interval is held throughout the piece. Finally, the histogram is normalized.</v>
      </c>
      <c r="H70" s="6">
        <f t="shared" si="5"/>
        <v>62</v>
      </c>
      <c r="I70" s="15" t="b">
        <v>0</v>
      </c>
      <c r="J70" s="6">
        <f t="shared" si="6"/>
        <v>47</v>
      </c>
      <c r="K70" s="15" t="b">
        <v>0</v>
      </c>
      <c r="L70" s="14"/>
      <c r="M70" s="9"/>
      <c r="N70" s="16" t="str">
        <f t="shared" si="3"/>
        <v/>
      </c>
      <c r="O70" s="16" t="str">
        <f t="shared" si="4"/>
        <v/>
      </c>
      <c r="P70" s="16" t="s">
        <v>214</v>
      </c>
      <c r="Q70" s="16"/>
      <c r="R70" s="9"/>
    </row>
    <row r="71" ht="15.75" customHeight="1">
      <c r="A71" s="9"/>
      <c r="B71" s="10" t="s">
        <v>215</v>
      </c>
      <c r="C71" s="11" t="str">
        <f t="shared" si="1"/>
        <v>C-2</v>
      </c>
      <c r="D71" s="12" t="str">
        <f>IFERROR(__xludf.DUMMYFUNCTION("REGEXREPLACE(B71,""(.*):(.*)"", ""$1"")"),"C-2 Wrapped Vertical Interval Histogram")</f>
        <v>C-2 Wrapped Vertical Interval Histogram</v>
      </c>
      <c r="E71" s="12" t="str">
        <f t="shared" si="2"/>
        <v>Wrapped Vertical Interval Histogram</v>
      </c>
      <c r="F71" s="14"/>
      <c r="G71" s="14" t="str">
        <f>IFERROR(__xludf.DUMMYFUNCTION("REGEXREPLACE(B71,""(.*): (.*)"", ""$2"")"),"A feature vector consisting of bin magnitudes of the wrapped vertical interval histogram described above. Each of the bins is associated with a different vertical pitch interval, and is labeled with the number of semitones in that corresponding interval. "&amp;"More specifically, these are numbered from 0 (a unison) to 11 (a vertical interval of 11 semitones). The magnitude of each bin is found by going through a recoding MIDI tick by MIDI tick and noting all vertical intervals that are sounding at each tick, as"&amp;" well as the MIDI velocities of the pair of notes involved in each vertical interval. Intervals larger than 11 semitones are wrapped (e.g. an octave (12 semitones) is added to the bin for unisons (0 semitones)). The end result is a histogram that indicate"&amp;"s which vertical intervals are present, and how significant these vertical intervals are relative to one another, with a weighting based on both MIDI velocity and the aggregated durations with which each interval is held throughout the piece. Finally, the"&amp;" histogram is normalized.")</f>
        <v>A feature vector consisting of bin magnitudes of the wrapped vertical interval histogram described above. Each of the bins is associated with a different vertical pitch interval, and is labeled with the number of semitones in that corresponding interval. More specifically, these are numbered from 0 (a unison) to 11 (a vertical interval of 11 semitones). The magnitude of each bin is found by going through a recoding MIDI tick by MIDI tick and noting all vertical intervals that are sounding at each tick, as well as the MIDI velocities of the pair of notes involved in each vertical interval. Intervals larger than 11 semitones are wrapped (e.g. an octave (12 semitones) is added to the bin for unisons (0 semitones)). The end result is a histogram that indicates which vertical intervals are present, and how significant these vertical intervals are relative to one another, with a weighting based on both MIDI velocity and the aggregated durations with which each interval is held throughout the piece. Finally, the histogram is normalized.</v>
      </c>
      <c r="H71" s="6">
        <f t="shared" si="5"/>
        <v>62</v>
      </c>
      <c r="I71" s="15" t="b">
        <v>0</v>
      </c>
      <c r="J71" s="6">
        <f t="shared" si="6"/>
        <v>47</v>
      </c>
      <c r="K71" s="15" t="b">
        <v>0</v>
      </c>
      <c r="L71" s="14"/>
      <c r="M71" s="9"/>
      <c r="N71" s="16" t="str">
        <f t="shared" si="3"/>
        <v/>
      </c>
      <c r="O71" s="16" t="str">
        <f t="shared" si="4"/>
        <v/>
      </c>
      <c r="P71" s="16" t="s">
        <v>216</v>
      </c>
      <c r="Q71" s="16"/>
      <c r="R71" s="9"/>
    </row>
    <row r="72" ht="15.75" customHeight="1">
      <c r="A72" s="9"/>
      <c r="B72" s="10" t="s">
        <v>217</v>
      </c>
      <c r="C72" s="11" t="str">
        <f t="shared" si="1"/>
        <v>C-3</v>
      </c>
      <c r="D72" s="12" t="str">
        <f>IFERROR(__xludf.DUMMYFUNCTION("REGEXREPLACE(B72,""(.*):(.*)"", ""$1"")"),"C-3 Chord Type Histogram: A feature vector consisting of bin magnitudes of the chord type histogram described above. This is a normalized histogram that has bins labeled with types of chords (in the following order and with the indicated identifying codes"&amp;")")</f>
        <v>C-3 Chord Type Histogram: A feature vector consisting of bin magnitudes of the chord type histogram described above. This is a normalized histogram that has bins labeled with types of chords (in the following order and with the indicated identifying codes)</v>
      </c>
      <c r="E72" s="12" t="str">
        <f t="shared" si="2"/>
        <v>Chord Type Histogram: A feature vector consisting of bin magnitudes of the chord type histogram described above. This is a normalized histogram that has bins labeled with types of chords (in the following order and with the indicated identifying codes)</v>
      </c>
      <c r="F72" s="14"/>
      <c r="G72" s="14" t="str">
        <f>IFERROR(__xludf.DUMMYFUNCTION("REGEXREPLACE(B72,""(.*): (.*)"", ""$2"")"),"partial chords consisting of just two pitch classes [0], minor triads [1], major triads [2], diminished triads [3], augmented triads [4], other triads [5], minor seventh chords [6], dominant seventh chords [7], major seventh chords [8], other chords consi"&amp;"sting of four pitch classes [9], and complex chords with more than four pitch classes [10]. The bin magnitudes are calculated by going through MIDI ticks one by one and incrementing the counter for the bin that corresponds to the chord, if any, that is pr"&amp;"esent during each given tick; the result is that the chords in this histogram are weighted by the duration with which each chord is played. All inversions are treated as equivalent and octave doubling is ignored in the calculation of this histogram. Melod"&amp;"ic behaviour is not considered, so arpeggios are not counted in this histogram.")</f>
        <v>partial chords consisting of just two pitch classes [0], minor triads [1], major triads [2], diminished triads [3], augmented triads [4], other triads [5], minor seventh chords [6], dominant seventh chords [7], major seventh chords [8], other chords consisting of four pitch classes [9], and complex chords with more than four pitch classes [10]. The bin magnitudes are calculated by going through MIDI ticks one by one and incrementing the counter for the bin that corresponds to the chord, if any, that is present during each given tick; the result is that the chords in this histogram are weighted by the duration with which each chord is played. All inversions are treated as equivalent and octave doubling is ignored in the calculation of this histogram. Melodic behaviour is not considered, so arpeggios are not counted in this histogram.</v>
      </c>
      <c r="H72" s="6">
        <f t="shared" si="5"/>
        <v>62</v>
      </c>
      <c r="I72" s="15" t="b">
        <v>0</v>
      </c>
      <c r="J72" s="6">
        <f t="shared" si="6"/>
        <v>47</v>
      </c>
      <c r="K72" s="15" t="b">
        <v>0</v>
      </c>
      <c r="L72" s="14"/>
      <c r="M72" s="9"/>
      <c r="N72" s="16" t="str">
        <f t="shared" si="3"/>
        <v/>
      </c>
      <c r="O72" s="16" t="str">
        <f t="shared" si="4"/>
        <v/>
      </c>
      <c r="P72" s="16" t="s">
        <v>218</v>
      </c>
      <c r="Q72" s="16"/>
      <c r="R72" s="9"/>
    </row>
    <row r="73" ht="15.75" customHeight="1">
      <c r="A73" s="9"/>
      <c r="B73" s="10" t="s">
        <v>219</v>
      </c>
      <c r="C73" s="11" t="str">
        <f t="shared" si="1"/>
        <v>C-4</v>
      </c>
      <c r="D73" s="12" t="str">
        <f>IFERROR(__xludf.DUMMYFUNCTION("REGEXREPLACE(B73,""(.*):(.*)"", ""$1"")"),"C-4 Average Number of Simultaneous Pitch Classes")</f>
        <v>C-4 Average Number of Simultaneous Pitch Classes</v>
      </c>
      <c r="E73" s="12" t="str">
        <f t="shared" si="2"/>
        <v>Average Number of Simultaneous Pitch Classes</v>
      </c>
      <c r="F73" s="14" t="s">
        <v>220</v>
      </c>
      <c r="G73" s="14" t="str">
        <f>IFERROR(__xludf.DUMMYFUNCTION("REGEXREPLACE(B73,""(.*): (.*)"", ""$2"")"),"Average number of different pitch classes sounding simultaneously. Rests are excluded from this calculation.")</f>
        <v>Average number of different pitch classes sounding simultaneously. Rests are excluded from this calculation.</v>
      </c>
      <c r="H73" s="6">
        <f t="shared" si="5"/>
        <v>63</v>
      </c>
      <c r="I73" s="15" t="b">
        <v>1</v>
      </c>
      <c r="J73" s="6">
        <f t="shared" si="6"/>
        <v>48</v>
      </c>
      <c r="K73" s="15" t="b">
        <v>1</v>
      </c>
      <c r="L73" s="14"/>
      <c r="M73" s="9"/>
      <c r="N73" s="16" t="str">
        <f t="shared" si="3"/>
        <v>'Average_Number_of_Simultaneous_Pitch_Classes',</v>
      </c>
      <c r="O73" s="16" t="str">
        <f t="shared" si="4"/>
        <v>'Average_Number_of_Simultaneous_Pitch_Classes',</v>
      </c>
      <c r="P73" s="16" t="s">
        <v>221</v>
      </c>
      <c r="Q73" s="16"/>
      <c r="R73" s="9"/>
    </row>
    <row r="74" ht="15.75" customHeight="1">
      <c r="A74" s="9"/>
      <c r="B74" s="10" t="s">
        <v>222</v>
      </c>
      <c r="C74" s="11" t="str">
        <f t="shared" si="1"/>
        <v>C-5</v>
      </c>
      <c r="D74" s="12" t="str">
        <f>IFERROR(__xludf.DUMMYFUNCTION("REGEXREPLACE(B74,""(.*):(.*)"", ""$1"")"),"C-5 Variability of Number of Simultaneous Pitch Classes")</f>
        <v>C-5 Variability of Number of Simultaneous Pitch Classes</v>
      </c>
      <c r="E74" s="12" t="str">
        <f t="shared" si="2"/>
        <v>Variability of Number of Simultaneous Pitch Classes</v>
      </c>
      <c r="F74" s="14" t="s">
        <v>223</v>
      </c>
      <c r="G74" s="14" t="str">
        <f>IFERROR(__xludf.DUMMYFUNCTION("REGEXREPLACE(B74,""(.*): (.*)"", ""$2"")"),"Standard deviation of the number of different pitch classes sounding simultaneously. Rests are excluded from this calculation.")</f>
        <v>Standard deviation of the number of different pitch classes sounding simultaneously. Rests are excluded from this calculation.</v>
      </c>
      <c r="H74" s="6">
        <f t="shared" si="5"/>
        <v>64</v>
      </c>
      <c r="I74" s="15" t="b">
        <v>1</v>
      </c>
      <c r="J74" s="6">
        <f t="shared" si="6"/>
        <v>49</v>
      </c>
      <c r="K74" s="15" t="b">
        <v>1</v>
      </c>
      <c r="L74" s="14"/>
      <c r="M74" s="9"/>
      <c r="N74" s="16" t="str">
        <f t="shared" si="3"/>
        <v>'Variability_of_Number_of_Simultaneous_Pitch_Classes',</v>
      </c>
      <c r="O74" s="16" t="str">
        <f t="shared" si="4"/>
        <v>'Variability_of_Number_of_Simultaneous_Pitch_Classes',</v>
      </c>
      <c r="P74" s="16" t="s">
        <v>224</v>
      </c>
      <c r="Q74" s="16"/>
      <c r="R74" s="9"/>
    </row>
    <row r="75" ht="15.75" customHeight="1">
      <c r="A75" s="9"/>
      <c r="B75" s="10" t="s">
        <v>225</v>
      </c>
      <c r="C75" s="11" t="str">
        <f t="shared" si="1"/>
        <v>C-6</v>
      </c>
      <c r="D75" s="12" t="str">
        <f>IFERROR(__xludf.DUMMYFUNCTION("REGEXREPLACE(B75,""(.*):(.*)"", ""$1"")"),"C-6 Average Number of Simultaneous Pitches")</f>
        <v>C-6 Average Number of Simultaneous Pitches</v>
      </c>
      <c r="E75" s="12" t="str">
        <f t="shared" si="2"/>
        <v>Average Number of Simultaneous Pitches</v>
      </c>
      <c r="F75" s="14" t="s">
        <v>226</v>
      </c>
      <c r="G75" s="14" t="str">
        <f>IFERROR(__xludf.DUMMYFUNCTION("REGEXREPLACE(B75,""(.*): (.*)"", ""$2"")"),"Average number of pitches sounding simultaneously. Rests are excluded from this calculation. Unisons are also excluded from this calculation, but octave multiples are included in it.")</f>
        <v>Average number of pitches sounding simultaneously. Rests are excluded from this calculation. Unisons are also excluded from this calculation, but octave multiples are included in it.</v>
      </c>
      <c r="H75" s="6">
        <f t="shared" si="5"/>
        <v>65</v>
      </c>
      <c r="I75" s="15" t="b">
        <v>1</v>
      </c>
      <c r="J75" s="6">
        <f t="shared" si="6"/>
        <v>50</v>
      </c>
      <c r="K75" s="15" t="b">
        <v>1</v>
      </c>
      <c r="L75" s="14"/>
      <c r="M75" s="9"/>
      <c r="N75" s="16" t="str">
        <f t="shared" si="3"/>
        <v>'Average_Number_of_Simultaneous_Pitches',</v>
      </c>
      <c r="O75" s="16" t="str">
        <f t="shared" si="4"/>
        <v>'Average_Number_of_Simultaneous_Pitches',</v>
      </c>
      <c r="P75" s="16" t="s">
        <v>227</v>
      </c>
      <c r="Q75" s="16"/>
      <c r="R75" s="9"/>
    </row>
    <row r="76" ht="15.75" customHeight="1">
      <c r="A76" s="9"/>
      <c r="B76" s="10" t="s">
        <v>228</v>
      </c>
      <c r="C76" s="11" t="str">
        <f t="shared" si="1"/>
        <v>C-7</v>
      </c>
      <c r="D76" s="12" t="str">
        <f>IFERROR(__xludf.DUMMYFUNCTION("REGEXREPLACE(B76,""(.*):(.*)"", ""$1"")"),"C-7 Variability of Number of Simultaneous Pitches")</f>
        <v>C-7 Variability of Number of Simultaneous Pitches</v>
      </c>
      <c r="E76" s="12" t="str">
        <f t="shared" si="2"/>
        <v>Variability of Number of Simultaneous Pitches</v>
      </c>
      <c r="F76" s="14" t="s">
        <v>229</v>
      </c>
      <c r="G76" s="14" t="str">
        <f>IFERROR(__xludf.DUMMYFUNCTION("REGEXREPLACE(B76,""(.*): (.*)"", ""$2"")"),"Standard deviation of the number of pitches sounding simultaneously. Rests are excluded from this calculation. Unisons are also excluded from this calculation, but octave multiples are included in it.")</f>
        <v>Standard deviation of the number of pitches sounding simultaneously. Rests are excluded from this calculation. Unisons are also excluded from this calculation, but octave multiples are included in it.</v>
      </c>
      <c r="H76" s="6">
        <f t="shared" si="5"/>
        <v>66</v>
      </c>
      <c r="I76" s="15" t="b">
        <v>1</v>
      </c>
      <c r="J76" s="6">
        <f t="shared" si="6"/>
        <v>51</v>
      </c>
      <c r="K76" s="15" t="b">
        <v>1</v>
      </c>
      <c r="L76" s="14"/>
      <c r="M76" s="9"/>
      <c r="N76" s="16" t="str">
        <f t="shared" si="3"/>
        <v>'Variability_of_Number_of_Simultaneous_Pitches',</v>
      </c>
      <c r="O76" s="16" t="str">
        <f t="shared" si="4"/>
        <v>'Variability_of_Number_of_Simultaneous_Pitches',</v>
      </c>
      <c r="P76" s="16" t="s">
        <v>230</v>
      </c>
      <c r="Q76" s="16"/>
      <c r="R76" s="9"/>
    </row>
    <row r="77" ht="15.75" customHeight="1">
      <c r="A77" s="9"/>
      <c r="B77" s="10" t="s">
        <v>231</v>
      </c>
      <c r="C77" s="11" t="str">
        <f t="shared" si="1"/>
        <v>C-8</v>
      </c>
      <c r="D77" s="12" t="str">
        <f>IFERROR(__xludf.DUMMYFUNCTION("REGEXREPLACE(B77,""(.*):(.*)"", ""$1"")"),"C-8 Most Common Vertical Interval")</f>
        <v>C-8 Most Common Vertical Interval</v>
      </c>
      <c r="E77" s="12" t="str">
        <f t="shared" si="2"/>
        <v>Most Common Vertical Interval</v>
      </c>
      <c r="F77" s="14" t="s">
        <v>232</v>
      </c>
      <c r="G77" s="14" t="str">
        <f>IFERROR(__xludf.DUMMYFUNCTION("REGEXREPLACE(B77,""(.*): (.*)"", ""$2"")"),"The interval in semitones corresponding to the wrapped vertical interval histogram bin with the highest magnitude.")</f>
        <v>The interval in semitones corresponding to the wrapped vertical interval histogram bin with the highest magnitude.</v>
      </c>
      <c r="H77" s="6">
        <f t="shared" si="5"/>
        <v>67</v>
      </c>
      <c r="I77" s="15" t="b">
        <v>1</v>
      </c>
      <c r="J77" s="6">
        <f t="shared" si="6"/>
        <v>52</v>
      </c>
      <c r="K77" s="15" t="b">
        <v>1</v>
      </c>
      <c r="L77" s="14"/>
      <c r="M77" s="9"/>
      <c r="N77" s="16" t="str">
        <f t="shared" si="3"/>
        <v>'Most_Common_Vertical_Interval',</v>
      </c>
      <c r="O77" s="16" t="str">
        <f t="shared" si="4"/>
        <v>'Most_Common_Vertical_Interval',</v>
      </c>
      <c r="P77" s="16" t="s">
        <v>233</v>
      </c>
      <c r="Q77" s="16"/>
      <c r="R77" s="9"/>
    </row>
    <row r="78" ht="15.75" customHeight="1">
      <c r="A78" s="9"/>
      <c r="B78" s="10" t="s">
        <v>234</v>
      </c>
      <c r="C78" s="11" t="str">
        <f t="shared" si="1"/>
        <v>C-9</v>
      </c>
      <c r="D78" s="12" t="str">
        <f>IFERROR(__xludf.DUMMYFUNCTION("REGEXREPLACE(B78,""(.*):(.*)"", ""$1"")"),"C-9 Second Most Common Vertical Interval")</f>
        <v>C-9 Second Most Common Vertical Interval</v>
      </c>
      <c r="E78" s="12" t="str">
        <f t="shared" si="2"/>
        <v>Second Most Common Vertical Interval</v>
      </c>
      <c r="F78" s="14" t="s">
        <v>235</v>
      </c>
      <c r="G78" s="14" t="str">
        <f>IFERROR(__xludf.DUMMYFUNCTION("REGEXREPLACE(B78,""(.*): (.*)"", ""$2"")"),"The interval in semitones corresponding to the wrapped vertical interval histogram bin with the second highest magnitude.")</f>
        <v>The interval in semitones corresponding to the wrapped vertical interval histogram bin with the second highest magnitude.</v>
      </c>
      <c r="H78" s="6">
        <f t="shared" si="5"/>
        <v>68</v>
      </c>
      <c r="I78" s="15" t="b">
        <v>1</v>
      </c>
      <c r="J78" s="6">
        <f t="shared" si="6"/>
        <v>53</v>
      </c>
      <c r="K78" s="15" t="b">
        <v>1</v>
      </c>
      <c r="L78" s="14"/>
      <c r="M78" s="9"/>
      <c r="N78" s="16" t="str">
        <f t="shared" si="3"/>
        <v>'Second_Most_Common_Vertical_Interval',</v>
      </c>
      <c r="O78" s="16" t="str">
        <f t="shared" si="4"/>
        <v>'Second_Most_Common_Vertical_Interval',</v>
      </c>
      <c r="P78" s="16" t="s">
        <v>236</v>
      </c>
      <c r="Q78" s="16"/>
      <c r="R78" s="9"/>
    </row>
    <row r="79" ht="15.75" customHeight="1">
      <c r="A79" s="9"/>
      <c r="B79" s="10" t="s">
        <v>237</v>
      </c>
      <c r="C79" s="11" t="str">
        <f t="shared" si="1"/>
        <v>C-10</v>
      </c>
      <c r="D79" s="12" t="str">
        <f>IFERROR(__xludf.DUMMYFUNCTION("REGEXREPLACE(B79,""(.*):(.*)"", ""$1"")"),"C-10 Distance Between Two Most Common Vertical Intervals")</f>
        <v>C-10 Distance Between Two Most Common Vertical Intervals</v>
      </c>
      <c r="E79" s="12" t="str">
        <f t="shared" si="2"/>
        <v>Distance Between Two Most Common Vertical Intervals</v>
      </c>
      <c r="F79" s="14" t="s">
        <v>238</v>
      </c>
      <c r="G79" s="14" t="str">
        <f>IFERROR(__xludf.DUMMYFUNCTION("REGEXREPLACE(B79,""(.*): (.*)"", ""$2"")"),"The interval in semitones between the wrapped vertical interval histogram bins with the two most common vertical intervals.")</f>
        <v>The interval in semitones between the wrapped vertical interval histogram bins with the two most common vertical intervals.</v>
      </c>
      <c r="H79" s="6">
        <f t="shared" si="5"/>
        <v>69</v>
      </c>
      <c r="I79" s="15" t="b">
        <v>1</v>
      </c>
      <c r="J79" s="6">
        <f t="shared" si="6"/>
        <v>54</v>
      </c>
      <c r="K79" s="15" t="b">
        <v>1</v>
      </c>
      <c r="L79" s="14"/>
      <c r="M79" s="9"/>
      <c r="N79" s="16" t="str">
        <f t="shared" si="3"/>
        <v>'Distance_Between_Two_Most_Common_Vertical_Intervals',</v>
      </c>
      <c r="O79" s="16" t="str">
        <f t="shared" si="4"/>
        <v>'Distance_Between_Two_Most_Common_Vertical_Intervals',</v>
      </c>
      <c r="P79" s="16" t="s">
        <v>239</v>
      </c>
      <c r="Q79" s="16"/>
      <c r="R79" s="9"/>
    </row>
    <row r="80" ht="15.75" customHeight="1">
      <c r="A80" s="9"/>
      <c r="B80" s="10" t="s">
        <v>240</v>
      </c>
      <c r="C80" s="11" t="str">
        <f t="shared" si="1"/>
        <v>C-11</v>
      </c>
      <c r="D80" s="12" t="str">
        <f>IFERROR(__xludf.DUMMYFUNCTION("REGEXREPLACE(B80,""(.*):(.*)"", ""$1"")"),"C-11 Prevalence of Most Common Vertical Interval")</f>
        <v>C-11 Prevalence of Most Common Vertical Interval</v>
      </c>
      <c r="E80" s="12" t="str">
        <f t="shared" si="2"/>
        <v>Prevalence of Most Common Vertical Interval</v>
      </c>
      <c r="F80" s="14" t="s">
        <v>241</v>
      </c>
      <c r="G80" s="14" t="str">
        <f>IFERROR(__xludf.DUMMYFUNCTION("REGEXREPLACE(B80,""(.*): (.*)"", ""$2"")"),"Fraction of vertical intervals on the wrapped vertical interval histogram corresponding to the most common vertical interval.")</f>
        <v>Fraction of vertical intervals on the wrapped vertical interval histogram corresponding to the most common vertical interval.</v>
      </c>
      <c r="H80" s="6">
        <f t="shared" si="5"/>
        <v>70</v>
      </c>
      <c r="I80" s="15" t="b">
        <v>1</v>
      </c>
      <c r="J80" s="6">
        <f t="shared" si="6"/>
        <v>55</v>
      </c>
      <c r="K80" s="15" t="b">
        <v>1</v>
      </c>
      <c r="L80" s="14"/>
      <c r="M80" s="9"/>
      <c r="N80" s="16" t="str">
        <f t="shared" si="3"/>
        <v>'Prevalence_of_Most_Common_Vertical_Interval',</v>
      </c>
      <c r="O80" s="16" t="str">
        <f t="shared" si="4"/>
        <v>'Prevalence_of_Most_Common_Vertical_Interval',</v>
      </c>
      <c r="P80" s="16" t="s">
        <v>242</v>
      </c>
      <c r="Q80" s="16"/>
      <c r="R80" s="9"/>
    </row>
    <row r="81" ht="15.75" customHeight="1">
      <c r="A81" s="9"/>
      <c r="B81" s="10" t="s">
        <v>243</v>
      </c>
      <c r="C81" s="11" t="str">
        <f t="shared" si="1"/>
        <v>C-12</v>
      </c>
      <c r="D81" s="12" t="str">
        <f>IFERROR(__xludf.DUMMYFUNCTION("REGEXREPLACE(B81,""(.*):(.*)"", ""$1"")"),"C-12 Prevalence of Second Most Common Vertical Interval")</f>
        <v>C-12 Prevalence of Second Most Common Vertical Interval</v>
      </c>
      <c r="E81" s="12" t="str">
        <f t="shared" si="2"/>
        <v>Prevalence of Second Most Common Vertical Interval</v>
      </c>
      <c r="F81" s="14" t="s">
        <v>244</v>
      </c>
      <c r="G81" s="14" t="str">
        <f>IFERROR(__xludf.DUMMYFUNCTION("REGEXREPLACE(B81,""(.*): (.*)"", ""$2"")"),"Fraction of vertical intervals on the wrapped vertical interval histogram corresponding to the second most common vertical interval.")</f>
        <v>Fraction of vertical intervals on the wrapped vertical interval histogram corresponding to the second most common vertical interval.</v>
      </c>
      <c r="H81" s="6">
        <f t="shared" si="5"/>
        <v>71</v>
      </c>
      <c r="I81" s="15" t="b">
        <v>1</v>
      </c>
      <c r="J81" s="6">
        <f t="shared" si="6"/>
        <v>56</v>
      </c>
      <c r="K81" s="15" t="b">
        <v>1</v>
      </c>
      <c r="L81" s="14"/>
      <c r="M81" s="9"/>
      <c r="N81" s="16" t="str">
        <f t="shared" si="3"/>
        <v>'Prevalence_of_Second_Most_Common_Vertical_Interval',</v>
      </c>
      <c r="O81" s="16" t="str">
        <f t="shared" si="4"/>
        <v>'Prevalence_of_Second_Most_Common_Vertical_Interval',</v>
      </c>
      <c r="P81" s="16" t="s">
        <v>245</v>
      </c>
      <c r="Q81" s="16"/>
      <c r="R81" s="9"/>
    </row>
    <row r="82" ht="15.75" customHeight="1">
      <c r="A82" s="9"/>
      <c r="B82" s="10" t="s">
        <v>246</v>
      </c>
      <c r="C82" s="11" t="str">
        <f t="shared" si="1"/>
        <v>C-13</v>
      </c>
      <c r="D82" s="12" t="str">
        <f>IFERROR(__xludf.DUMMYFUNCTION("REGEXREPLACE(B82,""(.*):(.*)"", ""$1"")"),"C-13 Prevalence Ratio of Two Most Common Vertical Intervals")</f>
        <v>C-13 Prevalence Ratio of Two Most Common Vertical Intervals</v>
      </c>
      <c r="E82" s="12" t="str">
        <f t="shared" si="2"/>
        <v>Prevalence Ratio of Two Most Common Vertical Intervals</v>
      </c>
      <c r="F82" s="14" t="s">
        <v>247</v>
      </c>
      <c r="G82" s="14" t="str">
        <f>IFERROR(__xludf.DUMMYFUNCTION("REGEXREPLACE(B82,""(.*): (.*)"", ""$2"")"),"Ratio between the fraction of notes corresponding to the second most common vertical interval on the wrapped vertical interval histogram and the fraction of vertical intervals corresponding to the most common vertical interval. Set to 0 if either of these"&amp;" prevalences are 0.")</f>
        <v>Ratio between the fraction of notes corresponding to the second most common vertical interval on the wrapped vertical interval histogram and the fraction of vertical intervals corresponding to the most common vertical interval. Set to 0 if either of these prevalences are 0.</v>
      </c>
      <c r="H82" s="6">
        <f t="shared" si="5"/>
        <v>72</v>
      </c>
      <c r="I82" s="15" t="b">
        <v>1</v>
      </c>
      <c r="J82" s="6">
        <f t="shared" si="6"/>
        <v>57</v>
      </c>
      <c r="K82" s="15" t="b">
        <v>1</v>
      </c>
      <c r="L82" s="14"/>
      <c r="M82" s="9"/>
      <c r="N82" s="16" t="str">
        <f t="shared" si="3"/>
        <v>'Prevalence_Ratio_of_Two_Most_Common_Vertical_Intervals',</v>
      </c>
      <c r="O82" s="16" t="str">
        <f t="shared" si="4"/>
        <v>'Prevalence_Ratio_of_Two_Most_Common_Vertical_Intervals',</v>
      </c>
      <c r="P82" s="16" t="s">
        <v>248</v>
      </c>
      <c r="Q82" s="16"/>
      <c r="R82" s="9"/>
    </row>
    <row r="83" ht="15.75" customHeight="1">
      <c r="A83" s="9"/>
      <c r="B83" s="10" t="s">
        <v>249</v>
      </c>
      <c r="C83" s="11" t="str">
        <f t="shared" si="1"/>
        <v>C-14</v>
      </c>
      <c r="D83" s="12" t="str">
        <f>IFERROR(__xludf.DUMMYFUNCTION("REGEXREPLACE(B83,""(.*):(.*)"", ""$1"")"),"C-14 Vertical Unisons")</f>
        <v>C-14 Vertical Unisons</v>
      </c>
      <c r="E83" s="12" t="str">
        <f t="shared" si="2"/>
        <v>Vertical Unisons</v>
      </c>
      <c r="F83" s="14" t="s">
        <v>250</v>
      </c>
      <c r="G83" s="14" t="str">
        <f>IFERROR(__xludf.DUMMYFUNCTION("REGEXREPLACE(B83,""(.*): (.*)"", ""$2"")"),"Fraction of all vertical intervals that are unisons. This is weighted by how long intervals are held (e.g. an interval lasting a whole note will be weighted four times as strongly as an interval lasting a quarter note).")</f>
        <v>Fraction of all vertical intervals that are unisons. This is weighted by how long intervals are held (e.g. an interval lasting a whole note will be weighted four times as strongly as an interval lasting a quarter note).</v>
      </c>
      <c r="H83" s="6">
        <f t="shared" si="5"/>
        <v>73</v>
      </c>
      <c r="I83" s="15" t="b">
        <v>1</v>
      </c>
      <c r="J83" s="6">
        <f t="shared" si="6"/>
        <v>58</v>
      </c>
      <c r="K83" s="15" t="b">
        <v>1</v>
      </c>
      <c r="L83" s="14"/>
      <c r="M83" s="9"/>
      <c r="N83" s="16" t="str">
        <f t="shared" si="3"/>
        <v>'Vertical_Unisons',</v>
      </c>
      <c r="O83" s="16" t="str">
        <f t="shared" si="4"/>
        <v>'Vertical_Unisons',</v>
      </c>
      <c r="P83" s="16" t="s">
        <v>251</v>
      </c>
      <c r="Q83" s="16"/>
      <c r="R83" s="9"/>
    </row>
    <row r="84" ht="15.75" customHeight="1">
      <c r="A84" s="9"/>
      <c r="B84" s="10" t="s">
        <v>252</v>
      </c>
      <c r="C84" s="11" t="str">
        <f t="shared" si="1"/>
        <v>C-15</v>
      </c>
      <c r="D84" s="12" t="str">
        <f>IFERROR(__xludf.DUMMYFUNCTION("REGEXREPLACE(B84,""(.*):(.*)"", ""$1"")"),"C-15 Vertical Minor Seconds")</f>
        <v>C-15 Vertical Minor Seconds</v>
      </c>
      <c r="E84" s="12" t="str">
        <f t="shared" si="2"/>
        <v>Vertical Minor Seconds</v>
      </c>
      <c r="F84" s="14" t="s">
        <v>253</v>
      </c>
      <c r="G84" s="14" t="str">
        <f>IFERROR(__xludf.DUMMYFUNCTION("REGEXREPLACE(B84,""(.*): (.*)"", ""$2"")"),"Fraction of all wrapped vertical intervals that are minor seconds. This is weighted by how long intervals are held (e.g. an interval lasting a whole note will be weighted four times as strongly as an interval lasting a quarter note).")</f>
        <v>Fraction of all wrapped vertical intervals that are minor seconds. This is weighted by how long intervals are held (e.g. an interval lasting a whole note will be weighted four times as strongly as an interval lasting a quarter note).</v>
      </c>
      <c r="H84" s="6">
        <f t="shared" si="5"/>
        <v>74</v>
      </c>
      <c r="I84" s="15" t="b">
        <v>1</v>
      </c>
      <c r="J84" s="6">
        <f t="shared" si="6"/>
        <v>59</v>
      </c>
      <c r="K84" s="15" t="b">
        <v>1</v>
      </c>
      <c r="L84" s="14"/>
      <c r="M84" s="9"/>
      <c r="N84" s="16" t="str">
        <f t="shared" si="3"/>
        <v>'Vertical_Minor_Seconds',</v>
      </c>
      <c r="O84" s="16" t="str">
        <f t="shared" si="4"/>
        <v>'Vertical_Minor_Seconds',</v>
      </c>
      <c r="P84" s="16" t="s">
        <v>254</v>
      </c>
      <c r="Q84" s="16"/>
      <c r="R84" s="9"/>
    </row>
    <row r="85" ht="15.75" customHeight="1">
      <c r="A85" s="9"/>
      <c r="B85" s="10" t="s">
        <v>255</v>
      </c>
      <c r="C85" s="11" t="str">
        <f t="shared" si="1"/>
        <v>C-16</v>
      </c>
      <c r="D85" s="12" t="str">
        <f>IFERROR(__xludf.DUMMYFUNCTION("REGEXREPLACE(B85,""(.*):(.*)"", ""$1"")"),"C-16 Vertical Thirds")</f>
        <v>C-16 Vertical Thirds</v>
      </c>
      <c r="E85" s="12" t="str">
        <f t="shared" si="2"/>
        <v>Vertical Thirds</v>
      </c>
      <c r="F85" s="14" t="s">
        <v>256</v>
      </c>
      <c r="G85" s="14" t="str">
        <f>IFERROR(__xludf.DUMMYFUNCTION("REGEXREPLACE(B85,""(.*): (.*)"", ""$2"")"),"Fraction all wrapped vertical intervals that are minor or major thirds. This is weighted by how long intervals are held (e.g. an interval lasting a whole note will be weighted four times as strongly as an interval lasting a quarter note).")</f>
        <v>Fraction all wrapped vertical intervals that are minor or major thirds. This is weighted by how long intervals are held (e.g. an interval lasting a whole note will be weighted four times as strongly as an interval lasting a quarter note).</v>
      </c>
      <c r="H85" s="6">
        <f t="shared" si="5"/>
        <v>75</v>
      </c>
      <c r="I85" s="15" t="b">
        <v>1</v>
      </c>
      <c r="J85" s="6">
        <f t="shared" si="6"/>
        <v>60</v>
      </c>
      <c r="K85" s="15" t="b">
        <v>1</v>
      </c>
      <c r="L85" s="14"/>
      <c r="M85" s="9"/>
      <c r="N85" s="16" t="str">
        <f t="shared" si="3"/>
        <v>'Vertical_Thirds',</v>
      </c>
      <c r="O85" s="16" t="str">
        <f t="shared" si="4"/>
        <v>'Vertical_Thirds',</v>
      </c>
      <c r="P85" s="16" t="s">
        <v>257</v>
      </c>
      <c r="Q85" s="16"/>
      <c r="R85" s="9"/>
    </row>
    <row r="86" ht="15.75" customHeight="1">
      <c r="A86" s="9"/>
      <c r="B86" s="10" t="s">
        <v>258</v>
      </c>
      <c r="C86" s="11" t="str">
        <f t="shared" si="1"/>
        <v>C-17</v>
      </c>
      <c r="D86" s="12" t="str">
        <f>IFERROR(__xludf.DUMMYFUNCTION("REGEXREPLACE(B86,""(.*):(.*)"", ""$1"")"),"C-17 Vertical Tritones")</f>
        <v>C-17 Vertical Tritones</v>
      </c>
      <c r="E86" s="12" t="str">
        <f t="shared" si="2"/>
        <v>Vertical Tritones</v>
      </c>
      <c r="F86" s="14" t="s">
        <v>259</v>
      </c>
      <c r="G86" s="14" t="str">
        <f>IFERROR(__xludf.DUMMYFUNCTION("REGEXREPLACE(B86,""(.*): (.*)"", ""$2"")"),"Fraction of all wrapped vertical intervals that are tritones. This is weighted by how long intervals are held (e.g. an interval lasting a whole note will be weighted four times as strongly as an interval lasting a quarter note).")</f>
        <v>Fraction of all wrapped vertical intervals that are tritones. This is weighted by how long intervals are held (e.g. an interval lasting a whole note will be weighted four times as strongly as an interval lasting a quarter note).</v>
      </c>
      <c r="H86" s="6">
        <f t="shared" si="5"/>
        <v>76</v>
      </c>
      <c r="I86" s="15" t="b">
        <v>1</v>
      </c>
      <c r="J86" s="6">
        <f t="shared" si="6"/>
        <v>61</v>
      </c>
      <c r="K86" s="15" t="b">
        <v>1</v>
      </c>
      <c r="L86" s="14"/>
      <c r="M86" s="9"/>
      <c r="N86" s="16" t="str">
        <f t="shared" si="3"/>
        <v>'Vertical_Tritones',</v>
      </c>
      <c r="O86" s="16" t="str">
        <f t="shared" si="4"/>
        <v>'Vertical_Tritones',</v>
      </c>
      <c r="P86" s="16" t="s">
        <v>260</v>
      </c>
      <c r="Q86" s="16"/>
      <c r="R86" s="9"/>
    </row>
    <row r="87" ht="15.75" customHeight="1">
      <c r="A87" s="9"/>
      <c r="B87" s="10" t="s">
        <v>261</v>
      </c>
      <c r="C87" s="11" t="str">
        <f t="shared" si="1"/>
        <v>C-18</v>
      </c>
      <c r="D87" s="12" t="str">
        <f>IFERROR(__xludf.DUMMYFUNCTION("REGEXREPLACE(B87,""(.*):(.*)"", ""$1"")"),"C-18 Vertical Perfect Fourths")</f>
        <v>C-18 Vertical Perfect Fourths</v>
      </c>
      <c r="E87" s="12" t="str">
        <f t="shared" si="2"/>
        <v>Vertical Perfect Fourths</v>
      </c>
      <c r="F87" s="14" t="s">
        <v>262</v>
      </c>
      <c r="G87" s="14" t="str">
        <f>IFERROR(__xludf.DUMMYFUNCTION("REGEXREPLACE(B87,""(.*): (.*)"", ""$2"")"),"Fraction of all wrapped vertical intervals that are perfect fourths. This is weighted by how long intervals are held (e.g. an interval lasting a whole note will be weighted four times as strongly as an interval lasting a quarter note).")</f>
        <v>Fraction of all wrapped vertical intervals that are perfect fourths. This is weighted by how long intervals are held (e.g. an interval lasting a whole note will be weighted four times as strongly as an interval lasting a quarter note).</v>
      </c>
      <c r="H87" s="6">
        <f t="shared" si="5"/>
        <v>77</v>
      </c>
      <c r="I87" s="15" t="b">
        <v>1</v>
      </c>
      <c r="J87" s="6">
        <f t="shared" si="6"/>
        <v>62</v>
      </c>
      <c r="K87" s="15" t="b">
        <v>1</v>
      </c>
      <c r="L87" s="14"/>
      <c r="M87" s="9"/>
      <c r="N87" s="16" t="str">
        <f t="shared" si="3"/>
        <v>'Vertical_Perfect_Fourths',</v>
      </c>
      <c r="O87" s="16" t="str">
        <f t="shared" si="4"/>
        <v>'Vertical_Perfect_Fourths',</v>
      </c>
      <c r="P87" s="16" t="s">
        <v>263</v>
      </c>
      <c r="Q87" s="16"/>
      <c r="R87" s="9"/>
    </row>
    <row r="88" ht="15.75" customHeight="1">
      <c r="A88" s="9"/>
      <c r="B88" s="10" t="s">
        <v>264</v>
      </c>
      <c r="C88" s="11" t="str">
        <f t="shared" si="1"/>
        <v>C-19</v>
      </c>
      <c r="D88" s="12" t="str">
        <f>IFERROR(__xludf.DUMMYFUNCTION("REGEXREPLACE(B88,""(.*):(.*)"", ""$1"")"),"C-19 Vertical Perfect Fifths")</f>
        <v>C-19 Vertical Perfect Fifths</v>
      </c>
      <c r="E88" s="12" t="str">
        <f t="shared" si="2"/>
        <v>Vertical Perfect Fifths</v>
      </c>
      <c r="F88" s="14" t="s">
        <v>265</v>
      </c>
      <c r="G88" s="14" t="str">
        <f>IFERROR(__xludf.DUMMYFUNCTION("REGEXREPLACE(B88,""(.*): (.*)"", ""$2"")"),"Fraction of all wrapped vertical intervals that are perfect fifths. This is weighted by how long intervals are held (e.g. an interval lasting a whole note will be weighted four times as strongly as an interval lasting a quarter note).")</f>
        <v>Fraction of all wrapped vertical intervals that are perfect fifths. This is weighted by how long intervals are held (e.g. an interval lasting a whole note will be weighted four times as strongly as an interval lasting a quarter note).</v>
      </c>
      <c r="H88" s="6">
        <f t="shared" si="5"/>
        <v>78</v>
      </c>
      <c r="I88" s="15" t="b">
        <v>1</v>
      </c>
      <c r="J88" s="6">
        <f t="shared" si="6"/>
        <v>63</v>
      </c>
      <c r="K88" s="15" t="b">
        <v>1</v>
      </c>
      <c r="L88" s="14"/>
      <c r="M88" s="9"/>
      <c r="N88" s="16" t="str">
        <f t="shared" si="3"/>
        <v>'Vertical_Perfect_Fifths',</v>
      </c>
      <c r="O88" s="16" t="str">
        <f t="shared" si="4"/>
        <v>'Vertical_Perfect_Fifths',</v>
      </c>
      <c r="P88" s="16" t="s">
        <v>266</v>
      </c>
      <c r="Q88" s="16"/>
      <c r="R88" s="9"/>
    </row>
    <row r="89" ht="15.75" customHeight="1">
      <c r="A89" s="9"/>
      <c r="B89" s="10" t="s">
        <v>267</v>
      </c>
      <c r="C89" s="11" t="str">
        <f t="shared" si="1"/>
        <v>C-20</v>
      </c>
      <c r="D89" s="12" t="str">
        <f>IFERROR(__xludf.DUMMYFUNCTION("REGEXREPLACE(B89,""(.*):(.*)"", ""$1"")"),"C-20 Vertical Sixths")</f>
        <v>C-20 Vertical Sixths</v>
      </c>
      <c r="E89" s="12" t="str">
        <f t="shared" si="2"/>
        <v>Vertical Sixths</v>
      </c>
      <c r="F89" s="14" t="s">
        <v>268</v>
      </c>
      <c r="G89" s="14" t="str">
        <f>IFERROR(__xludf.DUMMYFUNCTION("REGEXREPLACE(B89,""(.*): (.*)"", ""$2"")"),"Fraction all wrapped vertical intervals that are minor or major sixths. This is weighted by how long intervals are held (e.g. an interval lasting a whole note will be weighted four times as strongly as an interval lasting a quarter note).")</f>
        <v>Fraction all wrapped vertical intervals that are minor or major sixths. This is weighted by how long intervals are held (e.g. an interval lasting a whole note will be weighted four times as strongly as an interval lasting a quarter note).</v>
      </c>
      <c r="H89" s="6">
        <f t="shared" si="5"/>
        <v>79</v>
      </c>
      <c r="I89" s="15" t="b">
        <v>1</v>
      </c>
      <c r="J89" s="6">
        <f t="shared" si="6"/>
        <v>64</v>
      </c>
      <c r="K89" s="15" t="b">
        <v>1</v>
      </c>
      <c r="L89" s="14"/>
      <c r="M89" s="9"/>
      <c r="N89" s="16" t="str">
        <f t="shared" si="3"/>
        <v>'Vertical_Sixths',</v>
      </c>
      <c r="O89" s="16" t="str">
        <f t="shared" si="4"/>
        <v>'Vertical_Sixths',</v>
      </c>
      <c r="P89" s="16" t="s">
        <v>269</v>
      </c>
      <c r="Q89" s="16"/>
      <c r="R89" s="9"/>
    </row>
    <row r="90" ht="15.75" customHeight="1">
      <c r="A90" s="9"/>
      <c r="B90" s="10" t="s">
        <v>270</v>
      </c>
      <c r="C90" s="11" t="str">
        <f t="shared" si="1"/>
        <v>C-21</v>
      </c>
      <c r="D90" s="12" t="str">
        <f>IFERROR(__xludf.DUMMYFUNCTION("REGEXREPLACE(B90,""(.*):(.*)"", ""$1"")"),"C-21 Vertical Sevenths")</f>
        <v>C-21 Vertical Sevenths</v>
      </c>
      <c r="E90" s="12" t="str">
        <f t="shared" si="2"/>
        <v>Vertical Sevenths</v>
      </c>
      <c r="F90" s="14" t="s">
        <v>271</v>
      </c>
      <c r="G90" s="14" t="str">
        <f>IFERROR(__xludf.DUMMYFUNCTION("REGEXREPLACE(B90,""(.*): (.*)"", ""$2"")"),"Fraction all wrapped vertical intervals that are minor or major sevenths. This is weighted by how long intervals are held (e.g. an interval lasting a whole note will be weighted four times as strongly as an interval lasting a quarter note).")</f>
        <v>Fraction all wrapped vertical intervals that are minor or major sevenths. This is weighted by how long intervals are held (e.g. an interval lasting a whole note will be weighted four times as strongly as an interval lasting a quarter note).</v>
      </c>
      <c r="H90" s="6">
        <f t="shared" si="5"/>
        <v>80</v>
      </c>
      <c r="I90" s="15" t="b">
        <v>1</v>
      </c>
      <c r="J90" s="6">
        <f t="shared" si="6"/>
        <v>65</v>
      </c>
      <c r="K90" s="15" t="b">
        <v>1</v>
      </c>
      <c r="L90" s="14"/>
      <c r="M90" s="9"/>
      <c r="N90" s="16" t="str">
        <f t="shared" si="3"/>
        <v>'Vertical_Sevenths',</v>
      </c>
      <c r="O90" s="16" t="str">
        <f t="shared" si="4"/>
        <v>'Vertical_Sevenths',</v>
      </c>
      <c r="P90" s="16" t="s">
        <v>272</v>
      </c>
      <c r="Q90" s="16"/>
      <c r="R90" s="9"/>
    </row>
    <row r="91" ht="15.75" customHeight="1">
      <c r="A91" s="9"/>
      <c r="B91" s="10" t="s">
        <v>273</v>
      </c>
      <c r="C91" s="11" t="str">
        <f t="shared" si="1"/>
        <v>C-22</v>
      </c>
      <c r="D91" s="12" t="str">
        <f>IFERROR(__xludf.DUMMYFUNCTION("REGEXREPLACE(B91,""(.*):(.*)"", ""$1"")"),"C-22 Vertical Octaves")</f>
        <v>C-22 Vertical Octaves</v>
      </c>
      <c r="E91" s="12" t="str">
        <f t="shared" si="2"/>
        <v>Vertical Octaves</v>
      </c>
      <c r="F91" s="14" t="s">
        <v>274</v>
      </c>
      <c r="G91" s="14" t="str">
        <f>IFERROR(__xludf.DUMMYFUNCTION("REGEXREPLACE(B91,""(.*): (.*)"", ""$2"")"),"Fraction of all wrapped vertical intervals that are octaves. This is weighted by how long intervals are held (e.g. an interval lasting a whole note will be weighted four times as strongly as an interval lasting a quarter note).")</f>
        <v>Fraction of all wrapped vertical intervals that are octaves. This is weighted by how long intervals are held (e.g. an interval lasting a whole note will be weighted four times as strongly as an interval lasting a quarter note).</v>
      </c>
      <c r="H91" s="6">
        <f t="shared" si="5"/>
        <v>81</v>
      </c>
      <c r="I91" s="15" t="b">
        <v>1</v>
      </c>
      <c r="J91" s="6">
        <f t="shared" si="6"/>
        <v>66</v>
      </c>
      <c r="K91" s="15" t="b">
        <v>1</v>
      </c>
      <c r="L91" s="14"/>
      <c r="M91" s="9"/>
      <c r="N91" s="16" t="str">
        <f t="shared" si="3"/>
        <v>'Vertical_Octaves',</v>
      </c>
      <c r="O91" s="16" t="str">
        <f t="shared" si="4"/>
        <v>'Vertical_Octaves',</v>
      </c>
      <c r="P91" s="16" t="s">
        <v>275</v>
      </c>
      <c r="Q91" s="16"/>
      <c r="R91" s="9"/>
    </row>
    <row r="92" ht="15.75" customHeight="1">
      <c r="A92" s="9"/>
      <c r="B92" s="10" t="s">
        <v>276</v>
      </c>
      <c r="C92" s="11" t="str">
        <f t="shared" si="1"/>
        <v>C-23</v>
      </c>
      <c r="D92" s="12" t="str">
        <f>IFERROR(__xludf.DUMMYFUNCTION("REGEXREPLACE(B92,""(.*):(.*)"", ""$1"")"),"C-23 Perfect Vertical Intervals")</f>
        <v>C-23 Perfect Vertical Intervals</v>
      </c>
      <c r="E92" s="12" t="str">
        <f t="shared" si="2"/>
        <v>Perfect Vertical Intervals</v>
      </c>
      <c r="F92" s="14" t="s">
        <v>277</v>
      </c>
      <c r="G92" s="14" t="str">
        <f>IFERROR(__xludf.DUMMYFUNCTION("REGEXREPLACE(B92,""(.*): (.*)"", ""$2"")"),"Fraction of all wrapped vertical intervals that are unisons, perfect fourths, perfect fifths or octaves. This is weighted by how long intervals are held (e.g. an interval lasting a whole note will be weighted four times as strongly as an interval lasting "&amp;"a quarter note).")</f>
        <v>Fraction of all wrapped vertical intervals that are unisons, perfect fourths, perfect fifths or octaves. This is weighted by how long intervals are held (e.g. an interval lasting a whole note will be weighted four times as strongly as an interval lasting a quarter note).</v>
      </c>
      <c r="H92" s="6">
        <f t="shared" si="5"/>
        <v>82</v>
      </c>
      <c r="I92" s="15" t="b">
        <v>1</v>
      </c>
      <c r="J92" s="6">
        <f t="shared" si="6"/>
        <v>67</v>
      </c>
      <c r="K92" s="15" t="b">
        <v>1</v>
      </c>
      <c r="L92" s="14"/>
      <c r="M92" s="9"/>
      <c r="N92" s="16" t="str">
        <f t="shared" si="3"/>
        <v>'Perfect_Vertical_Intervals',</v>
      </c>
      <c r="O92" s="16" t="str">
        <f t="shared" si="4"/>
        <v>'Perfect_Vertical_Intervals',</v>
      </c>
      <c r="P92" s="16" t="s">
        <v>278</v>
      </c>
      <c r="Q92" s="16"/>
      <c r="R92" s="9"/>
    </row>
    <row r="93" ht="15.75" customHeight="1">
      <c r="A93" s="9"/>
      <c r="B93" s="10" t="s">
        <v>279</v>
      </c>
      <c r="C93" s="11" t="str">
        <f t="shared" si="1"/>
        <v>C-24</v>
      </c>
      <c r="D93" s="12" t="str">
        <f>IFERROR(__xludf.DUMMYFUNCTION("REGEXREPLACE(B93,""(.*):(.*)"", ""$1"")"),"C-24 Vertical Dissonance Ratio")</f>
        <v>C-24 Vertical Dissonance Ratio</v>
      </c>
      <c r="E93" s="12" t="str">
        <f t="shared" si="2"/>
        <v>Vertical Dissonance Ratio</v>
      </c>
      <c r="F93" s="14" t="s">
        <v>280</v>
      </c>
      <c r="G93" s="14" t="str">
        <f>IFERROR(__xludf.DUMMYFUNCTION("REGEXREPLACE(B93,""(.*): (.*)"", ""$2"")"),"Ratio of all wrapped vertical intervals that are dissonant (2nds, tritones, and 7ths to all wrapped vertical intervals that are consonant (unisons, 3rds, 4ths, 5ths, 6ths, octaves). This is weighted by how long each of these intervals are held (e.g. an in"&amp;"terval lasting a whole note will be weighted four times as strongly as an interval lasting a quarter note). Set to 0 if there are no dissonant vertical intervals or no consonant vertical intervals.")</f>
        <v>Ratio of all wrapped vertical intervals that are dissonant (2nds, tritones, and 7ths to all wrapped vertical intervals that are consonant (unisons, 3rds, 4ths, 5ths, 6ths, octaves). This is weighted by how long each of these intervals are held (e.g. an interval lasting a whole note will be weighted four times as strongly as an interval lasting a quarter note). Set to 0 if there are no dissonant vertical intervals or no consonant vertical intervals.</v>
      </c>
      <c r="H93" s="6">
        <f t="shared" si="5"/>
        <v>83</v>
      </c>
      <c r="I93" s="15" t="b">
        <v>1</v>
      </c>
      <c r="J93" s="6">
        <f t="shared" si="6"/>
        <v>68</v>
      </c>
      <c r="K93" s="15" t="b">
        <v>1</v>
      </c>
      <c r="L93" s="14"/>
      <c r="M93" s="9"/>
      <c r="N93" s="16" t="str">
        <f t="shared" si="3"/>
        <v>'Vertical_Dissonance_Ratio',</v>
      </c>
      <c r="O93" s="16" t="str">
        <f t="shared" si="4"/>
        <v>'Vertical_Dissonance_Ratio',</v>
      </c>
      <c r="P93" s="16" t="s">
        <v>281</v>
      </c>
      <c r="Q93" s="16"/>
      <c r="R93" s="9"/>
    </row>
    <row r="94" ht="15.75" customHeight="1">
      <c r="A94" s="9"/>
      <c r="B94" s="10" t="s">
        <v>282</v>
      </c>
      <c r="C94" s="11" t="str">
        <f t="shared" si="1"/>
        <v>C-25</v>
      </c>
      <c r="D94" s="12" t="str">
        <f>IFERROR(__xludf.DUMMYFUNCTION("REGEXREPLACE(B94,""(.*):(.*)"", ""$1"")"),"C-25 Vertical Minor Third Prevalence")</f>
        <v>C-25 Vertical Minor Third Prevalence</v>
      </c>
      <c r="E94" s="12" t="str">
        <f t="shared" si="2"/>
        <v>Vertical Minor Third Prevalence</v>
      </c>
      <c r="F94" s="14" t="s">
        <v>283</v>
      </c>
      <c r="G94" s="14" t="str">
        <f>IFERROR(__xludf.DUMMYFUNCTION("REGEXREPLACE(B94,""(.*): (.*)"", ""$2"")"),"Fraction of the music by time where at least one wrapped vertical minor third is sounding (regardless of whatever other vertical intervals may or may not be sounding at the same time). Only that part of the music where one or more pitched notes is soundin"&amp;"g is included in this calculation (rests and sections containing only unpitched notes are ignored).")</f>
        <v>Fraction of the music by time where at least one wrapped vertical minor third is sounding (regardless of whatever other vertical intervals may or may not be sounding at the same time). Only that part of the music where one or more pitched notes is sounding is included in this calculation (rests and sections containing only unpitched notes are ignored).</v>
      </c>
      <c r="H94" s="6">
        <f t="shared" si="5"/>
        <v>84</v>
      </c>
      <c r="I94" s="15" t="b">
        <v>1</v>
      </c>
      <c r="J94" s="6">
        <f t="shared" si="6"/>
        <v>69</v>
      </c>
      <c r="K94" s="15" t="b">
        <v>1</v>
      </c>
      <c r="L94" s="14"/>
      <c r="M94" s="9"/>
      <c r="N94" s="16" t="str">
        <f t="shared" si="3"/>
        <v>'Vertical_Minor_Third_Prevalence',</v>
      </c>
      <c r="O94" s="16" t="str">
        <f t="shared" si="4"/>
        <v>'Vertical_Minor_Third_Prevalence',</v>
      </c>
      <c r="P94" s="16" t="s">
        <v>284</v>
      </c>
      <c r="Q94" s="16"/>
      <c r="R94" s="9"/>
    </row>
    <row r="95" ht="15.75" customHeight="1">
      <c r="A95" s="9"/>
      <c r="B95" s="10" t="s">
        <v>285</v>
      </c>
      <c r="C95" s="11" t="str">
        <f t="shared" si="1"/>
        <v>C-26</v>
      </c>
      <c r="D95" s="12" t="str">
        <f>IFERROR(__xludf.DUMMYFUNCTION("REGEXREPLACE(B95,""(.*):(.*)"", ""$1"")"),"C-26 Vertical Major Third Prevalence")</f>
        <v>C-26 Vertical Major Third Prevalence</v>
      </c>
      <c r="E95" s="12" t="str">
        <f t="shared" si="2"/>
        <v>Vertical Major Third Prevalence</v>
      </c>
      <c r="F95" s="14" t="s">
        <v>286</v>
      </c>
      <c r="G95" s="14" t="str">
        <f>IFERROR(__xludf.DUMMYFUNCTION("REGEXREPLACE(B95,""(.*): (.*)"", ""$2"")"),"Fraction of the music by time where at least one wrapped vertical major third is sounding (regardless of whatever other vertical intervals may or may not be sounding at the same time). Only that part of the music where one or more pitched notes is soundin"&amp;"g is included in this calculation (rests and sections containing only unpitched notes are ignored).")</f>
        <v>Fraction of the music by time where at least one wrapped vertical major third is sounding (regardless of whatever other vertical intervals may or may not be sounding at the same time). Only that part of the music where one or more pitched notes is sounding is included in this calculation (rests and sections containing only unpitched notes are ignored).</v>
      </c>
      <c r="H95" s="6">
        <f t="shared" si="5"/>
        <v>85</v>
      </c>
      <c r="I95" s="15" t="b">
        <v>1</v>
      </c>
      <c r="J95" s="6">
        <f t="shared" si="6"/>
        <v>70</v>
      </c>
      <c r="K95" s="15" t="b">
        <v>1</v>
      </c>
      <c r="L95" s="14"/>
      <c r="M95" s="9"/>
      <c r="N95" s="16" t="str">
        <f t="shared" si="3"/>
        <v>'Vertical_Major_Third_Prevalence',</v>
      </c>
      <c r="O95" s="16" t="str">
        <f t="shared" si="4"/>
        <v>'Vertical_Major_Third_Prevalence',</v>
      </c>
      <c r="P95" s="16" t="s">
        <v>287</v>
      </c>
      <c r="Q95" s="16"/>
      <c r="R95" s="9"/>
    </row>
    <row r="96" ht="15.75" customHeight="1">
      <c r="A96" s="9"/>
      <c r="B96" s="10" t="s">
        <v>288</v>
      </c>
      <c r="C96" s="11" t="str">
        <f t="shared" si="1"/>
        <v>C-27</v>
      </c>
      <c r="D96" s="12" t="str">
        <f>IFERROR(__xludf.DUMMYFUNCTION("REGEXREPLACE(B96,""(.*):(.*)"", ""$1"")"),"C-27 Chord Duration")</f>
        <v>C-27 Chord Duration</v>
      </c>
      <c r="E96" s="12" t="str">
        <f t="shared" si="2"/>
        <v>Chord Duration</v>
      </c>
      <c r="F96" s="14" t="s">
        <v>289</v>
      </c>
      <c r="G96" s="14" t="str">
        <f>IFERROR(__xludf.DUMMYFUNCTION("REGEXREPLACE(B96,""(.*): (.*)"", ""$2"")"),"Average duration a chord in units of time corresponding to the duration of an idealized quarter note. A ""chord"" here is considered to stay the same as long as no new pitch classes are added, and no pitch classes are taken away. This ""chord"" may consis"&amp;"t of any number of pitch classes, even only one. A ""chord"" is not considered to end if it is split by one or more rests (although the rests themselves are not counted in the duration of the ""chord"").")</f>
        <v>Average duration a chord in units of time corresponding to the duration of an idealized quarter note. A "chord" here is considered to stay the same as long as no new pitch classes are added, and no pitch classes are taken away. This "chord" may consist of any number of pitch classes, even only one. A "chord" is not considered to end if it is split by one or more rests (although the rests themselves are not counted in the duration of the "chord").</v>
      </c>
      <c r="H96" s="6">
        <f t="shared" si="5"/>
        <v>86</v>
      </c>
      <c r="I96" s="15" t="b">
        <v>1</v>
      </c>
      <c r="J96" s="6">
        <f t="shared" si="6"/>
        <v>71</v>
      </c>
      <c r="K96" s="15" t="b">
        <v>1</v>
      </c>
      <c r="L96" s="14"/>
      <c r="M96" s="9"/>
      <c r="N96" s="16" t="str">
        <f t="shared" si="3"/>
        <v>'Chord_Duration',</v>
      </c>
      <c r="O96" s="16" t="str">
        <f t="shared" si="4"/>
        <v>'Chord_Duration',</v>
      </c>
      <c r="P96" s="16" t="s">
        <v>290</v>
      </c>
      <c r="Q96" s="16"/>
      <c r="R96" s="9"/>
    </row>
    <row r="97" ht="15.75" customHeight="1">
      <c r="A97" s="9"/>
      <c r="B97" s="10" t="s">
        <v>291</v>
      </c>
      <c r="C97" s="11" t="str">
        <f t="shared" si="1"/>
        <v>C-28</v>
      </c>
      <c r="D97" s="12" t="str">
        <f>IFERROR(__xludf.DUMMYFUNCTION("REGEXREPLACE(B97,""(.*):(.*)"", ""$1"")"),"C-28 Partial Chords")</f>
        <v>C-28 Partial Chords</v>
      </c>
      <c r="E97" s="12" t="str">
        <f t="shared" si="2"/>
        <v>Partial Chords</v>
      </c>
      <c r="F97" s="14" t="s">
        <v>292</v>
      </c>
      <c r="G97" s="14" t="str">
        <f>IFERROR(__xludf.DUMMYFUNCTION("REGEXREPLACE(B97,""(.*): (.*)"", ""$2"")"),"Fraction of simultaneously sounding pitch groups that consist of only two pitch classes. This is weighted by how long pitch groups are held (e.g. a pitch group lasting a whole note will be weighted four times as strongly as a pitch group lasting a quarter"&amp;" note).")</f>
        <v>Fraction of simultaneously sounding pitch groups that consist of only two pitch classes. This is weighted by how long pitch groups are held (e.g. a pitch group lasting a whole note will be weighted four times as strongly as a pitch group lasting a quarter note).</v>
      </c>
      <c r="H97" s="6">
        <f t="shared" si="5"/>
        <v>87</v>
      </c>
      <c r="I97" s="15" t="b">
        <v>1</v>
      </c>
      <c r="J97" s="6">
        <f t="shared" si="6"/>
        <v>72</v>
      </c>
      <c r="K97" s="15" t="b">
        <v>1</v>
      </c>
      <c r="L97" s="14"/>
      <c r="M97" s="9"/>
      <c r="N97" s="16" t="str">
        <f t="shared" si="3"/>
        <v>'Partial_Chords',</v>
      </c>
      <c r="O97" s="16" t="str">
        <f t="shared" si="4"/>
        <v>'Partial_Chords',</v>
      </c>
      <c r="P97" s="16" t="s">
        <v>293</v>
      </c>
      <c r="Q97" s="16"/>
      <c r="R97" s="9"/>
    </row>
    <row r="98" ht="15.75" customHeight="1">
      <c r="A98" s="9"/>
      <c r="B98" s="10" t="s">
        <v>294</v>
      </c>
      <c r="C98" s="11" t="str">
        <f t="shared" si="1"/>
        <v>C-29</v>
      </c>
      <c r="D98" s="12" t="str">
        <f>IFERROR(__xludf.DUMMYFUNCTION("REGEXREPLACE(B98,""(.*):(.*)"", ""$1"")"),"C-29 Standard Triads")</f>
        <v>C-29 Standard Triads</v>
      </c>
      <c r="E98" s="12" t="str">
        <f t="shared" si="2"/>
        <v>Standard Triads</v>
      </c>
      <c r="F98" s="14" t="s">
        <v>295</v>
      </c>
      <c r="G98" s="14" t="str">
        <f>IFERROR(__xludf.DUMMYFUNCTION("REGEXREPLACE(B98,""(.*): (.*)"", ""$2"")"),"Fraction of all simultaneously sounding pitch groups that are either major or minor triads. This is weighted by how long pitch groups are held (e.g. a pitch group lasting a whole note will be weighted four times as strongly as a pitch group lasting a quar"&amp;"ter note).")</f>
        <v>Fraction of all simultaneously sounding pitch groups that are either major or minor triads. This is weighted by how long pitch groups are held (e.g. a pitch group lasting a whole note will be weighted four times as strongly as a pitch group lasting a quarter note).</v>
      </c>
      <c r="H98" s="6">
        <f t="shared" si="5"/>
        <v>88</v>
      </c>
      <c r="I98" s="15" t="b">
        <v>1</v>
      </c>
      <c r="J98" s="6">
        <f t="shared" si="6"/>
        <v>73</v>
      </c>
      <c r="K98" s="15" t="b">
        <v>1</v>
      </c>
      <c r="L98" s="14"/>
      <c r="M98" s="9"/>
      <c r="N98" s="16" t="str">
        <f t="shared" si="3"/>
        <v>'Standard_Triads',</v>
      </c>
      <c r="O98" s="16" t="str">
        <f t="shared" si="4"/>
        <v>'Standard_Triads',</v>
      </c>
      <c r="P98" s="16" t="s">
        <v>296</v>
      </c>
      <c r="Q98" s="16"/>
      <c r="R98" s="9"/>
    </row>
    <row r="99" ht="15.75" customHeight="1">
      <c r="A99" s="9"/>
      <c r="B99" s="10" t="s">
        <v>297</v>
      </c>
      <c r="C99" s="11" t="str">
        <f t="shared" si="1"/>
        <v>C-30</v>
      </c>
      <c r="D99" s="12" t="str">
        <f>IFERROR(__xludf.DUMMYFUNCTION("REGEXREPLACE(B99,""(.*):(.*)"", ""$1"")"),"C-30 Diminished and Augmented Triads")</f>
        <v>C-30 Diminished and Augmented Triads</v>
      </c>
      <c r="E99" s="12" t="str">
        <f t="shared" si="2"/>
        <v>Diminished and Augmented Triads</v>
      </c>
      <c r="F99" s="14" t="s">
        <v>298</v>
      </c>
      <c r="G99" s="14" t="str">
        <f>IFERROR(__xludf.DUMMYFUNCTION("REGEXREPLACE(B99,""(.*): (.*)"", ""$2"")"),"Fraction of all simultaneously sounding pitch groups that are either diminished or augmented triads. This is weighted by how long pitch groups are held (e.g. a pitch group lasting a whole note will be weighted four times as strongly as a pitch group lasti"&amp;"ng a quarter note).")</f>
        <v>Fraction of all simultaneously sounding pitch groups that are either diminished or augmented triads. This is weighted by how long pitch groups are held (e.g. a pitch group lasting a whole note will be weighted four times as strongly as a pitch group lasting a quarter note).</v>
      </c>
      <c r="H99" s="6">
        <f t="shared" si="5"/>
        <v>89</v>
      </c>
      <c r="I99" s="15" t="b">
        <v>1</v>
      </c>
      <c r="J99" s="6">
        <f t="shared" si="6"/>
        <v>74</v>
      </c>
      <c r="K99" s="15" t="b">
        <v>1</v>
      </c>
      <c r="L99" s="14"/>
      <c r="M99" s="9"/>
      <c r="N99" s="16" t="str">
        <f t="shared" si="3"/>
        <v>'Diminished_and_Augmented_Triads',</v>
      </c>
      <c r="O99" s="16" t="str">
        <f t="shared" si="4"/>
        <v>'Diminished_and_Augmented_Triads',</v>
      </c>
      <c r="P99" s="16" t="s">
        <v>299</v>
      </c>
      <c r="Q99" s="16"/>
      <c r="R99" s="9"/>
    </row>
    <row r="100" ht="15.75" customHeight="1">
      <c r="A100" s="9"/>
      <c r="B100" s="10" t="s">
        <v>300</v>
      </c>
      <c r="C100" s="11" t="str">
        <f t="shared" si="1"/>
        <v>C-31</v>
      </c>
      <c r="D100" s="12" t="str">
        <f>IFERROR(__xludf.DUMMYFUNCTION("REGEXREPLACE(B100,""(.*):(.*)"", ""$1"")"),"C-31 Dominant Seventh Chords")</f>
        <v>C-31 Dominant Seventh Chords</v>
      </c>
      <c r="E100" s="12" t="str">
        <f t="shared" si="2"/>
        <v>Dominant Seventh Chords</v>
      </c>
      <c r="F100" s="14" t="s">
        <v>301</v>
      </c>
      <c r="G100" s="14" t="str">
        <f>IFERROR(__xludf.DUMMYFUNCTION("REGEXREPLACE(B100,""(.*): (.*)"", ""$2"")"),"Fraction of all simultaneously sounding pitch groups that are dominant seventh chords. This is weighted by how long pitch groups are held (e.g. a pitch group lasting a whole note will be weighted four times as strongly as a pitch group lasting a quarter n"&amp;"ote).")</f>
        <v>Fraction of all simultaneously sounding pitch groups that are dominant seventh chords. This is weighted by how long pitch groups are held (e.g. a pitch group lasting a whole note will be weighted four times as strongly as a pitch group lasting a quarter note).</v>
      </c>
      <c r="H100" s="6">
        <f t="shared" si="5"/>
        <v>90</v>
      </c>
      <c r="I100" s="15" t="b">
        <v>1</v>
      </c>
      <c r="J100" s="6">
        <f t="shared" si="6"/>
        <v>75</v>
      </c>
      <c r="K100" s="15" t="b">
        <v>1</v>
      </c>
      <c r="L100" s="14"/>
      <c r="M100" s="9"/>
      <c r="N100" s="16" t="str">
        <f t="shared" si="3"/>
        <v>'Dominant_Seventh_Chords',</v>
      </c>
      <c r="O100" s="16" t="str">
        <f t="shared" si="4"/>
        <v>'Dominant_Seventh_Chords',</v>
      </c>
      <c r="P100" s="16" t="s">
        <v>302</v>
      </c>
      <c r="Q100" s="16"/>
      <c r="R100" s="9"/>
    </row>
    <row r="101" ht="15.75" customHeight="1">
      <c r="A101" s="9"/>
      <c r="B101" s="10" t="s">
        <v>303</v>
      </c>
      <c r="C101" s="11" t="str">
        <f t="shared" si="1"/>
        <v>C-32</v>
      </c>
      <c r="D101" s="12" t="str">
        <f>IFERROR(__xludf.DUMMYFUNCTION("REGEXREPLACE(B101,""(.*):(.*)"", ""$1"")"),"C-32 Seventh Chords")</f>
        <v>C-32 Seventh Chords</v>
      </c>
      <c r="E101" s="12" t="str">
        <f t="shared" si="2"/>
        <v>Seventh Chords</v>
      </c>
      <c r="F101" s="14" t="s">
        <v>304</v>
      </c>
      <c r="G101" s="14" t="str">
        <f>IFERROR(__xludf.DUMMYFUNCTION("REGEXREPLACE(B101,""(.*): (.*)"", ""$2"")"),"Fraction of all simultaneously sounding pitch groups that are dominant seventh, major seventh or minor seventh chords. This is weighted by how long pitch groups are held (e.g. a pitch group lasting a whole note will be weighted four times as strongly as a"&amp;" pitch group lasting a quarter note).")</f>
        <v>Fraction of all simultaneously sounding pitch groups that are dominant seventh, major seventh or minor seventh chords. This is weighted by how long pitch groups are held (e.g. a pitch group lasting a whole note will be weighted four times as strongly as a pitch group lasting a quarter note).</v>
      </c>
      <c r="H101" s="6">
        <f t="shared" si="5"/>
        <v>91</v>
      </c>
      <c r="I101" s="15" t="b">
        <v>1</v>
      </c>
      <c r="J101" s="6">
        <f t="shared" si="6"/>
        <v>76</v>
      </c>
      <c r="K101" s="15" t="b">
        <v>1</v>
      </c>
      <c r="L101" s="14"/>
      <c r="M101" s="9"/>
      <c r="N101" s="16" t="str">
        <f t="shared" si="3"/>
        <v>'Seventh_Chords',</v>
      </c>
      <c r="O101" s="16" t="str">
        <f t="shared" si="4"/>
        <v>'Seventh_Chords',</v>
      </c>
      <c r="P101" s="16" t="s">
        <v>305</v>
      </c>
      <c r="Q101" s="16"/>
      <c r="R101" s="9"/>
    </row>
    <row r="102" ht="15.75" customHeight="1">
      <c r="A102" s="9"/>
      <c r="B102" s="10" t="s">
        <v>306</v>
      </c>
      <c r="C102" s="11" t="str">
        <f t="shared" si="1"/>
        <v>C-33</v>
      </c>
      <c r="D102" s="12" t="str">
        <f>IFERROR(__xludf.DUMMYFUNCTION("REGEXREPLACE(B102,""(.*):(.*)"", ""$1"")"),"C-33 Non-Standard Chords")</f>
        <v>C-33 Non-Standard Chords</v>
      </c>
      <c r="E102" s="12" t="str">
        <f t="shared" si="2"/>
        <v>Non-Standard Chords</v>
      </c>
      <c r="F102" s="14" t="s">
        <v>307</v>
      </c>
      <c r="G102" s="14" t="str">
        <f>IFERROR(__xludf.DUMMYFUNCTION("REGEXREPLACE(B102,""(.*): (.*)"", ""$2"")"),"Fraction of all simultaneously sounding pitch groups that consist of more than two pitch classes yet are not major triads, are not minor triads and are not seventh chords. This is weighted by how long pitch groups are held (e.g. a pitch group lasting a wh"&amp;"ole note will be weighted four times as strongly as a pitch group lasting a quarter note).")</f>
        <v>Fraction of all simultaneously sounding pitch groups that consist of more than two pitch classes yet are not major triads, are not minor triads and are not seventh chords. This is weighted by how long pitch groups are held (e.g. a pitch group lasting a whole note will be weighted four times as strongly as a pitch group lasting a quarter note).</v>
      </c>
      <c r="H102" s="6">
        <f t="shared" si="5"/>
        <v>92</v>
      </c>
      <c r="I102" s="15" t="b">
        <v>1</v>
      </c>
      <c r="J102" s="6">
        <f t="shared" si="6"/>
        <v>77</v>
      </c>
      <c r="K102" s="15" t="b">
        <v>1</v>
      </c>
      <c r="L102" s="14"/>
      <c r="M102" s="9"/>
      <c r="N102" s="16" t="str">
        <f t="shared" si="3"/>
        <v>'Non-Standard_Chords',</v>
      </c>
      <c r="O102" s="16" t="str">
        <f t="shared" si="4"/>
        <v>'Non-Standard_Chords',</v>
      </c>
      <c r="P102" s="16" t="s">
        <v>308</v>
      </c>
      <c r="Q102" s="16"/>
      <c r="R102" s="9"/>
    </row>
    <row r="103" ht="15.75" customHeight="1">
      <c r="A103" s="9"/>
      <c r="B103" s="10" t="s">
        <v>309</v>
      </c>
      <c r="C103" s="11" t="str">
        <f t="shared" si="1"/>
        <v>C-34</v>
      </c>
      <c r="D103" s="12" t="str">
        <f>IFERROR(__xludf.DUMMYFUNCTION("REGEXREPLACE(B103,""(.*):(.*)"", ""$1"")"),"C-34 Complex Chords")</f>
        <v>C-34 Complex Chords</v>
      </c>
      <c r="E103" s="12" t="str">
        <f t="shared" si="2"/>
        <v>Complex Chords</v>
      </c>
      <c r="F103" s="14" t="s">
        <v>310</v>
      </c>
      <c r="G103" s="14" t="str">
        <f>IFERROR(__xludf.DUMMYFUNCTION("REGEXREPLACE(B103,""(.*): (.*)"", ""$2"")"),"Fraction of all simultaneously sounding pitch groups that contain more that four pitch classes. This is weighted by how long pitch groups are held (e.g. a pitch group lasting a whole note will be weighted four times as strongly as a pitch group lasting a "&amp;"quarter note).")</f>
        <v>Fraction of all simultaneously sounding pitch groups that contain more that four pitch classes. This is weighted by how long pitch groups are held (e.g. a pitch group lasting a whole note will be weighted four times as strongly as a pitch group lasting a quarter note).</v>
      </c>
      <c r="H103" s="6">
        <f t="shared" si="5"/>
        <v>93</v>
      </c>
      <c r="I103" s="15" t="b">
        <v>1</v>
      </c>
      <c r="J103" s="6">
        <f t="shared" si="6"/>
        <v>78</v>
      </c>
      <c r="K103" s="15" t="b">
        <v>1</v>
      </c>
      <c r="L103" s="14"/>
      <c r="M103" s="9"/>
      <c r="N103" s="16" t="str">
        <f t="shared" si="3"/>
        <v>'Complex_Chords',</v>
      </c>
      <c r="O103" s="16" t="str">
        <f t="shared" si="4"/>
        <v>'Complex_Chords',</v>
      </c>
      <c r="P103" s="16" t="s">
        <v>311</v>
      </c>
      <c r="Q103" s="16"/>
      <c r="R103" s="9"/>
    </row>
    <row r="104" ht="15.75" customHeight="1">
      <c r="A104" s="9"/>
      <c r="B104" s="10" t="s">
        <v>312</v>
      </c>
      <c r="C104" s="11" t="str">
        <f t="shared" si="1"/>
        <v>C-35</v>
      </c>
      <c r="D104" s="12" t="str">
        <f>IFERROR(__xludf.DUMMYFUNCTION("REGEXREPLACE(B104,""(.*):(.*)"", ""$1"")"),"C-35 Minor Major Triad Ratio")</f>
        <v>C-35 Minor Major Triad Ratio</v>
      </c>
      <c r="E104" s="12" t="str">
        <f t="shared" si="2"/>
        <v>Minor Major Triad Ratio</v>
      </c>
      <c r="F104" s="14" t="s">
        <v>313</v>
      </c>
      <c r="G104" s="14" t="str">
        <f>IFERROR(__xludf.DUMMYFUNCTION("REGEXREPLACE(B104,""(.*): (.*)"", ""$2"")"),"The prevalence of minor triads divided by the prevalence of major triads. This is weighted by how long the chords are held (e.g. a chord lasting a whole note will be weighted four times as strongly as a chord lasting a quarter note). Set to 0 if there are"&amp;" no minor triads or if there are no major triads.")</f>
        <v>The prevalence of minor triads divided by the prevalence of major triads. This is weighted by how long the chords are held (e.g. a chord lasting a whole note will be weighted four times as strongly as a chord lasting a quarter note). Set to 0 if there are no minor triads or if there are no major triads.</v>
      </c>
      <c r="H104" s="6">
        <f t="shared" si="5"/>
        <v>94</v>
      </c>
      <c r="I104" s="15" t="b">
        <v>1</v>
      </c>
      <c r="J104" s="6">
        <f t="shared" si="6"/>
        <v>79</v>
      </c>
      <c r="K104" s="15" t="b">
        <v>1</v>
      </c>
      <c r="L104" s="14"/>
      <c r="M104" s="9"/>
      <c r="N104" s="16" t="str">
        <f t="shared" si="3"/>
        <v>'Minor_Major_Triad_Ratio',</v>
      </c>
      <c r="O104" s="16" t="str">
        <f t="shared" si="4"/>
        <v>'Minor_Major_Triad_Ratio',</v>
      </c>
      <c r="P104" s="16" t="s">
        <v>314</v>
      </c>
      <c r="Q104" s="16"/>
      <c r="R104" s="9"/>
    </row>
    <row r="105" ht="15.75" customHeight="1">
      <c r="A105" s="9"/>
      <c r="B105" s="10" t="s">
        <v>315</v>
      </c>
      <c r="C105" s="11" t="str">
        <f t="shared" si="1"/>
        <v>R-1</v>
      </c>
      <c r="D105" s="12" t="str">
        <f>IFERROR(__xludf.DUMMYFUNCTION("REGEXREPLACE(B105,""(.*):(.*)"", ""$1"")"),"R-1 Initial Time Signature")</f>
        <v>R-1 Initial Time Signature</v>
      </c>
      <c r="E105" s="12" t="str">
        <f t="shared" si="2"/>
        <v>Initial Time Signature</v>
      </c>
      <c r="F105" s="14"/>
      <c r="G105" s="14" t="str">
        <f>IFERROR(__xludf.DUMMYFUNCTION("REGEXREPLACE(B105,""(.*): (.*)"", ""$2"")"),"A feature vector consisting of two values. The first is the numerator of the first specified time signature in the piece, and the second is the denominator of the same time signature. Set to 4/4 if no time signature is specified.")</f>
        <v>A feature vector consisting of two values. The first is the numerator of the first specified time signature in the piece, and the second is the denominator of the same time signature. Set to 4/4 if no time signature is specified.</v>
      </c>
      <c r="H105" s="6">
        <f t="shared" si="5"/>
        <v>94</v>
      </c>
      <c r="I105" s="15" t="b">
        <v>0</v>
      </c>
      <c r="J105" s="6">
        <f t="shared" si="6"/>
        <v>79</v>
      </c>
      <c r="K105" s="15" t="b">
        <v>0</v>
      </c>
      <c r="L105" s="14"/>
      <c r="M105" s="9"/>
      <c r="N105" s="16" t="str">
        <f t="shared" si="3"/>
        <v/>
      </c>
      <c r="O105" s="16" t="str">
        <f t="shared" si="4"/>
        <v/>
      </c>
      <c r="P105" s="16" t="s">
        <v>316</v>
      </c>
      <c r="Q105" s="16"/>
      <c r="R105" s="9"/>
    </row>
    <row r="106" ht="15.75" customHeight="1">
      <c r="A106" s="9"/>
      <c r="B106" s="10" t="s">
        <v>317</v>
      </c>
      <c r="C106" s="11" t="str">
        <f t="shared" si="1"/>
        <v>R-2</v>
      </c>
      <c r="D106" s="12" t="str">
        <f>IFERROR(__xludf.DUMMYFUNCTION("REGEXREPLACE(B106,""(.*):(.*)"", ""$1"")"),"R-2 Simple Initial Meter")</f>
        <v>R-2 Simple Initial Meter</v>
      </c>
      <c r="E106" s="12" t="str">
        <f t="shared" si="2"/>
        <v>Simple Initial Meter</v>
      </c>
      <c r="F106" s="14" t="s">
        <v>318</v>
      </c>
      <c r="G106" s="14" t="str">
        <f>IFERROR(__xludf.DUMMYFUNCTION("REGEXREPLACE(B106,""(.*): (.*)"", ""$2"")"),"Set to 1 if the initial meter is a standard simple meter (i.e. if the numerator of the time signature is 2, 3 or 4) and to 0 otherwise.")</f>
        <v>Set to 1 if the initial meter is a standard simple meter (i.e. if the numerator of the time signature is 2, 3 or 4) and to 0 otherwise.</v>
      </c>
      <c r="H106" s="6">
        <f t="shared" si="5"/>
        <v>95</v>
      </c>
      <c r="I106" s="15" t="b">
        <v>1</v>
      </c>
      <c r="J106" s="6">
        <f t="shared" si="6"/>
        <v>80</v>
      </c>
      <c r="K106" s="15" t="b">
        <v>1</v>
      </c>
      <c r="L106" s="14"/>
      <c r="M106" s="9"/>
      <c r="N106" s="16" t="str">
        <f t="shared" si="3"/>
        <v>'Simple_Initial_Meter',</v>
      </c>
      <c r="O106" s="16" t="str">
        <f t="shared" si="4"/>
        <v>'Simple_Initial_Meter',</v>
      </c>
      <c r="P106" s="16" t="s">
        <v>319</v>
      </c>
      <c r="Q106" s="16"/>
      <c r="R106" s="9"/>
    </row>
    <row r="107" ht="15.75" customHeight="1">
      <c r="A107" s="9"/>
      <c r="B107" s="10" t="s">
        <v>320</v>
      </c>
      <c r="C107" s="11" t="str">
        <f t="shared" si="1"/>
        <v>R-3</v>
      </c>
      <c r="D107" s="12" t="str">
        <f>IFERROR(__xludf.DUMMYFUNCTION("REGEXREPLACE(B107,""(.*):(.*)"", ""$1"")"),"R-3 Compound Initial Meter")</f>
        <v>R-3 Compound Initial Meter</v>
      </c>
      <c r="E107" s="12" t="str">
        <f t="shared" si="2"/>
        <v>Compound Initial Meter</v>
      </c>
      <c r="F107" s="14" t="s">
        <v>321</v>
      </c>
      <c r="G107" s="14" t="str">
        <f>IFERROR(__xludf.DUMMYFUNCTION("REGEXREPLACE(B107,""(.*): (.*)"", ""$2"")"),"Set to 1 if the initial meter is a standard compound meter (i.e. if the numerator of the time signature is 6, 9, 12, 15, 18 or 24) and to 0 otherwise.")</f>
        <v>Set to 1 if the initial meter is a standard compound meter (i.e. if the numerator of the time signature is 6, 9, 12, 15, 18 or 24) and to 0 otherwise.</v>
      </c>
      <c r="H107" s="6">
        <f t="shared" si="5"/>
        <v>96</v>
      </c>
      <c r="I107" s="15" t="b">
        <v>1</v>
      </c>
      <c r="J107" s="6">
        <f t="shared" si="6"/>
        <v>81</v>
      </c>
      <c r="K107" s="15" t="b">
        <v>1</v>
      </c>
      <c r="L107" s="14"/>
      <c r="M107" s="9"/>
      <c r="N107" s="16" t="str">
        <f t="shared" si="3"/>
        <v>'Compound_Initial_Meter',</v>
      </c>
      <c r="O107" s="16" t="str">
        <f t="shared" si="4"/>
        <v>'Compound_Initial_Meter',</v>
      </c>
      <c r="P107" s="16" t="s">
        <v>322</v>
      </c>
      <c r="Q107" s="16"/>
      <c r="R107" s="9"/>
    </row>
    <row r="108" ht="15.75" customHeight="1">
      <c r="A108" s="9"/>
      <c r="B108" s="10" t="s">
        <v>323</v>
      </c>
      <c r="C108" s="11" t="str">
        <f t="shared" si="1"/>
        <v>R-4</v>
      </c>
      <c r="D108" s="12" t="str">
        <f>IFERROR(__xludf.DUMMYFUNCTION("REGEXREPLACE(B108,""(.*):(.*)"", ""$1"")"),"R-4 Complex Initial Meter")</f>
        <v>R-4 Complex Initial Meter</v>
      </c>
      <c r="E108" s="12" t="str">
        <f t="shared" si="2"/>
        <v>Complex Initial Meter</v>
      </c>
      <c r="F108" s="14" t="s">
        <v>324</v>
      </c>
      <c r="G108" s="14" t="str">
        <f>IFERROR(__xludf.DUMMYFUNCTION("REGEXREPLACE(B108,""(.*): (.*)"", ""$2"")"),"Set to 1 if the initial meter is a standard complex meter (i.e. if the numerator of the time signature is 5, 7, 9, 11, 13, 15, 22 or 25) and to 0 otherwise.")</f>
        <v>Set to 1 if the initial meter is a standard complex meter (i.e. if the numerator of the time signature is 5, 7, 9, 11, 13, 15, 22 or 25) and to 0 otherwise.</v>
      </c>
      <c r="H108" s="6">
        <f t="shared" si="5"/>
        <v>97</v>
      </c>
      <c r="I108" s="15" t="b">
        <v>1</v>
      </c>
      <c r="J108" s="6">
        <f t="shared" si="6"/>
        <v>82</v>
      </c>
      <c r="K108" s="15" t="b">
        <v>1</v>
      </c>
      <c r="L108" s="14"/>
      <c r="M108" s="9"/>
      <c r="N108" s="16" t="str">
        <f t="shared" si="3"/>
        <v>'Complex_Initial_Meter',</v>
      </c>
      <c r="O108" s="16" t="str">
        <f t="shared" si="4"/>
        <v>'Complex_Initial_Meter',</v>
      </c>
      <c r="P108" s="16" t="s">
        <v>325</v>
      </c>
      <c r="Q108" s="16"/>
      <c r="R108" s="9"/>
    </row>
    <row r="109" ht="15.75" customHeight="1">
      <c r="A109" s="9"/>
      <c r="B109" s="10" t="s">
        <v>326</v>
      </c>
      <c r="C109" s="11" t="str">
        <f t="shared" si="1"/>
        <v>R-5</v>
      </c>
      <c r="D109" s="12" t="str">
        <f>IFERROR(__xludf.DUMMYFUNCTION("REGEXREPLACE(B109,""(.*):(.*)"", ""$1"")"),"R-5 Duple Initial Meter")</f>
        <v>R-5 Duple Initial Meter</v>
      </c>
      <c r="E109" s="12" t="str">
        <f t="shared" si="2"/>
        <v>Duple Initial Meter</v>
      </c>
      <c r="F109" s="14" t="s">
        <v>327</v>
      </c>
      <c r="G109" s="14" t="str">
        <f>IFERROR(__xludf.DUMMYFUNCTION("REGEXREPLACE(B109,""(.*): (.*)"", ""$2"")"),"Set to 1 if the initial meter is a standard simple or compound duple meter (i.e. if the numerator of the time signature is 2 or 6) and to 0 otherwise.")</f>
        <v>Set to 1 if the initial meter is a standard simple or compound duple meter (i.e. if the numerator of the time signature is 2 or 6) and to 0 otherwise.</v>
      </c>
      <c r="H109" s="6">
        <f t="shared" si="5"/>
        <v>98</v>
      </c>
      <c r="I109" s="15" t="b">
        <v>1</v>
      </c>
      <c r="J109" s="6">
        <f t="shared" si="6"/>
        <v>83</v>
      </c>
      <c r="K109" s="15" t="b">
        <v>1</v>
      </c>
      <c r="L109" s="14"/>
      <c r="M109" s="9"/>
      <c r="N109" s="16" t="str">
        <f t="shared" si="3"/>
        <v>'Duple_Initial_Meter',</v>
      </c>
      <c r="O109" s="16" t="str">
        <f t="shared" si="4"/>
        <v>'Duple_Initial_Meter',</v>
      </c>
      <c r="P109" s="16" t="s">
        <v>328</v>
      </c>
      <c r="Q109" s="16"/>
      <c r="R109" s="9"/>
    </row>
    <row r="110" ht="15.75" customHeight="1">
      <c r="A110" s="9"/>
      <c r="B110" s="10" t="s">
        <v>329</v>
      </c>
      <c r="C110" s="11" t="str">
        <f t="shared" si="1"/>
        <v>R-6</v>
      </c>
      <c r="D110" s="12" t="str">
        <f>IFERROR(__xludf.DUMMYFUNCTION("REGEXREPLACE(B110,""(.*):(.*)"", ""$1"")"),"R-6 Triple Initial Meter")</f>
        <v>R-6 Triple Initial Meter</v>
      </c>
      <c r="E110" s="12" t="str">
        <f t="shared" si="2"/>
        <v>Triple Initial Meter</v>
      </c>
      <c r="F110" s="14" t="s">
        <v>330</v>
      </c>
      <c r="G110" s="14" t="str">
        <f>IFERROR(__xludf.DUMMYFUNCTION("REGEXREPLACE(B110,""(.*): (.*)"", ""$2"")"),"Set to 1 if the initial meter is a standard simple or compound triple meter (i.e. if the numerator of the time signature is 3 or 9) and to 0 otherwise.")</f>
        <v>Set to 1 if the initial meter is a standard simple or compound triple meter (i.e. if the numerator of the time signature is 3 or 9) and to 0 otherwise.</v>
      </c>
      <c r="H110" s="6">
        <f t="shared" si="5"/>
        <v>99</v>
      </c>
      <c r="I110" s="15" t="b">
        <v>1</v>
      </c>
      <c r="J110" s="6">
        <f t="shared" si="6"/>
        <v>84</v>
      </c>
      <c r="K110" s="15" t="b">
        <v>1</v>
      </c>
      <c r="L110" s="14"/>
      <c r="M110" s="9"/>
      <c r="N110" s="16" t="str">
        <f t="shared" si="3"/>
        <v>'Triple_Initial_Meter',</v>
      </c>
      <c r="O110" s="16" t="str">
        <f t="shared" si="4"/>
        <v>'Triple_Initial_Meter',</v>
      </c>
      <c r="P110" s="16" t="s">
        <v>331</v>
      </c>
      <c r="Q110" s="16"/>
      <c r="R110" s="9"/>
    </row>
    <row r="111" ht="15.75" customHeight="1">
      <c r="A111" s="9"/>
      <c r="B111" s="10" t="s">
        <v>332</v>
      </c>
      <c r="C111" s="11" t="str">
        <f t="shared" si="1"/>
        <v>R-7</v>
      </c>
      <c r="D111" s="12" t="str">
        <f>IFERROR(__xludf.DUMMYFUNCTION("REGEXREPLACE(B111,""(.*):(.*)"", ""$1"")"),"R-7 Quadruple Initial Meter")</f>
        <v>R-7 Quadruple Initial Meter</v>
      </c>
      <c r="E111" s="12" t="str">
        <f t="shared" si="2"/>
        <v>Quadruple Initial Meter</v>
      </c>
      <c r="F111" s="14" t="s">
        <v>333</v>
      </c>
      <c r="G111" s="14" t="str">
        <f>IFERROR(__xludf.DUMMYFUNCTION("REGEXREPLACE(B111,""(.*): (.*)"", ""$2"")"),"Set to 1 if the initial meter is a standard simple or compound quadruple meter (i.e. if the numerator of the time signature is 4 or 12) and to 0 otherwise.")</f>
        <v>Set to 1 if the initial meter is a standard simple or compound quadruple meter (i.e. if the numerator of the time signature is 4 or 12) and to 0 otherwise.</v>
      </c>
      <c r="H111" s="6">
        <f t="shared" si="5"/>
        <v>100</v>
      </c>
      <c r="I111" s="15" t="b">
        <v>1</v>
      </c>
      <c r="J111" s="6">
        <f t="shared" si="6"/>
        <v>85</v>
      </c>
      <c r="K111" s="15" t="b">
        <v>1</v>
      </c>
      <c r="L111" s="14"/>
      <c r="M111" s="9"/>
      <c r="N111" s="16" t="str">
        <f t="shared" si="3"/>
        <v>'Quadruple_Initial_Meter',</v>
      </c>
      <c r="O111" s="16" t="str">
        <f t="shared" si="4"/>
        <v>'Quadruple_Initial_Meter',</v>
      </c>
      <c r="P111" s="16" t="s">
        <v>334</v>
      </c>
      <c r="Q111" s="16"/>
      <c r="R111" s="9"/>
    </row>
    <row r="112" ht="15.75" customHeight="1">
      <c r="A112" s="9"/>
      <c r="B112" s="10" t="s">
        <v>335</v>
      </c>
      <c r="C112" s="11" t="str">
        <f t="shared" si="1"/>
        <v>R-8</v>
      </c>
      <c r="D112" s="12" t="str">
        <f>IFERROR(__xludf.DUMMYFUNCTION("REGEXREPLACE(B112,""(.*):(.*)"", ""$1"")"),"R-8 Metrical Diversity")</f>
        <v>R-8 Metrical Diversity</v>
      </c>
      <c r="E112" s="12" t="str">
        <f t="shared" si="2"/>
        <v>Metrical Diversity</v>
      </c>
      <c r="F112" s="14" t="s">
        <v>336</v>
      </c>
      <c r="G112" s="14" t="str">
        <f>IFERROR(__xludf.DUMMYFUNCTION("REGEXREPLACE(B112,""(.*): (.*)"", ""$2"")"),"The number of different (unique) time signatures found in the piece. Set to 1 if no time signature is specified.")</f>
        <v>The number of different (unique) time signatures found in the piece. Set to 1 if no time signature is specified.</v>
      </c>
      <c r="H112" s="6">
        <f t="shared" si="5"/>
        <v>101</v>
      </c>
      <c r="I112" s="15" t="b">
        <v>1</v>
      </c>
      <c r="J112" s="6">
        <f t="shared" si="6"/>
        <v>86</v>
      </c>
      <c r="K112" s="15" t="b">
        <v>1</v>
      </c>
      <c r="L112" s="14"/>
      <c r="M112" s="9"/>
      <c r="N112" s="16" t="str">
        <f t="shared" si="3"/>
        <v>'Metrical_Diversity',</v>
      </c>
      <c r="O112" s="16" t="str">
        <f t="shared" si="4"/>
        <v>'Metrical_Diversity',</v>
      </c>
      <c r="P112" s="16" t="s">
        <v>337</v>
      </c>
      <c r="Q112" s="16"/>
      <c r="R112" s="9"/>
    </row>
    <row r="113" ht="15.75" customHeight="1">
      <c r="A113" s="9"/>
      <c r="B113" s="10" t="s">
        <v>338</v>
      </c>
      <c r="C113" s="11" t="str">
        <f t="shared" si="1"/>
        <v>R-9</v>
      </c>
      <c r="D113" s="12" t="str">
        <f>IFERROR(__xludf.DUMMYFUNCTION("REGEXREPLACE(B113,""(.*):(.*)"", ""$1"")"),"R-9 Total Number of Notes")</f>
        <v>R-9 Total Number of Notes</v>
      </c>
      <c r="E113" s="12" t="str">
        <f t="shared" si="2"/>
        <v>Total Number of Notes</v>
      </c>
      <c r="F113" s="14" t="s">
        <v>339</v>
      </c>
      <c r="G113" s="14" t="str">
        <f>IFERROR(__xludf.DUMMYFUNCTION("REGEXREPLACE(B113,""(.*): (.*)"", ""$2"")"),"Total number of notes, including both pitched and unpitched notes.")</f>
        <v>Total number of notes, including both pitched and unpitched notes.</v>
      </c>
      <c r="H113" s="6">
        <f t="shared" si="5"/>
        <v>102</v>
      </c>
      <c r="I113" s="15" t="b">
        <v>1</v>
      </c>
      <c r="J113" s="6">
        <f t="shared" si="6"/>
        <v>87</v>
      </c>
      <c r="K113" s="15" t="b">
        <v>1</v>
      </c>
      <c r="L113" s="14"/>
      <c r="M113" s="9"/>
      <c r="N113" s="16" t="str">
        <f t="shared" si="3"/>
        <v>'Total_Number_of_Notes',</v>
      </c>
      <c r="O113" s="16" t="str">
        <f t="shared" si="4"/>
        <v>'Total_Number_of_Notes',</v>
      </c>
      <c r="P113" s="16" t="s">
        <v>340</v>
      </c>
      <c r="Q113" s="16"/>
      <c r="R113" s="9"/>
    </row>
    <row r="114" ht="15.75" customHeight="1">
      <c r="A114" s="9"/>
      <c r="B114" s="10" t="s">
        <v>341</v>
      </c>
      <c r="C114" s="11" t="str">
        <f t="shared" si="1"/>
        <v>R-10</v>
      </c>
      <c r="D114" s="12" t="str">
        <f>IFERROR(__xludf.DUMMYFUNCTION("REGEXREPLACE(B114,""(.*):(.*)"", ""$1"")"),"R-10 Note Density per Quarter Note")</f>
        <v>R-10 Note Density per Quarter Note</v>
      </c>
      <c r="E114" s="12" t="str">
        <f t="shared" si="2"/>
        <v>Note Density per Quarter Note</v>
      </c>
      <c r="F114" s="14" t="s">
        <v>342</v>
      </c>
      <c r="G114" s="14" t="str">
        <f>IFERROR(__xludf.DUMMYFUNCTION("REGEXREPLACE(B114,""(.*): (.*)"", ""$2"")"),"Average number of note onsets per unit of time corresponding to an idealized quarter note. Takes into account all notes in all voices, including both pitched and unpitched notes.")</f>
        <v>Average number of note onsets per unit of time corresponding to an idealized quarter note. Takes into account all notes in all voices, including both pitched and unpitched notes.</v>
      </c>
      <c r="H114" s="6">
        <f t="shared" si="5"/>
        <v>103</v>
      </c>
      <c r="I114" s="15" t="b">
        <v>1</v>
      </c>
      <c r="J114" s="6">
        <f t="shared" si="6"/>
        <v>88</v>
      </c>
      <c r="K114" s="15" t="b">
        <v>1</v>
      </c>
      <c r="L114" s="14"/>
      <c r="M114" s="9"/>
      <c r="N114" s="16" t="str">
        <f t="shared" si="3"/>
        <v>'Note_Density_per_Quarter_Note',</v>
      </c>
      <c r="O114" s="16" t="str">
        <f t="shared" si="4"/>
        <v>'Note_Density_per_Quarter_Note',</v>
      </c>
      <c r="P114" s="16" t="s">
        <v>343</v>
      </c>
      <c r="Q114" s="16"/>
      <c r="R114" s="9"/>
    </row>
    <row r="115" ht="15.75" customHeight="1">
      <c r="A115" s="9"/>
      <c r="B115" s="10" t="s">
        <v>344</v>
      </c>
      <c r="C115" s="11" t="str">
        <f t="shared" si="1"/>
        <v>R-11</v>
      </c>
      <c r="D115" s="12" t="str">
        <f>IFERROR(__xludf.DUMMYFUNCTION("REGEXREPLACE(B115,""(.*):(.*)"", ""$1"")"),"R-11 Note Density per Quarter Note per Voice")</f>
        <v>R-11 Note Density per Quarter Note per Voice</v>
      </c>
      <c r="E115" s="12" t="str">
        <f t="shared" si="2"/>
        <v>Note Density per Quarter Note per Voice</v>
      </c>
      <c r="F115" s="14" t="s">
        <v>345</v>
      </c>
      <c r="G115" s="14" t="str">
        <f>IFERROR(__xludf.DUMMYFUNCTION("REGEXREPLACE(B115,""(.*): (.*)"", ""$2"")"),"Average number of note onsets per unit of time corresponding to an idealized quarter note, divided by the total number of voices present (i.e. the number of MIDI channels that contain one or more notes in the piece). Takes into account all notes in all vo"&amp;"ices, including both pitched and unpitched notes.")</f>
        <v>Average number of note onsets per unit of time corresponding to an idealized quarter note, divided by the total number of voices present (i.e. the number of MIDI channels that contain one or more notes in the piece). Takes into account all notes in all voices, including both pitched and unpitched notes.</v>
      </c>
      <c r="H115" s="6">
        <f t="shared" si="5"/>
        <v>104</v>
      </c>
      <c r="I115" s="15" t="b">
        <v>1</v>
      </c>
      <c r="J115" s="6">
        <f t="shared" si="6"/>
        <v>89</v>
      </c>
      <c r="K115" s="15" t="b">
        <v>1</v>
      </c>
      <c r="L115" s="14"/>
      <c r="M115" s="9"/>
      <c r="N115" s="16" t="str">
        <f t="shared" si="3"/>
        <v>'Note_Density_per_Quarter_Note_per_Voice',</v>
      </c>
      <c r="O115" s="16" t="str">
        <f t="shared" si="4"/>
        <v>'Note_Density_per_Quarter_Note_per_Voice',</v>
      </c>
      <c r="P115" s="16" t="s">
        <v>346</v>
      </c>
      <c r="Q115" s="16"/>
      <c r="R115" s="9"/>
    </row>
    <row r="116" ht="15.75" customHeight="1">
      <c r="A116" s="9"/>
      <c r="B116" s="10" t="s">
        <v>347</v>
      </c>
      <c r="C116" s="11" t="str">
        <f t="shared" si="1"/>
        <v>R-12</v>
      </c>
      <c r="D116" s="12" t="str">
        <f>IFERROR(__xludf.DUMMYFUNCTION("REGEXREPLACE(B116,""(.*):(.*)"", ""$1"")"),"R-12 Note Density per Quarter Note Variability")</f>
        <v>R-12 Note Density per Quarter Note Variability</v>
      </c>
      <c r="E116" s="12" t="str">
        <f t="shared" si="2"/>
        <v>Note Density per Quarter Note Variability</v>
      </c>
      <c r="F116" s="14" t="s">
        <v>348</v>
      </c>
      <c r="G116" s="14" t="str">
        <f>IFERROR(__xludf.DUMMYFUNCTION("REGEXREPLACE(B116,""(.*): (.*)"", ""$2"")"),"How much the note density per quarter note (average number of note onsetss per idealized quarter note duration) varies throughout the piece. Takes into account all notes in all voices, including both pitched and unpitched notes. In order to calculate this"&amp;", the piece is broken into windows of 8 quarter note duration, and the note density of each window is calculated. The final value of this feature is then found by calculating the standard deviation of the note densities of these windows. Set to 0 if there"&amp;" is insufficient music for more than one window.")</f>
        <v>How much the note density per quarter note (average number of note onsetss per idealized quarter note duration) varies throughout the piece. Takes into account all notes in all voices, including both pitched and unpitched notes. In order to calculate this, the piece is broken into windows of 8 quarter note duration, and the note density of each window is calculated. The final value of this feature is then found by calculating the standard deviation of the note densities of these windows. Set to 0 if there is insufficient music for more than one window.</v>
      </c>
      <c r="H116" s="6">
        <f t="shared" si="5"/>
        <v>104</v>
      </c>
      <c r="I116" s="15" t="b">
        <v>0</v>
      </c>
      <c r="J116" s="6">
        <f t="shared" si="6"/>
        <v>89</v>
      </c>
      <c r="K116" s="15" t="b">
        <v>0</v>
      </c>
      <c r="L116" s="14" t="s">
        <v>349</v>
      </c>
      <c r="M116" s="9"/>
      <c r="N116" s="16" t="str">
        <f t="shared" si="3"/>
        <v/>
      </c>
      <c r="O116" s="16" t="str">
        <f t="shared" si="4"/>
        <v/>
      </c>
      <c r="P116" s="16" t="s">
        <v>350</v>
      </c>
      <c r="Q116" s="16"/>
      <c r="R116" s="9"/>
    </row>
    <row r="117" ht="15.75" customHeight="1">
      <c r="A117" s="9"/>
      <c r="B117" s="10" t="s">
        <v>351</v>
      </c>
      <c r="C117" s="11" t="str">
        <f t="shared" si="1"/>
        <v>R-13</v>
      </c>
      <c r="D117" s="12" t="str">
        <f>IFERROR(__xludf.DUMMYFUNCTION("REGEXREPLACE(B117,""(.*):(.*)"", ""$1"")"),"R-13 Rhythmic Value Histogram: A feature vector, as described above, representing a normalized histogram where the value of each bin specifies the fraction of all notes in the music with a rhythmic value corresponding to that of the given bin. The bins ar"&amp;"e numbered as follows")</f>
        <v>R-13 Rhythmic Value Histogram: A feature vector, as described above, representing a normalized histogram where the value of each bin specifies the fraction of all notes in the music with a rhythmic value corresponding to that of the given bin. The bins are numbered as follows</v>
      </c>
      <c r="E117" s="12" t="str">
        <f t="shared" si="2"/>
        <v>Rhythmic Value Histogram: A feature vector, as described above, representing a normalized histogram where the value of each bin specifies the fraction of all notes in the music with a rhythmic value corresponding to that of the given bin. The bins are numb</v>
      </c>
      <c r="F117" s="14"/>
      <c r="G117" s="14" t="str">
        <f>IFERROR(__xludf.DUMMYFUNCTION("REGEXREPLACE(B117,""(.*): (.*)"", ""$2"")"),"thirty second notes (or less) [0], sixteenth notes [1], eighth notes [2], dotted eighth notes [3], quarter notes [4], dotted quarter notes [5], half notes [6], dotted half notes [7], whole notes [8], dotted whole notes [9], double whole notes [10] and dot"&amp;"ted double whole notes (or more ) [11]. Both pitched and unpitched notes are included in this histogram. Tempo is, of course, not relevant to this histogram. Notes with durations not precisely matching one of these rhythmic note values are mapped to the c"&amp;"losest note value (to filter out the effects of rubato or uneven human rhythmic performances, for example). This histogram is calculated without regard to the dynamics, voice or instrument of any given note.")</f>
        <v>thirty second notes (or less) [0], sixteenth notes [1], eighth notes [2], dotted eighth notes [3], quarter notes [4], dotted quarter notes [5], half notes [6], dotted half notes [7], whole notes [8], dotted whole notes [9], double whole notes [10] and dotted double whole notes (or more ) [11]. Both pitched and unpitched notes are included in this histogram. Tempo is, of course, not relevant to this histogram. Notes with durations not precisely matching one of these rhythmic note values are mapped to the closest note value (to filter out the effects of rubato or uneven human rhythmic performances, for example). This histogram is calculated without regard to the dynamics, voice or instrument of any given note.</v>
      </c>
      <c r="H117" s="6">
        <f t="shared" si="5"/>
        <v>104</v>
      </c>
      <c r="I117" s="15" t="b">
        <v>0</v>
      </c>
      <c r="J117" s="6">
        <f t="shared" si="6"/>
        <v>89</v>
      </c>
      <c r="K117" s="15" t="b">
        <v>0</v>
      </c>
      <c r="L117" s="14"/>
      <c r="M117" s="9"/>
      <c r="N117" s="16" t="str">
        <f t="shared" si="3"/>
        <v/>
      </c>
      <c r="O117" s="16" t="str">
        <f t="shared" si="4"/>
        <v/>
      </c>
      <c r="P117" s="16" t="s">
        <v>352</v>
      </c>
      <c r="Q117" s="16"/>
      <c r="R117" s="9"/>
    </row>
    <row r="118" ht="15.75" customHeight="1">
      <c r="A118" s="9"/>
      <c r="B118" s="10" t="s">
        <v>353</v>
      </c>
      <c r="C118" s="11" t="str">
        <f t="shared" si="1"/>
        <v>R-14</v>
      </c>
      <c r="D118" s="12" t="str">
        <f>IFERROR(__xludf.DUMMYFUNCTION("REGEXREPLACE(B118,""(.*):(.*)"", ""$1"")"),"R-14 Range of Rhythmic Values")</f>
        <v>R-14 Range of Rhythmic Values</v>
      </c>
      <c r="E118" s="12" t="str">
        <f t="shared" si="2"/>
        <v>Range of Rhythmic Values</v>
      </c>
      <c r="F118" s="14" t="s">
        <v>354</v>
      </c>
      <c r="G118" s="14" t="str">
        <f>IFERROR(__xludf.DUMMYFUNCTION("REGEXREPLACE(B118,""(.*): (.*)"", ""$2"")"),"A measure of the difference between the shortest rhythmic values and the longest rhythmic values in the music. Measured in number of bins in the Rhythmic Value Histogram separating the first (i.e. the one with the shortest rhythmic value) non-zero bin and"&amp;" the last (i.e. the one with the longest rhythmic value) non-zero bin.")</f>
        <v>A measure of the difference between the shortest rhythmic values and the longest rhythmic values in the music. Measured in number of bins in the Rhythmic Value Histogram separating the first (i.e. the one with the shortest rhythmic value) non-zero bin and the last (i.e. the one with the longest rhythmic value) non-zero bin.</v>
      </c>
      <c r="H118" s="6">
        <f t="shared" si="5"/>
        <v>105</v>
      </c>
      <c r="I118" s="15" t="b">
        <v>1</v>
      </c>
      <c r="J118" s="6">
        <f t="shared" si="6"/>
        <v>90</v>
      </c>
      <c r="K118" s="15" t="b">
        <v>1</v>
      </c>
      <c r="L118" s="14"/>
      <c r="M118" s="9"/>
      <c r="N118" s="16" t="str">
        <f t="shared" si="3"/>
        <v>'Range_of_Rhythmic_Values',</v>
      </c>
      <c r="O118" s="16" t="str">
        <f t="shared" si="4"/>
        <v>'Range_of_Rhythmic_Values',</v>
      </c>
      <c r="P118" s="16" t="s">
        <v>355</v>
      </c>
      <c r="Q118" s="16"/>
      <c r="R118" s="9"/>
    </row>
    <row r="119" ht="15.75" customHeight="1">
      <c r="A119" s="9"/>
      <c r="B119" s="10" t="s">
        <v>356</v>
      </c>
      <c r="C119" s="11" t="str">
        <f t="shared" si="1"/>
        <v>R-15</v>
      </c>
      <c r="D119" s="12" t="str">
        <f>IFERROR(__xludf.DUMMYFUNCTION("REGEXREPLACE(B119,""(.*):(.*)"", ""$1"")"),"R-15 Number of Different Rhythmic Values Present")</f>
        <v>R-15 Number of Different Rhythmic Values Present</v>
      </c>
      <c r="E119" s="12" t="str">
        <f t="shared" si="2"/>
        <v>Number of Different Rhythmic Values Present</v>
      </c>
      <c r="F119" s="14" t="s">
        <v>357</v>
      </c>
      <c r="G119" s="14" t="str">
        <f>IFERROR(__xludf.DUMMYFUNCTION("REGEXREPLACE(B119,""(.*): (.*)"", ""$2"")"),"Number of different quantized rhythmic values (e.g. quarter notes, dotted quarter notes, half notes, etc.) that occur at least once in the music. This is found by finding all non-zero entries in the Rhythmic Value Histogram.")</f>
        <v>Number of different quantized rhythmic values (e.g. quarter notes, dotted quarter notes, half notes, etc.) that occur at least once in the music. This is found by finding all non-zero entries in the Rhythmic Value Histogram.</v>
      </c>
      <c r="H119" s="6">
        <f t="shared" si="5"/>
        <v>106</v>
      </c>
      <c r="I119" s="15" t="b">
        <v>1</v>
      </c>
      <c r="J119" s="6">
        <f t="shared" si="6"/>
        <v>91</v>
      </c>
      <c r="K119" s="15" t="b">
        <v>1</v>
      </c>
      <c r="L119" s="14"/>
      <c r="M119" s="9"/>
      <c r="N119" s="16" t="str">
        <f t="shared" si="3"/>
        <v>'Number_of_Different_Rhythmic_Values_Present',</v>
      </c>
      <c r="O119" s="16" t="str">
        <f t="shared" si="4"/>
        <v>'Number_of_Different_Rhythmic_Values_Present',</v>
      </c>
      <c r="P119" s="16" t="s">
        <v>358</v>
      </c>
      <c r="Q119" s="16"/>
      <c r="R119" s="9"/>
    </row>
    <row r="120" ht="15.75" customHeight="1">
      <c r="A120" s="9"/>
      <c r="B120" s="10" t="s">
        <v>359</v>
      </c>
      <c r="C120" s="11" t="str">
        <f t="shared" si="1"/>
        <v>R-16</v>
      </c>
      <c r="D120" s="12" t="str">
        <f>IFERROR(__xludf.DUMMYFUNCTION("REGEXREPLACE(B120,""(.*):(.*)"", ""$1"")"),"R-16 Number of Common Rhythmic Values Present")</f>
        <v>R-16 Number of Common Rhythmic Values Present</v>
      </c>
      <c r="E120" s="12" t="str">
        <f t="shared" si="2"/>
        <v>Number of Common Rhythmic Values Present</v>
      </c>
      <c r="F120" s="14" t="s">
        <v>360</v>
      </c>
      <c r="G120" s="14" t="str">
        <f>IFERROR(__xludf.DUMMYFUNCTION("REGEXREPLACE(B120,""(.*): (.*)"", ""$2"")"),"Number of different quantized rhythmic values (e.g. quarter notes, dotted quarter notes, half notes, etc.) that represent at least 15% of the rhythmic values in the music. This is found by examining the Rhythmic Value Histogram.")</f>
        <v>Number of different quantized rhythmic values (e.g. quarter notes, dotted quarter notes, half notes, etc.) that represent at least 15% of the rhythmic values in the music. This is found by examining the Rhythmic Value Histogram.</v>
      </c>
      <c r="H120" s="6">
        <f t="shared" si="5"/>
        <v>107</v>
      </c>
      <c r="I120" s="15" t="b">
        <v>1</v>
      </c>
      <c r="J120" s="6">
        <f t="shared" si="6"/>
        <v>92</v>
      </c>
      <c r="K120" s="15" t="b">
        <v>1</v>
      </c>
      <c r="L120" s="14"/>
      <c r="M120" s="9"/>
      <c r="N120" s="16" t="str">
        <f t="shared" si="3"/>
        <v>'Number_of_Common_Rhythmic_Values_Present',</v>
      </c>
      <c r="O120" s="16" t="str">
        <f t="shared" si="4"/>
        <v>'Number_of_Common_Rhythmic_Values_Present',</v>
      </c>
      <c r="P120" s="16" t="s">
        <v>361</v>
      </c>
      <c r="Q120" s="16"/>
      <c r="R120" s="9"/>
    </row>
    <row r="121" ht="15.75" customHeight="1">
      <c r="A121" s="9"/>
      <c r="B121" s="10" t="s">
        <v>362</v>
      </c>
      <c r="C121" s="11" t="str">
        <f t="shared" si="1"/>
        <v>R-17</v>
      </c>
      <c r="D121" s="12" t="str">
        <f>IFERROR(__xludf.DUMMYFUNCTION("REGEXREPLACE(B121,""(.*):(.*)"", ""$1"")"),"R-17 Prevalence of Very Short Rhythmic Values")</f>
        <v>R-17 Prevalence of Very Short Rhythmic Values</v>
      </c>
      <c r="E121" s="12" t="str">
        <f t="shared" si="2"/>
        <v>Prevalence of Very Short Rhythmic Values</v>
      </c>
      <c r="F121" s="14" t="s">
        <v>363</v>
      </c>
      <c r="G121" s="14" t="str">
        <f>IFERROR(__xludf.DUMMYFUNCTION("REGEXREPLACE(B121,""(.*): (.*)"", ""$2"")"),"Fraction of all notes in the music that have a quantized rhythmic value less than an eighth note. This includes both pitched and unpitched notes, is calculated after rhythmic quantization, is not influenced by tempo, and is calculated without regard to th"&amp;"e dynamics, voice or instrument of any given note.")</f>
        <v>Fraction of all notes in the music that have a quantized rhythmic value less than an eighth note. This includes both pitched and unpitched notes, is calculated after rhythmic quantization, is not influenced by tempo, and is calculated without regard to the dynamics, voice or instrument of any given note.</v>
      </c>
      <c r="H121" s="6">
        <f t="shared" si="5"/>
        <v>108</v>
      </c>
      <c r="I121" s="15" t="b">
        <v>1</v>
      </c>
      <c r="J121" s="6">
        <f t="shared" si="6"/>
        <v>93</v>
      </c>
      <c r="K121" s="15" t="b">
        <v>1</v>
      </c>
      <c r="L121" s="14"/>
      <c r="M121" s="9"/>
      <c r="N121" s="16" t="str">
        <f t="shared" si="3"/>
        <v>'Prevalence_of_Very_Short_Rhythmic_Values',</v>
      </c>
      <c r="O121" s="16" t="str">
        <f t="shared" si="4"/>
        <v>'Prevalence_of_Very_Short_Rhythmic_Values',</v>
      </c>
      <c r="P121" s="16" t="s">
        <v>364</v>
      </c>
      <c r="Q121" s="16"/>
      <c r="R121" s="9"/>
    </row>
    <row r="122" ht="15.75" customHeight="1">
      <c r="A122" s="9"/>
      <c r="B122" s="10" t="s">
        <v>365</v>
      </c>
      <c r="C122" s="11" t="str">
        <f t="shared" si="1"/>
        <v>R-18</v>
      </c>
      <c r="D122" s="12" t="str">
        <f>IFERROR(__xludf.DUMMYFUNCTION("REGEXREPLACE(B122,""(.*):(.*)"", ""$1"")"),"R-18 Prevalence of Short Rhythmic Values")</f>
        <v>R-18 Prevalence of Short Rhythmic Values</v>
      </c>
      <c r="E122" s="12" t="str">
        <f t="shared" si="2"/>
        <v>Prevalence of Short Rhythmic Values</v>
      </c>
      <c r="F122" s="14" t="s">
        <v>366</v>
      </c>
      <c r="G122" s="14" t="str">
        <f>IFERROR(__xludf.DUMMYFUNCTION("REGEXREPLACE(B122,""(.*): (.*)"", ""$2"")"),"Fraction of all notes in the music that have a quantized rhythmic value less than a dotted eighth note. This includes both pitched and unpitched notes, is calculated after rhythmic quantization, is not influenced by tempo, and is calculated without regard"&amp;" to the dynamics, voice or instrument of any given note.")</f>
        <v>Fraction of all notes in the music that have a quantized rhythmic value less than a dotted eighth note. This includes both pitched and unpitched notes, is calculated after rhythmic quantization, is not influenced by tempo, and is calculated without regard to the dynamics, voice or instrument of any given note.</v>
      </c>
      <c r="H122" s="6">
        <f t="shared" si="5"/>
        <v>109</v>
      </c>
      <c r="I122" s="15" t="b">
        <v>1</v>
      </c>
      <c r="J122" s="6">
        <f t="shared" si="6"/>
        <v>94</v>
      </c>
      <c r="K122" s="15" t="b">
        <v>1</v>
      </c>
      <c r="L122" s="14"/>
      <c r="M122" s="9"/>
      <c r="N122" s="16" t="str">
        <f t="shared" si="3"/>
        <v>'Prevalence_of_Short_Rhythmic_Values',</v>
      </c>
      <c r="O122" s="16" t="str">
        <f t="shared" si="4"/>
        <v>'Prevalence_of_Short_Rhythmic_Values',</v>
      </c>
      <c r="P122" s="16" t="s">
        <v>367</v>
      </c>
      <c r="Q122" s="16"/>
      <c r="R122" s="9"/>
    </row>
    <row r="123" ht="15.75" customHeight="1">
      <c r="A123" s="9"/>
      <c r="B123" s="10" t="s">
        <v>368</v>
      </c>
      <c r="C123" s="11" t="str">
        <f t="shared" si="1"/>
        <v>R-19</v>
      </c>
      <c r="D123" s="12" t="str">
        <f>IFERROR(__xludf.DUMMYFUNCTION("REGEXREPLACE(B123,""(.*):(.*)"", ""$1"")"),"R-19 Prevalence of Medium Rhythmic Values")</f>
        <v>R-19 Prevalence of Medium Rhythmic Values</v>
      </c>
      <c r="E123" s="12" t="str">
        <f t="shared" si="2"/>
        <v>Prevalence of Medium Rhythmic Values</v>
      </c>
      <c r="F123" s="14" t="s">
        <v>369</v>
      </c>
      <c r="G123" s="14" t="str">
        <f>IFERROR(__xludf.DUMMYFUNCTION("REGEXREPLACE(B123,""(.*): (.*)"", ""$2"")"),"Fraction of all notes in the music that have a quantized rhythmic value between an eighth note and a half note (inclusive). This includes both pitched and unpitched notes, is calculated after rhythmic quantization, is not influenced by tempo, and is calcu"&amp;"lated without regard to the dynamics, voice or instrument of any given note.")</f>
        <v>Fraction of all notes in the music that have a quantized rhythmic value between an eighth note and a half note (inclusive). This includes both pitched and unpitched notes, is calculated after rhythmic quantization, is not influenced by tempo, and is calculated without regard to the dynamics, voice or instrument of any given note.</v>
      </c>
      <c r="H123" s="6">
        <f t="shared" si="5"/>
        <v>110</v>
      </c>
      <c r="I123" s="15" t="b">
        <v>1</v>
      </c>
      <c r="J123" s="6">
        <f t="shared" si="6"/>
        <v>95</v>
      </c>
      <c r="K123" s="15" t="b">
        <v>1</v>
      </c>
      <c r="L123" s="14"/>
      <c r="M123" s="9"/>
      <c r="N123" s="16" t="str">
        <f t="shared" si="3"/>
        <v>'Prevalence_of_Medium_Rhythmic_Values',</v>
      </c>
      <c r="O123" s="16" t="str">
        <f t="shared" si="4"/>
        <v>'Prevalence_of_Medium_Rhythmic_Values',</v>
      </c>
      <c r="P123" s="16" t="s">
        <v>370</v>
      </c>
      <c r="Q123" s="16"/>
      <c r="R123" s="9"/>
    </row>
    <row r="124" ht="15.75" customHeight="1">
      <c r="A124" s="9"/>
      <c r="B124" s="10" t="s">
        <v>371</v>
      </c>
      <c r="C124" s="11" t="str">
        <f t="shared" si="1"/>
        <v>R-20</v>
      </c>
      <c r="D124" s="12" t="str">
        <f>IFERROR(__xludf.DUMMYFUNCTION("REGEXREPLACE(B124,""(.*):(.*)"", ""$1"")"),"R-20 Prevalence of Long Rhythmic Values")</f>
        <v>R-20 Prevalence of Long Rhythmic Values</v>
      </c>
      <c r="E124" s="12" t="str">
        <f t="shared" si="2"/>
        <v>Prevalence of Long Rhythmic Values</v>
      </c>
      <c r="F124" s="14" t="s">
        <v>372</v>
      </c>
      <c r="G124" s="14" t="str">
        <f>IFERROR(__xludf.DUMMYFUNCTION("REGEXREPLACE(B124,""(.*): (.*)"", ""$2"")"),"Fraction of all notes in the music that have a quantized rhythmic value greater than a dotted quarter note. This includes both pitched and unpitched notes, is calculated after rhythmic quantization, is not influenced by tempo, and is calculated without re"&amp;"gard to the dynamics, voice or instrument of any given note.")</f>
        <v>Fraction of all notes in the music that have a quantized rhythmic value greater than a dotted quarter note. This includes both pitched and unpitched notes, is calculated after rhythmic quantization, is not influenced by tempo, and is calculated without regard to the dynamics, voice or instrument of any given note.</v>
      </c>
      <c r="H124" s="6">
        <f t="shared" si="5"/>
        <v>111</v>
      </c>
      <c r="I124" s="15" t="b">
        <v>1</v>
      </c>
      <c r="J124" s="6">
        <f t="shared" si="6"/>
        <v>96</v>
      </c>
      <c r="K124" s="15" t="b">
        <v>1</v>
      </c>
      <c r="L124" s="14"/>
      <c r="M124" s="9"/>
      <c r="N124" s="16" t="str">
        <f t="shared" si="3"/>
        <v>'Prevalence_of_Long_Rhythmic_Values',</v>
      </c>
      <c r="O124" s="16" t="str">
        <f t="shared" si="4"/>
        <v>'Prevalence_of_Long_Rhythmic_Values',</v>
      </c>
      <c r="P124" s="16" t="s">
        <v>373</v>
      </c>
      <c r="Q124" s="16"/>
      <c r="R124" s="9"/>
    </row>
    <row r="125" ht="15.75" customHeight="1">
      <c r="A125" s="9"/>
      <c r="B125" s="10" t="s">
        <v>374</v>
      </c>
      <c r="C125" s="11" t="str">
        <f t="shared" si="1"/>
        <v>R-21</v>
      </c>
      <c r="D125" s="12" t="str">
        <f>IFERROR(__xludf.DUMMYFUNCTION("REGEXREPLACE(B125,""(.*):(.*)"", ""$1"")"),"R-21 Prevalence of Very Long Rhythmic Values")</f>
        <v>R-21 Prevalence of Very Long Rhythmic Values</v>
      </c>
      <c r="E125" s="12" t="str">
        <f t="shared" si="2"/>
        <v>Prevalence of Very Long Rhythmic Values</v>
      </c>
      <c r="F125" s="14" t="s">
        <v>375</v>
      </c>
      <c r="G125" s="14" t="str">
        <f>IFERROR(__xludf.DUMMYFUNCTION("REGEXREPLACE(B125,""(.*): (.*)"", ""$2"")"),"Fraction of all notes in the music that have a quantized rhythmic value greater than a whole note. This includes both pitched and unpitched notes, is calculated after rhythmic quantization, is not influenced by tempo, and is calculated without regard to t"&amp;"he dynamics, voice or instrument of any given note.")</f>
        <v>Fraction of all notes in the music that have a quantized rhythmic value greater than a whole note. This includes both pitched and unpitched notes, is calculated after rhythmic quantization, is not influenced by tempo, and is calculated without regard to the dynamics, voice or instrument of any given note.</v>
      </c>
      <c r="H125" s="6">
        <f t="shared" si="5"/>
        <v>112</v>
      </c>
      <c r="I125" s="15" t="b">
        <v>1</v>
      </c>
      <c r="J125" s="6">
        <f t="shared" si="6"/>
        <v>97</v>
      </c>
      <c r="K125" s="15" t="b">
        <v>1</v>
      </c>
      <c r="L125" s="14"/>
      <c r="M125" s="9"/>
      <c r="N125" s="16" t="str">
        <f t="shared" si="3"/>
        <v>'Prevalence_of_Very_Long_Rhythmic_Values',</v>
      </c>
      <c r="O125" s="16" t="str">
        <f t="shared" si="4"/>
        <v>'Prevalence_of_Very_Long_Rhythmic_Values',</v>
      </c>
      <c r="P125" s="16" t="s">
        <v>376</v>
      </c>
      <c r="Q125" s="16"/>
      <c r="R125" s="9"/>
    </row>
    <row r="126" ht="15.75" customHeight="1">
      <c r="A126" s="9"/>
      <c r="B126" s="10" t="s">
        <v>377</v>
      </c>
      <c r="C126" s="11" t="str">
        <f t="shared" si="1"/>
        <v>R-22</v>
      </c>
      <c r="D126" s="12" t="str">
        <f>IFERROR(__xludf.DUMMYFUNCTION("REGEXREPLACE(B126,""(.*):(.*)"", ""$1"")"),"R-22 Prevalence of Dotted Notes")</f>
        <v>R-22 Prevalence of Dotted Notes</v>
      </c>
      <c r="E126" s="12" t="str">
        <f t="shared" si="2"/>
        <v>Prevalence of Dotted Notes</v>
      </c>
      <c r="F126" s="14" t="s">
        <v>378</v>
      </c>
      <c r="G126" s="14" t="str">
        <f>IFERROR(__xludf.DUMMYFUNCTION("REGEXREPLACE(B126,""(.*): (.*)"", ""$2"")"),"Fraction of all notes in the music that have a quantized rhythmic value consisting of a dotted eighth note, dotted quarter note, dotted half note, dotted whole note or dotted double whole note. This includes both pitched and unpitched notes, is calculated"&amp;" after rhythmic quantization, is not influenced by tempo, and is calculated without regard to the dynamics, voice or instrument of any given note.")</f>
        <v>Fraction of all notes in the music that have a quantized rhythmic value consisting of a dotted eighth note, dotted quarter note, dotted half note, dotted whole note or dotted double whole note. This includes both pitched and unpitched notes, is calculated after rhythmic quantization, is not influenced by tempo, and is calculated without regard to the dynamics, voice or instrument of any given note.</v>
      </c>
      <c r="H126" s="6">
        <f t="shared" si="5"/>
        <v>113</v>
      </c>
      <c r="I126" s="15" t="b">
        <v>1</v>
      </c>
      <c r="J126" s="6">
        <f t="shared" si="6"/>
        <v>98</v>
      </c>
      <c r="K126" s="15" t="b">
        <v>1</v>
      </c>
      <c r="L126" s="14"/>
      <c r="M126" s="9"/>
      <c r="N126" s="16" t="str">
        <f t="shared" si="3"/>
        <v>'Prevalence_of_Dotted_Notes',</v>
      </c>
      <c r="O126" s="16" t="str">
        <f t="shared" si="4"/>
        <v>'Prevalence_of_Dotted_Notes',</v>
      </c>
      <c r="P126" s="16" t="s">
        <v>379</v>
      </c>
      <c r="Q126" s="16"/>
      <c r="R126" s="9"/>
    </row>
    <row r="127" ht="15.75" customHeight="1">
      <c r="A127" s="9"/>
      <c r="B127" s="10" t="s">
        <v>380</v>
      </c>
      <c r="C127" s="11" t="str">
        <f t="shared" si="1"/>
        <v>R-23</v>
      </c>
      <c r="D127" s="12" t="str">
        <f>IFERROR(__xludf.DUMMYFUNCTION("REGEXREPLACE(B127,""(.*):(.*)"", ""$1"")"),"R-23 Shortest Rhythmic Value")</f>
        <v>R-23 Shortest Rhythmic Value</v>
      </c>
      <c r="E127" s="12" t="str">
        <f t="shared" si="2"/>
        <v>Shortest Rhythmic Value</v>
      </c>
      <c r="F127" s="14" t="s">
        <v>381</v>
      </c>
      <c r="G127" s="14" t="str">
        <f>IFERROR(__xludf.DUMMYFUNCTION("REGEXREPLACE(B127,""(.*): (.*)"", ""$2"")"),"Rhythmic value of the shortest note in the piece, expressed as a fraction of a quarter note. For example, a value of 0.5 indicates that the shortest note is an eighth note. This calculation includes both pitched and unpitched notes, is calculated after rh"&amp;"ythmic quantization, is not influenced by tempo, and is calculated without regard to the dynamics, voice or instrument of any given note.")</f>
        <v>Rhythmic value of the shortest note in the piece, expressed as a fraction of a quarter note. For example, a value of 0.5 indicates that the shortest note is an eighth note. This calculation includes both pitched and unpitched notes, is calculated after rhythmic quantization, is not influenced by tempo, and is calculated without regard to the dynamics, voice or instrument of any given note.</v>
      </c>
      <c r="H127" s="6">
        <f t="shared" si="5"/>
        <v>114</v>
      </c>
      <c r="I127" s="15" t="b">
        <v>1</v>
      </c>
      <c r="J127" s="6">
        <f t="shared" si="6"/>
        <v>99</v>
      </c>
      <c r="K127" s="15" t="b">
        <v>1</v>
      </c>
      <c r="L127" s="14"/>
      <c r="M127" s="9"/>
      <c r="N127" s="16" t="str">
        <f t="shared" si="3"/>
        <v>'Shortest_Rhythmic_Value',</v>
      </c>
      <c r="O127" s="16" t="str">
        <f t="shared" si="4"/>
        <v>'Shortest_Rhythmic_Value',</v>
      </c>
      <c r="P127" s="16" t="s">
        <v>382</v>
      </c>
      <c r="Q127" s="16"/>
      <c r="R127" s="9"/>
    </row>
    <row r="128" ht="15.75" customHeight="1">
      <c r="A128" s="9"/>
      <c r="B128" s="10" t="s">
        <v>383</v>
      </c>
      <c r="C128" s="11" t="str">
        <f t="shared" si="1"/>
        <v>R-24</v>
      </c>
      <c r="D128" s="12" t="str">
        <f>IFERROR(__xludf.DUMMYFUNCTION("REGEXREPLACE(B128,""(.*):(.*)"", ""$1"")"),"R-24 Longest Rhythmic Value")</f>
        <v>R-24 Longest Rhythmic Value</v>
      </c>
      <c r="E128" s="12" t="str">
        <f t="shared" si="2"/>
        <v>Longest Rhythmic Value</v>
      </c>
      <c r="F128" s="14" t="s">
        <v>384</v>
      </c>
      <c r="G128" s="14" t="str">
        <f>IFERROR(__xludf.DUMMYFUNCTION("REGEXREPLACE(B128,""(.*): (.*)"", ""$2"")"),"Rhythmic value of the longest note in the piece, expressed as a fraction of a quarter note. For example, a value of 2 indicates that the longest note is a half note. This calculation includes both pitched and unpitched notes, is calculated after rhythmic "&amp;"quantization, is not influenced by tempo, and is calculated without regard to the dynamics, voice or instrument of any given note.")</f>
        <v>Rhythmic value of the longest note in the piece, expressed as a fraction of a quarter note. For example, a value of 2 indicates that the longest note is a half note. This calculation includes both pitched and unpitched notes, is calculated after rhythmic quantization, is not influenced by tempo, and is calculated without regard to the dynamics, voice or instrument of any given note.</v>
      </c>
      <c r="H128" s="6">
        <f t="shared" si="5"/>
        <v>115</v>
      </c>
      <c r="I128" s="15" t="b">
        <v>1</v>
      </c>
      <c r="J128" s="6">
        <f t="shared" si="6"/>
        <v>100</v>
      </c>
      <c r="K128" s="15" t="b">
        <v>1</v>
      </c>
      <c r="L128" s="14"/>
      <c r="M128" s="9"/>
      <c r="N128" s="16" t="str">
        <f t="shared" si="3"/>
        <v>'Longest_Rhythmic_Value',</v>
      </c>
      <c r="O128" s="16" t="str">
        <f t="shared" si="4"/>
        <v>'Longest_Rhythmic_Value',</v>
      </c>
      <c r="P128" s="16" t="s">
        <v>385</v>
      </c>
      <c r="Q128" s="16"/>
      <c r="R128" s="9"/>
    </row>
    <row r="129" ht="15.75" customHeight="1">
      <c r="A129" s="9"/>
      <c r="B129" s="10" t="s">
        <v>386</v>
      </c>
      <c r="C129" s="11" t="str">
        <f t="shared" si="1"/>
        <v>R-25</v>
      </c>
      <c r="D129" s="12" t="str">
        <f>IFERROR(__xludf.DUMMYFUNCTION("REGEXREPLACE(B129,""(.*):(.*)"", ""$1"")"),"R-25 Mean Rhythmic Value")</f>
        <v>R-25 Mean Rhythmic Value</v>
      </c>
      <c r="E129" s="12" t="str">
        <f t="shared" si="2"/>
        <v>Mean Rhythmic Value</v>
      </c>
      <c r="F129" s="14" t="s">
        <v>387</v>
      </c>
      <c r="G129" s="14" t="str">
        <f>IFERROR(__xludf.DUMMYFUNCTION("REGEXREPLACE(B129,""(.*): (.*)"", ""$2"")"),"The mean rhythmic value of the music, in quarter note units. For example, a Mean Rhythmic Value of 0.5 would mean that the duration of an eighth note corresponds to the mean average rhythmic value in the music. This calculation includes both pitched and u"&amp;"npitched notes, is calculated after rhythmic quantization, is not influenced by tempo, and is calculated without regard to the dynamics, voice or instrument of any given note.")</f>
        <v>The mean rhythmic value of the music, in quarter note units. For example, a Mean Rhythmic Value of 0.5 would mean that the duration of an eighth note corresponds to the mean average rhythmic value in the music. This calculation includes both pitched and unpitched notes, is calculated after rhythmic quantization, is not influenced by tempo, and is calculated without regard to the dynamics, voice or instrument of any given note.</v>
      </c>
      <c r="H129" s="6">
        <f t="shared" si="5"/>
        <v>116</v>
      </c>
      <c r="I129" s="15" t="b">
        <v>1</v>
      </c>
      <c r="J129" s="6">
        <f t="shared" si="6"/>
        <v>101</v>
      </c>
      <c r="K129" s="15" t="b">
        <v>1</v>
      </c>
      <c r="L129" s="14"/>
      <c r="M129" s="9"/>
      <c r="N129" s="16" t="str">
        <f t="shared" si="3"/>
        <v>'Mean_Rhythmic_Value',</v>
      </c>
      <c r="O129" s="16" t="str">
        <f t="shared" si="4"/>
        <v>'Mean_Rhythmic_Value',</v>
      </c>
      <c r="P129" s="16" t="s">
        <v>388</v>
      </c>
      <c r="Q129" s="16"/>
      <c r="R129" s="9"/>
    </row>
    <row r="130" ht="15.75" customHeight="1">
      <c r="A130" s="9"/>
      <c r="B130" s="10" t="s">
        <v>389</v>
      </c>
      <c r="C130" s="11" t="str">
        <f t="shared" si="1"/>
        <v>R-26</v>
      </c>
      <c r="D130" s="12" t="str">
        <f>IFERROR(__xludf.DUMMYFUNCTION("REGEXREPLACE(B130,""(.*):(.*)"", ""$1"")"),"R-26 Most Common Rhythmic Value")</f>
        <v>R-26 Most Common Rhythmic Value</v>
      </c>
      <c r="E130" s="12" t="str">
        <f t="shared" si="2"/>
        <v>Most Common Rhythmic Value</v>
      </c>
      <c r="F130" s="14" t="s">
        <v>390</v>
      </c>
      <c r="G130" s="14" t="str">
        <f>IFERROR(__xludf.DUMMYFUNCTION("REGEXREPLACE(B130,""(.*): (.*)"", ""$2"")"),"The most common rhythmic value of the music, in quarter note units. So, for example, a Most Common Rhythmic Value of 0.5 would mean that eighth notes occur more frequently than any other rhythmic value. This calculation includes both pitched and unpitched"&amp;" notes, is calculated after rhythmic quantization, is not influenced by tempo, and is calculated without regard to the dynamics, voice or instrument of any given note.")</f>
        <v>The most common rhythmic value of the music, in quarter note units. So, for example, a Most Common Rhythmic Value of 0.5 would mean that eighth notes occur more frequently than any other rhythmic value. This calculation includes both pitched and unpitched notes, is calculated after rhythmic quantization, is not influenced by tempo, and is calculated without regard to the dynamics, voice or instrument of any given note.</v>
      </c>
      <c r="H130" s="6">
        <f t="shared" si="5"/>
        <v>117</v>
      </c>
      <c r="I130" s="15" t="b">
        <v>1</v>
      </c>
      <c r="J130" s="6">
        <f t="shared" si="6"/>
        <v>102</v>
      </c>
      <c r="K130" s="15" t="b">
        <v>1</v>
      </c>
      <c r="L130" s="14"/>
      <c r="M130" s="9"/>
      <c r="N130" s="16" t="str">
        <f t="shared" si="3"/>
        <v>'Most_Common_Rhythmic_Value',</v>
      </c>
      <c r="O130" s="16" t="str">
        <f t="shared" si="4"/>
        <v>'Most_Common_Rhythmic_Value',</v>
      </c>
      <c r="P130" s="16" t="s">
        <v>391</v>
      </c>
      <c r="Q130" s="16"/>
      <c r="R130" s="9"/>
    </row>
    <row r="131" ht="15.75" customHeight="1">
      <c r="A131" s="9"/>
      <c r="B131" s="10" t="s">
        <v>392</v>
      </c>
      <c r="C131" s="11" t="str">
        <f t="shared" si="1"/>
        <v>R-27</v>
      </c>
      <c r="D131" s="12" t="str">
        <f>IFERROR(__xludf.DUMMYFUNCTION("REGEXREPLACE(B131,""(.*):(.*)"", ""$1"")"),"R-27 Prevalence of Most Common Rhythmic Value")</f>
        <v>R-27 Prevalence of Most Common Rhythmic Value</v>
      </c>
      <c r="E131" s="12" t="str">
        <f t="shared" si="2"/>
        <v>Prevalence of Most Common Rhythmic Value</v>
      </c>
      <c r="F131" s="14" t="s">
        <v>393</v>
      </c>
      <c r="G131" s="14" t="str">
        <f>IFERROR(__xludf.DUMMYFUNCTION("REGEXREPLACE(B131,""(.*): (.*)"", ""$2"")"),"The fraction of all notes that have a rhythmic value corresponding to the most common rhythmic value in the music. This calculation includes both pitched and unpitched notes, is calculated after rhythmic quantization, is not influenced by tempo, and is ca"&amp;"lculated without regard to the dynamics, voice or instrument of any given note.")</f>
        <v>The fraction of all notes that have a rhythmic value corresponding to the most common rhythmic value in the music. This calculation includes both pitched and unpitched notes, is calculated after rhythmic quantization, is not influenced by tempo, and is calculated without regard to the dynamics, voice or instrument of any given note.</v>
      </c>
      <c r="H131" s="6">
        <f t="shared" si="5"/>
        <v>118</v>
      </c>
      <c r="I131" s="15" t="b">
        <v>1</v>
      </c>
      <c r="J131" s="6">
        <f t="shared" si="6"/>
        <v>103</v>
      </c>
      <c r="K131" s="15" t="b">
        <v>1</v>
      </c>
      <c r="L131" s="14"/>
      <c r="M131" s="9"/>
      <c r="N131" s="16" t="str">
        <f t="shared" si="3"/>
        <v>'Prevalence_of_Most_Common_Rhythmic_Value',</v>
      </c>
      <c r="O131" s="16" t="str">
        <f t="shared" si="4"/>
        <v>'Prevalence_of_Most_Common_Rhythmic_Value',</v>
      </c>
      <c r="P131" s="16" t="s">
        <v>394</v>
      </c>
      <c r="Q131" s="16"/>
      <c r="R131" s="9"/>
    </row>
    <row r="132" ht="15.75" customHeight="1">
      <c r="A132" s="9"/>
      <c r="B132" s="10" t="s">
        <v>395</v>
      </c>
      <c r="C132" s="11" t="str">
        <f t="shared" si="1"/>
        <v>R-28</v>
      </c>
      <c r="D132" s="12" t="str">
        <f>IFERROR(__xludf.DUMMYFUNCTION("REGEXREPLACE(B132,""(.*):(.*)"", ""$1"")"),"R-28 Relative Prevalence of Most Common Rhythmic Values")</f>
        <v>R-28 Relative Prevalence of Most Common Rhythmic Values</v>
      </c>
      <c r="E132" s="12" t="str">
        <f t="shared" si="2"/>
        <v>Relative Prevalence of Most Common Rhythmic Values</v>
      </c>
      <c r="F132" s="14" t="s">
        <v>396</v>
      </c>
      <c r="G132" s="14" t="str">
        <f>IFERROR(__xludf.DUMMYFUNCTION("REGEXREPLACE(B132,""(.*): (.*)"", ""$2"")"),"Relative frequency of the of the second most common rhythmic value in the piece, divided by the relative frequency of the most common rhythmic value. This calculation includes both pitched and unpitched notes, is calculated after rhythmic quantization, is"&amp;" not influenced by tempo, and is calculated without regard to the dynamics, voice or instrument of any given note.")</f>
        <v>Relative frequency of the of the second most common rhythmic value in the piece, divided by the relative frequency of the most common rhythmic value. This calculation includes both pitched and unpitched notes, is calculated after rhythmic quantization, is not influenced by tempo, and is calculated without regard to the dynamics, voice or instrument of any given note.</v>
      </c>
      <c r="H132" s="6">
        <f t="shared" si="5"/>
        <v>119</v>
      </c>
      <c r="I132" s="15" t="b">
        <v>1</v>
      </c>
      <c r="J132" s="6">
        <f t="shared" si="6"/>
        <v>104</v>
      </c>
      <c r="K132" s="15" t="b">
        <v>1</v>
      </c>
      <c r="L132" s="14"/>
      <c r="M132" s="9"/>
      <c r="N132" s="16" t="str">
        <f t="shared" si="3"/>
        <v>'Relative_Prevalence_of_Most_Common_Rhythmic_Values',</v>
      </c>
      <c r="O132" s="16" t="str">
        <f t="shared" si="4"/>
        <v>'Relative_Prevalence_of_Most_Common_Rhythmic_Values',</v>
      </c>
      <c r="P132" s="16" t="s">
        <v>397</v>
      </c>
      <c r="Q132" s="16"/>
      <c r="R132" s="9"/>
    </row>
    <row r="133" ht="15.75" customHeight="1">
      <c r="A133" s="9"/>
      <c r="B133" s="10" t="s">
        <v>398</v>
      </c>
      <c r="C133" s="11" t="str">
        <f t="shared" si="1"/>
        <v>R-29</v>
      </c>
      <c r="D133" s="12" t="str">
        <f>IFERROR(__xludf.DUMMYFUNCTION("REGEXREPLACE(B133,""(.*):(.*)"", ""$1"")"),"R-29 Difference Between Most Common Rhythmic Values")</f>
        <v>R-29 Difference Between Most Common Rhythmic Values</v>
      </c>
      <c r="E133" s="12" t="str">
        <f t="shared" si="2"/>
        <v>Difference Between Most Common Rhythmic Values</v>
      </c>
      <c r="F133" s="14" t="s">
        <v>399</v>
      </c>
      <c r="G133" s="14" t="str">
        <f>IFERROR(__xludf.DUMMYFUNCTION("REGEXREPLACE(B133,""(.*): (.*)"", ""$2"")"),"A measure of the difference between the two most common rhythmic values in the music. Measured in number of bins in the Rhythmic Value Histogram separating the two most common rhythmic values.")</f>
        <v>A measure of the difference between the two most common rhythmic values in the music. Measured in number of bins in the Rhythmic Value Histogram separating the two most common rhythmic values.</v>
      </c>
      <c r="H133" s="6">
        <f t="shared" si="5"/>
        <v>120</v>
      </c>
      <c r="I133" s="15" t="b">
        <v>1</v>
      </c>
      <c r="J133" s="6">
        <f t="shared" si="6"/>
        <v>105</v>
      </c>
      <c r="K133" s="15" t="b">
        <v>1</v>
      </c>
      <c r="L133" s="14"/>
      <c r="M133" s="9"/>
      <c r="N133" s="16" t="str">
        <f t="shared" si="3"/>
        <v>'Difference_Between_Most_Common_Rhythmic_Values',</v>
      </c>
      <c r="O133" s="16" t="str">
        <f t="shared" si="4"/>
        <v>'Difference_Between_Most_Common_Rhythmic_Values',</v>
      </c>
      <c r="P133" s="16" t="s">
        <v>400</v>
      </c>
      <c r="Q133" s="16"/>
      <c r="R133" s="9"/>
    </row>
    <row r="134" ht="15.75" customHeight="1">
      <c r="A134" s="9"/>
      <c r="B134" s="10" t="s">
        <v>401</v>
      </c>
      <c r="C134" s="11" t="str">
        <f t="shared" si="1"/>
        <v>R-30</v>
      </c>
      <c r="D134" s="12" t="str">
        <f>IFERROR(__xludf.DUMMYFUNCTION("REGEXREPLACE(B134,""(.*):(.*)"", ""$1"")"),"R-30 Rhythmic Value Variability")</f>
        <v>R-30 Rhythmic Value Variability</v>
      </c>
      <c r="E134" s="12" t="str">
        <f t="shared" si="2"/>
        <v>Rhythmic Value Variability</v>
      </c>
      <c r="F134" s="14" t="s">
        <v>402</v>
      </c>
      <c r="G134" s="14" t="str">
        <f>IFERROR(__xludf.DUMMYFUNCTION("REGEXREPLACE(B134,""(.*): (.*)"", ""$2"")"),"Standard deviation of the note durations in quarter notes of all notes in the music. Provides a measure of how close the rhythmic values are to the mean rhythmic value. This calculation includes both pitched and unpitched notes, is calculated after rhythm"&amp;"ic quantization, is not influenced by tempo, and is calculated without regard to the dynamics, voice or instrument of any given note.")</f>
        <v>Standard deviation of the note durations in quarter notes of all notes in the music. Provides a measure of how close the rhythmic values are to the mean rhythmic value. This calculation includes both pitched and unpitched notes, is calculated after rhythmic quantization, is not influenced by tempo, and is calculated without regard to the dynamics, voice or instrument of any given note.</v>
      </c>
      <c r="H134" s="6">
        <f t="shared" si="5"/>
        <v>121</v>
      </c>
      <c r="I134" s="15" t="b">
        <v>1</v>
      </c>
      <c r="J134" s="6">
        <f t="shared" si="6"/>
        <v>106</v>
      </c>
      <c r="K134" s="15" t="b">
        <v>1</v>
      </c>
      <c r="L134" s="14"/>
      <c r="M134" s="9"/>
      <c r="N134" s="16" t="str">
        <f t="shared" si="3"/>
        <v>'Rhythmic_Value_Variability',</v>
      </c>
      <c r="O134" s="16" t="str">
        <f t="shared" si="4"/>
        <v>'Rhythmic_Value_Variability',</v>
      </c>
      <c r="P134" s="16" t="s">
        <v>403</v>
      </c>
      <c r="Q134" s="16"/>
      <c r="R134" s="9"/>
    </row>
    <row r="135" ht="15.75" customHeight="1">
      <c r="A135" s="9"/>
      <c r="B135" s="10" t="s">
        <v>404</v>
      </c>
      <c r="C135" s="11" t="str">
        <f t="shared" si="1"/>
        <v>R-31</v>
      </c>
      <c r="D135" s="12" t="str">
        <f>IFERROR(__xludf.DUMMYFUNCTION("REGEXREPLACE(B135,""(.*):(.*)"", ""$1"")"),"R-31 Rhythmic Value Skewness")</f>
        <v>R-31 Rhythmic Value Skewness</v>
      </c>
      <c r="E135" s="12" t="str">
        <f t="shared" si="2"/>
        <v>Rhythmic Value Skewness</v>
      </c>
      <c r="F135" s="14" t="s">
        <v>405</v>
      </c>
      <c r="G135" s="14" t="str">
        <f>IFERROR(__xludf.DUMMYFUNCTION("REGEXREPLACE(B135,""(.*): (.*)"", ""$2"")"),"Skewness of the note durations in quarter notes of all notes in the music. Provides a measure of how asymmetrical the rhythmic value distribution is to either the left or the right of the mean rhythmic value. A value of zero indicates no skew. This calcul"&amp;"ation includes both pitched and unpitched notes, is calculated after rhythmic quantization, is not influenced by tempo, and is calculated without regard to the dynamics, voice or instrument of any given note.")</f>
        <v>Skewness of the note durations in quarter notes of all notes in the music. Provides a measure of how asymmetrical the rhythmic value distribution is to either the left or the right of the mean rhythmic value. A value of zero indicates no skew. This calculation includes both pitched and unpitched notes, is calculated after rhythmic quantization, is not influenced by tempo, and is calculated without regard to the dynamics, voice or instrument of any given note.</v>
      </c>
      <c r="H135" s="6">
        <f t="shared" si="5"/>
        <v>122</v>
      </c>
      <c r="I135" s="15" t="b">
        <v>1</v>
      </c>
      <c r="J135" s="6">
        <f t="shared" si="6"/>
        <v>107</v>
      </c>
      <c r="K135" s="15" t="b">
        <v>1</v>
      </c>
      <c r="L135" s="14"/>
      <c r="M135" s="9"/>
      <c r="N135" s="16" t="str">
        <f t="shared" si="3"/>
        <v>'Rhythmic_Value_Skewness',</v>
      </c>
      <c r="O135" s="16" t="str">
        <f t="shared" si="4"/>
        <v>'Rhythmic_Value_Skewness',</v>
      </c>
      <c r="P135" s="16" t="s">
        <v>406</v>
      </c>
      <c r="Q135" s="16"/>
      <c r="R135" s="9"/>
    </row>
    <row r="136" ht="15.75" customHeight="1">
      <c r="A136" s="9"/>
      <c r="B136" s="10" t="s">
        <v>407</v>
      </c>
      <c r="C136" s="11" t="str">
        <f t="shared" si="1"/>
        <v>R-32</v>
      </c>
      <c r="D136" s="12" t="str">
        <f>IFERROR(__xludf.DUMMYFUNCTION("REGEXREPLACE(B136,""(.*):(.*)"", ""$1"")"),"R-32 Rhythmic Value Kurtosis")</f>
        <v>R-32 Rhythmic Value Kurtosis</v>
      </c>
      <c r="E136" s="12" t="str">
        <f t="shared" si="2"/>
        <v>Rhythmic Value Kurtosis</v>
      </c>
      <c r="F136" s="14" t="s">
        <v>408</v>
      </c>
      <c r="G136" s="14" t="str">
        <f>IFERROR(__xludf.DUMMYFUNCTION("REGEXREPLACE(B136,""(.*): (.*)"", ""$2"")"),"Kurtosis of the note durations in quarter notes of all notes in the music. Provides a measure of how peaked or flat the rhythmic value distribution is. The higher the kurtosis, the more the rhythmic values are clustered near the mean and the fewer outlier"&amp;"s there are. This calculation includes both pitched and unpitched notes, is calculated after rhythmic quantization, is not influenced by tempo, and is calculated without regard to the dynamics, voice or instrument of any given note.")</f>
        <v>Kurtosis of the note durations in quarter notes of all notes in the music. Provides a measure of how peaked or flat the rhythmic value distribution is. The higher the kurtosis, the more the rhythmic values are clustered near the mean and the fewer outliers there are. This calculation includes both pitched and unpitched notes, is calculated after rhythmic quantization, is not influenced by tempo, and is calculated without regard to the dynamics, voice or instrument of any given note.</v>
      </c>
      <c r="H136" s="6">
        <f t="shared" si="5"/>
        <v>123</v>
      </c>
      <c r="I136" s="15" t="b">
        <v>1</v>
      </c>
      <c r="J136" s="6">
        <f t="shared" si="6"/>
        <v>108</v>
      </c>
      <c r="K136" s="15" t="b">
        <v>1</v>
      </c>
      <c r="L136" s="14"/>
      <c r="M136" s="9"/>
      <c r="N136" s="16" t="str">
        <f t="shared" si="3"/>
        <v>'Rhythmic_Value_Kurtosis',</v>
      </c>
      <c r="O136" s="16" t="str">
        <f t="shared" si="4"/>
        <v>'Rhythmic_Value_Kurtosis',</v>
      </c>
      <c r="P136" s="16" t="s">
        <v>409</v>
      </c>
      <c r="Q136" s="16"/>
      <c r="R136" s="9"/>
    </row>
    <row r="137" ht="15.75" customHeight="1">
      <c r="A137" s="9"/>
      <c r="B137" s="10" t="s">
        <v>410</v>
      </c>
      <c r="C137" s="11" t="str">
        <f t="shared" si="1"/>
        <v>R-33</v>
      </c>
      <c r="D137" s="12" t="str">
        <f>IFERROR(__xludf.DUMMYFUNCTION("REGEXREPLACE(B137,""(.*):(.*)"", ""$1"")"),"R-33 Rhythmic Value Median Run Lengths Histogram: A normalized feature vector that indicates, for each rhythmic value, the normalized median number of times that notes with that rhythmic value occur consecutively (either vertically or horizontally) in the"&amp;" same voice (MIDI channel and track). Each bin corresponds to a different rhythmic value, and they are numbered as follows")</f>
        <v>R-33 Rhythmic Value Median Run Lengths Histogram: A normalized feature vector that indicates, for each rhythmic value, the normalized median number of times that notes with that rhythmic value occur consecutively (either vertically or horizontally) in the same voice (MIDI channel and track). Each bin corresponds to a different rhythmic value, and they are numbered as follows</v>
      </c>
      <c r="E137" s="12" t="str">
        <f t="shared" si="2"/>
        <v>Rhythmic Value Median Run Lengths Histogram: A normalized feature vector that indicates, for each rhythmic value, the normalized median number of times that notes with that rhythmic value occur consecutively (either vertically or horizontally) in the same </v>
      </c>
      <c r="F137" s="14"/>
      <c r="G137" s="14" t="str">
        <f>IFERROR(__xludf.DUMMYFUNCTION("REGEXREPLACE(B137,""(.*): (.*)"", ""$2"")"),"thirty second notes (or less) [0], sixteenth notes [1], eighth notes [2], dotted eighth notes [3], quarter notes [4], dotted quarter notes [5], half notes [6], dotted half notes [7], whole notes [8], dotted whole notes [9], double whole notes [10] and dot"&amp;"ted double whole notes (or more ) [11]. Both pitched and unpitched notes are included in this histogram. Tempo is, of course, not relevant to this histogram. Notes with durations not precisely matching one of these rhythmic note values are mapped to the c"&amp;"losest note value (to filter out the effects of rubato or uneven human rhythmic performances, for example). This histogram is calculated without regard to dynamics.")</f>
        <v>thirty second notes (or less) [0], sixteenth notes [1], eighth notes [2], dotted eighth notes [3], quarter notes [4], dotted quarter notes [5], half notes [6], dotted half notes [7], whole notes [8], dotted whole notes [9], double whole notes [10] and dotted double whole notes (or more ) [11]. Both pitched and unpitched notes are included in this histogram. Tempo is, of course, not relevant to this histogram. Notes with durations not precisely matching one of these rhythmic note values are mapped to the closest note value (to filter out the effects of rubato or uneven human rhythmic performances, for example). This histogram is calculated without regard to dynamics.</v>
      </c>
      <c r="H137" s="6">
        <f t="shared" si="5"/>
        <v>123</v>
      </c>
      <c r="I137" s="15" t="b">
        <v>0</v>
      </c>
      <c r="J137" s="6">
        <f t="shared" si="6"/>
        <v>108</v>
      </c>
      <c r="K137" s="15" t="b">
        <v>0</v>
      </c>
      <c r="L137" s="14"/>
      <c r="M137" s="9"/>
      <c r="N137" s="16" t="str">
        <f t="shared" si="3"/>
        <v/>
      </c>
      <c r="O137" s="16" t="str">
        <f t="shared" si="4"/>
        <v/>
      </c>
      <c r="P137" s="16" t="s">
        <v>411</v>
      </c>
      <c r="Q137" s="16"/>
      <c r="R137" s="9"/>
    </row>
    <row r="138" ht="15.75" customHeight="1">
      <c r="A138" s="9"/>
      <c r="B138" s="10" t="s">
        <v>412</v>
      </c>
      <c r="C138" s="11" t="str">
        <f t="shared" si="1"/>
        <v>R-34</v>
      </c>
      <c r="D138" s="12" t="str">
        <f>IFERROR(__xludf.DUMMYFUNCTION("REGEXREPLACE(B138,""(.*):(.*)"", ""$1"")"),"R-34 Mean Rhythmic Value Run Length")</f>
        <v>R-34 Mean Rhythmic Value Run Length</v>
      </c>
      <c r="E138" s="12" t="str">
        <f t="shared" si="2"/>
        <v>Mean Rhythmic Value Run Length</v>
      </c>
      <c r="F138" s="14" t="s">
        <v>413</v>
      </c>
      <c r="G138" s="14" t="str">
        <f>IFERROR(__xludf.DUMMYFUNCTION("REGEXREPLACE(B138,""(.*): (.*)"", ""$2"")"),"Mean number of notes of the same rhythmic value that occur consecutively (either vertically or horizontally) in the same voice (MIDI channel and track). This calculation includes both pitched and unpitched notes, is calculated after rhythmic quantization "&amp;"and not influenced by neither tempo nor dynamics.")</f>
        <v>Mean number of notes of the same rhythmic value that occur consecutively (either vertically or horizontally) in the same voice (MIDI channel and track). This calculation includes both pitched and unpitched notes, is calculated after rhythmic quantization and not influenced by neither tempo nor dynamics.</v>
      </c>
      <c r="H138" s="6">
        <f t="shared" si="5"/>
        <v>124</v>
      </c>
      <c r="I138" s="15" t="b">
        <v>1</v>
      </c>
      <c r="J138" s="6">
        <f t="shared" si="6"/>
        <v>109</v>
      </c>
      <c r="K138" s="15" t="b">
        <v>1</v>
      </c>
      <c r="L138" s="14"/>
      <c r="M138" s="9"/>
      <c r="N138" s="16" t="str">
        <f t="shared" si="3"/>
        <v>'Mean_Rhythmic_Value_Run_Length',</v>
      </c>
      <c r="O138" s="16" t="str">
        <f t="shared" si="4"/>
        <v>'Mean_Rhythmic_Value_Run_Length',</v>
      </c>
      <c r="P138" s="16" t="s">
        <v>414</v>
      </c>
      <c r="Q138" s="16"/>
      <c r="R138" s="9"/>
    </row>
    <row r="139" ht="15.75" customHeight="1">
      <c r="A139" s="9"/>
      <c r="B139" s="10" t="s">
        <v>415</v>
      </c>
      <c r="C139" s="11" t="str">
        <f t="shared" si="1"/>
        <v>R-35</v>
      </c>
      <c r="D139" s="12" t="str">
        <f>IFERROR(__xludf.DUMMYFUNCTION("REGEXREPLACE(B139,""(.*):(.*)"", ""$1"")"),"R-35 Median Rhythmic Value Run Length")</f>
        <v>R-35 Median Rhythmic Value Run Length</v>
      </c>
      <c r="E139" s="12" t="str">
        <f t="shared" si="2"/>
        <v>Median Rhythmic Value Run Length</v>
      </c>
      <c r="F139" s="14" t="s">
        <v>416</v>
      </c>
      <c r="G139" s="14" t="str">
        <f>IFERROR(__xludf.DUMMYFUNCTION("REGEXREPLACE(B139,""(.*): (.*)"", ""$2"")"),"Median number of notes of the same rhythmic value that occur consecutively (either vertically or horizontally) in the same voice (MIDI channel and track). This calculation includes both pitched and unpitched notes, is calculated after rhythmic quantizatio"&amp;"n and not influenced by neither tempo nor dynamics.")</f>
        <v>Median number of notes of the same rhythmic value that occur consecutively (either vertically or horizontally) in the same voice (MIDI channel and track). This calculation includes both pitched and unpitched notes, is calculated after rhythmic quantization and not influenced by neither tempo nor dynamics.</v>
      </c>
      <c r="H139" s="6">
        <f t="shared" si="5"/>
        <v>125</v>
      </c>
      <c r="I139" s="15" t="b">
        <v>1</v>
      </c>
      <c r="J139" s="6">
        <f t="shared" si="6"/>
        <v>110</v>
      </c>
      <c r="K139" s="15" t="b">
        <v>1</v>
      </c>
      <c r="L139" s="14"/>
      <c r="M139" s="9"/>
      <c r="N139" s="16" t="str">
        <f t="shared" si="3"/>
        <v>'Median_Rhythmic_Value_Run_Length',</v>
      </c>
      <c r="O139" s="16" t="str">
        <f t="shared" si="4"/>
        <v>'Median_Rhythmic_Value_Run_Length',</v>
      </c>
      <c r="P139" s="16" t="s">
        <v>417</v>
      </c>
      <c r="Q139" s="16"/>
      <c r="R139" s="9"/>
    </row>
    <row r="140" ht="15.75" customHeight="1">
      <c r="A140" s="9"/>
      <c r="B140" s="10" t="s">
        <v>418</v>
      </c>
      <c r="C140" s="11" t="str">
        <f t="shared" si="1"/>
        <v>R-36</v>
      </c>
      <c r="D140" s="12" t="str">
        <f>IFERROR(__xludf.DUMMYFUNCTION("REGEXREPLACE(B140,""(.*):(.*)"", ""$1"")"),"R-36 Variability in Rhythmic Value Run Lengths")</f>
        <v>R-36 Variability in Rhythmic Value Run Lengths</v>
      </c>
      <c r="E140" s="12" t="str">
        <f t="shared" si="2"/>
        <v>Variability in Rhythmic Value Run Lengths</v>
      </c>
      <c r="F140" s="14" t="s">
        <v>419</v>
      </c>
      <c r="G140" s="14" t="str">
        <f>IFERROR(__xludf.DUMMYFUNCTION("REGEXREPLACE(B140,""(.*): (.*)"", ""$2"")"),"Standard deviation of the numbers of notes of the same rhythmic value that occur consecutively (either vertically or horizontally) in the same voice (MIDI channel and track). This calculation includes both pitched and unpitched notes, is calculated after "&amp;"rhythmic quantization and not influenced by neither tempo nor dynamics.")</f>
        <v>Standard deviation of the numbers of notes of the same rhythmic value that occur consecutively (either vertically or horizontally) in the same voice (MIDI channel and track). This calculation includes both pitched and unpitched notes, is calculated after rhythmic quantization and not influenced by neither tempo nor dynamics.</v>
      </c>
      <c r="H140" s="6">
        <f t="shared" si="5"/>
        <v>126</v>
      </c>
      <c r="I140" s="15" t="b">
        <v>1</v>
      </c>
      <c r="J140" s="6">
        <f t="shared" si="6"/>
        <v>111</v>
      </c>
      <c r="K140" s="15" t="b">
        <v>1</v>
      </c>
      <c r="L140" s="14"/>
      <c r="M140" s="9"/>
      <c r="N140" s="16" t="str">
        <f t="shared" si="3"/>
        <v>'Variability_in_Rhythmic_Value_Run_Lengths',</v>
      </c>
      <c r="O140" s="16" t="str">
        <f t="shared" si="4"/>
        <v>'Variability_in_Rhythmic_Value_Run_Lengths',</v>
      </c>
      <c r="P140" s="16" t="s">
        <v>420</v>
      </c>
      <c r="Q140" s="16"/>
      <c r="R140" s="9"/>
    </row>
    <row r="141" ht="15.75" customHeight="1">
      <c r="A141" s="9"/>
      <c r="B141" s="10" t="s">
        <v>421</v>
      </c>
      <c r="C141" s="11" t="str">
        <f t="shared" si="1"/>
        <v>R-37</v>
      </c>
      <c r="D141" s="12" t="str">
        <f>IFERROR(__xludf.DUMMYFUNCTION("REGEXREPLACE(B141,""(.*):(.*)"", ""$1"")"),"R-37 Rhythmic Value Variability in Run Lengths Histogram: A normalized feature vector that indicates, for each rhythmic value, the normalized standard deviation of the number of times that notes with that rhythmic value occur consecutively (either vertica"&amp;"lly or horizontally) in the same voice (MIDI channel and track). Each bin corresponds to a different rhythmic value, and they are numbered as follows")</f>
        <v>R-37 Rhythmic Value Variability in Run Lengths Histogram: A normalized feature vector that indicates, for each rhythmic value, the normalized standard deviation of the number of times that notes with that rhythmic value occur consecutively (either vertically or horizontally) in the same voice (MIDI channel and track). Each bin corresponds to a different rhythmic value, and they are numbered as follows</v>
      </c>
      <c r="E141" s="12" t="str">
        <f t="shared" si="2"/>
        <v>Rhythmic Value Variability in Run Lengths Histogram: A normalized feature vector that indicates, for each rhythmic value, the normalized standard deviation of the number of times that notes with that rhythmic value occur consecutively (either vertically or</v>
      </c>
      <c r="F141" s="14"/>
      <c r="G141" s="14" t="str">
        <f>IFERROR(__xludf.DUMMYFUNCTION("REGEXREPLACE(B141,""(.*): (.*)"", ""$2"")"),"thirty second notes (or less) [0], sixteenth notes [1], eighth notes [2], dotted eighth notes [3], quarter notes [4], dotted quarter notes [5], half notes [6], dotted half notes [7], whole notes [8], dotted whole notes [9], double whole notes [10] and dot"&amp;"ted double whole notes (or more ) [11]. Both pitched and unpitched notes are included in this histogram. Tempo is, of course, not relevant to this histogram. Notes with durations not precisely matching one of these rhythmic note values are mapped to the c"&amp;"losest note value (to filter out the effects of rubato or uneven human rhythmic performances, for example). This histogram is calculated without regard to dynamics.")</f>
        <v>thirty second notes (or less) [0], sixteenth notes [1], eighth notes [2], dotted eighth notes [3], quarter notes [4], dotted quarter notes [5], half notes [6], dotted half notes [7], whole notes [8], dotted whole notes [9], double whole notes [10] and dotted double whole notes (or more ) [11]. Both pitched and unpitched notes are included in this histogram. Tempo is, of course, not relevant to this histogram. Notes with durations not precisely matching one of these rhythmic note values are mapped to the closest note value (to filter out the effects of rubato or uneven human rhythmic performances, for example). This histogram is calculated without regard to dynamics.</v>
      </c>
      <c r="H141" s="6">
        <f t="shared" si="5"/>
        <v>126</v>
      </c>
      <c r="I141" s="15" t="b">
        <v>0</v>
      </c>
      <c r="J141" s="6">
        <f t="shared" si="6"/>
        <v>111</v>
      </c>
      <c r="K141" s="15" t="b">
        <v>0</v>
      </c>
      <c r="L141" s="14"/>
      <c r="M141" s="9"/>
      <c r="N141" s="16" t="str">
        <f t="shared" si="3"/>
        <v/>
      </c>
      <c r="O141" s="16" t="str">
        <f t="shared" si="4"/>
        <v/>
      </c>
      <c r="P141" s="16" t="s">
        <v>422</v>
      </c>
      <c r="Q141" s="16"/>
      <c r="R141" s="9"/>
    </row>
    <row r="142" ht="15.75" customHeight="1">
      <c r="A142" s="9"/>
      <c r="B142" s="10" t="s">
        <v>423</v>
      </c>
      <c r="C142" s="11" t="str">
        <f t="shared" si="1"/>
        <v>R-38</v>
      </c>
      <c r="D142" s="12" t="str">
        <f>IFERROR(__xludf.DUMMYFUNCTION("REGEXREPLACE(B142,""(.*):(.*)"", ""$1"")"),"R-38 Mean Rhythmic Value Offset")</f>
        <v>R-38 Mean Rhythmic Value Offset</v>
      </c>
      <c r="E142" s="12" t="str">
        <f t="shared" si="2"/>
        <v>Mean Rhythmic Value Offset</v>
      </c>
      <c r="F142" s="14" t="s">
        <v>424</v>
      </c>
      <c r="G142" s="14" t="str">
        <f>IFERROR(__xludf.DUMMYFUNCTION("REGEXREPLACE(B142,""(.*): (.*)"", ""$2"")"),"Mean offset in duration of notes from the idealized durations of each of their nearest quantized rhythmic values, expressed as a fraction of the duration of an idealized quantized quarter note. Offsets are treated as absolute values, so offsets that are l"&amp;"onger or shorter than each idealized duration are both treated as identical positive numbers in this calculation. This feature provides an indication of how consistently quantized note durations are or, expressed slightly differently, how well they confor"&amp;"m to idealized note durations. Higher values indicate greater average deviation from idealized note durations. Both pitched and unpitched notes are included, and this is calculated without regard to the dynamics, voice or instrument of any given note.")</f>
        <v>Mean offset in duration of notes from the idealized durations of each of their nearest quantized rhythmic values, expressed as a fraction of the duration of an idealized quantized quarter note. Offsets are treated as absolute values, so offsets that are longer or shorter than each idealized duration are both treated as identical positive numbers in this calculation. This feature provides an indication of how consistently quantized note durations are or, expressed slightly differently, how well they conform to idealized note durations. Higher values indicate greater average deviation from idealized note durations. Both pitched and unpitched notes are included, and this is calculated without regard to the dynamics, voice or instrument of any given note.</v>
      </c>
      <c r="H142" s="6">
        <f t="shared" si="5"/>
        <v>127</v>
      </c>
      <c r="I142" s="15" t="b">
        <v>1</v>
      </c>
      <c r="J142" s="6">
        <f t="shared" si="6"/>
        <v>111</v>
      </c>
      <c r="K142" s="15" t="b">
        <v>0</v>
      </c>
      <c r="L142" s="14" t="s">
        <v>425</v>
      </c>
      <c r="M142" s="9"/>
      <c r="N142" s="16" t="str">
        <f t="shared" si="3"/>
        <v>'Mean_Rhythmic_Value_Offset',</v>
      </c>
      <c r="O142" s="16" t="str">
        <f t="shared" si="4"/>
        <v/>
      </c>
      <c r="P142" s="16" t="s">
        <v>426</v>
      </c>
      <c r="Q142" s="16"/>
      <c r="R142" s="9"/>
    </row>
    <row r="143" ht="15.75" customHeight="1">
      <c r="A143" s="9"/>
      <c r="B143" s="10" t="s">
        <v>427</v>
      </c>
      <c r="C143" s="11" t="str">
        <f t="shared" si="1"/>
        <v>R-39</v>
      </c>
      <c r="D143" s="12" t="str">
        <f>IFERROR(__xludf.DUMMYFUNCTION("REGEXREPLACE(B143,""(.*):(.*)"", ""$1"")"),"R-39 Median Rhythmic Value Offset")</f>
        <v>R-39 Median Rhythmic Value Offset</v>
      </c>
      <c r="E143" s="12" t="str">
        <f t="shared" si="2"/>
        <v>Median Rhythmic Value Offset</v>
      </c>
      <c r="F143" s="14" t="s">
        <v>428</v>
      </c>
      <c r="G143" s="14" t="str">
        <f>IFERROR(__xludf.DUMMYFUNCTION("REGEXREPLACE(B143,""(.*): (.*)"", ""$2"")"),"Median offset in duration of notes from the idealized durations of each of their nearest quantized rhythmic values, expressed as a fraction of the duration of an idealized quantized quarter note. Offsets are treated as absolute values, so offsets that are"&amp;" longer or shorter than each idealized duration are both treated as identical positive numbers in this calculation. This feature provides an indication of how consistently quantized note durations are or, expressed slightly differently, how well they conf"&amp;"orm to idealized note durations. Higher values indicate greater average deviation from idealized note durations. Both pitched and unpitched notes are included, and this is calculated without regard to the dynamics, voice or instrument of any given note.")</f>
        <v>Median offset in duration of notes from the idealized durations of each of their nearest quantized rhythmic values, expressed as a fraction of the duration of an idealized quantized quarter note. Offsets are treated as absolute values, so offsets that are longer or shorter than each idealized duration are both treated as identical positive numbers in this calculation. This feature provides an indication of how consistently quantized note durations are or, expressed slightly differently, how well they conform to idealized note durations. Higher values indicate greater average deviation from idealized note durations. Both pitched and unpitched notes are included, and this is calculated without regard to the dynamics, voice or instrument of any given note.</v>
      </c>
      <c r="H143" s="6">
        <f t="shared" si="5"/>
        <v>128</v>
      </c>
      <c r="I143" s="15" t="b">
        <v>1</v>
      </c>
      <c r="J143" s="6">
        <f t="shared" si="6"/>
        <v>111</v>
      </c>
      <c r="K143" s="15" t="b">
        <v>0</v>
      </c>
      <c r="L143" s="14" t="s">
        <v>425</v>
      </c>
      <c r="M143" s="9"/>
      <c r="N143" s="16" t="str">
        <f t="shared" si="3"/>
        <v>'Median_Rhythmic_Value_Offset',</v>
      </c>
      <c r="O143" s="16" t="str">
        <f t="shared" si="4"/>
        <v/>
      </c>
      <c r="P143" s="16" t="s">
        <v>429</v>
      </c>
      <c r="Q143" s="16"/>
      <c r="R143" s="9"/>
    </row>
    <row r="144" ht="15.75" customHeight="1">
      <c r="A144" s="9"/>
      <c r="B144" s="10" t="s">
        <v>430</v>
      </c>
      <c r="C144" s="11" t="str">
        <f t="shared" si="1"/>
        <v>R-40</v>
      </c>
      <c r="D144" s="12" t="str">
        <f>IFERROR(__xludf.DUMMYFUNCTION("REGEXREPLACE(B144,""(.*):(.*)"", ""$1"")"),"R-40 Variability of Rhythmic Value Offsets")</f>
        <v>R-40 Variability of Rhythmic Value Offsets</v>
      </c>
      <c r="E144" s="12" t="str">
        <f t="shared" si="2"/>
        <v>Variability of Rhythmic Value Offsets</v>
      </c>
      <c r="F144" s="14" t="s">
        <v>431</v>
      </c>
      <c r="G144" s="14" t="str">
        <f>IFERROR(__xludf.DUMMYFUNCTION("REGEXREPLACE(B144,""(.*): (.*)"", ""$2"")"),"Standard deviation of the offsets of note durations of notes from the idealized durations of each of their nearest quantized rhythmic values, expressed as a fraction of the duration of an idealized quantized quarter note. Offsets are treated as absolute v"&amp;"alues, so offsets that are longer or shorter than each idealized duration are both treated as identical positive numbers in this calculation. This feature provides an indication of how much these offsets vary or, expressed slightly differently, how rhythm"&amp;"ically consistent note durations are. A higher value indicates greater variety in offsets between different notes. Both pitched and unpitched notes are included, and this is calculated without regard to the dynamics, voice or instrument of any given note.")</f>
        <v>Standard deviation of the offsets of note durations of notes from the idealized durations of each of their nearest quantized rhythmic values, expressed as a fraction of the duration of an idealized quantized quarter note. Offsets are treated as absolute values, so offsets that are longer or shorter than each idealized duration are both treated as identical positive numbers in this calculation. This feature provides an indication of how much these offsets vary or, expressed slightly differently, how rhythmically consistent note durations are. A higher value indicates greater variety in offsets between different notes. Both pitched and unpitched notes are included, and this is calculated without regard to the dynamics, voice or instrument of any given note.</v>
      </c>
      <c r="H144" s="6">
        <f t="shared" si="5"/>
        <v>129</v>
      </c>
      <c r="I144" s="15" t="b">
        <v>1</v>
      </c>
      <c r="J144" s="6">
        <f t="shared" si="6"/>
        <v>111</v>
      </c>
      <c r="K144" s="15" t="b">
        <v>0</v>
      </c>
      <c r="L144" s="14" t="s">
        <v>425</v>
      </c>
      <c r="M144" s="9"/>
      <c r="N144" s="16" t="str">
        <f t="shared" si="3"/>
        <v>'Variability_of_Rhythmic_Value_Offsets',</v>
      </c>
      <c r="O144" s="16" t="str">
        <f t="shared" si="4"/>
        <v/>
      </c>
      <c r="P144" s="16" t="s">
        <v>432</v>
      </c>
      <c r="Q144" s="16"/>
      <c r="R144" s="9"/>
    </row>
    <row r="145" ht="15.75" customHeight="1">
      <c r="A145" s="9"/>
      <c r="B145" s="10" t="s">
        <v>433</v>
      </c>
      <c r="C145" s="11" t="str">
        <f t="shared" si="1"/>
        <v>R-41</v>
      </c>
      <c r="D145" s="12" t="str">
        <f>IFERROR(__xludf.DUMMYFUNCTION("REGEXREPLACE(B145,""(.*):(.*)"", ""$1"")"),"R-41 Complete Rests Fraction")</f>
        <v>R-41 Complete Rests Fraction</v>
      </c>
      <c r="E145" s="12" t="str">
        <f t="shared" si="2"/>
        <v>Complete Rests Fraction</v>
      </c>
      <c r="F145" s="14" t="s">
        <v>434</v>
      </c>
      <c r="G145" s="14" t="str">
        <f>IFERROR(__xludf.DUMMYFUNCTION("REGEXREPLACE(B145,""(.*): (.*)"", ""$2"")"),"Fraction of the music during which no pitched notes are sounding on any MIDI channel. Non-pitched (MIDI channel 10) notes are not considered in this calculation.")</f>
        <v>Fraction of the music during which no pitched notes are sounding on any MIDI channel. Non-pitched (MIDI channel 10) notes are not considered in this calculation.</v>
      </c>
      <c r="H145" s="6">
        <f t="shared" si="5"/>
        <v>130</v>
      </c>
      <c r="I145" s="15" t="b">
        <v>1</v>
      </c>
      <c r="J145" s="6">
        <f t="shared" si="6"/>
        <v>112</v>
      </c>
      <c r="K145" s="15" t="b">
        <v>1</v>
      </c>
      <c r="L145" s="14"/>
      <c r="M145" s="9"/>
      <c r="N145" s="16" t="str">
        <f t="shared" si="3"/>
        <v>'Complete_Rests_Fraction',</v>
      </c>
      <c r="O145" s="16" t="str">
        <f t="shared" si="4"/>
        <v>'Complete_Rests_Fraction',</v>
      </c>
      <c r="P145" s="16" t="s">
        <v>435</v>
      </c>
      <c r="Q145" s="16"/>
      <c r="R145" s="9"/>
    </row>
    <row r="146" ht="15.75" customHeight="1">
      <c r="A146" s="9"/>
      <c r="B146" s="10" t="s">
        <v>436</v>
      </c>
      <c r="C146" s="11" t="str">
        <f t="shared" si="1"/>
        <v>R-42</v>
      </c>
      <c r="D146" s="12" t="str">
        <f>IFERROR(__xludf.DUMMYFUNCTION("REGEXREPLACE(B146,""(.*):(.*)"", ""$1"")"),"R-42 Partial Rests Fraction")</f>
        <v>R-42 Partial Rests Fraction</v>
      </c>
      <c r="E146" s="12" t="str">
        <f t="shared" si="2"/>
        <v>Partial Rests Fraction</v>
      </c>
      <c r="F146" s="14" t="s">
        <v>437</v>
      </c>
      <c r="G146" s="14" t="str">
        <f>IFERROR(__xludf.DUMMYFUNCTION("REGEXREPLACE(B146,""(.*): (.*)"", ""$2"")"),"Fraction of the music during which no note is sounding on at least one active MIDI channel. Non-pitched (MIDI channel 10) notes ARE considered in this calculation. Only channels containing at least one note are counted in this calculation.")</f>
        <v>Fraction of the music during which no note is sounding on at least one active MIDI channel. Non-pitched (MIDI channel 10) notes ARE considered in this calculation. Only channels containing at least one note are counted in this calculation.</v>
      </c>
      <c r="H146" s="6">
        <f t="shared" si="5"/>
        <v>131</v>
      </c>
      <c r="I146" s="15" t="b">
        <v>1</v>
      </c>
      <c r="J146" s="6">
        <f t="shared" si="6"/>
        <v>112</v>
      </c>
      <c r="K146" s="15" t="b">
        <v>0</v>
      </c>
      <c r="L146" s="14" t="s">
        <v>438</v>
      </c>
      <c r="M146" s="9"/>
      <c r="N146" s="16" t="str">
        <f t="shared" si="3"/>
        <v>'Partial_Rests_Fraction',</v>
      </c>
      <c r="O146" s="16" t="str">
        <f t="shared" si="4"/>
        <v/>
      </c>
      <c r="P146" s="16" t="s">
        <v>439</v>
      </c>
      <c r="Q146" s="16"/>
      <c r="R146" s="9"/>
    </row>
    <row r="147" ht="15.75" customHeight="1">
      <c r="A147" s="9"/>
      <c r="B147" s="10" t="s">
        <v>440</v>
      </c>
      <c r="C147" s="11" t="str">
        <f t="shared" si="1"/>
        <v>R-43</v>
      </c>
      <c r="D147" s="12" t="str">
        <f>IFERROR(__xludf.DUMMYFUNCTION("REGEXREPLACE(B147,""(.*):(.*)"", ""$1"")"),"R-43 Average Rest Fraction Across Voices")</f>
        <v>R-43 Average Rest Fraction Across Voices</v>
      </c>
      <c r="E147" s="12" t="str">
        <f t="shared" si="2"/>
        <v>Average Rest Fraction Across Voices</v>
      </c>
      <c r="F147" s="14" t="s">
        <v>441</v>
      </c>
      <c r="G147" s="14" t="str">
        <f>IFERROR(__xludf.DUMMYFUNCTION("REGEXREPLACE(B147,""(.*): (.*)"", ""$2"")"),"Fraction of the duration of each MIDI channel during which no note is sounding on that channel, averaged across all channels that contain at least one note. Non-pitched (MIDI channel 10) notes ARE considered in this calculation.")</f>
        <v>Fraction of the duration of each MIDI channel during which no note is sounding on that channel, averaged across all channels that contain at least one note. Non-pitched (MIDI channel 10) notes ARE considered in this calculation.</v>
      </c>
      <c r="H147" s="6">
        <f t="shared" si="5"/>
        <v>132</v>
      </c>
      <c r="I147" s="15" t="b">
        <v>1</v>
      </c>
      <c r="J147" s="6">
        <f t="shared" si="6"/>
        <v>113</v>
      </c>
      <c r="K147" s="15" t="b">
        <v>1</v>
      </c>
      <c r="L147" s="14"/>
      <c r="M147" s="9"/>
      <c r="N147" s="16" t="str">
        <f t="shared" si="3"/>
        <v>'Average_Rest_Fraction_Across_Voices',</v>
      </c>
      <c r="O147" s="16" t="str">
        <f t="shared" si="4"/>
        <v>'Average_Rest_Fraction_Across_Voices',</v>
      </c>
      <c r="P147" s="16" t="s">
        <v>442</v>
      </c>
      <c r="Q147" s="16"/>
      <c r="R147" s="9"/>
    </row>
    <row r="148" ht="15.75" customHeight="1">
      <c r="A148" s="9"/>
      <c r="B148" s="10" t="s">
        <v>443</v>
      </c>
      <c r="C148" s="11" t="str">
        <f t="shared" si="1"/>
        <v>R-44</v>
      </c>
      <c r="D148" s="12" t="str">
        <f>IFERROR(__xludf.DUMMYFUNCTION("REGEXREPLACE(B148,""(.*):(.*)"", ""$1"")"),"R-44 Longest Complete Rest")</f>
        <v>R-44 Longest Complete Rest</v>
      </c>
      <c r="E148" s="12" t="str">
        <f t="shared" si="2"/>
        <v>Longest Complete Rest</v>
      </c>
      <c r="F148" s="14" t="s">
        <v>444</v>
      </c>
      <c r="G148" s="14" t="str">
        <f>IFERROR(__xludf.DUMMYFUNCTION("REGEXREPLACE(B148,""(.*): (.*)"", ""$2"")"),"Longest amount of uninterrupted time (expressed as a fraction of the duration of a quarter note) in which no pitched notes are sounding on any MIDI channel. Non-pitched (MIDI channel 10) notes are not considered in this calculation. Rests shorter than 0.1"&amp;" of a quarter note are ignored in this calculation.")</f>
        <v>Longest amount of uninterrupted time (expressed as a fraction of the duration of a quarter note) in which no pitched notes are sounding on any MIDI channel. Non-pitched (MIDI channel 10) notes are not considered in this calculation. Rests shorter than 0.1 of a quarter note are ignored in this calculation.</v>
      </c>
      <c r="H148" s="6">
        <f t="shared" si="5"/>
        <v>133</v>
      </c>
      <c r="I148" s="15" t="b">
        <v>1</v>
      </c>
      <c r="J148" s="6">
        <f t="shared" si="6"/>
        <v>114</v>
      </c>
      <c r="K148" s="15" t="b">
        <v>1</v>
      </c>
      <c r="L148" s="14"/>
      <c r="M148" s="9"/>
      <c r="N148" s="16" t="str">
        <f t="shared" si="3"/>
        <v>'Longest_Complete_Rest',</v>
      </c>
      <c r="O148" s="16" t="str">
        <f t="shared" si="4"/>
        <v>'Longest_Complete_Rest',</v>
      </c>
      <c r="P148" s="16" t="s">
        <v>445</v>
      </c>
      <c r="Q148" s="16"/>
      <c r="R148" s="9"/>
    </row>
    <row r="149" ht="15.75" customHeight="1">
      <c r="A149" s="9"/>
      <c r="B149" s="10" t="s">
        <v>446</v>
      </c>
      <c r="C149" s="11" t="str">
        <f t="shared" si="1"/>
        <v>R-45</v>
      </c>
      <c r="D149" s="12" t="str">
        <f>IFERROR(__xludf.DUMMYFUNCTION("REGEXREPLACE(B149,""(.*):(.*)"", ""$1"")"),"R-45 Longest Partial Rest")</f>
        <v>R-45 Longest Partial Rest</v>
      </c>
      <c r="E149" s="12" t="str">
        <f t="shared" si="2"/>
        <v>Longest Partial Rest</v>
      </c>
      <c r="F149" s="14" t="s">
        <v>447</v>
      </c>
      <c r="G149" s="14" t="str">
        <f>IFERROR(__xludf.DUMMYFUNCTION("REGEXREPLACE(B149,""(.*): (.*)"", ""$2"")"),"Longest amount of uninterrupted time (expressed as a fraction of the duration of a quarter note) in which no notes are sounding on at least one active MIDI channel. Non-pitched (MIDI channel 10) notes ARE considered in this calculation. Only channels cont"&amp;"aining at least one note are counted in this calculation. Rests shorter than 0.1 of a quarter note are ignored in this calculation.")</f>
        <v>Longest amount of uninterrupted time (expressed as a fraction of the duration of a quarter note) in which no notes are sounding on at least one active MIDI channel. Non-pitched (MIDI channel 10) notes ARE considered in this calculation. Only channels containing at least one note are counted in this calculation. Rests shorter than 0.1 of a quarter note are ignored in this calculation.</v>
      </c>
      <c r="H149" s="6">
        <f t="shared" si="5"/>
        <v>134</v>
      </c>
      <c r="I149" s="15" t="b">
        <v>1</v>
      </c>
      <c r="J149" s="6">
        <f t="shared" si="6"/>
        <v>114</v>
      </c>
      <c r="K149" s="15" t="b">
        <v>0</v>
      </c>
      <c r="L149" s="14" t="s">
        <v>438</v>
      </c>
      <c r="M149" s="9"/>
      <c r="N149" s="16" t="str">
        <f t="shared" si="3"/>
        <v>'Longest_Partial_Rest',</v>
      </c>
      <c r="O149" s="16" t="str">
        <f t="shared" si="4"/>
        <v/>
      </c>
      <c r="P149" s="16" t="s">
        <v>448</v>
      </c>
      <c r="Q149" s="16"/>
      <c r="R149" s="9"/>
    </row>
    <row r="150" ht="15.75" customHeight="1">
      <c r="A150" s="9"/>
      <c r="B150" s="10" t="s">
        <v>449</v>
      </c>
      <c r="C150" s="11" t="str">
        <f t="shared" si="1"/>
        <v>R-46</v>
      </c>
      <c r="D150" s="12" t="str">
        <f>IFERROR(__xludf.DUMMYFUNCTION("REGEXREPLACE(B150,""(.*):(.*)"", ""$1"")"),"R-46 Mean Complete Rest Duration")</f>
        <v>R-46 Mean Complete Rest Duration</v>
      </c>
      <c r="E150" s="12" t="str">
        <f t="shared" si="2"/>
        <v>Mean Complete Rest Duration</v>
      </c>
      <c r="F150" s="14" t="s">
        <v>450</v>
      </c>
      <c r="G150" s="14" t="str">
        <f>IFERROR(__xludf.DUMMYFUNCTION("REGEXREPLACE(B150,""(.*): (.*)"", ""$2"")"),"Mean duration of complete rests in the piece, expressed as a fraction of the duration of a quarter note. A complete rest is defined as a period in which no pitched notes are sounding on any MIDI channel. Non-pitched (MIDI channel 10) notes are not conside"&amp;"red in this calculation. Rests shorter than 0.1 of a quarter note are ignored in this calculation.")</f>
        <v>Mean duration of complete rests in the piece, expressed as a fraction of the duration of a quarter note. A complete rest is defined as a period in which no pitched notes are sounding on any MIDI channel. Non-pitched (MIDI channel 10) notes are not considered in this calculation. Rests shorter than 0.1 of a quarter note are ignored in this calculation.</v>
      </c>
      <c r="H150" s="6">
        <f t="shared" si="5"/>
        <v>135</v>
      </c>
      <c r="I150" s="15" t="b">
        <v>1</v>
      </c>
      <c r="J150" s="6">
        <f t="shared" si="6"/>
        <v>115</v>
      </c>
      <c r="K150" s="15" t="b">
        <v>1</v>
      </c>
      <c r="L150" s="14"/>
      <c r="M150" s="9"/>
      <c r="N150" s="16" t="str">
        <f t="shared" si="3"/>
        <v>'Mean_Complete_Rest_Duration',</v>
      </c>
      <c r="O150" s="16" t="str">
        <f t="shared" si="4"/>
        <v>'Mean_Complete_Rest_Duration',</v>
      </c>
      <c r="P150" s="16" t="s">
        <v>451</v>
      </c>
      <c r="Q150" s="16"/>
      <c r="R150" s="9"/>
    </row>
    <row r="151" ht="15.75" customHeight="1">
      <c r="A151" s="9"/>
      <c r="B151" s="10" t="s">
        <v>452</v>
      </c>
      <c r="C151" s="11" t="str">
        <f t="shared" si="1"/>
        <v>R-47</v>
      </c>
      <c r="D151" s="12" t="str">
        <f>IFERROR(__xludf.DUMMYFUNCTION("REGEXREPLACE(B151,""(.*):(.*)"", ""$1"")"),"R-47 Mean Partial Rest Duration")</f>
        <v>R-47 Mean Partial Rest Duration</v>
      </c>
      <c r="E151" s="12" t="str">
        <f t="shared" si="2"/>
        <v>Mean Partial Rest Duration</v>
      </c>
      <c r="F151" s="14" t="s">
        <v>453</v>
      </c>
      <c r="G151" s="14" t="str">
        <f>IFERROR(__xludf.DUMMYFUNCTION("REGEXREPLACE(B151,""(.*): (.*)"", ""$2"")"),"Mean duration of rests in the piece, expressed as a fraction of the duration of a quarter note. This is calculated voice-by-voice, where each rest included in the calculation corresponds to a rest in one MIDI channel, regardless of what may or may not be "&amp;"happening simultaneously in any other MIDI channels. Non-pitched (MIDI channel 10) notes ARE considered in this calculation. Only channels containing at least one note are counted in this calculation. Rests shorter than 0.1 of a quarter note are ignored i"&amp;"n this calculation.")</f>
        <v>Mean duration of rests in the piece, expressed as a fraction of the duration of a quarter note. This is calculated voice-by-voice, where each rest included in the calculation corresponds to a rest in one MIDI channel, regardless of what may or may not be happening simultaneously in any other MIDI channels. Non-pitched (MIDI channel 10) notes ARE considered in this calculation. Only channels containing at least one note are counted in this calculation. Rests shorter than 0.1 of a quarter note are ignored in this calculation.</v>
      </c>
      <c r="H151" s="6">
        <f t="shared" si="5"/>
        <v>136</v>
      </c>
      <c r="I151" s="15" t="b">
        <v>1</v>
      </c>
      <c r="J151" s="6">
        <f t="shared" si="6"/>
        <v>115</v>
      </c>
      <c r="K151" s="15" t="b">
        <v>0</v>
      </c>
      <c r="L151" s="14" t="s">
        <v>438</v>
      </c>
      <c r="M151" s="9"/>
      <c r="N151" s="16" t="str">
        <f t="shared" si="3"/>
        <v>'Mean_Partial_Rest_Duration',</v>
      </c>
      <c r="O151" s="16" t="str">
        <f t="shared" si="4"/>
        <v/>
      </c>
      <c r="P151" s="16" t="s">
        <v>454</v>
      </c>
      <c r="Q151" s="16"/>
      <c r="R151" s="9"/>
    </row>
    <row r="152" ht="15.75" customHeight="1">
      <c r="A152" s="9"/>
      <c r="B152" s="10" t="s">
        <v>455</v>
      </c>
      <c r="C152" s="11" t="str">
        <f t="shared" si="1"/>
        <v>R-48</v>
      </c>
      <c r="D152" s="12" t="str">
        <f>IFERROR(__xludf.DUMMYFUNCTION("REGEXREPLACE(B152,""(.*):(.*)"", ""$1"")"),"R-48 Median Complete Rest Duration")</f>
        <v>R-48 Median Complete Rest Duration</v>
      </c>
      <c r="E152" s="12" t="str">
        <f t="shared" si="2"/>
        <v>Median Complete Rest Duration</v>
      </c>
      <c r="F152" s="14" t="s">
        <v>456</v>
      </c>
      <c r="G152" s="14" t="str">
        <f>IFERROR(__xludf.DUMMYFUNCTION("REGEXREPLACE(B152,""(.*): (.*)"", ""$2"")"),"Median duration of complete rests in the piece, expressed as a fraction of the duration of a quarter note. A complete rest is defined as a period in which no pitched notes are sounding on any MIDI channel. Non-pitched (MIDI channel 10) notes are not consi"&amp;"dered in this calculation. Rests shorter than 0.1 of a quarter note are ignored in this calculation.")</f>
        <v>Median duration of complete rests in the piece, expressed as a fraction of the duration of a quarter note. A complete rest is defined as a period in which no pitched notes are sounding on any MIDI channel. Non-pitched (MIDI channel 10) notes are not considered in this calculation. Rests shorter than 0.1 of a quarter note are ignored in this calculation.</v>
      </c>
      <c r="H152" s="6">
        <f t="shared" si="5"/>
        <v>137</v>
      </c>
      <c r="I152" s="15" t="b">
        <v>1</v>
      </c>
      <c r="J152" s="6">
        <f t="shared" si="6"/>
        <v>116</v>
      </c>
      <c r="K152" s="15" t="b">
        <v>1</v>
      </c>
      <c r="L152" s="14"/>
      <c r="M152" s="9"/>
      <c r="N152" s="16" t="str">
        <f t="shared" si="3"/>
        <v>'Median_Complete_Rest_Duration',</v>
      </c>
      <c r="O152" s="16" t="str">
        <f t="shared" si="4"/>
        <v>'Median_Complete_Rest_Duration',</v>
      </c>
      <c r="P152" s="16" t="s">
        <v>457</v>
      </c>
      <c r="Q152" s="16"/>
      <c r="R152" s="9"/>
    </row>
    <row r="153" ht="15.75" customHeight="1">
      <c r="A153" s="9"/>
      <c r="B153" s="10" t="s">
        <v>458</v>
      </c>
      <c r="C153" s="11" t="str">
        <f t="shared" si="1"/>
        <v>R-49</v>
      </c>
      <c r="D153" s="12" t="str">
        <f>IFERROR(__xludf.DUMMYFUNCTION("REGEXREPLACE(B153,""(.*):(.*)"", ""$1"")"),"R-49 Median Partial Rest Duration")</f>
        <v>R-49 Median Partial Rest Duration</v>
      </c>
      <c r="E153" s="12" t="str">
        <f t="shared" si="2"/>
        <v>Median Partial Rest Duration</v>
      </c>
      <c r="F153" s="14" t="s">
        <v>459</v>
      </c>
      <c r="G153" s="14" t="str">
        <f>IFERROR(__xludf.DUMMYFUNCTION("REGEXREPLACE(B153,""(.*): (.*)"", ""$2"")"),"Median duration of rests in the piece, expressed as a fraction of the duration of a quarter note. This is calculated voice-by-voice, where each rest included in the calculation corresponds to a rest in one MIDI channel, regardless of what may or may not b"&amp;"e happening simultaneously in any other MIDI channels. Non-pitched (MIDI channel 10) notes ARE considered in this calculation. Only channels containing at least one note are counted in this calculation. Rests shorter than 0.1 of a quarter note are ignored"&amp;" in this calculation.")</f>
        <v>Median duration of rests in the piece, expressed as a fraction of the duration of a quarter note. This is calculated voice-by-voice, where each rest included in the calculation corresponds to a rest in one MIDI channel, regardless of what may or may not be happening simultaneously in any other MIDI channels. Non-pitched (MIDI channel 10) notes ARE considered in this calculation. Only channels containing at least one note are counted in this calculation. Rests shorter than 0.1 of a quarter note are ignored in this calculation.</v>
      </c>
      <c r="H153" s="6">
        <f t="shared" si="5"/>
        <v>138</v>
      </c>
      <c r="I153" s="15" t="b">
        <v>1</v>
      </c>
      <c r="J153" s="6">
        <f t="shared" si="6"/>
        <v>116</v>
      </c>
      <c r="K153" s="15" t="b">
        <v>0</v>
      </c>
      <c r="L153" s="14" t="s">
        <v>438</v>
      </c>
      <c r="M153" s="9"/>
      <c r="N153" s="16" t="str">
        <f t="shared" si="3"/>
        <v>'Median_Partial_Rest_Duration',</v>
      </c>
      <c r="O153" s="16" t="str">
        <f t="shared" si="4"/>
        <v/>
      </c>
      <c r="P153" s="16" t="s">
        <v>460</v>
      </c>
      <c r="Q153" s="16"/>
      <c r="R153" s="9"/>
    </row>
    <row r="154" ht="15.75" customHeight="1">
      <c r="A154" s="9"/>
      <c r="B154" s="10" t="s">
        <v>461</v>
      </c>
      <c r="C154" s="11" t="str">
        <f t="shared" si="1"/>
        <v>R-50</v>
      </c>
      <c r="D154" s="12" t="str">
        <f>IFERROR(__xludf.DUMMYFUNCTION("REGEXREPLACE(B154,""(.*):(.*)"", ""$1"")"),"R-50 Variability of Complete Rest Durations")</f>
        <v>R-50 Variability of Complete Rest Durations</v>
      </c>
      <c r="E154" s="12" t="str">
        <f t="shared" si="2"/>
        <v>Variability of Complete Rest Durations</v>
      </c>
      <c r="F154" s="14" t="s">
        <v>462</v>
      </c>
      <c r="G154" s="14" t="str">
        <f>IFERROR(__xludf.DUMMYFUNCTION("REGEXREPLACE(B154,""(.*): (.*)"", ""$2"")"),"Standard deviation of the durations of all complete rests in the piece, expressed as a fraction of the duration of a quarter note. A complete rest is defined as a period in which no pitched notes are sounding on any MIDI channel. Non-pitched (MIDI channel"&amp;" 10) notes are not considered in this calculation. Rests shorter than 0.1 of a quarter note are ignored in this calculation.")</f>
        <v>Standard deviation of the durations of all complete rests in the piece, expressed as a fraction of the duration of a quarter note. A complete rest is defined as a period in which no pitched notes are sounding on any MIDI channel. Non-pitched (MIDI channel 10) notes are not considered in this calculation. Rests shorter than 0.1 of a quarter note are ignored in this calculation.</v>
      </c>
      <c r="H154" s="6">
        <f t="shared" si="5"/>
        <v>139</v>
      </c>
      <c r="I154" s="15" t="b">
        <v>1</v>
      </c>
      <c r="J154" s="6">
        <f t="shared" si="6"/>
        <v>117</v>
      </c>
      <c r="K154" s="15" t="b">
        <v>1</v>
      </c>
      <c r="L154" s="14"/>
      <c r="M154" s="9"/>
      <c r="N154" s="16" t="str">
        <f t="shared" si="3"/>
        <v>'Variability_of_Complete_Rest_Durations',</v>
      </c>
      <c r="O154" s="16" t="str">
        <f t="shared" si="4"/>
        <v>'Variability_of_Complete_Rest_Durations',</v>
      </c>
      <c r="P154" s="16" t="s">
        <v>463</v>
      </c>
      <c r="Q154" s="16"/>
      <c r="R154" s="9"/>
    </row>
    <row r="155" ht="15.75" customHeight="1">
      <c r="A155" s="9"/>
      <c r="B155" s="10" t="s">
        <v>464</v>
      </c>
      <c r="C155" s="11" t="str">
        <f t="shared" si="1"/>
        <v>R-51</v>
      </c>
      <c r="D155" s="12" t="str">
        <f>IFERROR(__xludf.DUMMYFUNCTION("REGEXREPLACE(B155,""(.*):(.*)"", ""$1"")"),"R-51 Variability of Partial Rest Durations")</f>
        <v>R-51 Variability of Partial Rest Durations</v>
      </c>
      <c r="E155" s="12" t="str">
        <f t="shared" si="2"/>
        <v>Variability of Partial Rest Durations</v>
      </c>
      <c r="F155" s="14" t="s">
        <v>465</v>
      </c>
      <c r="G155" s="14" t="str">
        <f>IFERROR(__xludf.DUMMYFUNCTION("REGEXREPLACE(B155,""(.*): (.*)"", ""$2"")"),"Standard deviation of the durations of rests in the piece, expressed as a fraction of the duration of a quarter note. This is calculated voice-by-voice, where each rest included in the calculation corresponds to a rest in one MIDI channel, regardless of w"&amp;"hat may or may not be happening simultaneously in any other MIDI channels. Non-pitched (MIDI channel 10) notes ARE considered in this calculation. Only channels containing at least one note are counted in this calculation. Rests shorter than 0.1 of a quar"&amp;"ter note are ignored in this calculation.")</f>
        <v>Standard deviation of the durations of rests in the piece, expressed as a fraction of the duration of a quarter note. This is calculated voice-by-voice, where each rest included in the calculation corresponds to a rest in one MIDI channel, regardless of what may or may not be happening simultaneously in any other MIDI channels. Non-pitched (MIDI channel 10) notes ARE considered in this calculation. Only channels containing at least one note are counted in this calculation. Rests shorter than 0.1 of a quarter note are ignored in this calculation.</v>
      </c>
      <c r="H155" s="6">
        <f t="shared" si="5"/>
        <v>140</v>
      </c>
      <c r="I155" s="15" t="b">
        <v>1</v>
      </c>
      <c r="J155" s="6">
        <f t="shared" si="6"/>
        <v>117</v>
      </c>
      <c r="K155" s="15" t="b">
        <v>0</v>
      </c>
      <c r="L155" s="14" t="s">
        <v>438</v>
      </c>
      <c r="M155" s="9"/>
      <c r="N155" s="16" t="str">
        <f t="shared" si="3"/>
        <v>'Variability_of_Partial_Rest_Durations',</v>
      </c>
      <c r="O155" s="16" t="str">
        <f t="shared" si="4"/>
        <v/>
      </c>
      <c r="P155" s="16" t="s">
        <v>466</v>
      </c>
      <c r="Q155" s="16"/>
      <c r="R155" s="9"/>
    </row>
    <row r="156" ht="15.75" customHeight="1">
      <c r="A156" s="9"/>
      <c r="B156" s="10" t="s">
        <v>467</v>
      </c>
      <c r="C156" s="11" t="str">
        <f t="shared" si="1"/>
        <v>R-52</v>
      </c>
      <c r="D156" s="12" t="str">
        <f>IFERROR(__xludf.DUMMYFUNCTION("REGEXREPLACE(B156,""(.*):(.*)"", ""$1"")"),"R-52 Variability Across Voices of Combined Rests")</f>
        <v>R-52 Variability Across Voices of Combined Rests</v>
      </c>
      <c r="E156" s="12" t="str">
        <f t="shared" si="2"/>
        <v>Variability Across Voices of Combined Rests</v>
      </c>
      <c r="F156" s="14" t="s">
        <v>468</v>
      </c>
      <c r="G156" s="14" t="str">
        <f>IFERROR(__xludf.DUMMYFUNCTION("REGEXREPLACE(B156,""(.*): (.*)"", ""$2"")"),"Standard deviation of the total amount of time (expressed as a fraction of the duration of a quarter note) per active MIDI channel in which no notes are sounding in that channel. Only channels containing at least one note are counted in this calculation. "&amp;"Non-pitched (MIDI channel 10) notes ARE considered in this calculation.")</f>
        <v>Standard deviation of the total amount of time (expressed as a fraction of the duration of a quarter note) per active MIDI channel in which no notes are sounding in that channel. Only channels containing at least one note are counted in this calculation. Non-pitched (MIDI channel 10) notes ARE considered in this calculation.</v>
      </c>
      <c r="H156" s="6">
        <f t="shared" si="5"/>
        <v>141</v>
      </c>
      <c r="I156" s="15" t="b">
        <v>1</v>
      </c>
      <c r="J156" s="6">
        <f t="shared" si="6"/>
        <v>117</v>
      </c>
      <c r="K156" s="15" t="b">
        <v>0</v>
      </c>
      <c r="L156" s="14" t="s">
        <v>438</v>
      </c>
      <c r="M156" s="9"/>
      <c r="N156" s="16" t="str">
        <f t="shared" si="3"/>
        <v>'Variability_Across_Voices_of_Combined_Rests',</v>
      </c>
      <c r="O156" s="16" t="str">
        <f t="shared" si="4"/>
        <v/>
      </c>
      <c r="P156" s="16" t="s">
        <v>469</v>
      </c>
      <c r="Q156" s="16"/>
      <c r="R156" s="9"/>
    </row>
    <row r="157" ht="15.75" customHeight="1">
      <c r="A157" s="9"/>
      <c r="B157" s="10" t="s">
        <v>470</v>
      </c>
      <c r="C157" s="11" t="str">
        <f t="shared" si="1"/>
        <v>R-53</v>
      </c>
      <c r="D157" s="12" t="str">
        <f>IFERROR(__xludf.DUMMYFUNCTION("REGEXREPLACE(B157,""(.*):(.*)"", ""$1"")"),"R-53 Beat Histogram Tempo Standardized")</f>
        <v>R-53 Beat Histogram Tempo Standardized</v>
      </c>
      <c r="E157" s="12" t="str">
        <f t="shared" si="2"/>
        <v>Beat Histogram Tempo Standardized</v>
      </c>
      <c r="F157" s="14"/>
      <c r="G157" s="14" t="str">
        <f>IFERROR(__xludf.DUMMYFUNCTION("REGEXREPLACE(B157,""(.*): (.*)"", ""$2"")"),"A feature vector consisting of the bin magnitudes of the beat histogram described in the jSymbolic manual. However, the tempo of the music is standardized to 120 BPM throughout the piece before this histogram is calculated. This means that variations in t"&amp;"empo within a single piece are in effect eliminated for the purposes of this histogram. The tempo-independent beat histograms of different pieces can also be compared in a way that is independent of potential tempo differences between the pieces. Rubato a"&amp;"nd dynamics do still influence the tempo-independent beat histogram, however. Also, the first 40 bins are not included in this feature vector, as is the case with the basic beat histogram. Each bin corresponds to a different beats per minute periodicity, "&amp;"with tempo increasing with the bin index. The magnitude of each bin is proportional to the cumulative loudness (MIDI velocity) of the notes that occur at that bin's rhythmic periodicity. The histogram is normalized.")</f>
        <v>A feature vector consisting of the bin magnitudes of the beat histogram described in the jSymbolic manual. However, the tempo of the music is standardized to 120 BPM throughout the piece before this histogram is calculated. This means that variations in tempo within a single piece are in effect eliminated for the purposes of this histogram. The tempo-independent beat histograms of different pieces can also be compared in a way that is independent of potential tempo differences between the pieces. Rubato and dynamics do still influence the tempo-independent beat histogram, however. Also, the first 40 bins are not included in this feature vector, as is the case with the basic beat histogram. Each bin corresponds to a different beats per minute periodicity, with tempo increasing with the bin index. The magnitude of each bin is proportional to the cumulative loudness (MIDI velocity) of the notes that occur at that bin's rhythmic periodicity. The histogram is normalized.</v>
      </c>
      <c r="H157" s="6">
        <f t="shared" si="5"/>
        <v>141</v>
      </c>
      <c r="I157" s="15" t="b">
        <v>0</v>
      </c>
      <c r="J157" s="6">
        <f t="shared" si="6"/>
        <v>117</v>
      </c>
      <c r="K157" s="15" t="b">
        <v>0</v>
      </c>
      <c r="L157" s="14"/>
      <c r="M157" s="9"/>
      <c r="N157" s="16" t="str">
        <f t="shared" si="3"/>
        <v/>
      </c>
      <c r="O157" s="16" t="str">
        <f t="shared" si="4"/>
        <v/>
      </c>
      <c r="P157" s="16" t="s">
        <v>471</v>
      </c>
      <c r="Q157" s="16"/>
      <c r="R157" s="9"/>
    </row>
    <row r="158" ht="15.75" customHeight="1">
      <c r="A158" s="9"/>
      <c r="B158" s="10" t="s">
        <v>472</v>
      </c>
      <c r="C158" s="11" t="str">
        <f t="shared" si="1"/>
        <v>R-54</v>
      </c>
      <c r="D158" s="12" t="str">
        <f>IFERROR(__xludf.DUMMYFUNCTION("REGEXREPLACE(B158,""(.*):(.*)"", ""$1"")"),"R-54 Number of Strong Rhythmic Pulses – Tempo Standardized")</f>
        <v>R-54 Number of Strong Rhythmic Pulses – Tempo Standardized</v>
      </c>
      <c r="E158" s="12" t="str">
        <f t="shared" si="2"/>
        <v>Number of Strong Rhythmic Pulses – Tempo Standardized</v>
      </c>
      <c r="F158" s="14" t="s">
        <v>473</v>
      </c>
      <c r="G158" s="14" t="str">
        <f>IFERROR(__xludf.DUMMYFUNCTION("REGEXREPLACE(B158,""(.*): (.*)"", ""$2"")"),"Number of tempo-standardized beat histogram peaks with normalized magnitudes over 0.1.")</f>
        <v>Number of tempo-standardized beat histogram peaks with normalized magnitudes over 0.1.</v>
      </c>
      <c r="H158" s="6">
        <f t="shared" si="5"/>
        <v>142</v>
      </c>
      <c r="I158" s="15" t="b">
        <v>1</v>
      </c>
      <c r="J158" s="6">
        <f t="shared" si="6"/>
        <v>117</v>
      </c>
      <c r="K158" s="15" t="b">
        <v>0</v>
      </c>
      <c r="L158" s="14" t="s">
        <v>425</v>
      </c>
      <c r="M158" s="9"/>
      <c r="N158" s="16" t="str">
        <f t="shared" si="3"/>
        <v>'Number_of_Strong_Rhythmic_Pulses_-_Tempo_Standardized',</v>
      </c>
      <c r="O158" s="16" t="str">
        <f t="shared" si="4"/>
        <v/>
      </c>
      <c r="P158" s="16" t="s">
        <v>474</v>
      </c>
      <c r="Q158" s="16"/>
      <c r="R158" s="9"/>
    </row>
    <row r="159" ht="15.75" customHeight="1">
      <c r="A159" s="9"/>
      <c r="B159" s="10" t="s">
        <v>475</v>
      </c>
      <c r="C159" s="11" t="str">
        <f t="shared" si="1"/>
        <v>R-55</v>
      </c>
      <c r="D159" s="12" t="str">
        <f>IFERROR(__xludf.DUMMYFUNCTION("REGEXREPLACE(B159,""(.*):(.*)"", ""$1"")"),"R-55 Number of Moderate Rhythmic Pulses – Tempo Standardized")</f>
        <v>R-55 Number of Moderate Rhythmic Pulses – Tempo Standardized</v>
      </c>
      <c r="E159" s="12" t="str">
        <f t="shared" si="2"/>
        <v>Number of Moderate Rhythmic Pulses – Tempo Standardized</v>
      </c>
      <c r="F159" s="14" t="s">
        <v>476</v>
      </c>
      <c r="G159" s="14" t="str">
        <f>IFERROR(__xludf.DUMMYFUNCTION("REGEXREPLACE(B159,""(.*): (.*)"", ""$2"")"),"Number of tempo-standardized beat histogram peaks with normalized magnitudes over 0.01.")</f>
        <v>Number of tempo-standardized beat histogram peaks with normalized magnitudes over 0.01.</v>
      </c>
      <c r="H159" s="6">
        <f t="shared" si="5"/>
        <v>143</v>
      </c>
      <c r="I159" s="15" t="b">
        <v>1</v>
      </c>
      <c r="J159" s="6">
        <f t="shared" si="6"/>
        <v>117</v>
      </c>
      <c r="K159" s="15" t="b">
        <v>0</v>
      </c>
      <c r="L159" s="14" t="s">
        <v>425</v>
      </c>
      <c r="M159" s="9"/>
      <c r="N159" s="16" t="str">
        <f t="shared" si="3"/>
        <v>'Number_of_Moderate_Rhythmic_Pulses_-_Tempo_Standardized',</v>
      </c>
      <c r="O159" s="16" t="str">
        <f t="shared" si="4"/>
        <v/>
      </c>
      <c r="P159" s="16" t="s">
        <v>477</v>
      </c>
      <c r="Q159" s="16"/>
      <c r="R159" s="9"/>
    </row>
    <row r="160" ht="15.75" customHeight="1">
      <c r="A160" s="9"/>
      <c r="B160" s="10" t="s">
        <v>478</v>
      </c>
      <c r="C160" s="11" t="str">
        <f t="shared" si="1"/>
        <v>R-56</v>
      </c>
      <c r="D160" s="12" t="str">
        <f>IFERROR(__xludf.DUMMYFUNCTION("REGEXREPLACE(B160,""(.*):(.*)"", ""$1"")"),"R-56 Number of Relatively Strong Rhythmic Pulses – Tempo Standardized")</f>
        <v>R-56 Number of Relatively Strong Rhythmic Pulses – Tempo Standardized</v>
      </c>
      <c r="E160" s="12" t="str">
        <f t="shared" si="2"/>
        <v>Number of Relatively Strong Rhythmic Pulses – Tempo Standardized</v>
      </c>
      <c r="F160" s="14" t="s">
        <v>479</v>
      </c>
      <c r="G160" s="14" t="str">
        <f>IFERROR(__xludf.DUMMYFUNCTION("REGEXREPLACE(B160,""(.*): (.*)"", ""$2"")"),"Number of tempo-standardized beat histogram peaks with magnitudes at least 30% as high as the magnitude of the tempo-standardized beat histogram peak with the highest magnitude.")</f>
        <v>Number of tempo-standardized beat histogram peaks with magnitudes at least 30% as high as the magnitude of the tempo-standardized beat histogram peak with the highest magnitude.</v>
      </c>
      <c r="H160" s="6">
        <f t="shared" si="5"/>
        <v>144</v>
      </c>
      <c r="I160" s="15" t="b">
        <v>1</v>
      </c>
      <c r="J160" s="6">
        <f t="shared" si="6"/>
        <v>117</v>
      </c>
      <c r="K160" s="15" t="b">
        <v>0</v>
      </c>
      <c r="L160" s="14" t="s">
        <v>425</v>
      </c>
      <c r="M160" s="9"/>
      <c r="N160" s="16" t="str">
        <f t="shared" si="3"/>
        <v>'Number_of_Relatively_Strong_Rhythmic_Pulses_-_Tempo_Standardized',</v>
      </c>
      <c r="O160" s="16" t="str">
        <f t="shared" si="4"/>
        <v/>
      </c>
      <c r="P160" s="16" t="s">
        <v>480</v>
      </c>
      <c r="Q160" s="16"/>
      <c r="R160" s="9"/>
    </row>
    <row r="161" ht="15.75" customHeight="1">
      <c r="A161" s="9"/>
      <c r="B161" s="10" t="s">
        <v>481</v>
      </c>
      <c r="C161" s="11" t="str">
        <f t="shared" si="1"/>
        <v>R-57</v>
      </c>
      <c r="D161" s="12" t="str">
        <f>IFERROR(__xludf.DUMMYFUNCTION("REGEXREPLACE(B161,""(.*):(.*)"", ""$1"")"),"R-57 Strongest Rhythmic Pulse – Tempo Standardized")</f>
        <v>R-57 Strongest Rhythmic Pulse – Tempo Standardized</v>
      </c>
      <c r="E161" s="12" t="str">
        <f t="shared" si="2"/>
        <v>Strongest Rhythmic Pulse – Tempo Standardized</v>
      </c>
      <c r="F161" s="14" t="s">
        <v>482</v>
      </c>
      <c r="G161" s="14" t="str">
        <f>IFERROR(__xludf.DUMMYFUNCTION("REGEXREPLACE(B161,""(.*): (.*)"", ""$2"")"),"Bin index of the tempo-standardized beat histogram bin with the highest magnitude.")</f>
        <v>Bin index of the tempo-standardized beat histogram bin with the highest magnitude.</v>
      </c>
      <c r="H161" s="6">
        <f t="shared" si="5"/>
        <v>145</v>
      </c>
      <c r="I161" s="15" t="b">
        <v>1</v>
      </c>
      <c r="J161" s="6">
        <f t="shared" si="6"/>
        <v>117</v>
      </c>
      <c r="K161" s="15" t="b">
        <v>0</v>
      </c>
      <c r="L161" s="14" t="s">
        <v>483</v>
      </c>
      <c r="M161" s="9"/>
      <c r="N161" s="16" t="str">
        <f t="shared" si="3"/>
        <v>'Strongest_Rhythmic_Pulse_-_Tempo_Standardized',</v>
      </c>
      <c r="O161" s="16" t="str">
        <f t="shared" si="4"/>
        <v/>
      </c>
      <c r="P161" s="16" t="s">
        <v>484</v>
      </c>
      <c r="Q161" s="16"/>
      <c r="R161" s="9"/>
    </row>
    <row r="162" ht="15.75" customHeight="1">
      <c r="A162" s="9"/>
      <c r="B162" s="10" t="s">
        <v>485</v>
      </c>
      <c r="C162" s="11" t="str">
        <f t="shared" si="1"/>
        <v>R-58</v>
      </c>
      <c r="D162" s="12" t="str">
        <f>IFERROR(__xludf.DUMMYFUNCTION("REGEXREPLACE(B162,""(.*):(.*)"", ""$1"")"),"R-58 Second Strongest Rhythmic Pulse – Tempo Standardized")</f>
        <v>R-58 Second Strongest Rhythmic Pulse – Tempo Standardized</v>
      </c>
      <c r="E162" s="12" t="str">
        <f t="shared" si="2"/>
        <v>Second Strongest Rhythmic Pulse – Tempo Standardized</v>
      </c>
      <c r="F162" s="14" t="s">
        <v>486</v>
      </c>
      <c r="G162" s="14" t="str">
        <f>IFERROR(__xludf.DUMMYFUNCTION("REGEXREPLACE(B162,""(.*): (.*)"", ""$2"")"),"Bin index of the tempo-standardized beat histogram peak with the second highest magnitude.")</f>
        <v>Bin index of the tempo-standardized beat histogram peak with the second highest magnitude.</v>
      </c>
      <c r="H162" s="6">
        <f t="shared" si="5"/>
        <v>146</v>
      </c>
      <c r="I162" s="15" t="b">
        <v>1</v>
      </c>
      <c r="J162" s="6">
        <f t="shared" si="6"/>
        <v>117</v>
      </c>
      <c r="K162" s="15" t="b">
        <v>0</v>
      </c>
      <c r="L162" s="14" t="s">
        <v>483</v>
      </c>
      <c r="M162" s="9"/>
      <c r="N162" s="16" t="str">
        <f t="shared" si="3"/>
        <v>'Second_Strongest_Rhythmic_Pulse_-_Tempo_Standardized',</v>
      </c>
      <c r="O162" s="16" t="str">
        <f t="shared" si="4"/>
        <v/>
      </c>
      <c r="P162" s="16" t="s">
        <v>487</v>
      </c>
      <c r="Q162" s="16"/>
      <c r="R162" s="9"/>
    </row>
    <row r="163" ht="15.75" customHeight="1">
      <c r="A163" s="9"/>
      <c r="B163" s="10" t="s">
        <v>488</v>
      </c>
      <c r="C163" s="11" t="str">
        <f t="shared" si="1"/>
        <v>R-59</v>
      </c>
      <c r="D163" s="12" t="str">
        <f>IFERROR(__xludf.DUMMYFUNCTION("REGEXREPLACE(B163,""(.*):(.*)"", ""$1"")"),"R-59 Harmonicity of Two Strongest Rhythmic Pulses – Tempo Standardized")</f>
        <v>R-59 Harmonicity of Two Strongest Rhythmic Pulses – Tempo Standardized</v>
      </c>
      <c r="E163" s="12" t="str">
        <f t="shared" si="2"/>
        <v>Harmonicity of Two Strongest Rhythmic Pulses – Tempo Standardized</v>
      </c>
      <c r="F163" s="14" t="s">
        <v>489</v>
      </c>
      <c r="G163" s="14" t="str">
        <f>IFERROR(__xludf.DUMMYFUNCTION("REGEXREPLACE(B163,""(.*): (.*)"", ""$2"")"),"Bin index of the higher (in terms of bin index) of the two tempo-standardized beat histogram peaks with the highest magnitude, divided by the index of the lower (in terms of bin index) of the two bins.")</f>
        <v>Bin index of the higher (in terms of bin index) of the two tempo-standardized beat histogram peaks with the highest magnitude, divided by the index of the lower (in terms of bin index) of the two bins.</v>
      </c>
      <c r="H163" s="6">
        <f t="shared" si="5"/>
        <v>147</v>
      </c>
      <c r="I163" s="15" t="b">
        <v>1</v>
      </c>
      <c r="J163" s="6">
        <f t="shared" si="6"/>
        <v>117</v>
      </c>
      <c r="K163" s="15" t="b">
        <v>0</v>
      </c>
      <c r="L163" s="14"/>
      <c r="M163" s="9"/>
      <c r="N163" s="16" t="str">
        <f t="shared" si="3"/>
        <v>'Harmonicity_of_Two_Strongest_Rhythmic_Pulses_-_Tempo_Standardized',</v>
      </c>
      <c r="O163" s="16" t="str">
        <f t="shared" si="4"/>
        <v/>
      </c>
      <c r="P163" s="16" t="s">
        <v>490</v>
      </c>
      <c r="Q163" s="16"/>
      <c r="R163" s="9"/>
    </row>
    <row r="164" ht="15.75" customHeight="1">
      <c r="A164" s="9"/>
      <c r="B164" s="10" t="s">
        <v>491</v>
      </c>
      <c r="C164" s="11" t="str">
        <f t="shared" si="1"/>
        <v>R-60</v>
      </c>
      <c r="D164" s="12" t="str">
        <f>IFERROR(__xludf.DUMMYFUNCTION("REGEXREPLACE(B164,""(.*):(.*)"", ""$1"")"),"R-60 Strength of Strongest Rhythmic Pulse – Tempo Standardized")</f>
        <v>R-60 Strength of Strongest Rhythmic Pulse – Tempo Standardized</v>
      </c>
      <c r="E164" s="12" t="str">
        <f t="shared" si="2"/>
        <v>Strength of Strongest Rhythmic Pulse – Tempo Standardized</v>
      </c>
      <c r="F164" s="14" t="s">
        <v>492</v>
      </c>
      <c r="G164" s="14" t="str">
        <f>IFERROR(__xludf.DUMMYFUNCTION("REGEXREPLACE(B164,""(.*): (.*)"", ""$2"")"),"Magnitude of the tempo-standardized beat histogram bin with the highest magnitude.")</f>
        <v>Magnitude of the tempo-standardized beat histogram bin with the highest magnitude.</v>
      </c>
      <c r="H164" s="6">
        <f t="shared" si="5"/>
        <v>148</v>
      </c>
      <c r="I164" s="15" t="b">
        <v>1</v>
      </c>
      <c r="J164" s="6">
        <f t="shared" si="6"/>
        <v>117</v>
      </c>
      <c r="K164" s="15" t="b">
        <v>0</v>
      </c>
      <c r="L164" s="14" t="s">
        <v>493</v>
      </c>
      <c r="M164" s="9"/>
      <c r="N164" s="16" t="str">
        <f t="shared" si="3"/>
        <v>'Strength_of_Strongest_Rhythmic_Pulse_-_Tempo_Standardized',</v>
      </c>
      <c r="O164" s="16" t="str">
        <f t="shared" si="4"/>
        <v/>
      </c>
      <c r="P164" s="16" t="s">
        <v>494</v>
      </c>
      <c r="Q164" s="16"/>
      <c r="R164" s="9"/>
    </row>
    <row r="165" ht="15.75" customHeight="1">
      <c r="A165" s="9"/>
      <c r="B165" s="10" t="s">
        <v>495</v>
      </c>
      <c r="C165" s="11" t="str">
        <f t="shared" si="1"/>
        <v>R-61</v>
      </c>
      <c r="D165" s="12" t="str">
        <f>IFERROR(__xludf.DUMMYFUNCTION("REGEXREPLACE(B165,""(.*):(.*)"", ""$1"")"),"R-61 Strength of Second Strongest Rhythmic Pulse – Tempo Standardized")</f>
        <v>R-61 Strength of Second Strongest Rhythmic Pulse – Tempo Standardized</v>
      </c>
      <c r="E165" s="12" t="str">
        <f t="shared" si="2"/>
        <v>Strength of Second Strongest Rhythmic Pulse – Tempo Standardized</v>
      </c>
      <c r="F165" s="14" t="s">
        <v>496</v>
      </c>
      <c r="G165" s="14" t="str">
        <f>IFERROR(__xludf.DUMMYFUNCTION("REGEXREPLACE(B165,""(.*): (.*)"", ""$2"")"),"Magnitude of the tempo-standardized beat histogram peak with the second highest magnitude.")</f>
        <v>Magnitude of the tempo-standardized beat histogram peak with the second highest magnitude.</v>
      </c>
      <c r="H165" s="6">
        <f t="shared" si="5"/>
        <v>149</v>
      </c>
      <c r="I165" s="15" t="b">
        <v>1</v>
      </c>
      <c r="J165" s="6">
        <f t="shared" si="6"/>
        <v>117</v>
      </c>
      <c r="K165" s="15" t="b">
        <v>0</v>
      </c>
      <c r="L165" s="14" t="s">
        <v>493</v>
      </c>
      <c r="M165" s="9"/>
      <c r="N165" s="16" t="str">
        <f t="shared" si="3"/>
        <v>'Strength_of_Second_Strongest_Rhythmic_Pulse_-_Tempo_Standardized',</v>
      </c>
      <c r="O165" s="16" t="str">
        <f t="shared" si="4"/>
        <v/>
      </c>
      <c r="P165" s="16" t="s">
        <v>497</v>
      </c>
      <c r="Q165" s="16"/>
      <c r="R165" s="9"/>
    </row>
    <row r="166" ht="15.75" customHeight="1">
      <c r="A166" s="9"/>
      <c r="B166" s="10" t="s">
        <v>498</v>
      </c>
      <c r="C166" s="11" t="str">
        <f t="shared" si="1"/>
        <v>R-62</v>
      </c>
      <c r="D166" s="12" t="str">
        <f>IFERROR(__xludf.DUMMYFUNCTION("REGEXREPLACE(B166,""(.*):(.*)"", ""$1"")"),"R-62 Strength Ratio of Two Strongest Rhythmic Pulses – Tempo Standardized")</f>
        <v>R-62 Strength Ratio of Two Strongest Rhythmic Pulses – Tempo Standardized</v>
      </c>
      <c r="E166" s="12" t="str">
        <f t="shared" si="2"/>
        <v>Strength Ratio of Two Strongest Rhythmic Pulses – Tempo Standardized</v>
      </c>
      <c r="F166" s="14" t="s">
        <v>499</v>
      </c>
      <c r="G166" s="14" t="str">
        <f>IFERROR(__xludf.DUMMYFUNCTION("REGEXREPLACE(B166,""(.*): (.*)"", ""$2"")"),"Magnitude of the tempo-standardized beat histogram peak with the highest magnitude divided by the magnitude of the beat histogram peak with the second highest magnitude.")</f>
        <v>Magnitude of the tempo-standardized beat histogram peak with the highest magnitude divided by the magnitude of the beat histogram peak with the second highest magnitude.</v>
      </c>
      <c r="H166" s="6">
        <f t="shared" si="5"/>
        <v>150</v>
      </c>
      <c r="I166" s="15" t="b">
        <v>1</v>
      </c>
      <c r="J166" s="6">
        <f t="shared" si="6"/>
        <v>117</v>
      </c>
      <c r="K166" s="15" t="b">
        <v>0</v>
      </c>
      <c r="L166" s="14" t="s">
        <v>493</v>
      </c>
      <c r="M166" s="9"/>
      <c r="N166" s="16" t="str">
        <f t="shared" si="3"/>
        <v>'Strength_Ratio_of_Two_Strongest_Rhythmic_Pulses_-_Tempo_Standardized',</v>
      </c>
      <c r="O166" s="16" t="str">
        <f t="shared" si="4"/>
        <v/>
      </c>
      <c r="P166" s="16" t="s">
        <v>500</v>
      </c>
      <c r="Q166" s="16"/>
      <c r="R166" s="9"/>
    </row>
    <row r="167" ht="15.75" customHeight="1">
      <c r="A167" s="9"/>
      <c r="B167" s="10" t="s">
        <v>501</v>
      </c>
      <c r="C167" s="11" t="str">
        <f t="shared" si="1"/>
        <v>R-63</v>
      </c>
      <c r="D167" s="12" t="str">
        <f>IFERROR(__xludf.DUMMYFUNCTION("REGEXREPLACE(B167,""(.*):(.*)"", ""$1"")"),"R-63 Combined Strength of Two Strongest Rhythmic Pulses – Tempo Standardized")</f>
        <v>R-63 Combined Strength of Two Strongest Rhythmic Pulses – Tempo Standardized</v>
      </c>
      <c r="E167" s="12" t="str">
        <f t="shared" si="2"/>
        <v>Combined Strength of Two Strongest Rhythmic Pulses – Tempo Standardized</v>
      </c>
      <c r="F167" s="14" t="s">
        <v>502</v>
      </c>
      <c r="G167" s="14" t="str">
        <f>IFERROR(__xludf.DUMMYFUNCTION("REGEXREPLACE(B167,""(.*): (.*)"", ""$2"")"),"Sum of the magnitudes of the two tempo-standardized beat histogram peaks with the highest magnitudes.")</f>
        <v>Sum of the magnitudes of the two tempo-standardized beat histogram peaks with the highest magnitudes.</v>
      </c>
      <c r="H167" s="6">
        <f t="shared" si="5"/>
        <v>151</v>
      </c>
      <c r="I167" s="15" t="b">
        <v>1</v>
      </c>
      <c r="J167" s="6">
        <f t="shared" si="6"/>
        <v>117</v>
      </c>
      <c r="K167" s="15" t="b">
        <v>0</v>
      </c>
      <c r="L167" s="14" t="s">
        <v>493</v>
      </c>
      <c r="M167" s="9"/>
      <c r="N167" s="16" t="str">
        <f t="shared" si="3"/>
        <v>'Combined_Strength_of_Two_Strongest_Rhythmic_Pulses_-_Tempo_Standardized',</v>
      </c>
      <c r="O167" s="16" t="str">
        <f t="shared" si="4"/>
        <v/>
      </c>
      <c r="P167" s="16" t="s">
        <v>503</v>
      </c>
      <c r="Q167" s="16"/>
      <c r="R167" s="9"/>
    </row>
    <row r="168" ht="15.75" customHeight="1">
      <c r="A168" s="9"/>
      <c r="B168" s="10" t="s">
        <v>504</v>
      </c>
      <c r="C168" s="11" t="str">
        <f t="shared" si="1"/>
        <v>R-64</v>
      </c>
      <c r="D168" s="12" t="str">
        <f>IFERROR(__xludf.DUMMYFUNCTION("REGEXREPLACE(B168,""(.*):(.*)"", ""$1"")"),"R-64 Rhythmic Variability – Tempo Standardized")</f>
        <v>R-64 Rhythmic Variability – Tempo Standardized</v>
      </c>
      <c r="E168" s="12" t="str">
        <f t="shared" si="2"/>
        <v>Rhythmic Variability – Tempo Standardized</v>
      </c>
      <c r="F168" s="14" t="s">
        <v>505</v>
      </c>
      <c r="G168" s="14" t="str">
        <f>IFERROR(__xludf.DUMMYFUNCTION("REGEXREPLACE(B168,""(.*): (.*)"", ""$2"")"),"Standard deviation of the tempo-standardized beat histogram bin magnitudes.")</f>
        <v>Standard deviation of the tempo-standardized beat histogram bin magnitudes.</v>
      </c>
      <c r="H168" s="6">
        <f t="shared" si="5"/>
        <v>152</v>
      </c>
      <c r="I168" s="15" t="b">
        <v>1</v>
      </c>
      <c r="J168" s="6">
        <f t="shared" si="6"/>
        <v>117</v>
      </c>
      <c r="K168" s="15" t="b">
        <v>0</v>
      </c>
      <c r="L168" s="14" t="s">
        <v>425</v>
      </c>
      <c r="M168" s="9"/>
      <c r="N168" s="16" t="str">
        <f t="shared" si="3"/>
        <v>'Rhythmic_Variability_-_Tempo_Standardized',</v>
      </c>
      <c r="O168" s="16" t="str">
        <f t="shared" si="4"/>
        <v/>
      </c>
      <c r="P168" s="16" t="s">
        <v>506</v>
      </c>
      <c r="Q168" s="16"/>
      <c r="R168" s="9"/>
    </row>
    <row r="169" ht="15.75" customHeight="1">
      <c r="A169" s="9"/>
      <c r="B169" s="10" t="s">
        <v>507</v>
      </c>
      <c r="C169" s="11" t="str">
        <f t="shared" si="1"/>
        <v>R-65</v>
      </c>
      <c r="D169" s="12" t="str">
        <f>IFERROR(__xludf.DUMMYFUNCTION("REGEXREPLACE(B169,""(.*):(.*)"", ""$1"")"),"R-65 Rhythmic Looseness – Tempo Standardized")</f>
        <v>R-65 Rhythmic Looseness – Tempo Standardized</v>
      </c>
      <c r="E169" s="12" t="str">
        <f t="shared" si="2"/>
        <v>Rhythmic Looseness – Tempo Standardized</v>
      </c>
      <c r="F169" s="14" t="s">
        <v>508</v>
      </c>
      <c r="G169" s="14" t="str">
        <f>IFERROR(__xludf.DUMMYFUNCTION("REGEXREPLACE(B169,""(.*): (.*)"", ""$2"")"),"Average width of tempo-standardized beat histogram peaks. The width of a peak is defined here as the distance (in beats per minute) between the two points on the peak in question that have magnitudes closest to 30% of the height of the peak. Only peaks wi"&amp;"th magnitudes at least 30% as high as the highest peak are considered in this calculation.")</f>
        <v>Average width of tempo-standardized beat histogram peaks. The width of a peak is defined here as the distance (in beats per minute) between the two points on the peak in question that have magnitudes closest to 30% of the height of the peak. Only peaks with magnitudes at least 30% as high as the highest peak are considered in this calculation.</v>
      </c>
      <c r="H169" s="6">
        <f t="shared" si="5"/>
        <v>153</v>
      </c>
      <c r="I169" s="15" t="b">
        <v>1</v>
      </c>
      <c r="J169" s="6">
        <f t="shared" si="6"/>
        <v>117</v>
      </c>
      <c r="K169" s="15" t="b">
        <v>0</v>
      </c>
      <c r="L169" s="14" t="s">
        <v>425</v>
      </c>
      <c r="M169" s="9"/>
      <c r="N169" s="16" t="str">
        <f t="shared" si="3"/>
        <v>'Rhythmic_Looseness_-_Tempo_Standardized',</v>
      </c>
      <c r="O169" s="16" t="str">
        <f t="shared" si="4"/>
        <v/>
      </c>
      <c r="P169" s="16" t="s">
        <v>509</v>
      </c>
      <c r="Q169" s="16"/>
      <c r="R169" s="9"/>
    </row>
    <row r="170" ht="15.75" customHeight="1">
      <c r="A170" s="9"/>
      <c r="B170" s="10" t="s">
        <v>510</v>
      </c>
      <c r="C170" s="11" t="str">
        <f t="shared" si="1"/>
        <v>R-66</v>
      </c>
      <c r="D170" s="12" t="str">
        <f>IFERROR(__xludf.DUMMYFUNCTION("REGEXREPLACE(B170,""(.*):(.*)"", ""$1"")"),"R-66 Polyrhythms – Tempo Standardized")</f>
        <v>R-66 Polyrhythms – Tempo Standardized</v>
      </c>
      <c r="E170" s="12" t="str">
        <f t="shared" si="2"/>
        <v>Polyrhythms – Tempo Standardized</v>
      </c>
      <c r="F170" s="14" t="s">
        <v>511</v>
      </c>
      <c r="G170" s="14" t="str">
        <f>IFERROR(__xludf.DUMMYFUNCTION("REGEXREPLACE(B170,""(.*): (.*)"", ""$2"")"),"Number of tempo-standardized beat histogram peaks with magnitudes at least 30% as high as the magnitude of the highest peak, and whose bin labels are not integer multiples or factors (using only multipliers of 1, 2, 3, 4, 6 and 8, and with an accepted err"&amp;"or of +/- 3 bins) of the bin label of the peak with the highest magnitude. This number is then divided by the total number of bins with frequencies over 30% of the highest magnitude.")</f>
        <v>Number of tempo-standardized beat histogram peaks with magnitudes at least 30% as high as the magnitude of the highest peak, and whose bin labels are not integer multiples or factors (using only multipliers of 1, 2, 3, 4, 6 and 8, and with an accepted error of +/- 3 bins) of the bin label of the peak with the highest magnitude. This number is then divided by the total number of bins with frequencies over 30% of the highest magnitude.</v>
      </c>
      <c r="H170" s="6">
        <f t="shared" si="5"/>
        <v>154</v>
      </c>
      <c r="I170" s="15" t="b">
        <v>1</v>
      </c>
      <c r="J170" s="6">
        <f t="shared" si="6"/>
        <v>118</v>
      </c>
      <c r="K170" s="15" t="b">
        <v>1</v>
      </c>
      <c r="L170" s="14"/>
      <c r="M170" s="9"/>
      <c r="N170" s="16" t="str">
        <f t="shared" si="3"/>
        <v>'Polyrhythms_-_Tempo_Standardized',</v>
      </c>
      <c r="O170" s="16" t="str">
        <f t="shared" si="4"/>
        <v>'Polyrhythms_-_Tempo_Standardized',</v>
      </c>
      <c r="P170" s="16" t="s">
        <v>512</v>
      </c>
      <c r="Q170" s="16"/>
      <c r="R170" s="9"/>
    </row>
    <row r="171" ht="15.75" customHeight="1">
      <c r="A171" s="9"/>
      <c r="B171" s="10" t="s">
        <v>513</v>
      </c>
      <c r="C171" s="11" t="str">
        <f t="shared" si="1"/>
        <v>RT-1</v>
      </c>
      <c r="D171" s="12" t="str">
        <f>IFERROR(__xludf.DUMMYFUNCTION("REGEXREPLACE(B171,""(.*):(.*)"", ""$1"")"),"RT-1 Initial Tempo")</f>
        <v>RT-1 Initial Tempo</v>
      </c>
      <c r="E171" s="12" t="str">
        <f t="shared" si="2"/>
        <v>Initial Tempo</v>
      </c>
      <c r="F171" s="14" t="s">
        <v>514</v>
      </c>
      <c r="G171" s="14" t="str">
        <f>IFERROR(__xludf.DUMMYFUNCTION("REGEXREPLACE(B171,""(.*): (.*)"", ""$2"")"),"Tempo in beats per minute at the start of the piece. Set to the default MIDI value (120 BPM) if no tempo is specified explicitly.")</f>
        <v>Tempo in beats per minute at the start of the piece. Set to the default MIDI value (120 BPM) if no tempo is specified explicitly.</v>
      </c>
      <c r="H171" s="6">
        <f t="shared" si="5"/>
        <v>155</v>
      </c>
      <c r="I171" s="15" t="b">
        <v>1</v>
      </c>
      <c r="J171" s="6">
        <f t="shared" si="6"/>
        <v>119</v>
      </c>
      <c r="K171" s="15" t="b">
        <v>1</v>
      </c>
      <c r="L171" s="14"/>
      <c r="M171" s="9"/>
      <c r="N171" s="16" t="str">
        <f t="shared" si="3"/>
        <v>'Initial_Tempo',</v>
      </c>
      <c r="O171" s="16" t="str">
        <f t="shared" si="4"/>
        <v>'Initial_Tempo',</v>
      </c>
      <c r="P171" s="16" t="s">
        <v>515</v>
      </c>
      <c r="Q171" s="16"/>
      <c r="R171" s="9"/>
    </row>
    <row r="172" ht="15.75" customHeight="1">
      <c r="A172" s="9"/>
      <c r="B172" s="10" t="s">
        <v>516</v>
      </c>
      <c r="C172" s="11" t="str">
        <f t="shared" si="1"/>
        <v>RT-2</v>
      </c>
      <c r="D172" s="12" t="str">
        <f>IFERROR(__xludf.DUMMYFUNCTION("REGEXREPLACE(B172,""(.*):(.*)"", ""$1"")"),"RT-2 Mean Tempo")</f>
        <v>RT-2 Mean Tempo</v>
      </c>
      <c r="E172" s="12" t="str">
        <f t="shared" si="2"/>
        <v>Mean Tempo</v>
      </c>
      <c r="F172" s="14" t="s">
        <v>517</v>
      </c>
      <c r="G172" s="14" t="str">
        <f>IFERROR(__xludf.DUMMYFUNCTION("REGEXREPLACE(B172,""(.*): (.*)"", ""$2"")"),"Average tempo of the piece in beats per minute. Set to the default MIDI value (120 BPM) if no tempo is specified explicitly.")</f>
        <v>Average tempo of the piece in beats per minute. Set to the default MIDI value (120 BPM) if no tempo is specified explicitly.</v>
      </c>
      <c r="H172" s="6">
        <f t="shared" si="5"/>
        <v>156</v>
      </c>
      <c r="I172" s="15" t="b">
        <v>1</v>
      </c>
      <c r="J172" s="6">
        <f t="shared" si="6"/>
        <v>120</v>
      </c>
      <c r="K172" s="15" t="b">
        <v>1</v>
      </c>
      <c r="L172" s="14"/>
      <c r="M172" s="9"/>
      <c r="N172" s="16" t="str">
        <f t="shared" si="3"/>
        <v>'Mean_Tempo',</v>
      </c>
      <c r="O172" s="16" t="str">
        <f t="shared" si="4"/>
        <v>'Mean_Tempo',</v>
      </c>
      <c r="P172" s="16" t="s">
        <v>518</v>
      </c>
      <c r="Q172" s="16"/>
      <c r="R172" s="9"/>
    </row>
    <row r="173" ht="15.75" customHeight="1">
      <c r="A173" s="9"/>
      <c r="B173" s="10" t="s">
        <v>519</v>
      </c>
      <c r="C173" s="11" t="str">
        <f t="shared" si="1"/>
        <v>RT-3</v>
      </c>
      <c r="D173" s="12" t="str">
        <f>IFERROR(__xludf.DUMMYFUNCTION("REGEXREPLACE(B173,""(.*):(.*)"", ""$1"")"),"RT-3 Tempo Variability")</f>
        <v>RT-3 Tempo Variability</v>
      </c>
      <c r="E173" s="12" t="str">
        <f t="shared" si="2"/>
        <v>Tempo Variability</v>
      </c>
      <c r="F173" s="14" t="s">
        <v>520</v>
      </c>
      <c r="G173" s="14" t="str">
        <f>IFERROR(__xludf.DUMMYFUNCTION("REGEXREPLACE(B173,""(.*): (.*)"", ""$2"")"),"Standard deviation of the tempo in beats per minute.")</f>
        <v>Standard deviation of the tempo in beats per minute.</v>
      </c>
      <c r="H173" s="6">
        <f t="shared" si="5"/>
        <v>157</v>
      </c>
      <c r="I173" s="15" t="b">
        <v>1</v>
      </c>
      <c r="J173" s="6">
        <f t="shared" si="6"/>
        <v>121</v>
      </c>
      <c r="K173" s="15" t="b">
        <v>1</v>
      </c>
      <c r="L173" s="14"/>
      <c r="M173" s="9"/>
      <c r="N173" s="16" t="str">
        <f t="shared" si="3"/>
        <v>'Tempo_Variability',</v>
      </c>
      <c r="O173" s="16" t="str">
        <f t="shared" si="4"/>
        <v>'Tempo_Variability',</v>
      </c>
      <c r="P173" s="16" t="s">
        <v>521</v>
      </c>
      <c r="Q173" s="16"/>
      <c r="R173" s="9"/>
    </row>
    <row r="174" ht="15.75" customHeight="1">
      <c r="A174" s="9"/>
      <c r="B174" s="10" t="s">
        <v>522</v>
      </c>
      <c r="C174" s="11" t="str">
        <f t="shared" si="1"/>
        <v>RT-4</v>
      </c>
      <c r="D174" s="12" t="str">
        <f>IFERROR(__xludf.DUMMYFUNCTION("REGEXREPLACE(B174,""(.*):(.*)"", ""$1"")"),"RT-4 Duration in Seconds")</f>
        <v>RT-4 Duration in Seconds</v>
      </c>
      <c r="E174" s="12" t="str">
        <f t="shared" si="2"/>
        <v>Duration in Seconds</v>
      </c>
      <c r="F174" s="14" t="s">
        <v>523</v>
      </c>
      <c r="G174" s="14" t="str">
        <f>IFERROR(__xludf.DUMMYFUNCTION("REGEXREPLACE(B174,""(.*): (.*)"", ""$2"")"),"Total duration (in seconds) of the piece.")</f>
        <v>Total duration (in seconds) of the piece.</v>
      </c>
      <c r="H174" s="6">
        <f t="shared" si="5"/>
        <v>158</v>
      </c>
      <c r="I174" s="15" t="b">
        <v>1</v>
      </c>
      <c r="J174" s="6">
        <f t="shared" si="6"/>
        <v>122</v>
      </c>
      <c r="K174" s="15" t="b">
        <v>1</v>
      </c>
      <c r="L174" s="14"/>
      <c r="M174" s="9"/>
      <c r="N174" s="16" t="str">
        <f t="shared" si="3"/>
        <v>'Duration_in_Seconds',</v>
      </c>
      <c r="O174" s="16" t="str">
        <f t="shared" si="4"/>
        <v>'Duration_in_Seconds',</v>
      </c>
      <c r="P174" s="16" t="s">
        <v>524</v>
      </c>
      <c r="Q174" s="16"/>
      <c r="R174" s="9"/>
    </row>
    <row r="175" ht="15.75" customHeight="1">
      <c r="A175" s="9"/>
      <c r="B175" s="10" t="s">
        <v>525</v>
      </c>
      <c r="C175" s="11" t="str">
        <f t="shared" si="1"/>
        <v>RT-5</v>
      </c>
      <c r="D175" s="12" t="str">
        <f>IFERROR(__xludf.DUMMYFUNCTION("REGEXREPLACE(B175,""(.*):(.*)"", ""$1"")"),"RT-5 Note Density")</f>
        <v>RT-5 Note Density</v>
      </c>
      <c r="E175" s="12" t="str">
        <f t="shared" si="2"/>
        <v>Note Density</v>
      </c>
      <c r="F175" s="14" t="s">
        <v>526</v>
      </c>
      <c r="G175" s="14" t="str">
        <f>IFERROR(__xludf.DUMMYFUNCTION("REGEXREPLACE(B175,""(.*): (.*)"", ""$2"")"),"Average number of notes per second. Takes into account all notes in all voices, including both pitched and unpitched notes.")</f>
        <v>Average number of notes per second. Takes into account all notes in all voices, including both pitched and unpitched notes.</v>
      </c>
      <c r="H175" s="6">
        <f t="shared" si="5"/>
        <v>159</v>
      </c>
      <c r="I175" s="15" t="b">
        <v>1</v>
      </c>
      <c r="J175" s="6">
        <f t="shared" si="6"/>
        <v>123</v>
      </c>
      <c r="K175" s="15" t="b">
        <v>1</v>
      </c>
      <c r="L175" s="14"/>
      <c r="M175" s="9"/>
      <c r="N175" s="16" t="str">
        <f t="shared" si="3"/>
        <v>'Note_Density',</v>
      </c>
      <c r="O175" s="16" t="str">
        <f t="shared" si="4"/>
        <v>'Note_Density',</v>
      </c>
      <c r="P175" s="16" t="s">
        <v>527</v>
      </c>
      <c r="Q175" s="16"/>
      <c r="R175" s="9"/>
    </row>
    <row r="176" ht="15.75" customHeight="1">
      <c r="A176" s="9"/>
      <c r="B176" s="10" t="s">
        <v>528</v>
      </c>
      <c r="C176" s="11" t="str">
        <f t="shared" si="1"/>
        <v>RT-6</v>
      </c>
      <c r="D176" s="12" t="str">
        <f>IFERROR(__xludf.DUMMYFUNCTION("REGEXREPLACE(B176,""(.*):(.*)"", ""$1"")"),"RT-6 Note Density Variability")</f>
        <v>RT-6 Note Density Variability</v>
      </c>
      <c r="E176" s="12" t="str">
        <f t="shared" si="2"/>
        <v>Note Density Variability</v>
      </c>
      <c r="F176" s="14" t="s">
        <v>529</v>
      </c>
      <c r="G176" s="14" t="str">
        <f>IFERROR(__xludf.DUMMYFUNCTION("REGEXREPLACE(B176,""(.*): (.*)"", ""$2"")"),"How much the note density (average number of notes per second) varies throughout the piece. Takes into account all notes in all voices, including both pitched and unpitched notes. In order to calculate this, the piece is broken into windows of 5 second du"&amp;"ration, and the note density of each window is calculated. The final value of this feature is then found by calculating the standard deviation of the note densities of these windows. Set to 0 if there is insufficient music for more than one window.")</f>
        <v>How much the note density (average number of notes per second) varies throughout the piece. Takes into account all notes in all voices, including both pitched and unpitched notes. In order to calculate this, the piece is broken into windows of 5 second duration, and the note density of each window is calculated. The final value of this feature is then found by calculating the standard deviation of the note densities of these windows. Set to 0 if there is insufficient music for more than one window.</v>
      </c>
      <c r="H176" s="6">
        <f t="shared" si="5"/>
        <v>160</v>
      </c>
      <c r="I176" s="15" t="b">
        <v>1</v>
      </c>
      <c r="J176" s="6">
        <f t="shared" si="6"/>
        <v>124</v>
      </c>
      <c r="K176" s="15" t="b">
        <v>1</v>
      </c>
      <c r="L176" s="14"/>
      <c r="M176" s="9"/>
      <c r="N176" s="16" t="str">
        <f t="shared" si="3"/>
        <v>'Note_Density_Variability',</v>
      </c>
      <c r="O176" s="16" t="str">
        <f t="shared" si="4"/>
        <v>'Note_Density_Variability',</v>
      </c>
      <c r="P176" s="16" t="s">
        <v>530</v>
      </c>
      <c r="Q176" s="16"/>
      <c r="R176" s="9"/>
    </row>
    <row r="177" ht="15.75" customHeight="1">
      <c r="A177" s="9"/>
      <c r="B177" s="10" t="s">
        <v>531</v>
      </c>
      <c r="C177" s="11" t="str">
        <f t="shared" si="1"/>
        <v>RT-7</v>
      </c>
      <c r="D177" s="12" t="str">
        <f>IFERROR(__xludf.DUMMYFUNCTION("REGEXREPLACE(B177,""(.*):(.*)"", ""$1"")"),"RT-7 Average Time Between Attacks")</f>
        <v>RT-7 Average Time Between Attacks</v>
      </c>
      <c r="E177" s="12" t="str">
        <f t="shared" si="2"/>
        <v>Average Time Between Attacks</v>
      </c>
      <c r="F177" s="14" t="s">
        <v>532</v>
      </c>
      <c r="G177" s="14" t="str">
        <f>IFERROR(__xludf.DUMMYFUNCTION("REGEXREPLACE(B177,""(.*): (.*)"", ""$2"")"),"Average time (in seconds) between Note On events (regardless of MIDI channel). Set to 0 if there are less than two attacks.")</f>
        <v>Average time (in seconds) between Note On events (regardless of MIDI channel). Set to 0 if there are less than two attacks.</v>
      </c>
      <c r="H177" s="6">
        <f t="shared" si="5"/>
        <v>161</v>
      </c>
      <c r="I177" s="15" t="b">
        <v>1</v>
      </c>
      <c r="J177" s="6">
        <f t="shared" si="6"/>
        <v>125</v>
      </c>
      <c r="K177" s="15" t="b">
        <v>1</v>
      </c>
      <c r="L177" s="14"/>
      <c r="M177" s="9"/>
      <c r="N177" s="16" t="str">
        <f t="shared" si="3"/>
        <v>'Average_Time_Between_Attacks',</v>
      </c>
      <c r="O177" s="16" t="str">
        <f t="shared" si="4"/>
        <v>'Average_Time_Between_Attacks',</v>
      </c>
      <c r="P177" s="16" t="s">
        <v>533</v>
      </c>
      <c r="Q177" s="16"/>
      <c r="R177" s="9"/>
    </row>
    <row r="178" ht="15.75" customHeight="1">
      <c r="A178" s="9"/>
      <c r="B178" s="10" t="s">
        <v>534</v>
      </c>
      <c r="C178" s="11" t="str">
        <f t="shared" si="1"/>
        <v>RT-8</v>
      </c>
      <c r="D178" s="12" t="str">
        <f>IFERROR(__xludf.DUMMYFUNCTION("REGEXREPLACE(B178,""(.*):(.*)"", ""$1"")"),"RT-8 Average Time Between Attacks for Each Voice")</f>
        <v>RT-8 Average Time Between Attacks for Each Voice</v>
      </c>
      <c r="E178" s="12" t="str">
        <f t="shared" si="2"/>
        <v>Average Time Between Attacks for Each Voice</v>
      </c>
      <c r="F178" s="14" t="s">
        <v>535</v>
      </c>
      <c r="G178" s="14" t="str">
        <f>IFERROR(__xludf.DUMMYFUNCTION("REGEXREPLACE(B178,""(.*): (.*)"", ""$2"")"),"Average of the individual channel averages of time (in seconds) between Note On events in each given MIDI channel. Only channels that contain at least one note are included in this calculation.")</f>
        <v>Average of the individual channel averages of time (in seconds) between Note On events in each given MIDI channel. Only channels that contain at least one note are included in this calculation.</v>
      </c>
      <c r="H178" s="6">
        <f t="shared" si="5"/>
        <v>162</v>
      </c>
      <c r="I178" s="15" t="b">
        <v>1</v>
      </c>
      <c r="J178" s="6">
        <f t="shared" si="6"/>
        <v>126</v>
      </c>
      <c r="K178" s="15" t="b">
        <v>1</v>
      </c>
      <c r="L178" s="14"/>
      <c r="M178" s="9"/>
      <c r="N178" s="16" t="str">
        <f t="shared" si="3"/>
        <v>'Average_Time_Between_Attacks_for_Each_Voice',</v>
      </c>
      <c r="O178" s="16" t="str">
        <f t="shared" si="4"/>
        <v>'Average_Time_Between_Attacks_for_Each_Voice',</v>
      </c>
      <c r="P178" s="16" t="s">
        <v>536</v>
      </c>
      <c r="Q178" s="16"/>
      <c r="R178" s="9"/>
    </row>
    <row r="179" ht="15.75" customHeight="1">
      <c r="A179" s="9"/>
      <c r="B179" s="10" t="s">
        <v>537</v>
      </c>
      <c r="C179" s="11" t="str">
        <f t="shared" si="1"/>
        <v>RT-9</v>
      </c>
      <c r="D179" s="12" t="str">
        <f>IFERROR(__xludf.DUMMYFUNCTION("REGEXREPLACE(B179,""(.*):(.*)"", ""$1"")"),"RT-9 Variability of Time Between Attacks")</f>
        <v>RT-9 Variability of Time Between Attacks</v>
      </c>
      <c r="E179" s="12" t="str">
        <f t="shared" si="2"/>
        <v>Variability of Time Between Attacks</v>
      </c>
      <c r="F179" s="14" t="s">
        <v>538</v>
      </c>
      <c r="G179" s="14" t="str">
        <f>IFERROR(__xludf.DUMMYFUNCTION("REGEXREPLACE(B179,""(.*): (.*)"", ""$2"")"),"Standard deviation of the times (in seconds) between Note On events (regardless of MIDI channel).")</f>
        <v>Standard deviation of the times (in seconds) between Note On events (regardless of MIDI channel).</v>
      </c>
      <c r="H179" s="6">
        <f t="shared" si="5"/>
        <v>163</v>
      </c>
      <c r="I179" s="15" t="b">
        <v>1</v>
      </c>
      <c r="J179" s="6">
        <f t="shared" si="6"/>
        <v>127</v>
      </c>
      <c r="K179" s="15" t="b">
        <v>1</v>
      </c>
      <c r="L179" s="14"/>
      <c r="M179" s="9"/>
      <c r="N179" s="16" t="str">
        <f t="shared" si="3"/>
        <v>'Variability_of_Time_Between_Attacks',</v>
      </c>
      <c r="O179" s="16" t="str">
        <f t="shared" si="4"/>
        <v>'Variability_of_Time_Between_Attacks',</v>
      </c>
      <c r="P179" s="16" t="s">
        <v>539</v>
      </c>
      <c r="Q179" s="16"/>
      <c r="R179" s="9"/>
    </row>
    <row r="180" ht="15.75" customHeight="1">
      <c r="A180" s="9"/>
      <c r="B180" s="10" t="s">
        <v>540</v>
      </c>
      <c r="C180" s="11" t="str">
        <f t="shared" si="1"/>
        <v>RT-10</v>
      </c>
      <c r="D180" s="12" t="str">
        <f>IFERROR(__xludf.DUMMYFUNCTION("REGEXREPLACE(B180,""(.*):(.*)"", ""$1"")"),"RT-10 Average Variability of Time Between Attacks for Each Voice")</f>
        <v>RT-10 Average Variability of Time Between Attacks for Each Voice</v>
      </c>
      <c r="E180" s="12" t="str">
        <f t="shared" si="2"/>
        <v>Average Variability of Time Between Attacks for Each Voice</v>
      </c>
      <c r="F180" s="14" t="s">
        <v>541</v>
      </c>
      <c r="G180" s="14" t="str">
        <f>IFERROR(__xludf.DUMMYFUNCTION("REGEXREPLACE(B180,""(.*): (.*)"", ""$2"")"),"Average of the standard deviations (in seconds) of each individual MIDI channel's time between Note On events. Only channels that contain at least one note are included in this calculation.")</f>
        <v>Average of the standard deviations (in seconds) of each individual MIDI channel's time between Note On events. Only channels that contain at least one note are included in this calculation.</v>
      </c>
      <c r="H180" s="6">
        <f t="shared" si="5"/>
        <v>164</v>
      </c>
      <c r="I180" s="15" t="b">
        <v>1</v>
      </c>
      <c r="J180" s="6">
        <f t="shared" si="6"/>
        <v>128</v>
      </c>
      <c r="K180" s="15" t="b">
        <v>1</v>
      </c>
      <c r="L180" s="14"/>
      <c r="M180" s="9"/>
      <c r="N180" s="16" t="str">
        <f t="shared" si="3"/>
        <v>'Average_Variability_of_Time_Between_Attacks_for_Each_Voice',</v>
      </c>
      <c r="O180" s="16" t="str">
        <f t="shared" si="4"/>
        <v>'Average_Variability_of_Time_Between_Attacks_for_Each_Voice',</v>
      </c>
      <c r="P180" s="16" t="s">
        <v>542</v>
      </c>
      <c r="Q180" s="16"/>
      <c r="R180" s="9"/>
    </row>
    <row r="181" ht="15.75" customHeight="1">
      <c r="A181" s="9"/>
      <c r="B181" s="10" t="s">
        <v>543</v>
      </c>
      <c r="C181" s="11" t="str">
        <f t="shared" si="1"/>
        <v>RT-11</v>
      </c>
      <c r="D181" s="12" t="str">
        <f>IFERROR(__xludf.DUMMYFUNCTION("REGEXREPLACE(B181,""(.*):(.*)"", ""$1"")"),"RT-11 Minimum Note Duration")</f>
        <v>RT-11 Minimum Note Duration</v>
      </c>
      <c r="E181" s="12" t="str">
        <f t="shared" si="2"/>
        <v>Minimum Note Duration</v>
      </c>
      <c r="F181" s="14" t="s">
        <v>544</v>
      </c>
      <c r="G181" s="14" t="str">
        <f>IFERROR(__xludf.DUMMYFUNCTION("REGEXREPLACE(B181,""(.*): (.*)"", ""$2"")"),"Duration of the shortest note in the piece (in seconds). Set to 0 if there are no notes.")</f>
        <v>Duration of the shortest note in the piece (in seconds). Set to 0 if there are no notes.</v>
      </c>
      <c r="H181" s="6">
        <f t="shared" si="5"/>
        <v>165</v>
      </c>
      <c r="I181" s="15" t="b">
        <v>1</v>
      </c>
      <c r="J181" s="6">
        <f t="shared" si="6"/>
        <v>128</v>
      </c>
      <c r="K181" s="15" t="b">
        <v>0</v>
      </c>
      <c r="L181" s="14" t="s">
        <v>483</v>
      </c>
      <c r="M181" s="9"/>
      <c r="N181" s="16" t="str">
        <f t="shared" si="3"/>
        <v>'Minimum_Note_Duration',</v>
      </c>
      <c r="O181" s="16" t="str">
        <f t="shared" si="4"/>
        <v/>
      </c>
      <c r="P181" s="16" t="s">
        <v>545</v>
      </c>
      <c r="Q181" s="16"/>
      <c r="R181" s="9"/>
    </row>
    <row r="182" ht="15.75" customHeight="1">
      <c r="A182" s="9"/>
      <c r="B182" s="10" t="s">
        <v>546</v>
      </c>
      <c r="C182" s="11" t="str">
        <f t="shared" si="1"/>
        <v>RT-12</v>
      </c>
      <c r="D182" s="12" t="str">
        <f>IFERROR(__xludf.DUMMYFUNCTION("REGEXREPLACE(B182,""(.*):(.*)"", ""$1"")"),"RT-12 Maximum Note Duration")</f>
        <v>RT-12 Maximum Note Duration</v>
      </c>
      <c r="E182" s="12" t="str">
        <f t="shared" si="2"/>
        <v>Maximum Note Duration</v>
      </c>
      <c r="F182" s="14" t="s">
        <v>547</v>
      </c>
      <c r="G182" s="14" t="str">
        <f>IFERROR(__xludf.DUMMYFUNCTION("REGEXREPLACE(B182,""(.*): (.*)"", ""$2"")"),"Duration of the longest note in the piece (in seconds).")</f>
        <v>Duration of the longest note in the piece (in seconds).</v>
      </c>
      <c r="H182" s="6">
        <f t="shared" si="5"/>
        <v>166</v>
      </c>
      <c r="I182" s="15" t="b">
        <v>1</v>
      </c>
      <c r="J182" s="6">
        <f t="shared" si="6"/>
        <v>128</v>
      </c>
      <c r="K182" s="15" t="b">
        <v>0</v>
      </c>
      <c r="L182" s="14" t="s">
        <v>483</v>
      </c>
      <c r="M182" s="9"/>
      <c r="N182" s="16" t="str">
        <f t="shared" si="3"/>
        <v>'Maximum_Note_Duration',</v>
      </c>
      <c r="O182" s="16" t="str">
        <f t="shared" si="4"/>
        <v/>
      </c>
      <c r="P182" s="16" t="s">
        <v>548</v>
      </c>
      <c r="Q182" s="16"/>
      <c r="R182" s="9"/>
    </row>
    <row r="183" ht="15.75" customHeight="1">
      <c r="A183" s="9"/>
      <c r="B183" s="10" t="s">
        <v>549</v>
      </c>
      <c r="C183" s="11" t="str">
        <f t="shared" si="1"/>
        <v>RT-13</v>
      </c>
      <c r="D183" s="12" t="str">
        <f>IFERROR(__xludf.DUMMYFUNCTION("REGEXREPLACE(B183,""(.*):(.*)"", ""$1"")"),"RT-13 Average Note Duration")</f>
        <v>RT-13 Average Note Duration</v>
      </c>
      <c r="E183" s="12" t="str">
        <f t="shared" si="2"/>
        <v>Average Note Duration</v>
      </c>
      <c r="F183" s="14" t="s">
        <v>550</v>
      </c>
      <c r="G183" s="14" t="str">
        <f>IFERROR(__xludf.DUMMYFUNCTION("REGEXREPLACE(B183,""(.*): (.*)"", ""$2"")"),"Average duration of notes (in seconds).")</f>
        <v>Average duration of notes (in seconds).</v>
      </c>
      <c r="H183" s="6">
        <f t="shared" si="5"/>
        <v>167</v>
      </c>
      <c r="I183" s="15" t="b">
        <v>1</v>
      </c>
      <c r="J183" s="6">
        <f t="shared" si="6"/>
        <v>129</v>
      </c>
      <c r="K183" s="15" t="b">
        <v>1</v>
      </c>
      <c r="L183" s="14"/>
      <c r="M183" s="9"/>
      <c r="N183" s="16" t="str">
        <f t="shared" si="3"/>
        <v>'Average_Note_Duration',</v>
      </c>
      <c r="O183" s="16" t="str">
        <f t="shared" si="4"/>
        <v>'Average_Note_Duration',</v>
      </c>
      <c r="P183" s="16" t="s">
        <v>551</v>
      </c>
      <c r="Q183" s="16"/>
      <c r="R183" s="9"/>
    </row>
    <row r="184" ht="15.75" customHeight="1">
      <c r="A184" s="9"/>
      <c r="B184" s="10" t="s">
        <v>552</v>
      </c>
      <c r="C184" s="11" t="str">
        <f t="shared" si="1"/>
        <v>RT-14</v>
      </c>
      <c r="D184" s="12" t="str">
        <f>IFERROR(__xludf.DUMMYFUNCTION("REGEXREPLACE(B184,""(.*):(.*)"", ""$1"")"),"RT-14 Variability of Note Durations")</f>
        <v>RT-14 Variability of Note Durations</v>
      </c>
      <c r="E184" s="12" t="str">
        <f t="shared" si="2"/>
        <v>Variability of Note Durations</v>
      </c>
      <c r="F184" s="14" t="s">
        <v>553</v>
      </c>
      <c r="G184" s="14" t="str">
        <f>IFERROR(__xludf.DUMMYFUNCTION("REGEXREPLACE(B184,""(.*): (.*)"", ""$2"")"),"Standard deviation of note durations (in seconds).")</f>
        <v>Standard deviation of note durations (in seconds).</v>
      </c>
      <c r="H184" s="6">
        <f t="shared" si="5"/>
        <v>168</v>
      </c>
      <c r="I184" s="15" t="b">
        <v>1</v>
      </c>
      <c r="J184" s="6">
        <f t="shared" si="6"/>
        <v>130</v>
      </c>
      <c r="K184" s="15" t="b">
        <v>1</v>
      </c>
      <c r="L184" s="14"/>
      <c r="M184" s="9"/>
      <c r="N184" s="16" t="str">
        <f t="shared" si="3"/>
        <v>'Variability_of_Note_Durations',</v>
      </c>
      <c r="O184" s="16" t="str">
        <f t="shared" si="4"/>
        <v>'Variability_of_Note_Durations',</v>
      </c>
      <c r="P184" s="16" t="s">
        <v>554</v>
      </c>
      <c r="Q184" s="16"/>
      <c r="R184" s="9"/>
    </row>
    <row r="185" ht="15.75" customHeight="1">
      <c r="A185" s="9"/>
      <c r="B185" s="10" t="s">
        <v>555</v>
      </c>
      <c r="C185" s="11" t="str">
        <f t="shared" si="1"/>
        <v>RT-15</v>
      </c>
      <c r="D185" s="12" t="str">
        <f>IFERROR(__xludf.DUMMYFUNCTION("REGEXREPLACE(B185,""(.*):(.*)"", ""$1"")"),"RT-15 Amount of Staccato")</f>
        <v>RT-15 Amount of Staccato</v>
      </c>
      <c r="E185" s="12" t="str">
        <f t="shared" si="2"/>
        <v>Amount of Staccato</v>
      </c>
      <c r="F185" s="14" t="s">
        <v>556</v>
      </c>
      <c r="G185" s="14" t="str">
        <f>IFERROR(__xludf.DUMMYFUNCTION("REGEXREPLACE(B185,""(.*): (.*)"", ""$2"")"),"Number of notes with a duration less than 0.1 seconds, divided by the total number of notes in the piece.")</f>
        <v>Number of notes with a duration less than 0.1 seconds, divided by the total number of notes in the piece.</v>
      </c>
      <c r="H185" s="6">
        <f t="shared" si="5"/>
        <v>169</v>
      </c>
      <c r="I185" s="15" t="b">
        <v>1</v>
      </c>
      <c r="J185" s="6">
        <f t="shared" si="6"/>
        <v>131</v>
      </c>
      <c r="K185" s="15" t="b">
        <v>1</v>
      </c>
      <c r="L185" s="14"/>
      <c r="M185" s="9"/>
      <c r="N185" s="16" t="str">
        <f t="shared" si="3"/>
        <v>'Amount_of_Staccato',</v>
      </c>
      <c r="O185" s="16" t="str">
        <f t="shared" si="4"/>
        <v>'Amount_of_Staccato',</v>
      </c>
      <c r="P185" s="16" t="s">
        <v>557</v>
      </c>
      <c r="Q185" s="16"/>
      <c r="R185" s="9"/>
    </row>
    <row r="186" ht="15.75" customHeight="1">
      <c r="A186" s="9"/>
      <c r="B186" s="10" t="s">
        <v>558</v>
      </c>
      <c r="C186" s="11" t="str">
        <f t="shared" si="1"/>
        <v>RT-16</v>
      </c>
      <c r="D186" s="12" t="str">
        <f>IFERROR(__xludf.DUMMYFUNCTION("REGEXREPLACE(B186,""(.*):(.*)"", ""$1"")"),"RT-16 Beat Histogram")</f>
        <v>RT-16 Beat Histogram</v>
      </c>
      <c r="E186" s="12" t="str">
        <f t="shared" si="2"/>
        <v>Beat Histogram</v>
      </c>
      <c r="F186" s="14"/>
      <c r="G186" s="14" t="str">
        <f>IFERROR(__xludf.DUMMYFUNCTION("REGEXREPLACE(B186,""(.*): (.*)"", ""$2"")"),"A feature vector consisting of the bin magnitudes of the beat histogram described above. The first 40 bins are not included in this feature vector, however. Each bin corresponds to a different beats per minute periodicity, with tempo increasing with the b"&amp;"in index. The magnitude of each bin is proportional to the cumulative loudness (MIDI velocity) of the notes that occur at that bin's rhythmic periodicity. The histogram is normalized.")</f>
        <v>A feature vector consisting of the bin magnitudes of the beat histogram described above. The first 40 bins are not included in this feature vector, however. Each bin corresponds to a different beats per minute periodicity, with tempo increasing with the bin index. The magnitude of each bin is proportional to the cumulative loudness (MIDI velocity) of the notes that occur at that bin's rhythmic periodicity. The histogram is normalized.</v>
      </c>
      <c r="H186" s="6">
        <f t="shared" si="5"/>
        <v>169</v>
      </c>
      <c r="I186" s="15" t="b">
        <v>0</v>
      </c>
      <c r="J186" s="6">
        <f t="shared" si="6"/>
        <v>131</v>
      </c>
      <c r="K186" s="15" t="b">
        <v>0</v>
      </c>
      <c r="L186" s="14"/>
      <c r="M186" s="9"/>
      <c r="N186" s="16" t="str">
        <f t="shared" si="3"/>
        <v/>
      </c>
      <c r="O186" s="16" t="str">
        <f t="shared" si="4"/>
        <v/>
      </c>
      <c r="P186" s="16" t="s">
        <v>559</v>
      </c>
      <c r="Q186" s="16"/>
      <c r="R186" s="9"/>
    </row>
    <row r="187" ht="15.75" customHeight="1">
      <c r="A187" s="9"/>
      <c r="B187" s="10" t="s">
        <v>560</v>
      </c>
      <c r="C187" s="11" t="str">
        <f t="shared" si="1"/>
        <v>RT-17</v>
      </c>
      <c r="D187" s="12" t="str">
        <f>IFERROR(__xludf.DUMMYFUNCTION("REGEXREPLACE(B187,""(.*):(.*)"", ""$1"")"),"RT-17 Number of Strong Rhythmic Pulses")</f>
        <v>RT-17 Number of Strong Rhythmic Pulses</v>
      </c>
      <c r="E187" s="12" t="str">
        <f t="shared" si="2"/>
        <v>Number of Strong Rhythmic Pulses</v>
      </c>
      <c r="F187" s="14" t="s">
        <v>561</v>
      </c>
      <c r="G187" s="14" t="str">
        <f>IFERROR(__xludf.DUMMYFUNCTION("REGEXREPLACE(B187,""(.*): (.*)"", ""$2"")"),"Number of beat histogram peaks with normalized magnitudes over 0.1.")</f>
        <v>Number of beat histogram peaks with normalized magnitudes over 0.1.</v>
      </c>
      <c r="H187" s="6">
        <f t="shared" si="5"/>
        <v>170</v>
      </c>
      <c r="I187" s="15" t="b">
        <v>1</v>
      </c>
      <c r="J187" s="6">
        <f t="shared" si="6"/>
        <v>131</v>
      </c>
      <c r="K187" s="15" t="b">
        <v>0</v>
      </c>
      <c r="L187" s="14" t="s">
        <v>425</v>
      </c>
      <c r="M187" s="9"/>
      <c r="N187" s="16" t="str">
        <f t="shared" si="3"/>
        <v>'Number_of_Strong_Rhythmic_Pulses',</v>
      </c>
      <c r="O187" s="16" t="str">
        <f t="shared" si="4"/>
        <v/>
      </c>
      <c r="P187" s="16" t="s">
        <v>562</v>
      </c>
      <c r="Q187" s="16"/>
      <c r="R187" s="9"/>
    </row>
    <row r="188" ht="15.75" customHeight="1">
      <c r="A188" s="9"/>
      <c r="B188" s="10" t="s">
        <v>563</v>
      </c>
      <c r="C188" s="11" t="str">
        <f t="shared" si="1"/>
        <v>RT-18</v>
      </c>
      <c r="D188" s="12" t="str">
        <f>IFERROR(__xludf.DUMMYFUNCTION("REGEXREPLACE(B188,""(.*):(.*)"", ""$1"")"),"RT-18 Number of Moderate Rhythmic Pulses")</f>
        <v>RT-18 Number of Moderate Rhythmic Pulses</v>
      </c>
      <c r="E188" s="12" t="str">
        <f t="shared" si="2"/>
        <v>Number of Moderate Rhythmic Pulses</v>
      </c>
      <c r="F188" s="14" t="s">
        <v>564</v>
      </c>
      <c r="G188" s="14" t="str">
        <f>IFERROR(__xludf.DUMMYFUNCTION("REGEXREPLACE(B188,""(.*): (.*)"", ""$2"")"),"Number of beat histogram peaks with normalized magnitudes over 0.01.")</f>
        <v>Number of beat histogram peaks with normalized magnitudes over 0.01.</v>
      </c>
      <c r="H188" s="6">
        <f t="shared" si="5"/>
        <v>171</v>
      </c>
      <c r="I188" s="15" t="b">
        <v>1</v>
      </c>
      <c r="J188" s="6">
        <f t="shared" si="6"/>
        <v>131</v>
      </c>
      <c r="K188" s="15" t="b">
        <v>0</v>
      </c>
      <c r="L188" s="14" t="s">
        <v>425</v>
      </c>
      <c r="M188" s="9"/>
      <c r="N188" s="16" t="str">
        <f t="shared" si="3"/>
        <v>'Number_of_Moderate_Rhythmic_Pulses',</v>
      </c>
      <c r="O188" s="16" t="str">
        <f t="shared" si="4"/>
        <v/>
      </c>
      <c r="P188" s="16" t="s">
        <v>565</v>
      </c>
      <c r="Q188" s="16"/>
      <c r="R188" s="9"/>
    </row>
    <row r="189" ht="15.75" customHeight="1">
      <c r="A189" s="9"/>
      <c r="B189" s="10" t="s">
        <v>566</v>
      </c>
      <c r="C189" s="11" t="str">
        <f t="shared" si="1"/>
        <v>RT-19</v>
      </c>
      <c r="D189" s="12" t="str">
        <f>IFERROR(__xludf.DUMMYFUNCTION("REGEXREPLACE(B189,""(.*):(.*)"", ""$1"")"),"RT-19 Number of Relatively Strong Rhythmic Pulses")</f>
        <v>RT-19 Number of Relatively Strong Rhythmic Pulses</v>
      </c>
      <c r="E189" s="12" t="str">
        <f t="shared" si="2"/>
        <v>Number of Relatively Strong Rhythmic Pulses</v>
      </c>
      <c r="F189" s="14" t="s">
        <v>567</v>
      </c>
      <c r="G189" s="14" t="str">
        <f>IFERROR(__xludf.DUMMYFUNCTION("REGEXREPLACE(B189,""(.*): (.*)"", ""$2"")"),"Number of beat histogram peaks with magnitudes at least 30% as high as the magnitude of the beat histogram peak with the highest magnitude.")</f>
        <v>Number of beat histogram peaks with magnitudes at least 30% as high as the magnitude of the beat histogram peak with the highest magnitude.</v>
      </c>
      <c r="H189" s="6">
        <f t="shared" si="5"/>
        <v>172</v>
      </c>
      <c r="I189" s="15" t="b">
        <v>1</v>
      </c>
      <c r="J189" s="6">
        <f t="shared" si="6"/>
        <v>131</v>
      </c>
      <c r="K189" s="15" t="b">
        <v>0</v>
      </c>
      <c r="L189" s="14" t="s">
        <v>425</v>
      </c>
      <c r="M189" s="9"/>
      <c r="N189" s="16" t="str">
        <f t="shared" si="3"/>
        <v>'Number_of_Relatively_Strong_Rhythmic_Pulses',</v>
      </c>
      <c r="O189" s="16" t="str">
        <f t="shared" si="4"/>
        <v/>
      </c>
      <c r="P189" s="16" t="s">
        <v>568</v>
      </c>
      <c r="Q189" s="16"/>
      <c r="R189" s="9"/>
    </row>
    <row r="190" ht="15.75" customHeight="1">
      <c r="A190" s="9"/>
      <c r="B190" s="10" t="s">
        <v>569</v>
      </c>
      <c r="C190" s="11" t="str">
        <f t="shared" si="1"/>
        <v>RT-20</v>
      </c>
      <c r="D190" s="12" t="str">
        <f>IFERROR(__xludf.DUMMYFUNCTION("REGEXREPLACE(B190,""(.*):(.*)"", ""$1"")"),"RT-20 Strongest Rhythmic Pulse")</f>
        <v>RT-20 Strongest Rhythmic Pulse</v>
      </c>
      <c r="E190" s="12" t="str">
        <f t="shared" si="2"/>
        <v>Strongest Rhythmic Pulse</v>
      </c>
      <c r="F190" s="14" t="s">
        <v>570</v>
      </c>
      <c r="G190" s="14" t="str">
        <f>IFERROR(__xludf.DUMMYFUNCTION("REGEXREPLACE(B190,""(.*): (.*)"", ""$2"")"),"Bin index of the beat histogram bin with the highest magnitude.")</f>
        <v>Bin index of the beat histogram bin with the highest magnitude.</v>
      </c>
      <c r="H190" s="6">
        <f t="shared" si="5"/>
        <v>173</v>
      </c>
      <c r="I190" s="15" t="b">
        <v>1</v>
      </c>
      <c r="J190" s="6">
        <f t="shared" si="6"/>
        <v>131</v>
      </c>
      <c r="K190" s="15" t="b">
        <v>0</v>
      </c>
      <c r="L190" s="14" t="s">
        <v>425</v>
      </c>
      <c r="M190" s="9"/>
      <c r="N190" s="16" t="str">
        <f t="shared" si="3"/>
        <v>'Strongest_Rhythmic_Pulse',</v>
      </c>
      <c r="O190" s="16" t="str">
        <f t="shared" si="4"/>
        <v/>
      </c>
      <c r="P190" s="16" t="s">
        <v>571</v>
      </c>
      <c r="Q190" s="16"/>
      <c r="R190" s="9"/>
    </row>
    <row r="191" ht="15.75" customHeight="1">
      <c r="A191" s="9"/>
      <c r="B191" s="10" t="s">
        <v>572</v>
      </c>
      <c r="C191" s="11" t="str">
        <f t="shared" si="1"/>
        <v>RT-21</v>
      </c>
      <c r="D191" s="12" t="str">
        <f>IFERROR(__xludf.DUMMYFUNCTION("REGEXREPLACE(B191,""(.*):(.*)"", ""$1"")"),"RT-21 Second Strongest Rhythmic Pulse")</f>
        <v>RT-21 Second Strongest Rhythmic Pulse</v>
      </c>
      <c r="E191" s="12" t="str">
        <f t="shared" si="2"/>
        <v>Second Strongest Rhythmic Pulse</v>
      </c>
      <c r="F191" s="14" t="s">
        <v>573</v>
      </c>
      <c r="G191" s="14" t="str">
        <f>IFERROR(__xludf.DUMMYFUNCTION("REGEXREPLACE(B191,""(.*): (.*)"", ""$2"")"),"Bin index of the beat histogram peak with the second highest magnitude.")</f>
        <v>Bin index of the beat histogram peak with the second highest magnitude.</v>
      </c>
      <c r="H191" s="6">
        <f t="shared" si="5"/>
        <v>174</v>
      </c>
      <c r="I191" s="15" t="b">
        <v>1</v>
      </c>
      <c r="J191" s="6">
        <f t="shared" si="6"/>
        <v>131</v>
      </c>
      <c r="K191" s="15" t="b">
        <v>0</v>
      </c>
      <c r="L191" s="14" t="s">
        <v>425</v>
      </c>
      <c r="M191" s="9"/>
      <c r="N191" s="16" t="str">
        <f t="shared" si="3"/>
        <v>'Second_Strongest_Rhythmic_Pulse',</v>
      </c>
      <c r="O191" s="16" t="str">
        <f t="shared" si="4"/>
        <v/>
      </c>
      <c r="P191" s="16" t="s">
        <v>574</v>
      </c>
      <c r="Q191" s="16"/>
      <c r="R191" s="9"/>
    </row>
    <row r="192" ht="15.75" customHeight="1">
      <c r="A192" s="9"/>
      <c r="B192" s="10" t="s">
        <v>575</v>
      </c>
      <c r="C192" s="11" t="str">
        <f t="shared" si="1"/>
        <v>RT-22</v>
      </c>
      <c r="D192" s="12" t="str">
        <f>IFERROR(__xludf.DUMMYFUNCTION("REGEXREPLACE(B192,""(.*):(.*)"", ""$1"")"),"RT-22 Harmonicity of Two Strongest Rhythmic Pulses")</f>
        <v>RT-22 Harmonicity of Two Strongest Rhythmic Pulses</v>
      </c>
      <c r="E192" s="12" t="str">
        <f t="shared" si="2"/>
        <v>Harmonicity of Two Strongest Rhythmic Pulses</v>
      </c>
      <c r="F192" s="14" t="s">
        <v>576</v>
      </c>
      <c r="G192" s="14" t="str">
        <f>IFERROR(__xludf.DUMMYFUNCTION("REGEXREPLACE(B192,""(.*): (.*)"", ""$2"")"),"Bin index of the higher (in terms of bin index) of the two beat histogram peaks with the highest magnitude, divided by the index of the lower (in terms of bin index) of the two bins.")</f>
        <v>Bin index of the higher (in terms of bin index) of the two beat histogram peaks with the highest magnitude, divided by the index of the lower (in terms of bin index) of the two bins.</v>
      </c>
      <c r="H192" s="6">
        <f t="shared" si="5"/>
        <v>175</v>
      </c>
      <c r="I192" s="15" t="b">
        <v>1</v>
      </c>
      <c r="J192" s="6">
        <f t="shared" si="6"/>
        <v>131</v>
      </c>
      <c r="K192" s="15" t="b">
        <v>0</v>
      </c>
      <c r="L192" s="14" t="s">
        <v>425</v>
      </c>
      <c r="M192" s="9"/>
      <c r="N192" s="16" t="str">
        <f t="shared" si="3"/>
        <v>'Harmonicity_of_Two_Strongest_Rhythmic_Pulses',</v>
      </c>
      <c r="O192" s="16" t="str">
        <f t="shared" si="4"/>
        <v/>
      </c>
      <c r="P192" s="16" t="s">
        <v>577</v>
      </c>
      <c r="Q192" s="16"/>
      <c r="R192" s="9"/>
    </row>
    <row r="193" ht="15.75" customHeight="1">
      <c r="A193" s="9"/>
      <c r="B193" s="10" t="s">
        <v>578</v>
      </c>
      <c r="C193" s="11" t="str">
        <f t="shared" si="1"/>
        <v>RT-23</v>
      </c>
      <c r="D193" s="12" t="str">
        <f>IFERROR(__xludf.DUMMYFUNCTION("REGEXREPLACE(B193,""(.*):(.*)"", ""$1"")"),"RT-23 Strength of Strongest Rhythmic Pulse")</f>
        <v>RT-23 Strength of Strongest Rhythmic Pulse</v>
      </c>
      <c r="E193" s="12" t="str">
        <f t="shared" si="2"/>
        <v>Strength of Strongest Rhythmic Pulse</v>
      </c>
      <c r="F193" s="14" t="s">
        <v>579</v>
      </c>
      <c r="G193" s="14" t="str">
        <f>IFERROR(__xludf.DUMMYFUNCTION("REGEXREPLACE(B193,""(.*): (.*)"", ""$2"")"),"Magnitude of the beat histogram bin with the highest magnitude.")</f>
        <v>Magnitude of the beat histogram bin with the highest magnitude.</v>
      </c>
      <c r="H193" s="6">
        <f t="shared" si="5"/>
        <v>176</v>
      </c>
      <c r="I193" s="15" t="b">
        <v>1</v>
      </c>
      <c r="J193" s="6">
        <f t="shared" si="6"/>
        <v>131</v>
      </c>
      <c r="K193" s="15" t="b">
        <v>0</v>
      </c>
      <c r="L193" s="14" t="s">
        <v>580</v>
      </c>
      <c r="M193" s="9"/>
      <c r="N193" s="16" t="str">
        <f t="shared" si="3"/>
        <v>'Strength_of_Strongest_Rhythmic_Pulse',</v>
      </c>
      <c r="O193" s="16" t="str">
        <f t="shared" si="4"/>
        <v/>
      </c>
      <c r="P193" s="16" t="s">
        <v>581</v>
      </c>
      <c r="Q193" s="16"/>
      <c r="R193" s="9"/>
    </row>
    <row r="194" ht="15.75" customHeight="1">
      <c r="A194" s="9"/>
      <c r="B194" s="10" t="s">
        <v>582</v>
      </c>
      <c r="C194" s="11" t="str">
        <f t="shared" si="1"/>
        <v>RT-24</v>
      </c>
      <c r="D194" s="12" t="str">
        <f>IFERROR(__xludf.DUMMYFUNCTION("REGEXREPLACE(B194,""(.*):(.*)"", ""$1"")"),"RT-24 Strength of Second Strongest Rhythmic Pulse")</f>
        <v>RT-24 Strength of Second Strongest Rhythmic Pulse</v>
      </c>
      <c r="E194" s="12" t="str">
        <f t="shared" si="2"/>
        <v>Strength of Second Strongest Rhythmic Pulse</v>
      </c>
      <c r="F194" s="14" t="s">
        <v>583</v>
      </c>
      <c r="G194" s="14" t="str">
        <f>IFERROR(__xludf.DUMMYFUNCTION("REGEXREPLACE(B194,""(.*): (.*)"", ""$2"")"),"Magnitude of the beat histogram peak with the second highest magnitude.")</f>
        <v>Magnitude of the beat histogram peak with the second highest magnitude.</v>
      </c>
      <c r="H194" s="6">
        <f t="shared" si="5"/>
        <v>177</v>
      </c>
      <c r="I194" s="15" t="b">
        <v>1</v>
      </c>
      <c r="J194" s="6">
        <f t="shared" si="6"/>
        <v>131</v>
      </c>
      <c r="K194" s="15" t="b">
        <v>0</v>
      </c>
      <c r="L194" s="14" t="s">
        <v>580</v>
      </c>
      <c r="M194" s="9"/>
      <c r="N194" s="16" t="str">
        <f t="shared" si="3"/>
        <v>'Strength_of_Second_Strongest_Rhythmic_Pulse',</v>
      </c>
      <c r="O194" s="16" t="str">
        <f t="shared" si="4"/>
        <v/>
      </c>
      <c r="P194" s="16" t="s">
        <v>584</v>
      </c>
      <c r="Q194" s="16"/>
      <c r="R194" s="9"/>
    </row>
    <row r="195" ht="15.75" customHeight="1">
      <c r="A195" s="9"/>
      <c r="B195" s="10" t="s">
        <v>585</v>
      </c>
      <c r="C195" s="11" t="str">
        <f t="shared" si="1"/>
        <v>RT-25</v>
      </c>
      <c r="D195" s="12" t="str">
        <f>IFERROR(__xludf.DUMMYFUNCTION("REGEXREPLACE(B195,""(.*):(.*)"", ""$1"")"),"RT-25 Strength Ratio of Two Strongest Rhythmic Pulses")</f>
        <v>RT-25 Strength Ratio of Two Strongest Rhythmic Pulses</v>
      </c>
      <c r="E195" s="12" t="str">
        <f t="shared" si="2"/>
        <v>Strength Ratio of Two Strongest Rhythmic Pulses</v>
      </c>
      <c r="F195" s="14" t="s">
        <v>586</v>
      </c>
      <c r="G195" s="14" t="str">
        <f>IFERROR(__xludf.DUMMYFUNCTION("REGEXREPLACE(B195,""(.*): (.*)"", ""$2"")"),"Magnitude of the beat histogram peak with the highest magnitude divided by the magnitude of the beat histogram peak with the second highest magnitude.")</f>
        <v>Magnitude of the beat histogram peak with the highest magnitude divided by the magnitude of the beat histogram peak with the second highest magnitude.</v>
      </c>
      <c r="H195" s="6">
        <f t="shared" si="5"/>
        <v>178</v>
      </c>
      <c r="I195" s="15" t="b">
        <v>1</v>
      </c>
      <c r="J195" s="6">
        <f t="shared" si="6"/>
        <v>131</v>
      </c>
      <c r="K195" s="15" t="b">
        <v>0</v>
      </c>
      <c r="L195" s="14" t="s">
        <v>425</v>
      </c>
      <c r="M195" s="9"/>
      <c r="N195" s="16" t="str">
        <f t="shared" si="3"/>
        <v>'Strength_Ratio_of_Two_Strongest_Rhythmic_Pulses',</v>
      </c>
      <c r="O195" s="16" t="str">
        <f t="shared" si="4"/>
        <v/>
      </c>
      <c r="P195" s="16" t="s">
        <v>587</v>
      </c>
      <c r="Q195" s="16"/>
      <c r="R195" s="9"/>
    </row>
    <row r="196" ht="15.75" customHeight="1">
      <c r="A196" s="9"/>
      <c r="B196" s="10" t="s">
        <v>588</v>
      </c>
      <c r="C196" s="11" t="str">
        <f t="shared" si="1"/>
        <v>RT-26</v>
      </c>
      <c r="D196" s="12" t="str">
        <f>IFERROR(__xludf.DUMMYFUNCTION("REGEXREPLACE(B196,""(.*):(.*)"", ""$1"")"),"RT-26 Combined Strength of Two Strongest Rhythmic Pulses")</f>
        <v>RT-26 Combined Strength of Two Strongest Rhythmic Pulses</v>
      </c>
      <c r="E196" s="12" t="str">
        <f t="shared" si="2"/>
        <v>Combined Strength of Two Strongest Rhythmic Pulses</v>
      </c>
      <c r="F196" s="14" t="s">
        <v>589</v>
      </c>
      <c r="G196" s="14" t="str">
        <f>IFERROR(__xludf.DUMMYFUNCTION("REGEXREPLACE(B196,""(.*): (.*)"", ""$2"")"),"Sum of the magnitudes of the two beat histogram peaks with the highest magnitudes.")</f>
        <v>Sum of the magnitudes of the two beat histogram peaks with the highest magnitudes.</v>
      </c>
      <c r="H196" s="6">
        <f t="shared" si="5"/>
        <v>179</v>
      </c>
      <c r="I196" s="15" t="b">
        <v>1</v>
      </c>
      <c r="J196" s="6">
        <f t="shared" si="6"/>
        <v>131</v>
      </c>
      <c r="K196" s="15" t="b">
        <v>0</v>
      </c>
      <c r="L196" s="14" t="s">
        <v>425</v>
      </c>
      <c r="M196" s="9"/>
      <c r="N196" s="16" t="str">
        <f t="shared" si="3"/>
        <v>'Combined_Strength_of_Two_Strongest_Rhythmic_Pulses',</v>
      </c>
      <c r="O196" s="16" t="str">
        <f t="shared" si="4"/>
        <v/>
      </c>
      <c r="P196" s="16" t="s">
        <v>590</v>
      </c>
      <c r="Q196" s="16"/>
      <c r="R196" s="9"/>
    </row>
    <row r="197" ht="15.75" customHeight="1">
      <c r="A197" s="9"/>
      <c r="B197" s="10" t="s">
        <v>591</v>
      </c>
      <c r="C197" s="11" t="str">
        <f t="shared" si="1"/>
        <v>RT-27</v>
      </c>
      <c r="D197" s="12" t="str">
        <f>IFERROR(__xludf.DUMMYFUNCTION("REGEXREPLACE(B197,""(.*):(.*)"", ""$1"")"),"RT-27 Rhythmic Variability")</f>
        <v>RT-27 Rhythmic Variability</v>
      </c>
      <c r="E197" s="12" t="str">
        <f t="shared" si="2"/>
        <v>Rhythmic Variability</v>
      </c>
      <c r="F197" s="14" t="s">
        <v>592</v>
      </c>
      <c r="G197" s="14" t="str">
        <f>IFERROR(__xludf.DUMMYFUNCTION("REGEXREPLACE(B197,""(.*): (.*)"", ""$2"")"),"Standard deviation of the beat histogram bin magnitudes.")</f>
        <v>Standard deviation of the beat histogram bin magnitudes.</v>
      </c>
      <c r="H197" s="6">
        <f t="shared" si="5"/>
        <v>180</v>
      </c>
      <c r="I197" s="15" t="b">
        <v>1</v>
      </c>
      <c r="J197" s="6">
        <f t="shared" si="6"/>
        <v>131</v>
      </c>
      <c r="K197" s="15" t="b">
        <v>0</v>
      </c>
      <c r="L197" s="14" t="s">
        <v>425</v>
      </c>
      <c r="M197" s="9"/>
      <c r="N197" s="16" t="str">
        <f t="shared" si="3"/>
        <v>'Rhythmic_Variability',</v>
      </c>
      <c r="O197" s="16" t="str">
        <f t="shared" si="4"/>
        <v/>
      </c>
      <c r="P197" s="16" t="s">
        <v>593</v>
      </c>
      <c r="Q197" s="16"/>
      <c r="R197" s="9"/>
    </row>
    <row r="198" ht="15.75" customHeight="1">
      <c r="A198" s="9"/>
      <c r="B198" s="10" t="s">
        <v>594</v>
      </c>
      <c r="C198" s="11" t="str">
        <f t="shared" si="1"/>
        <v>RT-28</v>
      </c>
      <c r="D198" s="12" t="str">
        <f>IFERROR(__xludf.DUMMYFUNCTION("REGEXREPLACE(B198,""(.*):(.*)"", ""$1"")"),"RT-28 Rhythmic Looseness")</f>
        <v>RT-28 Rhythmic Looseness</v>
      </c>
      <c r="E198" s="12" t="str">
        <f t="shared" si="2"/>
        <v>Rhythmic Looseness</v>
      </c>
      <c r="F198" s="14" t="s">
        <v>595</v>
      </c>
      <c r="G198" s="14" t="str">
        <f>IFERROR(__xludf.DUMMYFUNCTION("REGEXREPLACE(B198,""(.*): (.*)"", ""$2"")"),"Average width of beat histogram peaks. The width of a peak is defined here as the distance (in beats per minute) between the two points on the peak in question that have magnitudes closest to 30% of the height of the peak. Only peaks with magnitudes at le"&amp;"ast 30% as high as the highest peak are considered in this calculation.")</f>
        <v>Average width of beat histogram peaks. The width of a peak is defined here as the distance (in beats per minute) between the two points on the peak in question that have magnitudes closest to 30% of the height of the peak. Only peaks with magnitudes at least 30% as high as the highest peak are considered in this calculation.</v>
      </c>
      <c r="H198" s="6">
        <f t="shared" si="5"/>
        <v>181</v>
      </c>
      <c r="I198" s="15" t="b">
        <v>1</v>
      </c>
      <c r="J198" s="6">
        <f t="shared" si="6"/>
        <v>131</v>
      </c>
      <c r="K198" s="15" t="b">
        <v>0</v>
      </c>
      <c r="L198" s="14" t="s">
        <v>425</v>
      </c>
      <c r="M198" s="9"/>
      <c r="N198" s="16" t="str">
        <f t="shared" si="3"/>
        <v>'Rhythmic_Looseness',</v>
      </c>
      <c r="O198" s="16" t="str">
        <f t="shared" si="4"/>
        <v/>
      </c>
      <c r="P198" s="16" t="s">
        <v>596</v>
      </c>
      <c r="Q198" s="16"/>
      <c r="R198" s="9"/>
    </row>
    <row r="199" ht="15.75" customHeight="1">
      <c r="A199" s="9"/>
      <c r="B199" s="10" t="s">
        <v>597</v>
      </c>
      <c r="C199" s="11" t="str">
        <f t="shared" si="1"/>
        <v>RT-29</v>
      </c>
      <c r="D199" s="12" t="str">
        <f>IFERROR(__xludf.DUMMYFUNCTION("REGEXREPLACE(B199,""(.*):(.*)"", ""$1"")"),"RT-29 Polyrhythms")</f>
        <v>RT-29 Polyrhythms</v>
      </c>
      <c r="E199" s="12" t="str">
        <f t="shared" si="2"/>
        <v>Polyrhythms</v>
      </c>
      <c r="F199" s="14" t="s">
        <v>598</v>
      </c>
      <c r="G199" s="14" t="str">
        <f>IFERROR(__xludf.DUMMYFUNCTION("REGEXREPLACE(B199,""(.*): (.*)"", ""$2"")"),"Number of beat histogram peaks with magnitudes at least 30% as high as the magnitude of the highest peak, and whose bin labels are not integer multiples or factors (using only multipliers of 1, 2, 3, 4, 6 and 8, and with an accepted error of +/- 3 bins) o"&amp;"f the bin label of the peak with the highest magnitude. This number is then divided by the total number of bins with frequencies over 30% of the highest magnitude.")</f>
        <v>Number of beat histogram peaks with magnitudes at least 30% as high as the magnitude of the highest peak, and whose bin labels are not integer multiples or factors (using only multipliers of 1, 2, 3, 4, 6 and 8, and with an accepted error of +/- 3 bins) of the bin label of the peak with the highest magnitude. This number is then divided by the total number of bins with frequencies over 30% of the highest magnitude.</v>
      </c>
      <c r="H199" s="6">
        <f t="shared" si="5"/>
        <v>182</v>
      </c>
      <c r="I199" s="15" t="b">
        <v>1</v>
      </c>
      <c r="J199" s="6">
        <f t="shared" si="6"/>
        <v>131</v>
      </c>
      <c r="K199" s="15" t="b">
        <v>0</v>
      </c>
      <c r="L199" s="14" t="s">
        <v>425</v>
      </c>
      <c r="M199" s="9"/>
      <c r="N199" s="16" t="str">
        <f t="shared" si="3"/>
        <v>'Polyrhythms',</v>
      </c>
      <c r="O199" s="16" t="str">
        <f t="shared" si="4"/>
        <v/>
      </c>
      <c r="P199" s="16" t="s">
        <v>599</v>
      </c>
      <c r="Q199" s="16"/>
      <c r="R199" s="9"/>
    </row>
    <row r="200" ht="15.75" customHeight="1">
      <c r="A200" s="9"/>
      <c r="B200" s="10" t="s">
        <v>600</v>
      </c>
      <c r="C200" s="11" t="str">
        <f t="shared" si="1"/>
        <v>I-1</v>
      </c>
      <c r="D200" s="12" t="str">
        <f>IFERROR(__xludf.DUMMYFUNCTION("REGEXREPLACE(B200,""(.*):(.*)"", ""$1"")"),"I-1 Pitched Instruments Present")</f>
        <v>I-1 Pitched Instruments Present</v>
      </c>
      <c r="E200" s="12" t="str">
        <f t="shared" si="2"/>
        <v>Pitched Instruments Present</v>
      </c>
      <c r="F200" s="14"/>
      <c r="G200" s="14" t="str">
        <f>IFERROR(__xludf.DUMMYFUNCTION("REGEXREPLACE(B200,""(.*): (.*)"", ""$2"")"),"A feature vector indicating which pitched instruments are present. Has one entry for each of the 128 General MIDI Instrument patches (0 is Acoustic Piano, 40 is Violin, etc.). Each value is set to 1 if at least one note is played using the corresponding p"&amp;"atch, or to 0 if that patch is never used.")</f>
        <v>A feature vector indicating which pitched instruments are present. Has one entry for each of the 128 General MIDI Instrument patches (0 is Acoustic Piano, 40 is Violin, etc.). Each value is set to 1 if at least one note is played using the corresponding patch, or to 0 if that patch is never used.</v>
      </c>
      <c r="H200" s="6">
        <f t="shared" si="5"/>
        <v>182</v>
      </c>
      <c r="I200" s="15" t="b">
        <v>0</v>
      </c>
      <c r="J200" s="6">
        <f t="shared" si="6"/>
        <v>131</v>
      </c>
      <c r="K200" s="15" t="b">
        <v>0</v>
      </c>
      <c r="L200" s="14" t="s">
        <v>425</v>
      </c>
      <c r="M200" s="9"/>
      <c r="N200" s="16" t="str">
        <f t="shared" si="3"/>
        <v/>
      </c>
      <c r="O200" s="16" t="str">
        <f t="shared" si="4"/>
        <v/>
      </c>
      <c r="P200" s="16" t="s">
        <v>601</v>
      </c>
      <c r="Q200" s="16"/>
      <c r="R200" s="9"/>
    </row>
    <row r="201" ht="15.75" customHeight="1">
      <c r="A201" s="9"/>
      <c r="B201" s="10" t="s">
        <v>602</v>
      </c>
      <c r="C201" s="11" t="str">
        <f t="shared" si="1"/>
        <v>I-2</v>
      </c>
      <c r="D201" s="12" t="str">
        <f>IFERROR(__xludf.DUMMYFUNCTION("REGEXREPLACE(B201,""(.*):(.*)"", ""$1"")"),"I-2 Unpitched Instruments Present")</f>
        <v>I-2 Unpitched Instruments Present</v>
      </c>
      <c r="E201" s="12" t="str">
        <f t="shared" si="2"/>
        <v>Unpitched Instruments Present</v>
      </c>
      <c r="F201" s="14"/>
      <c r="G201" s="14" t="str">
        <f>IFERROR(__xludf.DUMMYFUNCTION("REGEXREPLACE(B201,""(.*): (.*)"", ""$2"")"),"A feature vector indicating which unpitched instruments are present. Has one entry for each of the 47 MIDI Percussion Key Map instruments. Each value is set to 1 if at least one note is played using the corresponding instrument, or to 0 if that instrument"&amp;" is never used. It should be noted that only MIDI Channel 10 instruments 35 to 81 are included here, as they are the ones that meet the official standard (they are correspondingly indexed in this feature vector from 0 to 46, such that index 0 corresponds "&amp;"to Acoustic Bass Drum, index 4 corresponds to Hand Clap, etc.).")</f>
        <v>A feature vector indicating which unpitched instruments are present. Has one entry for each of the 47 MIDI Percussion Key Map instruments. Each value is set to 1 if at least one note is played using the corresponding instrument, or to 0 if that instrument is never used. It should be noted that only MIDI Channel 10 instruments 35 to 81 are included here, as they are the ones that meet the official standard (they are correspondingly indexed in this feature vector from 0 to 46, such that index 0 corresponds to Acoustic Bass Drum, index 4 corresponds to Hand Clap, etc.).</v>
      </c>
      <c r="H201" s="6">
        <f t="shared" si="5"/>
        <v>182</v>
      </c>
      <c r="I201" s="15" t="b">
        <v>0</v>
      </c>
      <c r="J201" s="6">
        <f t="shared" si="6"/>
        <v>131</v>
      </c>
      <c r="K201" s="15" t="b">
        <v>0</v>
      </c>
      <c r="L201" s="14" t="s">
        <v>425</v>
      </c>
      <c r="M201" s="9"/>
      <c r="N201" s="16" t="str">
        <f t="shared" si="3"/>
        <v/>
      </c>
      <c r="O201" s="16" t="str">
        <f t="shared" si="4"/>
        <v/>
      </c>
      <c r="P201" s="16" t="s">
        <v>603</v>
      </c>
      <c r="Q201" s="16"/>
      <c r="R201" s="9"/>
    </row>
    <row r="202" ht="15.75" customHeight="1">
      <c r="A202" s="9"/>
      <c r="B202" s="10" t="s">
        <v>604</v>
      </c>
      <c r="C202" s="11" t="str">
        <f t="shared" si="1"/>
        <v>I-3</v>
      </c>
      <c r="D202" s="12" t="str">
        <f>IFERROR(__xludf.DUMMYFUNCTION("REGEXREPLACE(B202,""(.*):(.*)"", ""$1"")"),"I-3 Note Prevalence of Pitched Instruments")</f>
        <v>I-3 Note Prevalence of Pitched Instruments</v>
      </c>
      <c r="E202" s="12" t="str">
        <f t="shared" si="2"/>
        <v>Note Prevalence of Pitched Instruments</v>
      </c>
      <c r="F202" s="14"/>
      <c r="G202" s="14" t="str">
        <f>IFERROR(__xludf.DUMMYFUNCTION("REGEXREPLACE(B202,""(.*): (.*)"", ""$2"")"),"A feature vector indicating the fraction of (pitched) notes played with each of the 128 General MIDI Instrument patches (0 is Acoustic Piano, 40 is Violin, etc.). Has one entry for each of these instruments, and the value of each is set to the number of N"&amp;"ote Ons played with the corresponding MIDI patch, divided by the total number of Note Ons in the piece.")</f>
        <v>A feature vector indicating the fraction of (pitched) notes played with each of the 128 General MIDI Instrument patches (0 is Acoustic Piano, 40 is Violin, etc.). Has one entry for each of these instruments, and the value of each is set to the number of Note Ons played with the corresponding MIDI patch, divided by the total number of Note Ons in the piece.</v>
      </c>
      <c r="H202" s="6">
        <f t="shared" si="5"/>
        <v>182</v>
      </c>
      <c r="I202" s="15" t="b">
        <v>0</v>
      </c>
      <c r="J202" s="6">
        <f t="shared" si="6"/>
        <v>131</v>
      </c>
      <c r="K202" s="15" t="b">
        <v>0</v>
      </c>
      <c r="L202" s="14"/>
      <c r="M202" s="9"/>
      <c r="N202" s="16" t="str">
        <f t="shared" si="3"/>
        <v/>
      </c>
      <c r="O202" s="16" t="str">
        <f t="shared" si="4"/>
        <v/>
      </c>
      <c r="P202" s="16" t="s">
        <v>605</v>
      </c>
      <c r="Q202" s="16"/>
      <c r="R202" s="9"/>
    </row>
    <row r="203" ht="15.75" customHeight="1">
      <c r="A203" s="9"/>
      <c r="B203" s="10" t="s">
        <v>606</v>
      </c>
      <c r="C203" s="11" t="str">
        <f t="shared" si="1"/>
        <v>I-4</v>
      </c>
      <c r="D203" s="12" t="str">
        <f>IFERROR(__xludf.DUMMYFUNCTION("REGEXREPLACE(B203,""(.*):(.*)"", ""$1"")"),"I-4 Note Prevalence of Unpitched Instruments")</f>
        <v>I-4 Note Prevalence of Unpitched Instruments</v>
      </c>
      <c r="E203" s="12" t="str">
        <f t="shared" si="2"/>
        <v>Note Prevalence of Unpitched Instruments</v>
      </c>
      <c r="F203" s="14"/>
      <c r="G203" s="14" t="str">
        <f>IFERROR(__xludf.DUMMYFUNCTION("REGEXREPLACE(B203,""(.*): (.*)"", ""$2"")"),"A feature vector indicating the fraction of (unpitched) notes played with each of the 47 MIDI Percussion Key Map instruments. Has one entry for each of these 47 instruments, and the value of each is set to the number of Note Ons played with the correspond"&amp;"ing instrument, divided by the total number of Note Ons in the piece. It should be noted that only MIDI Channel 10 instruments 35 to 81 are included here, as they are the ones that meet the official standard (they are correspondingly indexed in this featu"&amp;"re vector from 0 to 46, such that index 0 corresponds to Acoustic Bass Drum, index 4 corresponds to Hand Clap, etc.).")</f>
        <v>A feature vector indicating the fraction of (unpitched) notes played with each of the 47 MIDI Percussion Key Map instruments. Has one entry for each of these 47 instruments, and the value of each is set to the number of Note Ons played with the corresponding instrument, divided by the total number of Note Ons in the piece. It should be noted that only MIDI Channel 10 instruments 35 to 81 are included here, as they are the ones that meet the official standard (they are correspondingly indexed in this feature vector from 0 to 46, such that index 0 corresponds to Acoustic Bass Drum, index 4 corresponds to Hand Clap, etc.).</v>
      </c>
      <c r="H203" s="6">
        <f t="shared" si="5"/>
        <v>182</v>
      </c>
      <c r="I203" s="15" t="b">
        <v>0</v>
      </c>
      <c r="J203" s="6">
        <f t="shared" si="6"/>
        <v>131</v>
      </c>
      <c r="K203" s="15" t="b">
        <v>0</v>
      </c>
      <c r="L203" s="14"/>
      <c r="M203" s="9"/>
      <c r="N203" s="16" t="str">
        <f t="shared" si="3"/>
        <v/>
      </c>
      <c r="O203" s="16" t="str">
        <f t="shared" si="4"/>
        <v/>
      </c>
      <c r="P203" s="16" t="s">
        <v>607</v>
      </c>
      <c r="Q203" s="16"/>
      <c r="R203" s="9"/>
    </row>
    <row r="204" ht="15.75" customHeight="1">
      <c r="A204" s="9"/>
      <c r="B204" s="10" t="s">
        <v>608</v>
      </c>
      <c r="C204" s="11" t="str">
        <f t="shared" si="1"/>
        <v>I-5</v>
      </c>
      <c r="D204" s="12" t="str">
        <f>IFERROR(__xludf.DUMMYFUNCTION("REGEXREPLACE(B204,""(.*):(.*)"", ""$1"")"),"I-5 Time Prevalence of Pitched Instruments")</f>
        <v>I-5 Time Prevalence of Pitched Instruments</v>
      </c>
      <c r="E204" s="12" t="str">
        <f t="shared" si="2"/>
        <v>Time Prevalence of Pitched Instruments</v>
      </c>
      <c r="F204" s="14"/>
      <c r="G204" s="14" t="str">
        <f>IFERROR(__xludf.DUMMYFUNCTION("REGEXREPLACE(B204,""(.*): (.*)"", ""$2"")"),"A feature vector indicating the fraction of time during which (pitched) notes are being sounded by each of the 128 General MIDI Instrument patches (0 is Acoustic Piano, 40 is Violin, etc.). Has one entry for each of these instruments, and the value of eac"&amp;"h is set to to the total time in seconds in a piece during which at least one note is being sounded with the corresponding MIDI patch, divided by the total length of the piece in seconds.")</f>
        <v>A feature vector indicating the fraction of time during which (pitched) notes are being sounded by each of the 128 General MIDI Instrument patches (0 is Acoustic Piano, 40 is Violin, etc.). Has one entry for each of these instruments, and the value of each is set to to the total time in seconds in a piece during which at least one note is being sounded with the corresponding MIDI patch, divided by the total length of the piece in seconds.</v>
      </c>
      <c r="H204" s="6">
        <f t="shared" si="5"/>
        <v>182</v>
      </c>
      <c r="I204" s="15" t="b">
        <v>0</v>
      </c>
      <c r="J204" s="6">
        <f t="shared" si="6"/>
        <v>131</v>
      </c>
      <c r="K204" s="15" t="b">
        <v>0</v>
      </c>
      <c r="L204" s="14"/>
      <c r="M204" s="9"/>
      <c r="N204" s="16" t="str">
        <f t="shared" si="3"/>
        <v/>
      </c>
      <c r="O204" s="16" t="str">
        <f t="shared" si="4"/>
        <v/>
      </c>
      <c r="P204" s="16" t="s">
        <v>609</v>
      </c>
      <c r="Q204" s="16"/>
      <c r="R204" s="9"/>
    </row>
    <row r="205" ht="15.75" customHeight="1">
      <c r="A205" s="9"/>
      <c r="B205" s="10" t="s">
        <v>610</v>
      </c>
      <c r="C205" s="11" t="str">
        <f t="shared" si="1"/>
        <v>I-6</v>
      </c>
      <c r="D205" s="12" t="str">
        <f>IFERROR(__xludf.DUMMYFUNCTION("REGEXREPLACE(B205,""(.*):(.*)"", ""$1"")"),"I-6 Variability of Note Prevalence of Pitched Instruments")</f>
        <v>I-6 Variability of Note Prevalence of Pitched Instruments</v>
      </c>
      <c r="E205" s="12" t="str">
        <f t="shared" si="2"/>
        <v>Variability of Note Prevalence of Pitched Instruments</v>
      </c>
      <c r="F205" s="14" t="s">
        <v>611</v>
      </c>
      <c r="G205" s="14" t="str">
        <f>IFERROR(__xludf.DUMMYFUNCTION("REGEXREPLACE(B205,""(.*): (.*)"", ""$2"")"),"Standard deviation of the fraction of total notes in the piece played by each (pitched) General MIDI Instrument patch that is used to play at least one note.")</f>
        <v>Standard deviation of the fraction of total notes in the piece played by each (pitched) General MIDI Instrument patch that is used to play at least one note.</v>
      </c>
      <c r="H205" s="6">
        <f t="shared" si="5"/>
        <v>183</v>
      </c>
      <c r="I205" s="15" t="b">
        <v>1</v>
      </c>
      <c r="J205" s="6">
        <f t="shared" si="6"/>
        <v>132</v>
      </c>
      <c r="K205" s="15" t="b">
        <v>1</v>
      </c>
      <c r="L205" s="14"/>
      <c r="M205" s="9"/>
      <c r="N205" s="16" t="str">
        <f t="shared" si="3"/>
        <v>'Variability_of_Note_Prevalence_of_Pitched_Instruments',</v>
      </c>
      <c r="O205" s="16" t="str">
        <f t="shared" si="4"/>
        <v>'Variability_of_Note_Prevalence_of_Pitched_Instruments',</v>
      </c>
      <c r="P205" s="16" t="s">
        <v>612</v>
      </c>
      <c r="Q205" s="16"/>
      <c r="R205" s="9"/>
    </row>
    <row r="206" ht="15.75" customHeight="1">
      <c r="A206" s="9"/>
      <c r="B206" s="10" t="s">
        <v>613</v>
      </c>
      <c r="C206" s="11" t="str">
        <f t="shared" si="1"/>
        <v>I-7</v>
      </c>
      <c r="D206" s="12" t="str">
        <f>IFERROR(__xludf.DUMMYFUNCTION("REGEXREPLACE(B206,""(.*):(.*)"", ""$1"")"),"I-7 Variability of Note Prevalence of Unpitched Instruments")</f>
        <v>I-7 Variability of Note Prevalence of Unpitched Instruments</v>
      </c>
      <c r="E206" s="12" t="str">
        <f t="shared" si="2"/>
        <v>Variability of Note Prevalence of Unpitched Instruments</v>
      </c>
      <c r="F206" s="14" t="s">
        <v>614</v>
      </c>
      <c r="G206" s="14" t="str">
        <f>IFERROR(__xludf.DUMMYFUNCTION("REGEXREPLACE(B206,""(.*): (.*)"", ""$2"")"),"Standard deviation of the fraction of total notes in the piece played by each (unpitched) MIDI Percussion Key Map instrument that is used to play at least one note. It should be noted that only MIDI Channel 10 instruments 35 to 81 are included here, as th"&amp;"ey are the ones that meet the official standard.")</f>
        <v>Standard deviation of the fraction of total notes in the piece played by each (unpitched) MIDI Percussion Key Map instrument that is used to play at least one note. It should be noted that only MIDI Channel 10 instruments 35 to 81 are included here, as they are the ones that meet the official standard.</v>
      </c>
      <c r="H206" s="6">
        <f t="shared" si="5"/>
        <v>184</v>
      </c>
      <c r="I206" s="15" t="b">
        <v>1</v>
      </c>
      <c r="J206" s="6">
        <f t="shared" si="6"/>
        <v>133</v>
      </c>
      <c r="K206" s="15" t="b">
        <v>1</v>
      </c>
      <c r="L206" s="14"/>
      <c r="M206" s="9"/>
      <c r="N206" s="16" t="str">
        <f t="shared" si="3"/>
        <v>'Variability_of_Note_Prevalence_of_Unpitched_Instruments',</v>
      </c>
      <c r="O206" s="16" t="str">
        <f t="shared" si="4"/>
        <v>'Variability_of_Note_Prevalence_of_Unpitched_Instruments',</v>
      </c>
      <c r="P206" s="16" t="s">
        <v>615</v>
      </c>
      <c r="Q206" s="16"/>
      <c r="R206" s="9"/>
    </row>
    <row r="207" ht="15.75" customHeight="1">
      <c r="A207" s="9"/>
      <c r="B207" s="10" t="s">
        <v>616</v>
      </c>
      <c r="C207" s="11" t="str">
        <f t="shared" si="1"/>
        <v>I-8</v>
      </c>
      <c r="D207" s="12" t="str">
        <f>IFERROR(__xludf.DUMMYFUNCTION("REGEXREPLACE(B207,""(.*):(.*)"", ""$1"")"),"I-8 Number of Pitched Instruments")</f>
        <v>I-8 Number of Pitched Instruments</v>
      </c>
      <c r="E207" s="12" t="str">
        <f t="shared" si="2"/>
        <v>Number of Pitched Instruments</v>
      </c>
      <c r="F207" s="14" t="s">
        <v>617</v>
      </c>
      <c r="G207" s="14" t="str">
        <f>IFERROR(__xludf.DUMMYFUNCTION("REGEXREPLACE(B207,""(.*): (.*)"", ""$2"")"),"Total number of (pitched) General MIDI instrument patches that are used to play at least one note.")</f>
        <v>Total number of (pitched) General MIDI instrument patches that are used to play at least one note.</v>
      </c>
      <c r="H207" s="6">
        <f t="shared" si="5"/>
        <v>185</v>
      </c>
      <c r="I207" s="15" t="b">
        <v>1</v>
      </c>
      <c r="J207" s="6">
        <f t="shared" si="6"/>
        <v>134</v>
      </c>
      <c r="K207" s="15" t="b">
        <v>1</v>
      </c>
      <c r="L207" s="14"/>
      <c r="M207" s="9"/>
      <c r="N207" s="16" t="str">
        <f t="shared" si="3"/>
        <v>'Number_of_Pitched_Instruments',</v>
      </c>
      <c r="O207" s="16" t="str">
        <f t="shared" si="4"/>
        <v>'Number_of_Pitched_Instruments',</v>
      </c>
      <c r="P207" s="16" t="s">
        <v>618</v>
      </c>
      <c r="Q207" s="16"/>
      <c r="R207" s="9"/>
    </row>
    <row r="208" ht="15.75" customHeight="1">
      <c r="A208" s="9"/>
      <c r="B208" s="10" t="s">
        <v>619</v>
      </c>
      <c r="C208" s="11" t="str">
        <f t="shared" si="1"/>
        <v>I-9</v>
      </c>
      <c r="D208" s="12" t="str">
        <f>IFERROR(__xludf.DUMMYFUNCTION("REGEXREPLACE(B208,""(.*):(.*)"", ""$1"")"),"I-9 Number of Unpitched Instruments")</f>
        <v>I-9 Number of Unpitched Instruments</v>
      </c>
      <c r="E208" s="12" t="str">
        <f t="shared" si="2"/>
        <v>Number of Unpitched Instruments</v>
      </c>
      <c r="F208" s="14" t="s">
        <v>620</v>
      </c>
      <c r="G208" s="14" t="str">
        <f>IFERROR(__xludf.DUMMYFUNCTION("REGEXREPLACE(B208,""(.*): (.*)"", ""$2"")"),"Total number of (unpitched) MIDI Percussion Key Map instruments that are used to play at least one note. It should be noted that only MIDI Channel 10 instruments 35 to 81 are included here, as they are the ones that meet the official standard.")</f>
        <v>Total number of (unpitched) MIDI Percussion Key Map instruments that are used to play at least one note. It should be noted that only MIDI Channel 10 instruments 35 to 81 are included here, as they are the ones that meet the official standard.</v>
      </c>
      <c r="H208" s="6">
        <f t="shared" si="5"/>
        <v>186</v>
      </c>
      <c r="I208" s="15" t="b">
        <v>1</v>
      </c>
      <c r="J208" s="6">
        <f t="shared" si="6"/>
        <v>135</v>
      </c>
      <c r="K208" s="15" t="b">
        <v>1</v>
      </c>
      <c r="L208" s="14"/>
      <c r="M208" s="9"/>
      <c r="N208" s="16" t="str">
        <f t="shared" si="3"/>
        <v>'Number_of_Unpitched_Instruments',</v>
      </c>
      <c r="O208" s="16" t="str">
        <f t="shared" si="4"/>
        <v>'Number_of_Unpitched_Instruments',</v>
      </c>
      <c r="P208" s="16" t="s">
        <v>621</v>
      </c>
      <c r="Q208" s="16"/>
      <c r="R208" s="9"/>
    </row>
    <row r="209" ht="15.75" customHeight="1">
      <c r="A209" s="9"/>
      <c r="B209" s="10" t="s">
        <v>622</v>
      </c>
      <c r="C209" s="11" t="str">
        <f t="shared" si="1"/>
        <v>I-10</v>
      </c>
      <c r="D209" s="12" t="str">
        <f>IFERROR(__xludf.DUMMYFUNCTION("REGEXREPLACE(B209,""(.*):(.*)"", ""$1"")"),"I-10 Unpitched Percussion Instrument Prevalence")</f>
        <v>I-10 Unpitched Percussion Instrument Prevalence</v>
      </c>
      <c r="E209" s="12" t="str">
        <f t="shared" si="2"/>
        <v>Unpitched Percussion Instrument Prevalence</v>
      </c>
      <c r="F209" s="14" t="s">
        <v>623</v>
      </c>
      <c r="G209" s="14" t="str">
        <f>IFERROR(__xludf.DUMMYFUNCTION("REGEXREPLACE(B209,""(.*): (.*)"", ""$2"")"),"Fraction of all Note Ons played by (unpitched) MIDI Percussion Key Map instruments. It should be noted that only MIDI Channel 10 instruments 35 to 81 are included here, as they are the ones that meet the official standard.")</f>
        <v>Fraction of all Note Ons played by (unpitched) MIDI Percussion Key Map instruments. It should be noted that only MIDI Channel 10 instruments 35 to 81 are included here, as they are the ones that meet the official standard.</v>
      </c>
      <c r="H209" s="6">
        <f t="shared" si="5"/>
        <v>187</v>
      </c>
      <c r="I209" s="15" t="b">
        <v>1</v>
      </c>
      <c r="J209" s="6">
        <f t="shared" si="6"/>
        <v>136</v>
      </c>
      <c r="K209" s="15" t="b">
        <v>1</v>
      </c>
      <c r="L209" s="14"/>
      <c r="M209" s="9"/>
      <c r="N209" s="16" t="str">
        <f t="shared" si="3"/>
        <v>'Unpitched_Percussion_Instrument_Prevalence',</v>
      </c>
      <c r="O209" s="16" t="str">
        <f t="shared" si="4"/>
        <v>'Unpitched_Percussion_Instrument_Prevalence',</v>
      </c>
      <c r="P209" s="16" t="s">
        <v>624</v>
      </c>
      <c r="Q209" s="16"/>
      <c r="R209" s="9"/>
    </row>
    <row r="210" ht="15.75" customHeight="1">
      <c r="A210" s="9"/>
      <c r="B210" s="10" t="s">
        <v>625</v>
      </c>
      <c r="C210" s="11" t="str">
        <f t="shared" si="1"/>
        <v>I-11</v>
      </c>
      <c r="D210" s="12" t="str">
        <f>IFERROR(__xludf.DUMMYFUNCTION("REGEXREPLACE(B210,""(.*):(.*)"", ""$1"")"),"I-11 String Keyboard Prevalence")</f>
        <v>I-11 String Keyboard Prevalence</v>
      </c>
      <c r="E210" s="12" t="str">
        <f t="shared" si="2"/>
        <v>String Keyboard Prevalence</v>
      </c>
      <c r="F210" s="14" t="s">
        <v>626</v>
      </c>
      <c r="G210" s="14" t="str">
        <f>IFERROR(__xludf.DUMMYFUNCTION("REGEXREPLACE(B210,""(.*): (.*)"", ""$2"")"),"Fraction of all Note Ons played by string keyboard instruments (General MIDI patches 1 to 8).")</f>
        <v>Fraction of all Note Ons played by string keyboard instruments (General MIDI patches 1 to 8).</v>
      </c>
      <c r="H210" s="6">
        <f t="shared" si="5"/>
        <v>188</v>
      </c>
      <c r="I210" s="15" t="b">
        <v>1</v>
      </c>
      <c r="J210" s="6">
        <f t="shared" si="6"/>
        <v>137</v>
      </c>
      <c r="K210" s="15" t="b">
        <v>1</v>
      </c>
      <c r="L210" s="14"/>
      <c r="M210" s="9"/>
      <c r="N210" s="16" t="str">
        <f t="shared" si="3"/>
        <v>'String_Keyboard_Prevalence',</v>
      </c>
      <c r="O210" s="16" t="str">
        <f t="shared" si="4"/>
        <v>'String_Keyboard_Prevalence',</v>
      </c>
      <c r="P210" s="16" t="s">
        <v>627</v>
      </c>
      <c r="Q210" s="16"/>
      <c r="R210" s="9"/>
    </row>
    <row r="211" ht="15.75" customHeight="1">
      <c r="A211" s="9"/>
      <c r="B211" s="10" t="s">
        <v>628</v>
      </c>
      <c r="C211" s="11" t="str">
        <f t="shared" si="1"/>
        <v>I-12</v>
      </c>
      <c r="D211" s="12" t="str">
        <f>IFERROR(__xludf.DUMMYFUNCTION("REGEXREPLACE(B211,""(.*):(.*)"", ""$1"")"),"I-12 Acoustic Guitar Prevalence")</f>
        <v>I-12 Acoustic Guitar Prevalence</v>
      </c>
      <c r="E211" s="12" t="str">
        <f t="shared" si="2"/>
        <v>Acoustic Guitar Prevalence</v>
      </c>
      <c r="F211" s="14" t="s">
        <v>629</v>
      </c>
      <c r="G211" s="14" t="str">
        <f>IFERROR(__xludf.DUMMYFUNCTION("REGEXREPLACE(B211,""(.*): (.*)"", ""$2"")"),"Fraction of all Note Ons played by acoustic guitar instruments (General MIDI patches 25 and 26).")</f>
        <v>Fraction of all Note Ons played by acoustic guitar instruments (General MIDI patches 25 and 26).</v>
      </c>
      <c r="H211" s="6">
        <f t="shared" si="5"/>
        <v>189</v>
      </c>
      <c r="I211" s="15" t="b">
        <v>1</v>
      </c>
      <c r="J211" s="6">
        <f t="shared" si="6"/>
        <v>138</v>
      </c>
      <c r="K211" s="15" t="b">
        <v>1</v>
      </c>
      <c r="L211" s="14"/>
      <c r="M211" s="9"/>
      <c r="N211" s="16" t="str">
        <f t="shared" si="3"/>
        <v>'Acoustic_Guitar_Prevalence',</v>
      </c>
      <c r="O211" s="16" t="str">
        <f t="shared" si="4"/>
        <v>'Acoustic_Guitar_Prevalence',</v>
      </c>
      <c r="P211" s="16" t="s">
        <v>630</v>
      </c>
      <c r="Q211" s="16"/>
      <c r="R211" s="9"/>
    </row>
    <row r="212" ht="15.75" customHeight="1">
      <c r="A212" s="9"/>
      <c r="B212" s="10" t="s">
        <v>631</v>
      </c>
      <c r="C212" s="11" t="str">
        <f t="shared" si="1"/>
        <v>I-13</v>
      </c>
      <c r="D212" s="12" t="str">
        <f>IFERROR(__xludf.DUMMYFUNCTION("REGEXREPLACE(B212,""(.*):(.*)"", ""$1"")"),"I-13 Electric Guitar Prevalence")</f>
        <v>I-13 Electric Guitar Prevalence</v>
      </c>
      <c r="E212" s="12" t="str">
        <f t="shared" si="2"/>
        <v>Electric Guitar Prevalence</v>
      </c>
      <c r="F212" s="14" t="s">
        <v>632</v>
      </c>
      <c r="G212" s="14" t="str">
        <f>IFERROR(__xludf.DUMMYFUNCTION("REGEXREPLACE(B212,""(.*): (.*)"", ""$2"")"),"Fraction of all Note Ons played by electric guitar instruments (General MIDI patches 27 to 32).")</f>
        <v>Fraction of all Note Ons played by electric guitar instruments (General MIDI patches 27 to 32).</v>
      </c>
      <c r="H212" s="6">
        <f t="shared" si="5"/>
        <v>190</v>
      </c>
      <c r="I212" s="15" t="b">
        <v>1</v>
      </c>
      <c r="J212" s="6">
        <f t="shared" si="6"/>
        <v>139</v>
      </c>
      <c r="K212" s="15" t="b">
        <v>1</v>
      </c>
      <c r="L212" s="14"/>
      <c r="M212" s="9"/>
      <c r="N212" s="16" t="str">
        <f t="shared" si="3"/>
        <v>'Electric_Guitar_Prevalence',</v>
      </c>
      <c r="O212" s="16" t="str">
        <f t="shared" si="4"/>
        <v>'Electric_Guitar_Prevalence',</v>
      </c>
      <c r="P212" s="16" t="s">
        <v>633</v>
      </c>
      <c r="Q212" s="16"/>
      <c r="R212" s="9"/>
    </row>
    <row r="213" ht="15.75" customHeight="1">
      <c r="A213" s="9"/>
      <c r="B213" s="10" t="s">
        <v>634</v>
      </c>
      <c r="C213" s="11" t="str">
        <f t="shared" si="1"/>
        <v>I-14</v>
      </c>
      <c r="D213" s="12" t="str">
        <f>IFERROR(__xludf.DUMMYFUNCTION("REGEXREPLACE(B213,""(.*):(.*)"", ""$1"")"),"I-14 Violin Prevalence")</f>
        <v>I-14 Violin Prevalence</v>
      </c>
      <c r="E213" s="12" t="str">
        <f t="shared" si="2"/>
        <v>Violin Prevalence</v>
      </c>
      <c r="F213" s="14" t="s">
        <v>635</v>
      </c>
      <c r="G213" s="14" t="str">
        <f>IFERROR(__xludf.DUMMYFUNCTION("REGEXREPLACE(B213,""(.*): (.*)"", ""$2"")"),"Fraction of all Note Ons played by violin instruments (General MIDI patches 41 or 111).")</f>
        <v>Fraction of all Note Ons played by violin instruments (General MIDI patches 41 or 111).</v>
      </c>
      <c r="H213" s="6">
        <f t="shared" si="5"/>
        <v>191</v>
      </c>
      <c r="I213" s="15" t="b">
        <v>1</v>
      </c>
      <c r="J213" s="6">
        <f t="shared" si="6"/>
        <v>140</v>
      </c>
      <c r="K213" s="15" t="b">
        <v>1</v>
      </c>
      <c r="L213" s="14"/>
      <c r="M213" s="9"/>
      <c r="N213" s="16" t="str">
        <f t="shared" si="3"/>
        <v>'Violin_Prevalence',</v>
      </c>
      <c r="O213" s="16" t="str">
        <f t="shared" si="4"/>
        <v>'Violin_Prevalence',</v>
      </c>
      <c r="P213" s="16" t="s">
        <v>636</v>
      </c>
      <c r="Q213" s="16"/>
      <c r="R213" s="9"/>
    </row>
    <row r="214" ht="15.75" customHeight="1">
      <c r="A214" s="9"/>
      <c r="B214" s="10" t="s">
        <v>637</v>
      </c>
      <c r="C214" s="11" t="str">
        <f t="shared" si="1"/>
        <v>I-15</v>
      </c>
      <c r="D214" s="12" t="str">
        <f>IFERROR(__xludf.DUMMYFUNCTION("REGEXREPLACE(B214,""(.*):(.*)"", ""$1"")"),"I-15 Saxophone Prevalence")</f>
        <v>I-15 Saxophone Prevalence</v>
      </c>
      <c r="E214" s="12" t="str">
        <f t="shared" si="2"/>
        <v>Saxophone Prevalence</v>
      </c>
      <c r="F214" s="14" t="s">
        <v>638</v>
      </c>
      <c r="G214" s="14" t="str">
        <f>IFERROR(__xludf.DUMMYFUNCTION("REGEXREPLACE(B214,""(.*): (.*)"", ""$2"")"),"Fraction of all Note Ons played by saxophone instruments (General MIDI patches 65 to 68).")</f>
        <v>Fraction of all Note Ons played by saxophone instruments (General MIDI patches 65 to 68).</v>
      </c>
      <c r="H214" s="6">
        <f t="shared" si="5"/>
        <v>192</v>
      </c>
      <c r="I214" s="15" t="b">
        <v>1</v>
      </c>
      <c r="J214" s="6">
        <f t="shared" si="6"/>
        <v>141</v>
      </c>
      <c r="K214" s="15" t="b">
        <v>1</v>
      </c>
      <c r="L214" s="14"/>
      <c r="M214" s="9"/>
      <c r="N214" s="16" t="str">
        <f t="shared" si="3"/>
        <v>'Saxophone_Prevalence',</v>
      </c>
      <c r="O214" s="16" t="str">
        <f t="shared" si="4"/>
        <v>'Saxophone_Prevalence',</v>
      </c>
      <c r="P214" s="16" t="s">
        <v>639</v>
      </c>
      <c r="Q214" s="16"/>
      <c r="R214" s="9"/>
    </row>
    <row r="215" ht="15.75" customHeight="1">
      <c r="A215" s="9"/>
      <c r="B215" s="10" t="s">
        <v>640</v>
      </c>
      <c r="C215" s="11" t="str">
        <f t="shared" si="1"/>
        <v>I-16</v>
      </c>
      <c r="D215" s="12" t="str">
        <f>IFERROR(__xludf.DUMMYFUNCTION("REGEXREPLACE(B215,""(.*):(.*)"", ""$1"")"),"I-16 Brass Prevalence")</f>
        <v>I-16 Brass Prevalence</v>
      </c>
      <c r="E215" s="12" t="str">
        <f t="shared" si="2"/>
        <v>Brass Prevalence</v>
      </c>
      <c r="F215" s="14" t="s">
        <v>641</v>
      </c>
      <c r="G215" s="14" t="str">
        <f>IFERROR(__xludf.DUMMYFUNCTION("REGEXREPLACE(B215,""(.*): (.*)"", ""$2"")"),"Fraction of all Note Ons played by brass instruments, including saxophones (General MIDI patches 57 to 68).")</f>
        <v>Fraction of all Note Ons played by brass instruments, including saxophones (General MIDI patches 57 to 68).</v>
      </c>
      <c r="H215" s="6">
        <f t="shared" si="5"/>
        <v>193</v>
      </c>
      <c r="I215" s="15" t="b">
        <v>1</v>
      </c>
      <c r="J215" s="6">
        <f t="shared" si="6"/>
        <v>142</v>
      </c>
      <c r="K215" s="15" t="b">
        <v>1</v>
      </c>
      <c r="L215" s="14"/>
      <c r="M215" s="9"/>
      <c r="N215" s="16" t="str">
        <f t="shared" si="3"/>
        <v>'Brass_Prevalence',</v>
      </c>
      <c r="O215" s="16" t="str">
        <f t="shared" si="4"/>
        <v>'Brass_Prevalence',</v>
      </c>
      <c r="P215" s="16" t="s">
        <v>642</v>
      </c>
      <c r="Q215" s="16"/>
      <c r="R215" s="9"/>
    </row>
    <row r="216" ht="15.75" customHeight="1">
      <c r="A216" s="9"/>
      <c r="B216" s="10" t="s">
        <v>643</v>
      </c>
      <c r="C216" s="11" t="str">
        <f t="shared" si="1"/>
        <v>I-17</v>
      </c>
      <c r="D216" s="12" t="str">
        <f>IFERROR(__xludf.DUMMYFUNCTION("REGEXREPLACE(B216,""(.*):(.*)"", ""$1"")"),"I-17 Woodwinds Prevalence")</f>
        <v>I-17 Woodwinds Prevalence</v>
      </c>
      <c r="E216" s="12" t="str">
        <f t="shared" si="2"/>
        <v>Woodwinds Prevalence</v>
      </c>
      <c r="F216" s="14" t="s">
        <v>644</v>
      </c>
      <c r="G216" s="14" t="str">
        <f>IFERROR(__xludf.DUMMYFUNCTION("REGEXREPLACE(B216,""(.*): (.*)"", ""$2"")"),"Fraction of all Note Ons played by woodwind instruments (General MIDI patches 69 to 76).")</f>
        <v>Fraction of all Note Ons played by woodwind instruments (General MIDI patches 69 to 76).</v>
      </c>
      <c r="H216" s="6">
        <f t="shared" si="5"/>
        <v>194</v>
      </c>
      <c r="I216" s="15" t="b">
        <v>1</v>
      </c>
      <c r="J216" s="6">
        <f t="shared" si="6"/>
        <v>143</v>
      </c>
      <c r="K216" s="15" t="b">
        <v>1</v>
      </c>
      <c r="L216" s="14"/>
      <c r="M216" s="9"/>
      <c r="N216" s="16" t="str">
        <f t="shared" si="3"/>
        <v>'Woodwinds_Prevalence',</v>
      </c>
      <c r="O216" s="16" t="str">
        <f t="shared" si="4"/>
        <v>'Woodwinds_Prevalence',</v>
      </c>
      <c r="P216" s="16" t="s">
        <v>645</v>
      </c>
      <c r="Q216" s="16"/>
      <c r="R216" s="9"/>
    </row>
    <row r="217" ht="15.75" customHeight="1">
      <c r="A217" s="9"/>
      <c r="B217" s="10" t="s">
        <v>646</v>
      </c>
      <c r="C217" s="11" t="str">
        <f t="shared" si="1"/>
        <v>I-18</v>
      </c>
      <c r="D217" s="12" t="str">
        <f>IFERROR(__xludf.DUMMYFUNCTION("REGEXREPLACE(B217,""(.*):(.*)"", ""$1"")"),"I-18 Orchestral Strings Prevalence")</f>
        <v>I-18 Orchestral Strings Prevalence</v>
      </c>
      <c r="E217" s="12" t="str">
        <f t="shared" si="2"/>
        <v>Orchestral Strings Prevalence</v>
      </c>
      <c r="F217" s="14" t="s">
        <v>647</v>
      </c>
      <c r="G217" s="14" t="str">
        <f>IFERROR(__xludf.DUMMYFUNCTION("REGEXREPLACE(B217,""(.*): (.*)"", ""$2"")"),"Fraction of all Note Ons played by orchestral string instruments (General MIDI patches 41 to 47).")</f>
        <v>Fraction of all Note Ons played by orchestral string instruments (General MIDI patches 41 to 47).</v>
      </c>
      <c r="H217" s="6">
        <f t="shared" si="5"/>
        <v>195</v>
      </c>
      <c r="I217" s="15" t="b">
        <v>1</v>
      </c>
      <c r="J217" s="6">
        <f t="shared" si="6"/>
        <v>144</v>
      </c>
      <c r="K217" s="15" t="b">
        <v>1</v>
      </c>
      <c r="L217" s="14"/>
      <c r="M217" s="9"/>
      <c r="N217" s="16" t="str">
        <f t="shared" si="3"/>
        <v>'Orchestral_Strings_Prevalence',</v>
      </c>
      <c r="O217" s="16" t="str">
        <f t="shared" si="4"/>
        <v>'Orchestral_Strings_Prevalence',</v>
      </c>
      <c r="P217" s="16" t="s">
        <v>648</v>
      </c>
      <c r="Q217" s="16"/>
      <c r="R217" s="9"/>
    </row>
    <row r="218" ht="15.75" customHeight="1">
      <c r="A218" s="9"/>
      <c r="B218" s="10" t="s">
        <v>649</v>
      </c>
      <c r="C218" s="11" t="str">
        <f t="shared" si="1"/>
        <v>I-19</v>
      </c>
      <c r="D218" s="12" t="str">
        <f>IFERROR(__xludf.DUMMYFUNCTION("REGEXREPLACE(B218,""(.*):(.*)"", ""$1"")"),"I-19 String Ensemble Prevalence")</f>
        <v>I-19 String Ensemble Prevalence</v>
      </c>
      <c r="E218" s="12" t="str">
        <f t="shared" si="2"/>
        <v>String Ensemble Prevalence</v>
      </c>
      <c r="F218" s="14" t="s">
        <v>650</v>
      </c>
      <c r="G218" s="14" t="str">
        <f>IFERROR(__xludf.DUMMYFUNCTION("REGEXREPLACE(B218,""(.*): (.*)"", ""$2"")"),"Fraction of all Note Ons played by orchestral string ensemble instruments (General MIDI patches 49 to 52).")</f>
        <v>Fraction of all Note Ons played by orchestral string ensemble instruments (General MIDI patches 49 to 52).</v>
      </c>
      <c r="H218" s="6">
        <f t="shared" si="5"/>
        <v>196</v>
      </c>
      <c r="I218" s="15" t="b">
        <v>1</v>
      </c>
      <c r="J218" s="6">
        <f t="shared" si="6"/>
        <v>145</v>
      </c>
      <c r="K218" s="15" t="b">
        <v>1</v>
      </c>
      <c r="L218" s="14"/>
      <c r="M218" s="9"/>
      <c r="N218" s="16" t="str">
        <f t="shared" si="3"/>
        <v>'String_Ensemble_Prevalence',</v>
      </c>
      <c r="O218" s="16" t="str">
        <f t="shared" si="4"/>
        <v>'String_Ensemble_Prevalence',</v>
      </c>
      <c r="P218" s="16" t="s">
        <v>651</v>
      </c>
      <c r="Q218" s="16"/>
      <c r="R218" s="9"/>
    </row>
    <row r="219" ht="15.75" customHeight="1">
      <c r="A219" s="9"/>
      <c r="B219" s="10" t="s">
        <v>652</v>
      </c>
      <c r="C219" s="11" t="str">
        <f t="shared" si="1"/>
        <v>I-20</v>
      </c>
      <c r="D219" s="12" t="str">
        <f>IFERROR(__xludf.DUMMYFUNCTION("REGEXREPLACE(B219,""(.*):(.*)"", ""$1"")"),"I-20 Electric Instrument Prevalence")</f>
        <v>I-20 Electric Instrument Prevalence</v>
      </c>
      <c r="E219" s="12" t="str">
        <f t="shared" si="2"/>
        <v>Electric Instrument Prevalence</v>
      </c>
      <c r="F219" s="14" t="s">
        <v>653</v>
      </c>
      <c r="G219" s="14" t="str">
        <f>IFERROR(__xludf.DUMMYFUNCTION("REGEXREPLACE(B219,""(.*): (.*)"", ""$2"")"),"Fraction of all Note Ons played by electric non-""synth"" instruments (General MIDI patches 5, 6, 17, 19, 27 to 32, 34 to 40).")</f>
        <v>Fraction of all Note Ons played by electric non-"synth" instruments (General MIDI patches 5, 6, 17, 19, 27 to 32, 34 to 40).</v>
      </c>
      <c r="H219" s="6">
        <f t="shared" si="5"/>
        <v>197</v>
      </c>
      <c r="I219" s="15" t="b">
        <v>1</v>
      </c>
      <c r="J219" s="6">
        <f t="shared" si="6"/>
        <v>146</v>
      </c>
      <c r="K219" s="15" t="b">
        <v>1</v>
      </c>
      <c r="L219" s="14"/>
      <c r="M219" s="9"/>
      <c r="N219" s="16" t="str">
        <f t="shared" si="3"/>
        <v>'Electric_Instrument_Prevalence',</v>
      </c>
      <c r="O219" s="16" t="str">
        <f t="shared" si="4"/>
        <v>'Electric_Instrument_Prevalence',</v>
      </c>
      <c r="P219" s="16" t="s">
        <v>654</v>
      </c>
      <c r="Q219" s="16"/>
      <c r="R219" s="9"/>
    </row>
    <row r="220" ht="15.75" customHeight="1">
      <c r="A220" s="9"/>
      <c r="B220" s="10" t="s">
        <v>655</v>
      </c>
      <c r="C220" s="11" t="str">
        <f t="shared" si="1"/>
        <v>T-1</v>
      </c>
      <c r="D220" s="12" t="str">
        <f>IFERROR(__xludf.DUMMYFUNCTION("REGEXREPLACE(B220,""(.*):(.*)"", ""$1"")"),"T-1 Maximum Number of Independent Voices")</f>
        <v>T-1 Maximum Number of Independent Voices</v>
      </c>
      <c r="E220" s="12" t="str">
        <f t="shared" si="2"/>
        <v>Maximum Number of Independent Voices</v>
      </c>
      <c r="F220" s="14" t="s">
        <v>656</v>
      </c>
      <c r="G220" s="14" t="str">
        <f>IFERROR(__xludf.DUMMYFUNCTION("REGEXREPLACE(B220,""(.*): (.*)"", ""$2"")"),"Maximum number of different channels in which notes are sounded simultaneously.")</f>
        <v>Maximum number of different channels in which notes are sounded simultaneously.</v>
      </c>
      <c r="H220" s="6">
        <f t="shared" si="5"/>
        <v>198</v>
      </c>
      <c r="I220" s="15" t="b">
        <v>1</v>
      </c>
      <c r="J220" s="6">
        <f t="shared" si="6"/>
        <v>147</v>
      </c>
      <c r="K220" s="15" t="b">
        <v>1</v>
      </c>
      <c r="L220" s="14"/>
      <c r="M220" s="9"/>
      <c r="N220" s="16" t="str">
        <f t="shared" si="3"/>
        <v>'Maximum_Number_of_Independent_Voices',</v>
      </c>
      <c r="O220" s="16" t="str">
        <f t="shared" si="4"/>
        <v>'Maximum_Number_of_Independent_Voices',</v>
      </c>
      <c r="P220" s="16" t="s">
        <v>657</v>
      </c>
      <c r="Q220" s="16"/>
      <c r="R220" s="9"/>
    </row>
    <row r="221" ht="15.75" customHeight="1">
      <c r="A221" s="9"/>
      <c r="B221" s="10" t="s">
        <v>658</v>
      </c>
      <c r="C221" s="11" t="str">
        <f t="shared" si="1"/>
        <v>T-2</v>
      </c>
      <c r="D221" s="12" t="str">
        <f>IFERROR(__xludf.DUMMYFUNCTION("REGEXREPLACE(B221,""(.*):(.*)"", ""$1"")"),"T-2 Average Number of Independent Voices")</f>
        <v>T-2 Average Number of Independent Voices</v>
      </c>
      <c r="E221" s="12" t="str">
        <f t="shared" si="2"/>
        <v>Average Number of Independent Voices</v>
      </c>
      <c r="F221" s="14" t="s">
        <v>659</v>
      </c>
      <c r="G221" s="14" t="str">
        <f>IFERROR(__xludf.DUMMYFUNCTION("REGEXREPLACE(B221,""(.*): (.*)"", ""$2"")"),"Average number of different channels in which notes are sounded simultaneously. Rests are not included in this calculation.")</f>
        <v>Average number of different channels in which notes are sounded simultaneously. Rests are not included in this calculation.</v>
      </c>
      <c r="H221" s="6">
        <f t="shared" si="5"/>
        <v>199</v>
      </c>
      <c r="I221" s="15" t="b">
        <v>1</v>
      </c>
      <c r="J221" s="6">
        <f t="shared" si="6"/>
        <v>148</v>
      </c>
      <c r="K221" s="15" t="b">
        <v>1</v>
      </c>
      <c r="L221" s="14"/>
      <c r="M221" s="9"/>
      <c r="N221" s="16" t="str">
        <f t="shared" si="3"/>
        <v>'Average_Number_of_Independent_Voices',</v>
      </c>
      <c r="O221" s="16" t="str">
        <f t="shared" si="4"/>
        <v>'Average_Number_of_Independent_Voices',</v>
      </c>
      <c r="P221" s="16" t="s">
        <v>660</v>
      </c>
      <c r="Q221" s="16"/>
      <c r="R221" s="9"/>
    </row>
    <row r="222" ht="15.75" customHeight="1">
      <c r="A222" s="9"/>
      <c r="B222" s="10" t="s">
        <v>661</v>
      </c>
      <c r="C222" s="11" t="str">
        <f t="shared" si="1"/>
        <v>T-3</v>
      </c>
      <c r="D222" s="12" t="str">
        <f>IFERROR(__xludf.DUMMYFUNCTION("REGEXREPLACE(B222,""(.*):(.*)"", ""$1"")"),"T-3 Variability of Number of Independent Voices")</f>
        <v>T-3 Variability of Number of Independent Voices</v>
      </c>
      <c r="E222" s="12" t="str">
        <f t="shared" si="2"/>
        <v>Variability of Number of Independent Voices</v>
      </c>
      <c r="F222" s="14" t="s">
        <v>662</v>
      </c>
      <c r="G222" s="14" t="str">
        <f>IFERROR(__xludf.DUMMYFUNCTION("REGEXREPLACE(B222,""(.*): (.*)"", ""$2"")"),"Standard deviation of the number of different channels in which notes are sounded simultaneously at each given moment (MIDI tick). Rests are not included in this calculation.")</f>
        <v>Standard deviation of the number of different channels in which notes are sounded simultaneously at each given moment (MIDI tick). Rests are not included in this calculation.</v>
      </c>
      <c r="H222" s="6">
        <f t="shared" si="5"/>
        <v>200</v>
      </c>
      <c r="I222" s="15" t="b">
        <v>1</v>
      </c>
      <c r="J222" s="6">
        <f t="shared" si="6"/>
        <v>149</v>
      </c>
      <c r="K222" s="15" t="b">
        <v>1</v>
      </c>
      <c r="L222" s="14"/>
      <c r="M222" s="9"/>
      <c r="N222" s="16" t="str">
        <f t="shared" si="3"/>
        <v>'Variability_of_Number_of_Independent_Voices',</v>
      </c>
      <c r="O222" s="16" t="str">
        <f t="shared" si="4"/>
        <v>'Variability_of_Number_of_Independent_Voices',</v>
      </c>
      <c r="P222" s="16" t="s">
        <v>663</v>
      </c>
      <c r="Q222" s="16"/>
      <c r="R222" s="9"/>
    </row>
    <row r="223" ht="15.75" customHeight="1">
      <c r="A223" s="9"/>
      <c r="B223" s="10" t="s">
        <v>664</v>
      </c>
      <c r="C223" s="11" t="str">
        <f t="shared" si="1"/>
        <v>T-4</v>
      </c>
      <c r="D223" s="12" t="str">
        <f>IFERROR(__xludf.DUMMYFUNCTION("REGEXREPLACE(B223,""(.*):(.*)"", ""$1"")"),"T-4 Voice Equality – Number of Notes")</f>
        <v>T-4 Voice Equality – Number of Notes</v>
      </c>
      <c r="E223" s="12" t="str">
        <f t="shared" si="2"/>
        <v>Voice Equality – Number of Notes</v>
      </c>
      <c r="F223" s="14" t="s">
        <v>665</v>
      </c>
      <c r="G223" s="14" t="str">
        <f>IFERROR(__xludf.DUMMYFUNCTION("REGEXREPLACE(B223,""(.*): (.*)"", ""$2"")"),"Standard deviation of the total number of Note Ons in each channel that contains at least one note.")</f>
        <v>Standard deviation of the total number of Note Ons in each channel that contains at least one note.</v>
      </c>
      <c r="H223" s="6">
        <f t="shared" si="5"/>
        <v>201</v>
      </c>
      <c r="I223" s="15" t="b">
        <v>1</v>
      </c>
      <c r="J223" s="6">
        <f t="shared" si="6"/>
        <v>150</v>
      </c>
      <c r="K223" s="15" t="b">
        <v>1</v>
      </c>
      <c r="L223" s="14"/>
      <c r="M223" s="9"/>
      <c r="N223" s="16" t="str">
        <f t="shared" si="3"/>
        <v>'Voice_Equality_-_Number_of_Notes',</v>
      </c>
      <c r="O223" s="16" t="str">
        <f t="shared" si="4"/>
        <v>'Voice_Equality_-_Number_of_Notes',</v>
      </c>
      <c r="P223" s="16" t="s">
        <v>666</v>
      </c>
      <c r="Q223" s="16"/>
      <c r="R223" s="9"/>
    </row>
    <row r="224" ht="15.75" customHeight="1">
      <c r="A224" s="9"/>
      <c r="B224" s="10" t="s">
        <v>667</v>
      </c>
      <c r="C224" s="11" t="str">
        <f t="shared" si="1"/>
        <v>T-5</v>
      </c>
      <c r="D224" s="12" t="str">
        <f>IFERROR(__xludf.DUMMYFUNCTION("REGEXREPLACE(B224,""(.*):(.*)"", ""$1"")"),"T-5 Voice Equality – Note Duration")</f>
        <v>T-5 Voice Equality – Note Duration</v>
      </c>
      <c r="E224" s="12" t="str">
        <f t="shared" si="2"/>
        <v>Voice Equality – Note Duration</v>
      </c>
      <c r="F224" s="14" t="s">
        <v>668</v>
      </c>
      <c r="G224" s="14" t="str">
        <f>IFERROR(__xludf.DUMMYFUNCTION("REGEXREPLACE(B224,""(.*): (.*)"", ""$2"")"),"Standard deviation of the cumulative amount of time during which one or more notes were sounding in each channel that contains at least one note.")</f>
        <v>Standard deviation of the cumulative amount of time during which one or more notes were sounding in each channel that contains at least one note.</v>
      </c>
      <c r="H224" s="6">
        <f t="shared" si="5"/>
        <v>202</v>
      </c>
      <c r="I224" s="15" t="b">
        <v>1</v>
      </c>
      <c r="J224" s="6">
        <f t="shared" si="6"/>
        <v>151</v>
      </c>
      <c r="K224" s="15" t="b">
        <v>1</v>
      </c>
      <c r="L224" s="14"/>
      <c r="M224" s="9"/>
      <c r="N224" s="16" t="str">
        <f t="shared" si="3"/>
        <v>'Voice_Equality_-_Note_Duration',</v>
      </c>
      <c r="O224" s="16" t="str">
        <f t="shared" si="4"/>
        <v>'Voice_Equality_-_Note_Duration',</v>
      </c>
      <c r="P224" s="16" t="s">
        <v>669</v>
      </c>
      <c r="Q224" s="16"/>
      <c r="R224" s="9"/>
    </row>
    <row r="225" ht="15.75" customHeight="1">
      <c r="A225" s="9"/>
      <c r="B225" s="10" t="s">
        <v>670</v>
      </c>
      <c r="C225" s="11" t="str">
        <f t="shared" si="1"/>
        <v>T-6</v>
      </c>
      <c r="D225" s="12" t="str">
        <f>IFERROR(__xludf.DUMMYFUNCTION("REGEXREPLACE(B225,""(.*):(.*)"", ""$1"")"),"T-6 Voice Equality – Dynamics")</f>
        <v>T-6 Voice Equality – Dynamics</v>
      </c>
      <c r="E225" s="12" t="str">
        <f t="shared" si="2"/>
        <v>Voice Equality – Dynamics</v>
      </c>
      <c r="F225" s="14" t="s">
        <v>671</v>
      </c>
      <c r="G225" s="14" t="str">
        <f>IFERROR(__xludf.DUMMYFUNCTION("REGEXREPLACE(B225,""(.*): (.*)"", ""$2"")"),"Standard deviation of the average loudness (MIDI velocity) of notes in each channel that contains at least one note.")</f>
        <v>Standard deviation of the average loudness (MIDI velocity) of notes in each channel that contains at least one note.</v>
      </c>
      <c r="H225" s="6">
        <f t="shared" si="5"/>
        <v>203</v>
      </c>
      <c r="I225" s="15" t="b">
        <v>1</v>
      </c>
      <c r="J225" s="6">
        <f t="shared" si="6"/>
        <v>151</v>
      </c>
      <c r="K225" s="15" t="b">
        <v>0</v>
      </c>
      <c r="L225" s="14" t="s">
        <v>425</v>
      </c>
      <c r="M225" s="9"/>
      <c r="N225" s="16" t="str">
        <f t="shared" si="3"/>
        <v>'Voice_Equality_-_Dynamics',</v>
      </c>
      <c r="O225" s="16" t="str">
        <f t="shared" si="4"/>
        <v/>
      </c>
      <c r="P225" s="16" t="s">
        <v>672</v>
      </c>
      <c r="Q225" s="16"/>
      <c r="R225" s="9"/>
    </row>
    <row r="226" ht="15.75" customHeight="1">
      <c r="A226" s="9"/>
      <c r="B226" s="10" t="s">
        <v>673</v>
      </c>
      <c r="C226" s="11" t="str">
        <f t="shared" si="1"/>
        <v>T-7</v>
      </c>
      <c r="D226" s="12" t="str">
        <f>IFERROR(__xludf.DUMMYFUNCTION("REGEXREPLACE(B226,""(.*):(.*)"", ""$1"")"),"T-7 Voice Equality – Melodic Leaps")</f>
        <v>T-7 Voice Equality – Melodic Leaps</v>
      </c>
      <c r="E226" s="12" t="str">
        <f t="shared" si="2"/>
        <v>Voice Equality – Melodic Leaps</v>
      </c>
      <c r="F226" s="14" t="s">
        <v>674</v>
      </c>
      <c r="G226" s="14" t="str">
        <f>IFERROR(__xludf.DUMMYFUNCTION("REGEXREPLACE(B226,""(.*): (.*)"", ""$2"")"),"Standard deviation of the average melodic leap distance of each channel that contains at least one note.")</f>
        <v>Standard deviation of the average melodic leap distance of each channel that contains at least one note.</v>
      </c>
      <c r="H226" s="6">
        <f t="shared" si="5"/>
        <v>204</v>
      </c>
      <c r="I226" s="15" t="b">
        <v>1</v>
      </c>
      <c r="J226" s="6">
        <f t="shared" si="6"/>
        <v>152</v>
      </c>
      <c r="K226" s="15" t="b">
        <v>1</v>
      </c>
      <c r="L226" s="14"/>
      <c r="M226" s="9"/>
      <c r="N226" s="16" t="str">
        <f t="shared" si="3"/>
        <v>'Voice_Equality_-_Melodic_Leaps',</v>
      </c>
      <c r="O226" s="16" t="str">
        <f t="shared" si="4"/>
        <v>'Voice_Equality_-_Melodic_Leaps',</v>
      </c>
      <c r="P226" s="16" t="s">
        <v>675</v>
      </c>
      <c r="Q226" s="16"/>
      <c r="R226" s="9"/>
    </row>
    <row r="227" ht="15.75" customHeight="1">
      <c r="A227" s="9"/>
      <c r="B227" s="10" t="s">
        <v>676</v>
      </c>
      <c r="C227" s="11" t="str">
        <f t="shared" si="1"/>
        <v>T-8</v>
      </c>
      <c r="D227" s="12" t="str">
        <f>IFERROR(__xludf.DUMMYFUNCTION("REGEXREPLACE(B227,""(.*):(.*)"", ""$1"")"),"T-8 Voice Equality – Range")</f>
        <v>T-8 Voice Equality – Range</v>
      </c>
      <c r="E227" s="12" t="str">
        <f t="shared" si="2"/>
        <v>Voice Equality – Range</v>
      </c>
      <c r="F227" s="14" t="s">
        <v>677</v>
      </c>
      <c r="G227" s="14" t="str">
        <f>IFERROR(__xludf.DUMMYFUNCTION("REGEXREPLACE(B227,""(.*): (.*)"", ""$2"")"),"Standard deviation of the differences between the highest and lowest pitches in each channel that contains at least one note.")</f>
        <v>Standard deviation of the differences between the highest and lowest pitches in each channel that contains at least one note.</v>
      </c>
      <c r="H227" s="6">
        <f t="shared" si="5"/>
        <v>205</v>
      </c>
      <c r="I227" s="15" t="b">
        <v>1</v>
      </c>
      <c r="J227" s="6">
        <f t="shared" si="6"/>
        <v>153</v>
      </c>
      <c r="K227" s="15" t="b">
        <v>1</v>
      </c>
      <c r="L227" s="14"/>
      <c r="M227" s="9"/>
      <c r="N227" s="16" t="str">
        <f t="shared" si="3"/>
        <v>'Voice_Equality_-_Range',</v>
      </c>
      <c r="O227" s="16" t="str">
        <f t="shared" si="4"/>
        <v>'Voice_Equality_-_Range',</v>
      </c>
      <c r="P227" s="16" t="s">
        <v>678</v>
      </c>
      <c r="Q227" s="16"/>
      <c r="R227" s="9"/>
    </row>
    <row r="228" ht="15.75" customHeight="1">
      <c r="A228" s="9"/>
      <c r="B228" s="10" t="s">
        <v>679</v>
      </c>
      <c r="C228" s="11" t="str">
        <f t="shared" si="1"/>
        <v>T-9</v>
      </c>
      <c r="D228" s="12" t="str">
        <f>IFERROR(__xludf.DUMMYFUNCTION("REGEXREPLACE(B228,""(.*):(.*)"", ""$1"")"),"T-9 Importance of Loudest Voice")</f>
        <v>T-9 Importance of Loudest Voice</v>
      </c>
      <c r="E228" s="12" t="str">
        <f t="shared" si="2"/>
        <v>Importance of Loudest Voice</v>
      </c>
      <c r="F228" s="14" t="s">
        <v>680</v>
      </c>
      <c r="G228" s="14" t="str">
        <f>IFERROR(__xludf.DUMMYFUNCTION("REGEXREPLACE(B228,""(.*): (.*)"", ""$2"")"),"Difference between the average loudness (MIDI velocity) of the loudest channel and the average loudness of the other channels that contain at least one note.")</f>
        <v>Difference between the average loudness (MIDI velocity) of the loudest channel and the average loudness of the other channels that contain at least one note.</v>
      </c>
      <c r="H228" s="6">
        <f t="shared" si="5"/>
        <v>206</v>
      </c>
      <c r="I228" s="15" t="b">
        <v>1</v>
      </c>
      <c r="J228" s="6">
        <f t="shared" si="6"/>
        <v>153</v>
      </c>
      <c r="K228" s="15" t="b">
        <v>0</v>
      </c>
      <c r="L228" s="14" t="s">
        <v>425</v>
      </c>
      <c r="M228" s="9"/>
      <c r="N228" s="16" t="str">
        <f t="shared" si="3"/>
        <v>'Importance_of_Loudest_Voice',</v>
      </c>
      <c r="O228" s="16" t="str">
        <f t="shared" si="4"/>
        <v/>
      </c>
      <c r="P228" s="16" t="s">
        <v>681</v>
      </c>
      <c r="Q228" s="16"/>
      <c r="R228" s="9"/>
    </row>
    <row r="229" ht="15.75" customHeight="1">
      <c r="A229" s="9"/>
      <c r="B229" s="10" t="s">
        <v>682</v>
      </c>
      <c r="C229" s="11" t="str">
        <f t="shared" si="1"/>
        <v>T-10</v>
      </c>
      <c r="D229" s="12" t="str">
        <f>IFERROR(__xludf.DUMMYFUNCTION("REGEXREPLACE(B229,""(.*):(.*)"", ""$1"")"),"T-10 Relative Range of Loudest Voice")</f>
        <v>T-10 Relative Range of Loudest Voice</v>
      </c>
      <c r="E229" s="12" t="str">
        <f t="shared" si="2"/>
        <v>Relative Range of Loudest Voice</v>
      </c>
      <c r="F229" s="14" t="s">
        <v>683</v>
      </c>
      <c r="G229" s="14" t="str">
        <f>IFERROR(__xludf.DUMMYFUNCTION("REGEXREPLACE(B229,""(.*): (.*)"", ""$2"")"),"Difference between the highest note and the lowest note played in the channel with the highest average loudness (MIDI velocity), divided by the difference between the highest note and the lowest note in the piece as a whole. Set to 0 if there if there are"&amp;" fewer than 2 pitches in the music.")</f>
        <v>Difference between the highest note and the lowest note played in the channel with the highest average loudness (MIDI velocity), divided by the difference between the highest note and the lowest note in the piece as a whole. Set to 0 if there if there are fewer than 2 pitches in the music.</v>
      </c>
      <c r="H229" s="6">
        <f t="shared" si="5"/>
        <v>207</v>
      </c>
      <c r="I229" s="15" t="b">
        <v>1</v>
      </c>
      <c r="J229" s="6">
        <f t="shared" si="6"/>
        <v>153</v>
      </c>
      <c r="K229" s="15" t="b">
        <v>0</v>
      </c>
      <c r="L229" s="14" t="s">
        <v>425</v>
      </c>
      <c r="M229" s="9"/>
      <c r="N229" s="16" t="str">
        <f t="shared" si="3"/>
        <v>'Relative_Range_of_Loudest_Voice',</v>
      </c>
      <c r="O229" s="16" t="str">
        <f t="shared" si="4"/>
        <v/>
      </c>
      <c r="P229" s="16" t="s">
        <v>684</v>
      </c>
      <c r="Q229" s="16"/>
      <c r="R229" s="9"/>
    </row>
    <row r="230" ht="15.75" customHeight="1">
      <c r="A230" s="9"/>
      <c r="B230" s="10" t="s">
        <v>685</v>
      </c>
      <c r="C230" s="11" t="str">
        <f t="shared" si="1"/>
        <v>T-11</v>
      </c>
      <c r="D230" s="12" t="str">
        <f>IFERROR(__xludf.DUMMYFUNCTION("REGEXREPLACE(B230,""(.*):(.*)"", ""$1"")"),"T-11 Relative Range Isolation of Loudest Voice")</f>
        <v>T-11 Relative Range Isolation of Loudest Voice</v>
      </c>
      <c r="E230" s="12" t="str">
        <f t="shared" si="2"/>
        <v>Relative Range Isolation of Loudest Voice</v>
      </c>
      <c r="F230" s="14" t="s">
        <v>686</v>
      </c>
      <c r="G230" s="14" t="str">
        <f>IFERROR(__xludf.DUMMYFUNCTION("REGEXREPLACE(B230,""(.*): (.*)"", ""$2"")"),"Number of pitched notes in the MIDI channel with the highest average loudness that fall outside the range of any other pitched channel, divided by the total number of notes in the channel with the highest average loudness. Set to 0 if there are only 0 or "&amp;"1 channels containing pitched notes.")</f>
        <v>Number of pitched notes in the MIDI channel with the highest average loudness that fall outside the range of any other pitched channel, divided by the total number of notes in the channel with the highest average loudness. Set to 0 if there are only 0 or 1 channels containing pitched notes.</v>
      </c>
      <c r="H230" s="6">
        <f t="shared" si="5"/>
        <v>208</v>
      </c>
      <c r="I230" s="15" t="b">
        <v>1</v>
      </c>
      <c r="J230" s="6">
        <f t="shared" si="6"/>
        <v>153</v>
      </c>
      <c r="K230" s="15" t="b">
        <v>0</v>
      </c>
      <c r="L230" s="14" t="s">
        <v>425</v>
      </c>
      <c r="M230" s="9"/>
      <c r="N230" s="16" t="str">
        <f t="shared" si="3"/>
        <v>'Relative_Range_Isolation_of_Loudest_Voice',</v>
      </c>
      <c r="O230" s="16" t="str">
        <f t="shared" si="4"/>
        <v/>
      </c>
      <c r="P230" s="16" t="s">
        <v>687</v>
      </c>
      <c r="Q230" s="16"/>
      <c r="R230" s="9"/>
    </row>
    <row r="231" ht="15.75" customHeight="1">
      <c r="A231" s="9"/>
      <c r="B231" s="10" t="s">
        <v>688</v>
      </c>
      <c r="C231" s="11" t="str">
        <f t="shared" si="1"/>
        <v>T-12</v>
      </c>
      <c r="D231" s="12" t="str">
        <f>IFERROR(__xludf.DUMMYFUNCTION("REGEXREPLACE(B231,""(.*):(.*)"", ""$1"")"),"T-12 Relative Range of Highest Line")</f>
        <v>T-12 Relative Range of Highest Line</v>
      </c>
      <c r="E231" s="12" t="str">
        <f t="shared" si="2"/>
        <v>Relative Range of Highest Line</v>
      </c>
      <c r="F231" s="14" t="s">
        <v>689</v>
      </c>
      <c r="G231" s="14" t="str">
        <f>IFERROR(__xludf.DUMMYFUNCTION("REGEXREPLACE(B231,""(.*): (.*)"", ""$2"")"),"Pitch difference in semitones between the highest note and the lowest note played in the channel with the highest average pitch, divided by the difference between the highest note and the lowest note in the piece overall. Set to 0 if there if there are fe"&amp;"wer than 2 pitches in the music.")</f>
        <v>Pitch difference in semitones between the highest note and the lowest note played in the channel with the highest average pitch, divided by the difference between the highest note and the lowest note in the piece overall. Set to 0 if there if there are fewer than 2 pitches in the music.</v>
      </c>
      <c r="H231" s="6">
        <f t="shared" si="5"/>
        <v>209</v>
      </c>
      <c r="I231" s="15" t="b">
        <v>1</v>
      </c>
      <c r="J231" s="6">
        <f t="shared" si="6"/>
        <v>154</v>
      </c>
      <c r="K231" s="15" t="b">
        <v>1</v>
      </c>
      <c r="L231" s="14"/>
      <c r="M231" s="9"/>
      <c r="N231" s="16" t="str">
        <f t="shared" si="3"/>
        <v>'Relative_Range_of_Highest_Line',</v>
      </c>
      <c r="O231" s="16" t="str">
        <f t="shared" si="4"/>
        <v>'Relative_Range_of_Highest_Line',</v>
      </c>
      <c r="P231" s="16" t="s">
        <v>690</v>
      </c>
      <c r="Q231" s="16"/>
      <c r="R231" s="9"/>
    </row>
    <row r="232" ht="15.75" customHeight="1">
      <c r="A232" s="9"/>
      <c r="B232" s="10" t="s">
        <v>691</v>
      </c>
      <c r="C232" s="11" t="str">
        <f t="shared" si="1"/>
        <v>T-13</v>
      </c>
      <c r="D232" s="12" t="str">
        <f>IFERROR(__xludf.DUMMYFUNCTION("REGEXREPLACE(B232,""(.*):(.*)"", ""$1"")"),"T-13 Relative Note Density of Highest Line")</f>
        <v>T-13 Relative Note Density of Highest Line</v>
      </c>
      <c r="E232" s="12" t="str">
        <f t="shared" si="2"/>
        <v>Relative Note Density of Highest Line</v>
      </c>
      <c r="F232" s="14" t="s">
        <v>692</v>
      </c>
      <c r="G232" s="14" t="str">
        <f>IFERROR(__xludf.DUMMYFUNCTION("REGEXREPLACE(B232,""(.*): (.*)"", ""$2"")"),"Number of Note Ons in the channel with the highest average pitch, divided by the average number of Note Ons in all channels that contain at least one note.")</f>
        <v>Number of Note Ons in the channel with the highest average pitch, divided by the average number of Note Ons in all channels that contain at least one note.</v>
      </c>
      <c r="H232" s="6">
        <f t="shared" si="5"/>
        <v>210</v>
      </c>
      <c r="I232" s="15" t="b">
        <v>1</v>
      </c>
      <c r="J232" s="6">
        <f t="shared" si="6"/>
        <v>155</v>
      </c>
      <c r="K232" s="15" t="b">
        <v>1</v>
      </c>
      <c r="L232" s="14"/>
      <c r="M232" s="9"/>
      <c r="N232" s="16" t="str">
        <f t="shared" si="3"/>
        <v>'Relative_Note_Density_of_Highest_Line',</v>
      </c>
      <c r="O232" s="16" t="str">
        <f t="shared" si="4"/>
        <v>'Relative_Note_Density_of_Highest_Line',</v>
      </c>
      <c r="P232" s="16" t="s">
        <v>693</v>
      </c>
      <c r="Q232" s="16"/>
      <c r="R232" s="9"/>
    </row>
    <row r="233" ht="15.75" customHeight="1">
      <c r="A233" s="9"/>
      <c r="B233" s="10" t="s">
        <v>694</v>
      </c>
      <c r="C233" s="11" t="str">
        <f t="shared" si="1"/>
        <v>T-14</v>
      </c>
      <c r="D233" s="12" t="str">
        <f>IFERROR(__xludf.DUMMYFUNCTION("REGEXREPLACE(B233,""(.*):(.*)"", ""$1"")"),"T-14 Relative Note Durations of Lowest Line")</f>
        <v>T-14 Relative Note Durations of Lowest Line</v>
      </c>
      <c r="E233" s="12" t="str">
        <f t="shared" si="2"/>
        <v>Relative Note Durations of Lowest Line</v>
      </c>
      <c r="F233" s="14" t="s">
        <v>695</v>
      </c>
      <c r="G233" s="14" t="str">
        <f>IFERROR(__xludf.DUMMYFUNCTION("REGEXREPLACE(B233,""(.*): (.*)"", ""$2"")"),"Average duration of notes (in seconds) in the channel with the lowest average pitch, divided by the average duration of notes in all channels that contain at least one note.")</f>
        <v>Average duration of notes (in seconds) in the channel with the lowest average pitch, divided by the average duration of notes in all channels that contain at least one note.</v>
      </c>
      <c r="H233" s="6">
        <f t="shared" si="5"/>
        <v>211</v>
      </c>
      <c r="I233" s="15" t="b">
        <v>1</v>
      </c>
      <c r="J233" s="6">
        <f t="shared" si="6"/>
        <v>156</v>
      </c>
      <c r="K233" s="15" t="b">
        <v>1</v>
      </c>
      <c r="L233" s="14"/>
      <c r="M233" s="9"/>
      <c r="N233" s="16" t="str">
        <f t="shared" si="3"/>
        <v>'Relative_Note_Durations_of_Lowest_Line',</v>
      </c>
      <c r="O233" s="16" t="str">
        <f t="shared" si="4"/>
        <v>'Relative_Note_Durations_of_Lowest_Line',</v>
      </c>
      <c r="P233" s="16" t="s">
        <v>696</v>
      </c>
      <c r="Q233" s="16"/>
      <c r="R233" s="9"/>
    </row>
    <row r="234" ht="15.75" customHeight="1">
      <c r="A234" s="9"/>
      <c r="B234" s="10" t="s">
        <v>697</v>
      </c>
      <c r="C234" s="11" t="str">
        <f t="shared" si="1"/>
        <v>T-15</v>
      </c>
      <c r="D234" s="12" t="str">
        <f>IFERROR(__xludf.DUMMYFUNCTION("REGEXREPLACE(B234,""(.*):(.*)"", ""$1"")"),"T-15 Relative Size of Melodic Intervals in Lowest Line")</f>
        <v>T-15 Relative Size of Melodic Intervals in Lowest Line</v>
      </c>
      <c r="E234" s="12" t="str">
        <f t="shared" si="2"/>
        <v>Relative Size of Melodic Intervals in Lowest Line</v>
      </c>
      <c r="F234" s="14" t="s">
        <v>698</v>
      </c>
      <c r="G234" s="14" t="str">
        <f>IFERROR(__xludf.DUMMYFUNCTION("REGEXREPLACE(B234,""(.*): (.*)"", ""$2"")"),"Average melodic interval in semitones in the channel with the lowest average pitch, divided by the average melodic interval in all channels that contain at least two notes.")</f>
        <v>Average melodic interval in semitones in the channel with the lowest average pitch, divided by the average melodic interval in all channels that contain at least two notes.</v>
      </c>
      <c r="H234" s="6">
        <f t="shared" si="5"/>
        <v>212</v>
      </c>
      <c r="I234" s="15" t="b">
        <v>1</v>
      </c>
      <c r="J234" s="6">
        <f t="shared" si="6"/>
        <v>157</v>
      </c>
      <c r="K234" s="15" t="b">
        <v>1</v>
      </c>
      <c r="L234" s="14"/>
      <c r="M234" s="9"/>
      <c r="N234" s="16" t="str">
        <f t="shared" si="3"/>
        <v>'Relative_Size_of_Melodic_Intervals_in_Lowest_Line',</v>
      </c>
      <c r="O234" s="16" t="str">
        <f t="shared" si="4"/>
        <v>'Relative_Size_of_Melodic_Intervals_in_Lowest_Line',</v>
      </c>
      <c r="P234" s="16" t="s">
        <v>699</v>
      </c>
      <c r="Q234" s="16"/>
      <c r="R234" s="9"/>
    </row>
    <row r="235" ht="15.75" customHeight="1">
      <c r="A235" s="9"/>
      <c r="B235" s="10" t="s">
        <v>700</v>
      </c>
      <c r="C235" s="11" t="str">
        <f t="shared" si="1"/>
        <v>T-16</v>
      </c>
      <c r="D235" s="12" t="str">
        <f>IFERROR(__xludf.DUMMYFUNCTION("REGEXREPLACE(B235,""(.*):(.*)"", ""$1"")"),"T-16 Voice Overlap")</f>
        <v>T-16 Voice Overlap</v>
      </c>
      <c r="E235" s="12" t="str">
        <f t="shared" si="2"/>
        <v>Voice Overlap</v>
      </c>
      <c r="F235" s="14" t="s">
        <v>701</v>
      </c>
      <c r="G235" s="14" t="str">
        <f>IFERROR(__xludf.DUMMYFUNCTION("REGEXREPLACE(B235,""(.*): (.*)"", ""$2"")"),"Number of notes played within the range of another channel, divided by the total number of notes in the piece as a whole.")</f>
        <v>Number of notes played within the range of another channel, divided by the total number of notes in the piece as a whole.</v>
      </c>
      <c r="H235" s="6">
        <f t="shared" si="5"/>
        <v>213</v>
      </c>
      <c r="I235" s="15" t="b">
        <v>1</v>
      </c>
      <c r="J235" s="6">
        <f t="shared" si="6"/>
        <v>158</v>
      </c>
      <c r="K235" s="15" t="b">
        <v>1</v>
      </c>
      <c r="L235" s="14"/>
      <c r="M235" s="9"/>
      <c r="N235" s="16" t="str">
        <f t="shared" si="3"/>
        <v>'Voice_Overlap',</v>
      </c>
      <c r="O235" s="16" t="str">
        <f t="shared" si="4"/>
        <v>'Voice_Overlap',</v>
      </c>
      <c r="P235" s="16" t="s">
        <v>702</v>
      </c>
      <c r="Q235" s="16"/>
      <c r="R235" s="9"/>
    </row>
    <row r="236" ht="15.75" customHeight="1">
      <c r="A236" s="9"/>
      <c r="B236" s="10" t="s">
        <v>703</v>
      </c>
      <c r="C236" s="11" t="str">
        <f t="shared" si="1"/>
        <v>T-17</v>
      </c>
      <c r="D236" s="12" t="str">
        <f>IFERROR(__xludf.DUMMYFUNCTION("REGEXREPLACE(B236,""(.*):(.*)"", ""$1"")"),"T-17 Voice Separation")</f>
        <v>T-17 Voice Separation</v>
      </c>
      <c r="E236" s="12" t="str">
        <f t="shared" si="2"/>
        <v>Voice Separation</v>
      </c>
      <c r="F236" s="14" t="s">
        <v>704</v>
      </c>
      <c r="G236" s="14" t="str">
        <f>IFERROR(__xludf.DUMMYFUNCTION("REGEXREPLACE(B236,""(.*): (.*)"", ""$2"")"),"Average separation in semitones between the average pitches of consecutive channels (after sorting based on average pitch) that contain at least one note.")</f>
        <v>Average separation in semitones between the average pitches of consecutive channels (after sorting based on average pitch) that contain at least one note.</v>
      </c>
      <c r="H236" s="6">
        <f t="shared" si="5"/>
        <v>214</v>
      </c>
      <c r="I236" s="15" t="b">
        <v>1</v>
      </c>
      <c r="J236" s="6">
        <f t="shared" si="6"/>
        <v>159</v>
      </c>
      <c r="K236" s="15" t="b">
        <v>1</v>
      </c>
      <c r="L236" s="14"/>
      <c r="M236" s="9"/>
      <c r="N236" s="16" t="str">
        <f t="shared" si="3"/>
        <v>'Voice_Separation',</v>
      </c>
      <c r="O236" s="16" t="str">
        <f t="shared" si="4"/>
        <v>'Voice_Separation',</v>
      </c>
      <c r="P236" s="16" t="s">
        <v>705</v>
      </c>
      <c r="Q236" s="16"/>
      <c r="R236" s="9"/>
    </row>
    <row r="237" ht="15.75" customHeight="1">
      <c r="A237" s="9"/>
      <c r="B237" s="10" t="s">
        <v>706</v>
      </c>
      <c r="C237" s="11" t="str">
        <f t="shared" si="1"/>
        <v>T-18</v>
      </c>
      <c r="D237" s="12" t="str">
        <f>IFERROR(__xludf.DUMMYFUNCTION("REGEXREPLACE(B237,""(.*):(.*)"", ""$1"")"),"T-18 Variability of Voice Separation")</f>
        <v>T-18 Variability of Voice Separation</v>
      </c>
      <c r="E237" s="12" t="str">
        <f t="shared" si="2"/>
        <v>Variability of Voice Separation</v>
      </c>
      <c r="F237" s="14" t="s">
        <v>707</v>
      </c>
      <c r="G237" s="14" t="str">
        <f>IFERROR(__xludf.DUMMYFUNCTION("REGEXREPLACE(B237,""(.*): (.*)"", ""$2"")"),"Average separation in semi-tones between the average pitches of consecutive channels (after sorting based on average pitch) that contain at least one note.")</f>
        <v>Average separation in semi-tones between the average pitches of consecutive channels (after sorting based on average pitch) that contain at least one note.</v>
      </c>
      <c r="H237" s="6">
        <f t="shared" si="5"/>
        <v>215</v>
      </c>
      <c r="I237" s="15" t="b">
        <v>1</v>
      </c>
      <c r="J237" s="6">
        <f t="shared" si="6"/>
        <v>160</v>
      </c>
      <c r="K237" s="15" t="b">
        <v>1</v>
      </c>
      <c r="L237" s="14"/>
      <c r="M237" s="9"/>
      <c r="N237" s="16" t="str">
        <f t="shared" si="3"/>
        <v>'Variability_of_Voice_Separation',</v>
      </c>
      <c r="O237" s="16" t="str">
        <f t="shared" si="4"/>
        <v>'Variability_of_Voice_Separation',</v>
      </c>
      <c r="P237" s="16" t="s">
        <v>708</v>
      </c>
      <c r="Q237" s="16"/>
      <c r="R237" s="9"/>
    </row>
    <row r="238" ht="15.75" customHeight="1">
      <c r="A238" s="9"/>
      <c r="B238" s="10" t="s">
        <v>709</v>
      </c>
      <c r="C238" s="11" t="str">
        <f t="shared" si="1"/>
        <v>T-19</v>
      </c>
      <c r="D238" s="12" t="str">
        <f>IFERROR(__xludf.DUMMYFUNCTION("REGEXREPLACE(B238,""(.*):(.*)"", ""$1"")"),"T-19 Parallel Motion")</f>
        <v>T-19 Parallel Motion</v>
      </c>
      <c r="E238" s="12" t="str">
        <f t="shared" si="2"/>
        <v>Parallel Motion</v>
      </c>
      <c r="F238" s="14" t="s">
        <v>710</v>
      </c>
      <c r="G238" s="14" t="str">
        <f>IFERROR(__xludf.DUMMYFUNCTION("REGEXREPLACE(B238,""(.*): (.*)"", ""$2"")"),"Fraction of movements between voices that consist of parallel motion (the fraction is calculated relative to the total amount of qualifying transitions, including all parallel, similar, contrary and oblique transitions). If more than two voices are involv"&amp;"ed in a given pitch transition, then each possible pair of voices comprising the transition is included in the calculation. Note that only transitions from one set of pitches to another set of pitches comprising the same number of pitches as the first are"&amp;" included in this calculation, although a brief lookahead is performed in order to accommodate small rhythmic desynchronizations (e.g. if a MIDI file is a transcription of a human performance). Only unique pitches are included in this calculation (unisons"&amp;" are treated as a single pitch). All pitches present are considered, regardless of their MIDI channel or track; this has the advantage of accommodating polyphonic instruments such as piano or guitar, but the consequence is that this feature does not incor"&amp;"porate an awareness of voice crossing.")</f>
        <v>Fraction of movements between voices that consist of parallel motion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v>
      </c>
      <c r="H238" s="6">
        <f t="shared" si="5"/>
        <v>216</v>
      </c>
      <c r="I238" s="15" t="b">
        <v>1</v>
      </c>
      <c r="J238" s="6">
        <f t="shared" si="6"/>
        <v>161</v>
      </c>
      <c r="K238" s="15" t="b">
        <v>1</v>
      </c>
      <c r="L238" s="14"/>
      <c r="M238" s="9"/>
      <c r="N238" s="16" t="str">
        <f t="shared" si="3"/>
        <v>'Parallel_Motion',</v>
      </c>
      <c r="O238" s="16" t="str">
        <f t="shared" si="4"/>
        <v>'Parallel_Motion',</v>
      </c>
      <c r="P238" s="16" t="s">
        <v>711</v>
      </c>
      <c r="Q238" s="16"/>
      <c r="R238" s="9"/>
    </row>
    <row r="239" ht="15.75" customHeight="1">
      <c r="A239" s="9"/>
      <c r="B239" s="10" t="s">
        <v>712</v>
      </c>
      <c r="C239" s="11" t="str">
        <f t="shared" si="1"/>
        <v>T-20</v>
      </c>
      <c r="D239" s="12" t="str">
        <f>IFERROR(__xludf.DUMMYFUNCTION("REGEXREPLACE(B239,""(.*):(.*)"", ""$1"")"),"T-20 Similar Motion")</f>
        <v>T-20 Similar Motion</v>
      </c>
      <c r="E239" s="12" t="str">
        <f t="shared" si="2"/>
        <v>Similar Motion</v>
      </c>
      <c r="F239" s="14" t="s">
        <v>713</v>
      </c>
      <c r="G239" s="14" t="str">
        <f>IFERROR(__xludf.DUMMYFUNCTION("REGEXREPLACE(B239,""(.*): (.*)"", ""$2"")"),"Fraction of movements between voices that consist of similar motion (the fraction is calculated relative to the total amount of qualifying transitions, including all parallel, similar, contrary and oblique transitions). If more than two voices are involve"&amp;"d in a given pitch transition, then each possible pair of voices comprising the transition is included in the calculation. Note that only transitions from one set of pitches to another set of pitches comprising the same number of pitches as the first are "&amp;"included in this calculation, although a brief lookahead is performed in order to accommodate small rhythmic desynchronizations (e.g. if a MIDI file is a transcription of a human performance). Only unique pitches are included in this calculation (unisons "&amp;"are treated as a single pitch). All pitches present are considered, regardless of their MIDI channel or track; this has the advantage of accommodating polyphonic instruments such as piano or guitar, but the consequence is that this feature does not incorp"&amp;"orate an awareness of voice crossing.")</f>
        <v>Fraction of movements between voices that consist of similar motion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v>
      </c>
      <c r="H239" s="6">
        <f t="shared" si="5"/>
        <v>217</v>
      </c>
      <c r="I239" s="15" t="b">
        <v>1</v>
      </c>
      <c r="J239" s="6">
        <f t="shared" si="6"/>
        <v>162</v>
      </c>
      <c r="K239" s="15" t="b">
        <v>1</v>
      </c>
      <c r="L239" s="14"/>
      <c r="M239" s="9"/>
      <c r="N239" s="16" t="str">
        <f t="shared" si="3"/>
        <v>'Similar_Motion',</v>
      </c>
      <c r="O239" s="16" t="str">
        <f t="shared" si="4"/>
        <v>'Similar_Motion',</v>
      </c>
      <c r="P239" s="16" t="s">
        <v>714</v>
      </c>
      <c r="Q239" s="16"/>
      <c r="R239" s="9"/>
    </row>
    <row r="240" ht="15.75" customHeight="1">
      <c r="A240" s="9"/>
      <c r="B240" s="10" t="s">
        <v>715</v>
      </c>
      <c r="C240" s="11" t="str">
        <f t="shared" si="1"/>
        <v>T-21</v>
      </c>
      <c r="D240" s="12" t="str">
        <f>IFERROR(__xludf.DUMMYFUNCTION("REGEXREPLACE(B240,""(.*):(.*)"", ""$1"")"),"T-21 Contrary Motion")</f>
        <v>T-21 Contrary Motion</v>
      </c>
      <c r="E240" s="12" t="str">
        <f t="shared" si="2"/>
        <v>Contrary Motion</v>
      </c>
      <c r="F240" s="14" t="s">
        <v>716</v>
      </c>
      <c r="G240" s="14" t="str">
        <f>IFERROR(__xludf.DUMMYFUNCTION("REGEXREPLACE(B240,""(.*): (.*)"", ""$2"")"),"Fraction of movements between voices that consist of contrary motion (the fraction is calculated relative to the total amount of qualifying transitions, including all parallel, similar, contrary and oblique transitions). If more than two voices are involv"&amp;"ed in a given pitch transition, then each possible pair of voices comprising the transition is included in the calculation. Note that only transitions from one set of pitches to another set of pitches comprising the same number of pitches as the first are"&amp;" included in this calculation, although a brief lookahead is performed in order to accommodate small rhythmic desynchronizations (e.g. if a MIDI file is a transcription of a human performance). Only unique pitches are included in this calculation (unisons"&amp;" are treated as a single pitch). All pitches present are considered, regardless of their MIDI channel or track; this has the advantage of accommodating polyphonic instruments such as piano or guitar, but the consequence is that this feature does not incor"&amp;"porate an awareness of voice crossing.")</f>
        <v>Fraction of movements between voices that consist of contrary motion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v>
      </c>
      <c r="H240" s="6">
        <f t="shared" si="5"/>
        <v>218</v>
      </c>
      <c r="I240" s="15" t="b">
        <v>1</v>
      </c>
      <c r="J240" s="6">
        <f t="shared" si="6"/>
        <v>163</v>
      </c>
      <c r="K240" s="15" t="b">
        <v>1</v>
      </c>
      <c r="L240" s="14"/>
      <c r="M240" s="9"/>
      <c r="N240" s="16" t="str">
        <f t="shared" si="3"/>
        <v>'Contrary_Motion',</v>
      </c>
      <c r="O240" s="16" t="str">
        <f t="shared" si="4"/>
        <v>'Contrary_Motion',</v>
      </c>
      <c r="P240" s="16" t="s">
        <v>717</v>
      </c>
      <c r="Q240" s="16"/>
      <c r="R240" s="9"/>
    </row>
    <row r="241" ht="15.75" customHeight="1">
      <c r="A241" s="9"/>
      <c r="B241" s="10" t="s">
        <v>718</v>
      </c>
      <c r="C241" s="11" t="str">
        <f t="shared" si="1"/>
        <v>T-22</v>
      </c>
      <c r="D241" s="12" t="str">
        <f>IFERROR(__xludf.DUMMYFUNCTION("REGEXREPLACE(B241,""(.*):(.*)"", ""$1"")"),"T-22 Oblique Motion")</f>
        <v>T-22 Oblique Motion</v>
      </c>
      <c r="E241" s="12" t="str">
        <f t="shared" si="2"/>
        <v>Oblique Motion</v>
      </c>
      <c r="F241" s="14" t="s">
        <v>719</v>
      </c>
      <c r="G241" s="14" t="str">
        <f>IFERROR(__xludf.DUMMYFUNCTION("REGEXREPLACE(B241,""(.*): (.*)"", ""$2"")"),"Fraction of movements between voices that consist of oblique motion (the fraction is calculated relative to the total amount of qualifying transitions, including all parallel, similar, contrary and oblique transitions). If more than two voices are involve"&amp;"d in a given pitch transition, then each possible pair of voices comprising the transition is included in the calculation. Note that only transitions from one set of pitches to another set of pitches comprising the same number of pitches as the first are "&amp;"included in this calculation, although a brief lookahead is performed in order to accommodate small rhythmic desynchronizations (e.g. if a MIDI file is a transcription of a human performance). Only unique pitches are included in this calculation (unisons "&amp;"are treated as a single pitch). All pitches present are considered, regardless of their MIDI channel or track; this has the advantage of accommodating polyphonic instruments such as piano or guitar, but the consequence is that this feature does not incorp"&amp;"orate an awareness of voice crossing.")</f>
        <v>Fraction of movements between voices that consist of oblique motion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v>
      </c>
      <c r="H241" s="6">
        <f t="shared" si="5"/>
        <v>219</v>
      </c>
      <c r="I241" s="15" t="b">
        <v>1</v>
      </c>
      <c r="J241" s="6">
        <f t="shared" si="6"/>
        <v>164</v>
      </c>
      <c r="K241" s="15" t="b">
        <v>1</v>
      </c>
      <c r="L241" s="14"/>
      <c r="M241" s="9"/>
      <c r="N241" s="16" t="str">
        <f t="shared" si="3"/>
        <v>'Oblique_Motion',</v>
      </c>
      <c r="O241" s="16" t="str">
        <f t="shared" si="4"/>
        <v>'Oblique_Motion',</v>
      </c>
      <c r="P241" s="16" t="s">
        <v>720</v>
      </c>
      <c r="Q241" s="16"/>
      <c r="R241" s="9"/>
    </row>
    <row r="242" ht="15.75" customHeight="1">
      <c r="A242" s="9"/>
      <c r="B242" s="10" t="s">
        <v>721</v>
      </c>
      <c r="C242" s="11" t="str">
        <f t="shared" si="1"/>
        <v>T-23</v>
      </c>
      <c r="D242" s="12" t="str">
        <f>IFERROR(__xludf.DUMMYFUNCTION("REGEXREPLACE(B242,""(.*):(.*)"", ""$1"")"),"T-23 Parallel Fifths")</f>
        <v>T-23 Parallel Fifths</v>
      </c>
      <c r="E242" s="12" t="str">
        <f t="shared" si="2"/>
        <v>Parallel Fifths</v>
      </c>
      <c r="F242" s="14" t="s">
        <v>722</v>
      </c>
      <c r="G242" s="14" t="str">
        <f>IFERROR(__xludf.DUMMYFUNCTION("REGEXREPLACE(B242,""(.*): (.*)"", ""$2"")"),"Fraction of movements between voices that consist of parallel fifths (the fraction is calculated relative to the total amount of qualifying transitions, including all parallel, similar, contrary and oblique transitions). If more than two voices are involv"&amp;"ed in a given pitch transition, then each possible pair of voices comprising the transition is included in the calculation. Note that only transitions from one set of pitches to another set of pitches comprising the same number of pitches as the first are"&amp;" included in this calculation, although a brief lookahead is performed in order to accommodate small rhythmic desynchronizations (e.g. if a MIDI file is a transcription of a human performance). Only unique pitches are included in this calculation (unisons"&amp;" are treated as a single pitch). All pitches present are considered, regardless of their MIDI channel or track; this has the advantage of accommodating polyphonic instruments such as piano or guitar, but the consequence is that this feature does not incor"&amp;"porate an awareness of voice crossing.")</f>
        <v>Fraction of movements between voices that consist of parallel fifths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v>
      </c>
      <c r="H242" s="6">
        <f t="shared" si="5"/>
        <v>220</v>
      </c>
      <c r="I242" s="15" t="b">
        <v>1</v>
      </c>
      <c r="J242" s="6">
        <f t="shared" si="6"/>
        <v>165</v>
      </c>
      <c r="K242" s="15" t="b">
        <v>1</v>
      </c>
      <c r="L242" s="14"/>
      <c r="M242" s="9"/>
      <c r="N242" s="16" t="str">
        <f t="shared" si="3"/>
        <v>'Parallel_Fifths',</v>
      </c>
      <c r="O242" s="16" t="str">
        <f t="shared" si="4"/>
        <v>'Parallel_Fifths',</v>
      </c>
      <c r="P242" s="16" t="s">
        <v>723</v>
      </c>
      <c r="Q242" s="16"/>
      <c r="R242" s="9"/>
    </row>
    <row r="243" ht="15.75" customHeight="1">
      <c r="A243" s="9"/>
      <c r="B243" s="10" t="s">
        <v>724</v>
      </c>
      <c r="C243" s="11" t="str">
        <f t="shared" si="1"/>
        <v>T-24</v>
      </c>
      <c r="D243" s="12" t="str">
        <f>IFERROR(__xludf.DUMMYFUNCTION("REGEXREPLACE(B243,""(.*):(.*)"", ""$1"")"),"T-24 Parallel Octaves")</f>
        <v>T-24 Parallel Octaves</v>
      </c>
      <c r="E243" s="12" t="str">
        <f t="shared" si="2"/>
        <v>Parallel Octaves</v>
      </c>
      <c r="F243" s="14" t="s">
        <v>725</v>
      </c>
      <c r="G243" s="14" t="str">
        <f>IFERROR(__xludf.DUMMYFUNCTION("REGEXREPLACE(B243,""(.*): (.*)"", ""$2"")"),"Fraction of movements between voices that consist of parallel octaves (the fraction is calculated relative to the total amount of qualifying transitions, including all parallel, similar, contrary and oblique transitions). If more than two voices are invol"&amp;"ved in a given pitch transition, then each possible pair of voices comprising the transition is included in the calculation. Note that only transitions from one set of pitches to another set of pitches comprising the same number of pitches as the first ar"&amp;"e included in this calculation, although a brief lookahead is performed in order to accommodate small rhythmic desynchronizations (e.g. if a MIDI file is a transcription of a human performance). Only unique pitches are included in this calculation (unison"&amp;"s are treated as a single pitch). All pitches present are considered, regardless of their MIDI channel or track; this has the advantage of accommodating polyphonic instruments such as piano or guitar, but the consequence is that this feature does not inco"&amp;"rporate an awareness of voice crossing.")</f>
        <v>Fraction of movements between voices that consist of parallel octaves (the fraction is calculated relative to the total amount of qualifying transitions, including all parallel, similar, contrary and oblique transitions). If more than two voices are involved in a given pitch transition, then each possible pair of voices comprising the transition is included in the calculation. Note that only transitions from one set of pitches to another set of pitches comprising the same number of pitches as the first are included in this calculation, although a brief lookahead is performed in order to accommodate small rhythmic desynchronizations (e.g. if a MIDI file is a transcription of a human performance). Only unique pitches are included in this calculation (unisons are treated as a single pitch). All pitches present are considered, regardless of their MIDI channel or track; this has the advantage of accommodating polyphonic instruments such as piano or guitar, but the consequence is that this feature does not incorporate an awareness of voice crossing.</v>
      </c>
      <c r="H243" s="6">
        <f t="shared" si="5"/>
        <v>221</v>
      </c>
      <c r="I243" s="15" t="b">
        <v>1</v>
      </c>
      <c r="J243" s="6">
        <f t="shared" si="6"/>
        <v>166</v>
      </c>
      <c r="K243" s="15" t="b">
        <v>1</v>
      </c>
      <c r="L243" s="14"/>
      <c r="M243" s="9"/>
      <c r="N243" s="16" t="str">
        <f t="shared" si="3"/>
        <v>'Parallel_Octaves',</v>
      </c>
      <c r="O243" s="16" t="str">
        <f t="shared" si="4"/>
        <v>'Parallel_Octaves',</v>
      </c>
      <c r="P243" s="16" t="s">
        <v>726</v>
      </c>
      <c r="Q243" s="16"/>
      <c r="R243" s="9"/>
    </row>
    <row r="244" ht="15.75" customHeight="1">
      <c r="A244" s="9"/>
      <c r="B244" s="10" t="s">
        <v>727</v>
      </c>
      <c r="C244" s="11" t="str">
        <f t="shared" si="1"/>
        <v>D-1</v>
      </c>
      <c r="D244" s="12" t="str">
        <f>IFERROR(__xludf.DUMMYFUNCTION("REGEXREPLACE(B244,""(.*):(.*)"", ""$1"")"),"D-1 Dynamic Range")</f>
        <v>D-1 Dynamic Range</v>
      </c>
      <c r="E244" s="12" t="str">
        <f t="shared" si="2"/>
        <v>Dynamic Range</v>
      </c>
      <c r="F244" s="14" t="s">
        <v>728</v>
      </c>
      <c r="G244" s="14" t="str">
        <f>IFERROR(__xludf.DUMMYFUNCTION("REGEXREPLACE(B244,""(.*): (.*)"", ""$2"")"),"Loudness of the loudest note in the piece, minus the loudness of the softest note.")</f>
        <v>Loudness of the loudest note in the piece, minus the loudness of the softest note.</v>
      </c>
      <c r="H244" s="6">
        <f t="shared" si="5"/>
        <v>222</v>
      </c>
      <c r="I244" s="15" t="b">
        <v>1</v>
      </c>
      <c r="J244" s="6">
        <f t="shared" si="6"/>
        <v>166</v>
      </c>
      <c r="K244" s="15" t="b">
        <v>0</v>
      </c>
      <c r="L244" s="14" t="s">
        <v>425</v>
      </c>
      <c r="M244" s="9"/>
      <c r="N244" s="16" t="str">
        <f t="shared" si="3"/>
        <v>'Dynamic_Range',</v>
      </c>
      <c r="O244" s="16" t="str">
        <f t="shared" si="4"/>
        <v/>
      </c>
      <c r="P244" s="16" t="s">
        <v>729</v>
      </c>
      <c r="Q244" s="16"/>
      <c r="R244" s="9"/>
    </row>
    <row r="245" ht="15.75" customHeight="1">
      <c r="A245" s="9"/>
      <c r="B245" s="10" t="s">
        <v>730</v>
      </c>
      <c r="C245" s="11" t="str">
        <f t="shared" si="1"/>
        <v>D-2</v>
      </c>
      <c r="D245" s="12" t="str">
        <f>IFERROR(__xludf.DUMMYFUNCTION("REGEXREPLACE(B245,""(.*):(.*)"", ""$1"")"),"D-2 Variation of Dynamics")</f>
        <v>D-2 Variation of Dynamics</v>
      </c>
      <c r="E245" s="12" t="str">
        <f t="shared" si="2"/>
        <v>Variation of Dynamics</v>
      </c>
      <c r="F245" s="14" t="s">
        <v>731</v>
      </c>
      <c r="G245" s="14" t="str">
        <f>IFERROR(__xludf.DUMMYFUNCTION("REGEXREPLACE(B245,""(.*): (.*)"", ""$2"")"),"Standard deviation of loudness levels across all notes.")</f>
        <v>Standard deviation of loudness levels across all notes.</v>
      </c>
      <c r="H245" s="6">
        <f t="shared" si="5"/>
        <v>223</v>
      </c>
      <c r="I245" s="15" t="b">
        <v>1</v>
      </c>
      <c r="J245" s="6">
        <f t="shared" si="6"/>
        <v>166</v>
      </c>
      <c r="K245" s="15" t="b">
        <v>0</v>
      </c>
      <c r="L245" s="14" t="s">
        <v>425</v>
      </c>
      <c r="M245" s="9"/>
      <c r="N245" s="16" t="str">
        <f t="shared" si="3"/>
        <v>'Variation_of_Dynamics',</v>
      </c>
      <c r="O245" s="16" t="str">
        <f t="shared" si="4"/>
        <v/>
      </c>
      <c r="P245" s="16" t="s">
        <v>732</v>
      </c>
      <c r="Q245" s="16"/>
      <c r="R245" s="9"/>
    </row>
    <row r="246" ht="15.75" customHeight="1">
      <c r="A246" s="9"/>
      <c r="B246" s="10" t="s">
        <v>733</v>
      </c>
      <c r="C246" s="11" t="str">
        <f t="shared" si="1"/>
        <v>D-3</v>
      </c>
      <c r="D246" s="12" t="str">
        <f>IFERROR(__xludf.DUMMYFUNCTION("REGEXREPLACE(B246,""(.*):(.*)"", ""$1"")"),"D-3 Variation of Dynamics in Each Voice")</f>
        <v>D-3 Variation of Dynamics in Each Voice</v>
      </c>
      <c r="E246" s="12" t="str">
        <f t="shared" si="2"/>
        <v>Variation of Dynamics in Each Voice</v>
      </c>
      <c r="F246" s="14" t="s">
        <v>734</v>
      </c>
      <c r="G246" s="14" t="str">
        <f>IFERROR(__xludf.DUMMYFUNCTION("REGEXREPLACE(B246,""(.*): (.*)"", ""$2"")"),"Standard deviations of note loudness levels within each MIDI channel, averaged across all channels. Only channels that contain at least one note are included in this calculation.")</f>
        <v>Standard deviations of note loudness levels within each MIDI channel, averaged across all channels. Only channels that contain at least one note are included in this calculation.</v>
      </c>
      <c r="H246" s="6">
        <f t="shared" si="5"/>
        <v>224</v>
      </c>
      <c r="I246" s="15" t="b">
        <v>1</v>
      </c>
      <c r="J246" s="6">
        <f t="shared" si="6"/>
        <v>166</v>
      </c>
      <c r="K246" s="15" t="b">
        <v>0</v>
      </c>
      <c r="L246" s="14" t="s">
        <v>425</v>
      </c>
      <c r="M246" s="9"/>
      <c r="N246" s="16" t="str">
        <f t="shared" si="3"/>
        <v>'Variation_of_Dynamics_In_Each_Voice',</v>
      </c>
      <c r="O246" s="16" t="str">
        <f t="shared" si="4"/>
        <v/>
      </c>
      <c r="P246" s="16" t="s">
        <v>735</v>
      </c>
      <c r="Q246" s="16"/>
      <c r="R246" s="9"/>
    </row>
    <row r="247" ht="15.75" customHeight="1">
      <c r="A247" s="9"/>
      <c r="B247" s="10" t="s">
        <v>736</v>
      </c>
      <c r="C247" s="11" t="str">
        <f t="shared" si="1"/>
        <v>D-4</v>
      </c>
      <c r="D247" s="12" t="str">
        <f>IFERROR(__xludf.DUMMYFUNCTION("REGEXREPLACE(B247,""(.*):(.*)"", ""$1"")"),"D-4 Average Note to Note Change in Dynamics")</f>
        <v>D-4 Average Note to Note Change in Dynamics</v>
      </c>
      <c r="E247" s="12" t="str">
        <f t="shared" si="2"/>
        <v>Average Note to Note Change in Dynamics</v>
      </c>
      <c r="F247" s="14" t="s">
        <v>737</v>
      </c>
      <c r="G247" s="14" t="str">
        <f>IFERROR(__xludf.DUMMYFUNCTION("REGEXREPLACE(B247,""(.*): (.*)"", ""$2"")"),"Average change of loudness from one note to the next note in the same MIDI channel.")</f>
        <v>Average change of loudness from one note to the next note in the same MIDI channel.</v>
      </c>
      <c r="H247" s="6">
        <f t="shared" si="5"/>
        <v>225</v>
      </c>
      <c r="I247" s="15" t="b">
        <v>1</v>
      </c>
      <c r="J247" s="6">
        <f t="shared" si="6"/>
        <v>166</v>
      </c>
      <c r="K247" s="15" t="b">
        <v>0</v>
      </c>
      <c r="L247" s="14" t="s">
        <v>425</v>
      </c>
      <c r="M247" s="9"/>
      <c r="N247" s="16" t="str">
        <f t="shared" si="3"/>
        <v>'Average_Note_to_Note_Change_in_Dynamics',</v>
      </c>
      <c r="O247" s="16" t="str">
        <f t="shared" si="4"/>
        <v/>
      </c>
      <c r="P247" s="16" t="s">
        <v>738</v>
      </c>
      <c r="Q247" s="16"/>
      <c r="R247" s="9"/>
    </row>
    <row r="248" ht="15.75" customHeight="1">
      <c r="A248" s="9"/>
      <c r="B248" s="10" t="s">
        <v>739</v>
      </c>
      <c r="C248" s="11" t="str">
        <f t="shared" si="1"/>
        <v>S-1</v>
      </c>
      <c r="D248" s="12" t="str">
        <f>IFERROR(__xludf.DUMMYFUNCTION("REGEXREPLACE(B248,""(.*):(.*)"", ""$1"")"),"S-1 Number of Grace Notes")</f>
        <v>S-1 Number of Grace Notes</v>
      </c>
      <c r="E248" s="12" t="str">
        <f t="shared" si="2"/>
        <v>Number of Grace Notes</v>
      </c>
      <c r="F248" s="14"/>
      <c r="G248" s="14" t="str">
        <f>IFERROR(__xludf.DUMMYFUNCTION("REGEXREPLACE(B248,""(.*): (.*)"", ""$2"")"),"The total number of grace notes in a piece (i.e. the number of notes indicated as grace notes in the MEI encoding) divided by the total number of pitched notes in the music.")</f>
        <v>The total number of grace notes in a piece (i.e. the number of notes indicated as grace notes in the MEI encoding) divided by the total number of pitched notes in the music.</v>
      </c>
      <c r="H248" s="6">
        <f t="shared" si="5"/>
        <v>225</v>
      </c>
      <c r="I248" s="15" t="b">
        <v>0</v>
      </c>
      <c r="J248" s="6">
        <f t="shared" si="6"/>
        <v>166</v>
      </c>
      <c r="K248" s="15" t="b">
        <v>0</v>
      </c>
      <c r="L248" s="14" t="s">
        <v>425</v>
      </c>
      <c r="M248" s="9"/>
      <c r="N248" s="16" t="str">
        <f t="shared" si="3"/>
        <v/>
      </c>
      <c r="O248" s="16" t="str">
        <f t="shared" si="4"/>
        <v/>
      </c>
      <c r="P248" s="16" t="s">
        <v>740</v>
      </c>
      <c r="Q248" s="16"/>
      <c r="R248" s="9"/>
    </row>
    <row r="249" ht="15.75" customHeight="1">
      <c r="A249" s="9"/>
      <c r="B249" s="10" t="s">
        <v>741</v>
      </c>
      <c r="C249" s="11" t="str">
        <f t="shared" si="1"/>
        <v>S-2</v>
      </c>
      <c r="D249" s="12" t="str">
        <f>IFERROR(__xludf.DUMMYFUNCTION("REGEXREPLACE(B249,""(.*):(.*)"", ""$1"")"),"S-2 Number of Slurs")</f>
        <v>S-2 Number of Slurs</v>
      </c>
      <c r="E249" s="12" t="str">
        <f t="shared" si="2"/>
        <v>Number of Slurs</v>
      </c>
      <c r="F249" s="14"/>
      <c r="G249" s="14" t="str">
        <f>IFERROR(__xludf.DUMMYFUNCTION("REGEXREPLACE(B249,""(.*): (.*)"", ""$2"")"),"The total number of notes marked with slurs in the piece (i.e. the number of notes indicated as notes with slurs in the MEI encoding) divided by the total number of pitched notes in the music.")</f>
        <v>The total number of notes marked with slurs in the piece (i.e. the number of notes indicated as notes with slurs in the MEI encoding) divided by the total number of pitched notes in the music.</v>
      </c>
      <c r="H249" s="6">
        <f t="shared" si="5"/>
        <v>225</v>
      </c>
      <c r="I249" s="15" t="b">
        <v>0</v>
      </c>
      <c r="J249" s="6">
        <f t="shared" si="6"/>
        <v>166</v>
      </c>
      <c r="K249" s="15" t="b">
        <v>0</v>
      </c>
      <c r="L249" s="14" t="s">
        <v>425</v>
      </c>
      <c r="M249" s="9"/>
      <c r="N249" s="16" t="str">
        <f t="shared" si="3"/>
        <v/>
      </c>
      <c r="O249" s="16" t="str">
        <f t="shared" si="4"/>
        <v/>
      </c>
      <c r="P249" s="16" t="s">
        <v>742</v>
      </c>
      <c r="Q249" s="16"/>
      <c r="R249" s="9"/>
    </row>
    <row r="250" ht="15.75" customHeight="1">
      <c r="A250" s="1"/>
      <c r="B250" s="2"/>
      <c r="C250" s="1"/>
      <c r="D250" s="3"/>
      <c r="E250" s="3"/>
      <c r="F250" s="3"/>
      <c r="G250" s="3"/>
      <c r="H250" s="4"/>
      <c r="I250" s="4"/>
      <c r="J250" s="4"/>
      <c r="K250" s="4"/>
      <c r="L250" s="3"/>
      <c r="M250" s="1"/>
      <c r="N250" s="2"/>
      <c r="O250" s="2"/>
      <c r="P250" s="2"/>
      <c r="Q250" s="2"/>
      <c r="R250" s="1"/>
    </row>
    <row r="251" ht="15.75" customHeight="1">
      <c r="A251" s="17"/>
      <c r="B251" s="18"/>
      <c r="C251" s="17"/>
      <c r="D251" s="19"/>
      <c r="E251" s="20"/>
      <c r="F251" s="20"/>
      <c r="G251" s="20"/>
      <c r="H251" s="21" t="s">
        <v>743</v>
      </c>
      <c r="I251" s="22"/>
      <c r="J251" s="22"/>
      <c r="K251" s="22"/>
      <c r="L251" s="23">
        <f>COUNTA(C4:C249)</f>
        <v>246</v>
      </c>
      <c r="M251" s="1"/>
      <c r="N251" s="2"/>
      <c r="O251" s="2"/>
      <c r="P251" s="2"/>
      <c r="Q251" s="2"/>
      <c r="R251" s="1"/>
    </row>
    <row r="252" ht="15.75" customHeight="1">
      <c r="A252" s="17"/>
      <c r="B252" s="18"/>
      <c r="C252" s="17"/>
      <c r="D252" s="19"/>
      <c r="E252" s="20"/>
      <c r="F252" s="20"/>
      <c r="G252" s="20"/>
      <c r="H252" s="24" t="s">
        <v>744</v>
      </c>
      <c r="L252" s="25">
        <f>COUNTIF(I4:I249,"TRUE")</f>
        <v>225</v>
      </c>
      <c r="M252" s="1"/>
      <c r="N252" s="2"/>
      <c r="O252" s="2"/>
      <c r="P252" s="2"/>
      <c r="Q252" s="2"/>
      <c r="R252" s="1"/>
    </row>
    <row r="253" ht="15.75" customHeight="1">
      <c r="A253" s="17"/>
      <c r="B253" s="18"/>
      <c r="C253" s="17"/>
      <c r="D253" s="19"/>
      <c r="E253" s="20"/>
      <c r="F253" s="20"/>
      <c r="G253" s="20"/>
      <c r="H253" s="26" t="s">
        <v>745</v>
      </c>
      <c r="I253" s="27"/>
      <c r="J253" s="27"/>
      <c r="K253" s="27"/>
      <c r="L253" s="28">
        <f>COUNTIF(K4:K249,"TRUE")</f>
        <v>166</v>
      </c>
      <c r="M253" s="1"/>
      <c r="N253" s="2"/>
      <c r="O253" s="2"/>
      <c r="P253" s="2"/>
      <c r="Q253" s="2"/>
      <c r="R253" s="1"/>
    </row>
    <row r="254" ht="15.75" customHeight="1">
      <c r="A254" s="17"/>
      <c r="B254" s="18"/>
      <c r="C254" s="17"/>
      <c r="D254" s="19"/>
      <c r="E254" s="20"/>
      <c r="F254" s="20"/>
      <c r="G254" s="20"/>
      <c r="H254" s="29"/>
      <c r="I254" s="30"/>
      <c r="L254" s="31"/>
      <c r="M254" s="1"/>
      <c r="N254" s="2"/>
      <c r="O254" s="2"/>
      <c r="P254" s="2"/>
      <c r="Q254" s="2"/>
      <c r="R254" s="1"/>
    </row>
  </sheetData>
  <mergeCells count="18">
    <mergeCell ref="C2:C3"/>
    <mergeCell ref="E2:E3"/>
    <mergeCell ref="F2:F3"/>
    <mergeCell ref="G2:G3"/>
    <mergeCell ref="H2:I2"/>
    <mergeCell ref="J2:K2"/>
    <mergeCell ref="L2:L3"/>
    <mergeCell ref="H251:K251"/>
    <mergeCell ref="H252:K252"/>
    <mergeCell ref="H253:K253"/>
    <mergeCell ref="I254:K254"/>
    <mergeCell ref="N2:N3"/>
    <mergeCell ref="O2:O3"/>
    <mergeCell ref="P2:P3"/>
    <mergeCell ref="Q2:Q3"/>
    <mergeCell ref="L17:L22"/>
    <mergeCell ref="L37:L40"/>
    <mergeCell ref="L41:L44"/>
  </mergeCells>
  <conditionalFormatting sqref="I4:I249">
    <cfRule type="expression" dxfId="0" priority="1">
      <formula>ISBLANK(F4)</formula>
    </cfRule>
  </conditionalFormatting>
  <conditionalFormatting sqref="I4:I249 K4:K249">
    <cfRule type="cellIs" dxfId="1" priority="2" operator="equal">
      <formula>"TRUE"</formula>
    </cfRule>
  </conditionalFormatting>
  <conditionalFormatting sqref="I4:I249 K4:K249">
    <cfRule type="cellIs" dxfId="2" priority="3" operator="equal">
      <formula>"FALSE"</formula>
    </cfRule>
  </conditionalFormatting>
  <conditionalFormatting sqref="H4:H249">
    <cfRule type="expression" dxfId="3" priority="4">
      <formula>NOT(I4)</formula>
    </cfRule>
  </conditionalFormatting>
  <conditionalFormatting sqref="J4:J249">
    <cfRule type="expression" dxfId="3" priority="5">
      <formula>NOT(K4)</formula>
    </cfRule>
  </conditionalFormatting>
  <printOptions gridLines="1" horizontalCentered="1"/>
  <pageMargins bottom="0.0" footer="0.0" header="0.0" left="0.0" right="0.0" top="0.0"/>
  <pageSetup fitToHeight="0" cellComments="atEnd" orientation="landscape" pageOrder="overThenDown" paperHeight="9in" paperWidth="16i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2.75"/>
    <col customWidth="1" min="3" max="17" width="26.38"/>
    <col customWidth="1" min="18" max="18" width="2.75"/>
  </cols>
  <sheetData>
    <row r="1">
      <c r="A1" s="32" t="s">
        <v>746</v>
      </c>
      <c r="B1" s="33"/>
      <c r="C1" s="33"/>
      <c r="D1" s="33"/>
      <c r="E1" s="33"/>
      <c r="F1" s="33"/>
      <c r="G1" s="33"/>
      <c r="H1" s="33"/>
      <c r="I1" s="33"/>
      <c r="J1" s="33"/>
      <c r="K1" s="33"/>
      <c r="L1" s="33"/>
      <c r="M1" s="33"/>
      <c r="N1" s="33"/>
      <c r="O1" s="33"/>
      <c r="P1" s="33"/>
      <c r="Q1" s="32">
        <v>1995.0</v>
      </c>
      <c r="R1" s="33"/>
    </row>
    <row r="2" ht="31.5" customHeight="1">
      <c r="A2" s="34"/>
      <c r="B2" s="35" t="str">
        <f>CONCATENATE("Album Names",CHAR(10),"(",COUNTA(C2:Q2),")")</f>
        <v>Album Names
(15)</v>
      </c>
      <c r="C2" s="36" t="s">
        <v>747</v>
      </c>
      <c r="D2" s="37" t="s">
        <v>748</v>
      </c>
      <c r="E2" s="38" t="s">
        <v>749</v>
      </c>
      <c r="F2" s="39" t="s">
        <v>750</v>
      </c>
      <c r="G2" s="40" t="s">
        <v>751</v>
      </c>
      <c r="H2" s="41" t="s">
        <v>752</v>
      </c>
      <c r="I2" s="42" t="s">
        <v>753</v>
      </c>
      <c r="J2" s="43" t="s">
        <v>754</v>
      </c>
      <c r="K2" s="44" t="s">
        <v>755</v>
      </c>
      <c r="L2" s="45" t="s">
        <v>756</v>
      </c>
      <c r="M2" s="46" t="s">
        <v>757</v>
      </c>
      <c r="N2" s="47" t="s">
        <v>758</v>
      </c>
      <c r="O2" s="48" t="s">
        <v>759</v>
      </c>
      <c r="P2" s="49" t="s">
        <v>760</v>
      </c>
      <c r="Q2" s="50" t="s">
        <v>761</v>
      </c>
      <c r="R2" s="51"/>
    </row>
    <row r="3" ht="31.5" customHeight="1">
      <c r="A3" s="34"/>
      <c r="B3" s="52" t="str">
        <f>CONCATENATE("Years",CHAR(10),"(",C3," - ",Q3,")")</f>
        <v>Years
(1973 - 1995)</v>
      </c>
      <c r="C3" s="53">
        <v>1973.0</v>
      </c>
      <c r="D3" s="54">
        <v>1974.0</v>
      </c>
      <c r="E3" s="55">
        <v>1974.0</v>
      </c>
      <c r="F3" s="56">
        <v>1975.0</v>
      </c>
      <c r="G3" s="57">
        <v>1976.0</v>
      </c>
      <c r="H3" s="58">
        <v>1977.0</v>
      </c>
      <c r="I3" s="59">
        <v>1978.0</v>
      </c>
      <c r="J3" s="60">
        <v>1980.0</v>
      </c>
      <c r="K3" s="61">
        <v>1980.0</v>
      </c>
      <c r="L3" s="62">
        <v>1982.0</v>
      </c>
      <c r="M3" s="63">
        <v>1984.0</v>
      </c>
      <c r="N3" s="64">
        <v>1986.0</v>
      </c>
      <c r="O3" s="65">
        <v>1989.0</v>
      </c>
      <c r="P3" s="66">
        <v>1991.0</v>
      </c>
      <c r="Q3" s="67">
        <v>1995.0</v>
      </c>
      <c r="R3" s="68"/>
    </row>
    <row r="4">
      <c r="A4" s="33"/>
      <c r="B4" s="35" t="str">
        <f>CONCATENATE("Songs",CHAR(10),"(",COUNTA(C4:Q21),")")</f>
        <v>Songs
(171)</v>
      </c>
      <c r="C4" s="69" t="s">
        <v>762</v>
      </c>
      <c r="D4" s="70" t="s">
        <v>763</v>
      </c>
      <c r="E4" s="71" t="s">
        <v>764</v>
      </c>
      <c r="F4" s="72" t="s">
        <v>765</v>
      </c>
      <c r="G4" s="73" t="s">
        <v>766</v>
      </c>
      <c r="H4" s="74" t="s">
        <v>767</v>
      </c>
      <c r="I4" s="75" t="s">
        <v>768</v>
      </c>
      <c r="J4" s="76" t="s">
        <v>769</v>
      </c>
      <c r="K4" s="77" t="s">
        <v>770</v>
      </c>
      <c r="L4" s="78" t="s">
        <v>771</v>
      </c>
      <c r="M4" s="79" t="s">
        <v>772</v>
      </c>
      <c r="N4" s="80" t="s">
        <v>773</v>
      </c>
      <c r="O4" s="81" t="s">
        <v>774</v>
      </c>
      <c r="P4" s="82" t="s">
        <v>760</v>
      </c>
      <c r="Q4" s="83" t="s">
        <v>775</v>
      </c>
      <c r="R4" s="33"/>
    </row>
    <row r="5">
      <c r="A5" s="33"/>
      <c r="C5" s="69" t="s">
        <v>776</v>
      </c>
      <c r="D5" s="70" t="s">
        <v>777</v>
      </c>
      <c r="E5" s="71" t="s">
        <v>778</v>
      </c>
      <c r="F5" s="72" t="s">
        <v>779</v>
      </c>
      <c r="G5" s="73" t="s">
        <v>780</v>
      </c>
      <c r="H5" s="74" t="s">
        <v>781</v>
      </c>
      <c r="I5" s="75" t="s">
        <v>782</v>
      </c>
      <c r="J5" s="76" t="s">
        <v>783</v>
      </c>
      <c r="K5" s="77" t="s">
        <v>784</v>
      </c>
      <c r="L5" s="78" t="s">
        <v>785</v>
      </c>
      <c r="M5" s="79" t="s">
        <v>786</v>
      </c>
      <c r="N5" s="80" t="s">
        <v>758</v>
      </c>
      <c r="O5" s="81" t="s">
        <v>787</v>
      </c>
      <c r="P5" s="82" t="s">
        <v>788</v>
      </c>
      <c r="Q5" s="83" t="s">
        <v>761</v>
      </c>
      <c r="R5" s="33"/>
    </row>
    <row r="6">
      <c r="A6" s="33"/>
      <c r="C6" s="69" t="s">
        <v>789</v>
      </c>
      <c r="D6" s="70" t="s">
        <v>790</v>
      </c>
      <c r="E6" s="71" t="s">
        <v>791</v>
      </c>
      <c r="F6" s="72" t="s">
        <v>792</v>
      </c>
      <c r="G6" s="73" t="s">
        <v>793</v>
      </c>
      <c r="H6" s="74" t="s">
        <v>749</v>
      </c>
      <c r="I6" s="75" t="s">
        <v>794</v>
      </c>
      <c r="J6" s="76" t="s">
        <v>795</v>
      </c>
      <c r="K6" s="77" t="s">
        <v>796</v>
      </c>
      <c r="L6" s="78" t="s">
        <v>797</v>
      </c>
      <c r="M6" s="79" t="s">
        <v>798</v>
      </c>
      <c r="N6" s="80" t="s">
        <v>799</v>
      </c>
      <c r="O6" s="81" t="s">
        <v>759</v>
      </c>
      <c r="P6" s="82" t="s">
        <v>800</v>
      </c>
      <c r="Q6" s="83" t="s">
        <v>801</v>
      </c>
      <c r="R6" s="33"/>
    </row>
    <row r="7">
      <c r="A7" s="33"/>
      <c r="C7" s="69" t="s">
        <v>802</v>
      </c>
      <c r="D7" s="70" t="s">
        <v>803</v>
      </c>
      <c r="E7" s="71" t="s">
        <v>804</v>
      </c>
      <c r="F7" s="72" t="s">
        <v>805</v>
      </c>
      <c r="G7" s="73" t="s">
        <v>806</v>
      </c>
      <c r="H7" s="74" t="s">
        <v>807</v>
      </c>
      <c r="I7" s="75" t="s">
        <v>808</v>
      </c>
      <c r="J7" s="76" t="s">
        <v>809</v>
      </c>
      <c r="K7" s="77" t="s">
        <v>810</v>
      </c>
      <c r="L7" s="78" t="s">
        <v>811</v>
      </c>
      <c r="M7" s="79" t="s">
        <v>812</v>
      </c>
      <c r="N7" s="80" t="s">
        <v>813</v>
      </c>
      <c r="O7" s="81" t="s">
        <v>814</v>
      </c>
      <c r="P7" s="82" t="s">
        <v>815</v>
      </c>
      <c r="Q7" s="83" t="s">
        <v>816</v>
      </c>
      <c r="R7" s="33"/>
    </row>
    <row r="8">
      <c r="A8" s="33"/>
      <c r="C8" s="69" t="s">
        <v>817</v>
      </c>
      <c r="D8" s="70" t="s">
        <v>818</v>
      </c>
      <c r="E8" s="71" t="s">
        <v>819</v>
      </c>
      <c r="F8" s="84" t="s">
        <v>820</v>
      </c>
      <c r="G8" s="73" t="s">
        <v>821</v>
      </c>
      <c r="H8" s="74" t="s">
        <v>822</v>
      </c>
      <c r="I8" s="75" t="s">
        <v>823</v>
      </c>
      <c r="J8" s="76" t="s">
        <v>824</v>
      </c>
      <c r="K8" s="77" t="s">
        <v>825</v>
      </c>
      <c r="L8" s="78" t="s">
        <v>826</v>
      </c>
      <c r="M8" s="79" t="s">
        <v>827</v>
      </c>
      <c r="N8" s="80" t="s">
        <v>828</v>
      </c>
      <c r="O8" s="81" t="s">
        <v>829</v>
      </c>
      <c r="P8" s="82" t="s">
        <v>830</v>
      </c>
      <c r="Q8" s="83" t="s">
        <v>831</v>
      </c>
      <c r="R8" s="33"/>
    </row>
    <row r="9">
      <c r="A9" s="33"/>
      <c r="C9" s="69" t="s">
        <v>832</v>
      </c>
      <c r="D9" s="70" t="s">
        <v>833</v>
      </c>
      <c r="E9" s="71" t="s">
        <v>834</v>
      </c>
      <c r="F9" s="72" t="s">
        <v>835</v>
      </c>
      <c r="G9" s="73" t="s">
        <v>836</v>
      </c>
      <c r="H9" s="74" t="s">
        <v>837</v>
      </c>
      <c r="I9" s="75" t="s">
        <v>838</v>
      </c>
      <c r="J9" s="76" t="s">
        <v>839</v>
      </c>
      <c r="K9" s="77" t="s">
        <v>840</v>
      </c>
      <c r="L9" s="78" t="s">
        <v>841</v>
      </c>
      <c r="M9" s="79" t="s">
        <v>842</v>
      </c>
      <c r="N9" s="80" t="s">
        <v>843</v>
      </c>
      <c r="O9" s="81" t="s">
        <v>844</v>
      </c>
      <c r="P9" s="82" t="s">
        <v>845</v>
      </c>
      <c r="Q9" s="83" t="s">
        <v>846</v>
      </c>
      <c r="R9" s="33"/>
    </row>
    <row r="10">
      <c r="A10" s="33"/>
      <c r="C10" s="69" t="s">
        <v>847</v>
      </c>
      <c r="D10" s="70" t="s">
        <v>848</v>
      </c>
      <c r="E10" s="71" t="s">
        <v>849</v>
      </c>
      <c r="F10" s="72" t="s">
        <v>850</v>
      </c>
      <c r="G10" s="73" t="s">
        <v>851</v>
      </c>
      <c r="H10" s="74" t="s">
        <v>852</v>
      </c>
      <c r="I10" s="75" t="s">
        <v>853</v>
      </c>
      <c r="J10" s="76" t="s">
        <v>854</v>
      </c>
      <c r="K10" s="77" t="s">
        <v>855</v>
      </c>
      <c r="L10" s="78" t="s">
        <v>856</v>
      </c>
      <c r="M10" s="79" t="s">
        <v>857</v>
      </c>
      <c r="N10" s="80" t="s">
        <v>858</v>
      </c>
      <c r="O10" s="81" t="s">
        <v>859</v>
      </c>
      <c r="P10" s="82" t="s">
        <v>860</v>
      </c>
      <c r="Q10" s="83" t="s">
        <v>861</v>
      </c>
      <c r="R10" s="33"/>
    </row>
    <row r="11">
      <c r="A11" s="33"/>
      <c r="C11" s="69" t="s">
        <v>862</v>
      </c>
      <c r="D11" s="70" t="s">
        <v>863</v>
      </c>
      <c r="E11" s="71" t="s">
        <v>864</v>
      </c>
      <c r="F11" s="72" t="s">
        <v>865</v>
      </c>
      <c r="G11" s="73" t="s">
        <v>866</v>
      </c>
      <c r="H11" s="74" t="s">
        <v>867</v>
      </c>
      <c r="I11" s="75" t="s">
        <v>868</v>
      </c>
      <c r="J11" s="76" t="s">
        <v>869</v>
      </c>
      <c r="K11" s="77" t="s">
        <v>870</v>
      </c>
      <c r="L11" s="78" t="s">
        <v>871</v>
      </c>
      <c r="M11" s="79" t="s">
        <v>872</v>
      </c>
      <c r="N11" s="80" t="s">
        <v>873</v>
      </c>
      <c r="O11" s="81" t="s">
        <v>874</v>
      </c>
      <c r="P11" s="82" t="s">
        <v>875</v>
      </c>
      <c r="Q11" s="83" t="s">
        <v>876</v>
      </c>
      <c r="R11" s="33"/>
    </row>
    <row r="12">
      <c r="A12" s="33"/>
      <c r="C12" s="69" t="s">
        <v>877</v>
      </c>
      <c r="D12" s="70" t="s">
        <v>878</v>
      </c>
      <c r="E12" s="71" t="s">
        <v>879</v>
      </c>
      <c r="F12" s="72" t="s">
        <v>880</v>
      </c>
      <c r="G12" s="73" t="s">
        <v>881</v>
      </c>
      <c r="H12" s="74" t="s">
        <v>882</v>
      </c>
      <c r="I12" s="75" t="s">
        <v>883</v>
      </c>
      <c r="J12" s="76" t="s">
        <v>884</v>
      </c>
      <c r="K12" s="77" t="s">
        <v>885</v>
      </c>
      <c r="L12" s="78" t="s">
        <v>886</v>
      </c>
      <c r="M12" s="79" t="s">
        <v>887</v>
      </c>
      <c r="N12" s="80" t="s">
        <v>888</v>
      </c>
      <c r="O12" s="81" t="s">
        <v>889</v>
      </c>
      <c r="P12" s="82" t="s">
        <v>890</v>
      </c>
      <c r="Q12" s="83" t="s">
        <v>891</v>
      </c>
      <c r="R12" s="33"/>
    </row>
    <row r="13">
      <c r="A13" s="33"/>
      <c r="C13" s="69" t="s">
        <v>892</v>
      </c>
      <c r="D13" s="70" t="s">
        <v>893</v>
      </c>
      <c r="E13" s="71" t="s">
        <v>894</v>
      </c>
      <c r="F13" s="72" t="s">
        <v>895</v>
      </c>
      <c r="G13" s="73" t="s">
        <v>896</v>
      </c>
      <c r="H13" s="74" t="s">
        <v>897</v>
      </c>
      <c r="I13" s="75" t="s">
        <v>898</v>
      </c>
      <c r="J13" s="76" t="s">
        <v>899</v>
      </c>
      <c r="K13" s="77" t="s">
        <v>900</v>
      </c>
      <c r="L13" s="78" t="s">
        <v>901</v>
      </c>
      <c r="M13" s="85"/>
      <c r="N13" s="86"/>
      <c r="O13" s="81" t="s">
        <v>902</v>
      </c>
      <c r="P13" s="82" t="s">
        <v>903</v>
      </c>
      <c r="Q13" s="83" t="s">
        <v>904</v>
      </c>
      <c r="R13" s="33"/>
    </row>
    <row r="14">
      <c r="A14" s="33"/>
      <c r="C14" s="87"/>
      <c r="D14" s="70" t="s">
        <v>905</v>
      </c>
      <c r="E14" s="71" t="s">
        <v>906</v>
      </c>
      <c r="F14" s="72" t="s">
        <v>907</v>
      </c>
      <c r="G14" s="88"/>
      <c r="H14" s="74" t="s">
        <v>908</v>
      </c>
      <c r="I14" s="75" t="s">
        <v>909</v>
      </c>
      <c r="J14" s="89"/>
      <c r="K14" s="77" t="s">
        <v>910</v>
      </c>
      <c r="L14" s="78" t="s">
        <v>911</v>
      </c>
      <c r="M14" s="85"/>
      <c r="N14" s="86"/>
      <c r="O14" s="90"/>
      <c r="P14" s="82" t="s">
        <v>912</v>
      </c>
      <c r="Q14" s="83" t="s">
        <v>913</v>
      </c>
      <c r="R14" s="33"/>
    </row>
    <row r="15">
      <c r="A15" s="33"/>
      <c r="C15" s="87"/>
      <c r="D15" s="91"/>
      <c r="E15" s="71" t="s">
        <v>914</v>
      </c>
      <c r="F15" s="72" t="s">
        <v>915</v>
      </c>
      <c r="G15" s="88"/>
      <c r="H15" s="92"/>
      <c r="I15" s="75" t="s">
        <v>916</v>
      </c>
      <c r="J15" s="89"/>
      <c r="K15" s="77" t="s">
        <v>917</v>
      </c>
      <c r="L15" s="93"/>
      <c r="M15" s="85"/>
      <c r="N15" s="86"/>
      <c r="O15" s="90"/>
      <c r="P15" s="82" t="s">
        <v>918</v>
      </c>
      <c r="Q15" s="83" t="s">
        <v>919</v>
      </c>
      <c r="R15" s="33"/>
    </row>
    <row r="16">
      <c r="A16" s="33"/>
      <c r="C16" s="87"/>
      <c r="D16" s="91"/>
      <c r="E16" s="94"/>
      <c r="F16" s="95"/>
      <c r="G16" s="88"/>
      <c r="H16" s="92"/>
      <c r="I16" s="75" t="s">
        <v>920</v>
      </c>
      <c r="J16" s="89"/>
      <c r="K16" s="77" t="s">
        <v>921</v>
      </c>
      <c r="L16" s="93"/>
      <c r="M16" s="85"/>
      <c r="N16" s="86"/>
      <c r="O16" s="90"/>
      <c r="P16" s="96"/>
      <c r="Q16" s="83" t="s">
        <v>922</v>
      </c>
      <c r="R16" s="33"/>
    </row>
    <row r="17">
      <c r="A17" s="33"/>
      <c r="C17" s="87"/>
      <c r="D17" s="91"/>
      <c r="E17" s="94"/>
      <c r="F17" s="95"/>
      <c r="G17" s="88"/>
      <c r="H17" s="92"/>
      <c r="I17" s="97"/>
      <c r="J17" s="89"/>
      <c r="K17" s="77" t="s">
        <v>923</v>
      </c>
      <c r="L17" s="93"/>
      <c r="M17" s="85"/>
      <c r="N17" s="86"/>
      <c r="O17" s="90"/>
      <c r="P17" s="96"/>
      <c r="Q17" s="98"/>
      <c r="R17" s="33"/>
    </row>
    <row r="18">
      <c r="A18" s="33"/>
      <c r="C18" s="87"/>
      <c r="D18" s="91"/>
      <c r="E18" s="94"/>
      <c r="F18" s="95"/>
      <c r="G18" s="88"/>
      <c r="H18" s="92"/>
      <c r="I18" s="97"/>
      <c r="J18" s="89"/>
      <c r="K18" s="77" t="s">
        <v>924</v>
      </c>
      <c r="L18" s="93"/>
      <c r="M18" s="85"/>
      <c r="N18" s="86"/>
      <c r="O18" s="90"/>
      <c r="P18" s="96"/>
      <c r="Q18" s="98"/>
      <c r="R18" s="33"/>
    </row>
    <row r="19">
      <c r="A19" s="33"/>
      <c r="C19" s="87"/>
      <c r="D19" s="91"/>
      <c r="E19" s="94"/>
      <c r="F19" s="95"/>
      <c r="G19" s="88"/>
      <c r="H19" s="92"/>
      <c r="I19" s="97"/>
      <c r="J19" s="89"/>
      <c r="K19" s="77" t="s">
        <v>925</v>
      </c>
      <c r="L19" s="93"/>
      <c r="M19" s="85"/>
      <c r="N19" s="86"/>
      <c r="O19" s="90"/>
      <c r="P19" s="96"/>
      <c r="Q19" s="98"/>
      <c r="R19" s="33"/>
    </row>
    <row r="20">
      <c r="A20" s="33"/>
      <c r="C20" s="87"/>
      <c r="D20" s="91"/>
      <c r="E20" s="94"/>
      <c r="F20" s="95"/>
      <c r="G20" s="88"/>
      <c r="H20" s="92"/>
      <c r="I20" s="97"/>
      <c r="J20" s="89"/>
      <c r="K20" s="77" t="s">
        <v>926</v>
      </c>
      <c r="L20" s="93"/>
      <c r="M20" s="85"/>
      <c r="N20" s="86"/>
      <c r="O20" s="90"/>
      <c r="P20" s="96"/>
      <c r="Q20" s="98"/>
      <c r="R20" s="33"/>
    </row>
    <row r="21">
      <c r="A21" s="33"/>
      <c r="C21" s="87"/>
      <c r="D21" s="91"/>
      <c r="E21" s="94"/>
      <c r="F21" s="95"/>
      <c r="G21" s="88"/>
      <c r="H21" s="92"/>
      <c r="I21" s="97"/>
      <c r="J21" s="89"/>
      <c r="K21" s="77" t="s">
        <v>927</v>
      </c>
      <c r="L21" s="93"/>
      <c r="M21" s="85"/>
      <c r="N21" s="86"/>
      <c r="O21" s="90"/>
      <c r="P21" s="96"/>
      <c r="Q21" s="98"/>
      <c r="R21" s="33"/>
    </row>
    <row r="22">
      <c r="A22" s="33"/>
      <c r="B22" s="99"/>
      <c r="C22" s="33"/>
      <c r="D22" s="33"/>
      <c r="E22" s="33"/>
      <c r="F22" s="33"/>
      <c r="G22" s="33"/>
      <c r="H22" s="33"/>
      <c r="I22" s="33"/>
      <c r="J22" s="33"/>
      <c r="K22" s="33"/>
      <c r="L22" s="33"/>
      <c r="M22" s="33"/>
      <c r="N22" s="33"/>
      <c r="O22" s="33"/>
      <c r="P22" s="33"/>
      <c r="Q22" s="33"/>
      <c r="R22" s="33"/>
    </row>
  </sheetData>
  <mergeCells count="1">
    <mergeCell ref="B4:B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2.75"/>
    <col customWidth="1" min="3" max="3" width="24.63"/>
    <col customWidth="1" min="4" max="4" width="30.25"/>
    <col customWidth="1" min="5" max="5" width="16.75"/>
    <col customWidth="1" min="6" max="6" width="2.75"/>
    <col customWidth="1" min="7" max="7" width="19.13"/>
    <col customWidth="1" min="8" max="8" width="5.0"/>
    <col customWidth="1" min="9" max="9" width="2.75"/>
  </cols>
  <sheetData>
    <row r="1">
      <c r="A1" s="32" t="s">
        <v>746</v>
      </c>
      <c r="B1" s="33"/>
      <c r="C1" s="33"/>
      <c r="D1" s="33"/>
      <c r="E1" s="33"/>
      <c r="F1" s="33"/>
      <c r="G1" s="33"/>
      <c r="H1" s="33"/>
      <c r="I1" s="33"/>
    </row>
    <row r="2" ht="31.5" customHeight="1">
      <c r="A2" s="34"/>
      <c r="B2" s="35"/>
      <c r="C2" s="35" t="s">
        <v>928</v>
      </c>
      <c r="F2" s="51"/>
      <c r="G2" s="100" t="s">
        <v>929</v>
      </c>
      <c r="H2" s="101"/>
      <c r="I2" s="51"/>
    </row>
    <row r="3" ht="31.5" customHeight="1">
      <c r="A3" s="34"/>
      <c r="B3" s="52"/>
      <c r="C3" s="102" t="s">
        <v>930</v>
      </c>
      <c r="D3" s="102" t="s">
        <v>931</v>
      </c>
      <c r="E3" s="102" t="s">
        <v>932</v>
      </c>
      <c r="F3" s="68"/>
      <c r="G3" s="103"/>
      <c r="H3" s="104"/>
      <c r="I3" s="51"/>
    </row>
    <row r="4">
      <c r="A4" s="33"/>
      <c r="B4" s="35" t="str">
        <f>CONCATENATE("Songs",CHAR(10),"(",COUNTA(C4:C66),")")</f>
        <v>Songs
(63)</v>
      </c>
      <c r="C4" s="105" t="s">
        <v>933</v>
      </c>
      <c r="D4" s="106" t="s">
        <v>934</v>
      </c>
      <c r="E4" s="105" t="str">
        <f>IF(COUNTIF('Queen Discography'!$C$4:$C$21,C4)&gt;0,"Queen",
IF(COUNTIF('Queen Discography'!$D$4:$D$21,C4)&gt;0,"Queen II",
IF(COUNTIF('Queen Discography'!$E$4:$E$21,C4)&gt;0,"Sheer Heart Attack",
IF(COUNTIF('Queen Discography'!$F$4:$F$21,C4)&gt;0,"A Night At The Opera",
IF(COUNTIF('Queen Discography'!$G$4:$G$21,C4)&gt;0,"A Day At The Races",
IF(COUNTIF('Queen Discography'!$H$4:$H$21,C4)&gt;0,"News Of The World",
IF(COUNTIF('Queen Discography'!$I$4:$I$21,C4)&gt;0,"Jazz",
IF(COUNTIF('Queen Discography'!$J$4:$J$21,C4)&gt;0,"The Game",
IF(COUNTIF('Queen Discography'!$K$4:$K$21,C4)&gt;0,"Flash Gordon",
IF(COUNTIF('Queen Discography'!$L$4:$L$21,C4)&gt;0,"Hot Space",
IF(COUNTIF('Queen Discography'!$M$4:$M$21,C4)&gt;0,"The Works",
IF(COUNTIF('Queen Discography'!$N$4:$N$21,C4)&gt;0,"A Kind Of Magic",
IF(COUNTIF('Queen Discography'!$O$4:$O$21,C4)&gt;0,"The Miracle",
IF(COUNTIF('Queen Discography'!$P$4:$P$21,C4)&gt;0,"Innuendo",
IF(COUNTIF('Queen Discography'!$Q$4:$Q$21,C4)&gt;0,"Made In Heaven","NOT FOUND")))))))))))))))</f>
        <v>A Day At The Races</v>
      </c>
      <c r="F4" s="33"/>
      <c r="G4" s="107" t="s">
        <v>747</v>
      </c>
      <c r="H4" s="108">
        <f t="shared" ref="H4:H19" si="1">COUNTIF($E$4:$E$66,G4)</f>
        <v>4</v>
      </c>
      <c r="I4" s="33"/>
    </row>
    <row r="5">
      <c r="A5" s="33"/>
      <c r="C5" s="105" t="s">
        <v>851</v>
      </c>
      <c r="D5" s="109" t="s">
        <v>935</v>
      </c>
      <c r="E5" s="105" t="str">
        <f>IF(COUNTIF('Queen Discography'!$C$4:$C$21,C5)&gt;0,"Queen",
IF(COUNTIF('Queen Discography'!$D$4:$D$21,C5)&gt;0,"Queen II",
IF(COUNTIF('Queen Discography'!$E$4:$E$21,C5)&gt;0,"Sheer Heart Attack",
IF(COUNTIF('Queen Discography'!$F$4:$F$21,C5)&gt;0,"A Night At The Opera",
IF(COUNTIF('Queen Discography'!$G$4:$G$21,C5)&gt;0,"A Day At The Races",
IF(COUNTIF('Queen Discography'!$H$4:$H$21,C5)&gt;0,"News Of The World",
IF(COUNTIF('Queen Discography'!$I$4:$I$21,C5)&gt;0,"Jazz",
IF(COUNTIF('Queen Discography'!$J$4:$J$21,C5)&gt;0,"The Game",
IF(COUNTIF('Queen Discography'!$K$4:$K$21,C5)&gt;0,"Flash Gordon",
IF(COUNTIF('Queen Discography'!$L$4:$L$21,C5)&gt;0,"Hot Space",
IF(COUNTIF('Queen Discography'!$M$4:$M$21,C5)&gt;0,"The Works",
IF(COUNTIF('Queen Discography'!$N$4:$N$21,C5)&gt;0,"A Kind Of Magic",
IF(COUNTIF('Queen Discography'!$O$4:$O$21,C5)&gt;0,"The Miracle",
IF(COUNTIF('Queen Discography'!$P$4:$P$21,C5)&gt;0,"Innuendo",
IF(COUNTIF('Queen Discography'!$Q$4:$Q$21,C5)&gt;0,"Made In Heaven","NOT FOUND")))))))))))))))</f>
        <v>A Day At The Races</v>
      </c>
      <c r="F5" s="33"/>
      <c r="G5" s="107" t="s">
        <v>748</v>
      </c>
      <c r="H5" s="108">
        <f t="shared" si="1"/>
        <v>3</v>
      </c>
      <c r="I5" s="33"/>
    </row>
    <row r="6">
      <c r="A6" s="33"/>
      <c r="C6" s="110" t="s">
        <v>866</v>
      </c>
      <c r="D6" s="109" t="s">
        <v>936</v>
      </c>
      <c r="E6" s="105" t="str">
        <f>IF(COUNTIF('Queen Discography'!$C$4:$C$21,C6)&gt;0,"Queen",
IF(COUNTIF('Queen Discography'!$D$4:$D$21,C6)&gt;0,"Queen II",
IF(COUNTIF('Queen Discography'!$E$4:$E$21,C6)&gt;0,"Sheer Heart Attack",
IF(COUNTIF('Queen Discography'!$F$4:$F$21,C6)&gt;0,"A Night At The Opera",
IF(COUNTIF('Queen Discography'!$G$4:$G$21,C6)&gt;0,"A Day At The Races",
IF(COUNTIF('Queen Discography'!$H$4:$H$21,C6)&gt;0,"News Of The World",
IF(COUNTIF('Queen Discography'!$I$4:$I$21,C6)&gt;0,"Jazz",
IF(COUNTIF('Queen Discography'!$J$4:$J$21,C6)&gt;0,"The Game",
IF(COUNTIF('Queen Discography'!$K$4:$K$21,C6)&gt;0,"Flash Gordon",
IF(COUNTIF('Queen Discography'!$L$4:$L$21,C6)&gt;0,"Hot Space",
IF(COUNTIF('Queen Discography'!$M$4:$M$21,C6)&gt;0,"The Works",
IF(COUNTIF('Queen Discography'!$N$4:$N$21,C6)&gt;0,"A Kind Of Magic",
IF(COUNTIF('Queen Discography'!$O$4:$O$21,C6)&gt;0,"The Miracle",
IF(COUNTIF('Queen Discography'!$P$4:$P$21,C6)&gt;0,"Innuendo",
IF(COUNTIF('Queen Discography'!$Q$4:$Q$21,C6)&gt;0,"Made In Heaven","NOT FOUND")))))))))))))))</f>
        <v>A Day At The Races</v>
      </c>
      <c r="F6" s="33"/>
      <c r="G6" s="107" t="s">
        <v>749</v>
      </c>
      <c r="H6" s="108">
        <f t="shared" si="1"/>
        <v>2</v>
      </c>
      <c r="I6" s="33"/>
    </row>
    <row r="7">
      <c r="A7" s="33"/>
      <c r="C7" s="105" t="s">
        <v>937</v>
      </c>
      <c r="D7" s="109" t="s">
        <v>938</v>
      </c>
      <c r="E7" s="105" t="str">
        <f>IF(COUNTIF('Queen Discography'!$C$4:$C$21,C7)&gt;0,"Queen",
IF(COUNTIF('Queen Discography'!$D$4:$D$21,C7)&gt;0,"Queen II",
IF(COUNTIF('Queen Discography'!$E$4:$E$21,C7)&gt;0,"Sheer Heart Attack",
IF(COUNTIF('Queen Discography'!$F$4:$F$21,C7)&gt;0,"A Night At The Opera",
IF(COUNTIF('Queen Discography'!$G$4:$G$21,C7)&gt;0,"A Day At The Races",
IF(COUNTIF('Queen Discography'!$H$4:$H$21,C7)&gt;0,"News Of The World",
IF(COUNTIF('Queen Discography'!$I$4:$I$21,C7)&gt;0,"Jazz",
IF(COUNTIF('Queen Discography'!$J$4:$J$21,C7)&gt;0,"The Game",
IF(COUNTIF('Queen Discography'!$K$4:$K$21,C7)&gt;0,"Flash Gordon",
IF(COUNTIF('Queen Discography'!$L$4:$L$21,C7)&gt;0,"Hot Space",
IF(COUNTIF('Queen Discography'!$M$4:$M$21,C7)&gt;0,"The Works",
IF(COUNTIF('Queen Discography'!$N$4:$N$21,C7)&gt;0,"A Kind Of Magic",
IF(COUNTIF('Queen Discography'!$O$4:$O$21,C7)&gt;0,"The Miracle",
IF(COUNTIF('Queen Discography'!$P$4:$P$21,C7)&gt;0,"Innuendo",
IF(COUNTIF('Queen Discography'!$Q$4:$Q$21,C7)&gt;0,"Made In Heaven","NOT FOUND")))))))))))))))</f>
        <v>A Kind Of Magic</v>
      </c>
      <c r="F7" s="33"/>
      <c r="G7" s="107" t="s">
        <v>750</v>
      </c>
      <c r="H7" s="108">
        <f t="shared" si="1"/>
        <v>5</v>
      </c>
      <c r="I7" s="33"/>
    </row>
    <row r="8">
      <c r="A8" s="33"/>
      <c r="C8" s="105" t="s">
        <v>828</v>
      </c>
      <c r="D8" s="109" t="s">
        <v>939</v>
      </c>
      <c r="E8" s="105" t="str">
        <f>IF(COUNTIF('Queen Discography'!$C$4:$C$21,C8)&gt;0,"Queen",
IF(COUNTIF('Queen Discography'!$D$4:$D$21,C8)&gt;0,"Queen II",
IF(COUNTIF('Queen Discography'!$E$4:$E$21,C8)&gt;0,"Sheer Heart Attack",
IF(COUNTIF('Queen Discography'!$F$4:$F$21,C8)&gt;0,"A Night At The Opera",
IF(COUNTIF('Queen Discography'!$G$4:$G$21,C8)&gt;0,"A Day At The Races",
IF(COUNTIF('Queen Discography'!$H$4:$H$21,C8)&gt;0,"News Of The World",
IF(COUNTIF('Queen Discography'!$I$4:$I$21,C8)&gt;0,"Jazz",
IF(COUNTIF('Queen Discography'!$J$4:$J$21,C8)&gt;0,"The Game",
IF(COUNTIF('Queen Discography'!$K$4:$K$21,C8)&gt;0,"Flash Gordon",
IF(COUNTIF('Queen Discography'!$L$4:$L$21,C8)&gt;0,"Hot Space",
IF(COUNTIF('Queen Discography'!$M$4:$M$21,C8)&gt;0,"The Works",
IF(COUNTIF('Queen Discography'!$N$4:$N$21,C8)&gt;0,"A Kind Of Magic",
IF(COUNTIF('Queen Discography'!$O$4:$O$21,C8)&gt;0,"The Miracle",
IF(COUNTIF('Queen Discography'!$P$4:$P$21,C8)&gt;0,"Innuendo",
IF(COUNTIF('Queen Discography'!$Q$4:$Q$21,C8)&gt;0,"Made In Heaven","NOT FOUND")))))))))))))))</f>
        <v>A Kind Of Magic</v>
      </c>
      <c r="F8" s="33"/>
      <c r="G8" s="107" t="s">
        <v>751</v>
      </c>
      <c r="H8" s="108">
        <f t="shared" si="1"/>
        <v>3</v>
      </c>
      <c r="I8" s="33"/>
    </row>
    <row r="9">
      <c r="A9" s="33"/>
      <c r="C9" s="105" t="s">
        <v>940</v>
      </c>
      <c r="D9" s="109" t="s">
        <v>941</v>
      </c>
      <c r="E9" s="105" t="str">
        <f>IF(COUNTIF('Queen Discography'!$C$4:$C$21,C9)&gt;0,"Queen",
IF(COUNTIF('Queen Discography'!$D$4:$D$21,C9)&gt;0,"Queen II",
IF(COUNTIF('Queen Discography'!$E$4:$E$21,C9)&gt;0,"Sheer Heart Attack",
IF(COUNTIF('Queen Discography'!$F$4:$F$21,C9)&gt;0,"A Night At The Opera",
IF(COUNTIF('Queen Discography'!$G$4:$G$21,C9)&gt;0,"A Day At The Races",
IF(COUNTIF('Queen Discography'!$H$4:$H$21,C9)&gt;0,"News Of The World",
IF(COUNTIF('Queen Discography'!$I$4:$I$21,C9)&gt;0,"Jazz",
IF(COUNTIF('Queen Discography'!$J$4:$J$21,C9)&gt;0,"The Game",
IF(COUNTIF('Queen Discography'!$K$4:$K$21,C9)&gt;0,"Flash Gordon",
IF(COUNTIF('Queen Discography'!$L$4:$L$21,C9)&gt;0,"Hot Space",
IF(COUNTIF('Queen Discography'!$M$4:$M$21,C9)&gt;0,"The Works",
IF(COUNTIF('Queen Discography'!$N$4:$N$21,C9)&gt;0,"A Kind Of Magic",
IF(COUNTIF('Queen Discography'!$O$4:$O$21,C9)&gt;0,"The Miracle",
IF(COUNTIF('Queen Discography'!$P$4:$P$21,C9)&gt;0,"Innuendo",
IF(COUNTIF('Queen Discography'!$Q$4:$Q$21,C9)&gt;0,"Made In Heaven","NOT FOUND")))))))))))))))</f>
        <v>A Kind Of Magic</v>
      </c>
      <c r="F9" s="33"/>
      <c r="G9" s="107" t="s">
        <v>752</v>
      </c>
      <c r="H9" s="108">
        <f t="shared" si="1"/>
        <v>4</v>
      </c>
      <c r="I9" s="33"/>
    </row>
    <row r="10">
      <c r="A10" s="33"/>
      <c r="C10" s="105" t="s">
        <v>942</v>
      </c>
      <c r="D10" s="109" t="s">
        <v>943</v>
      </c>
      <c r="E10" s="105" t="str">
        <f>IF(COUNTIF('Queen Discography'!$C$4:$C$21,C10)&gt;0,"Queen",
IF(COUNTIF('Queen Discography'!$D$4:$D$21,C10)&gt;0,"Queen II",
IF(COUNTIF('Queen Discography'!$E$4:$E$21,C10)&gt;0,"Sheer Heart Attack",
IF(COUNTIF('Queen Discography'!$F$4:$F$21,C10)&gt;0,"A Night At The Opera",
IF(COUNTIF('Queen Discography'!$G$4:$G$21,C10)&gt;0,"A Day At The Races",
IF(COUNTIF('Queen Discography'!$H$4:$H$21,C10)&gt;0,"News Of The World",
IF(COUNTIF('Queen Discography'!$I$4:$I$21,C10)&gt;0,"Jazz",
IF(COUNTIF('Queen Discography'!$J$4:$J$21,C10)&gt;0,"The Game",
IF(COUNTIF('Queen Discography'!$K$4:$K$21,C10)&gt;0,"Flash Gordon",
IF(COUNTIF('Queen Discography'!$L$4:$L$21,C10)&gt;0,"Hot Space",
IF(COUNTIF('Queen Discography'!$M$4:$M$21,C10)&gt;0,"The Works",
IF(COUNTIF('Queen Discography'!$N$4:$N$21,C10)&gt;0,"A Kind Of Magic",
IF(COUNTIF('Queen Discography'!$O$4:$O$21,C10)&gt;0,"The Miracle",
IF(COUNTIF('Queen Discography'!$P$4:$P$21,C10)&gt;0,"Innuendo",
IF(COUNTIF('Queen Discography'!$Q$4:$Q$21,C10)&gt;0,"Made In Heaven","NOT FOUND")))))))))))))))</f>
        <v>A Kind Of Magic</v>
      </c>
      <c r="F10" s="33"/>
      <c r="G10" s="107" t="s">
        <v>753</v>
      </c>
      <c r="H10" s="108">
        <f t="shared" si="1"/>
        <v>5</v>
      </c>
      <c r="I10" s="33"/>
    </row>
    <row r="11">
      <c r="A11" s="33"/>
      <c r="C11" s="111" t="s">
        <v>944</v>
      </c>
      <c r="D11" s="109" t="s">
        <v>945</v>
      </c>
      <c r="E11" s="105" t="str">
        <f>IF(COUNTIF('Queen Discography'!$C$4:$C$21,C11)&gt;0,"Queen",
IF(COUNTIF('Queen Discography'!$D$4:$D$21,C11)&gt;0,"Queen II",
IF(COUNTIF('Queen Discography'!$E$4:$E$21,C11)&gt;0,"Sheer Heart Attack",
IF(COUNTIF('Queen Discography'!$F$4:$F$21,C11)&gt;0,"A Night At The Opera",
IF(COUNTIF('Queen Discography'!$G$4:$G$21,C11)&gt;0,"A Day At The Races",
IF(COUNTIF('Queen Discography'!$H$4:$H$21,C11)&gt;0,"News Of The World",
IF(COUNTIF('Queen Discography'!$I$4:$I$21,C11)&gt;0,"Jazz",
IF(COUNTIF('Queen Discography'!$J$4:$J$21,C11)&gt;0,"The Game",
IF(COUNTIF('Queen Discography'!$K$4:$K$21,C11)&gt;0,"Flash Gordon",
IF(COUNTIF('Queen Discography'!$L$4:$L$21,C11)&gt;0,"Hot Space",
IF(COUNTIF('Queen Discography'!$M$4:$M$21,C11)&gt;0,"The Works",
IF(COUNTIF('Queen Discography'!$N$4:$N$21,C11)&gt;0,"A Kind Of Magic",
IF(COUNTIF('Queen Discography'!$O$4:$O$21,C11)&gt;0,"The Miracle",
IF(COUNTIF('Queen Discography'!$P$4:$P$21,C11)&gt;0,"Innuendo",
IF(COUNTIF('Queen Discography'!$Q$4:$Q$21,C11)&gt;0,"Made In Heaven","NOT FOUND")))))))))))))))</f>
        <v>A Kind Of Magic</v>
      </c>
      <c r="F11" s="33"/>
      <c r="G11" s="107" t="s">
        <v>754</v>
      </c>
      <c r="H11" s="108">
        <f t="shared" si="1"/>
        <v>4</v>
      </c>
      <c r="I11" s="33"/>
    </row>
    <row r="12">
      <c r="A12" s="33"/>
      <c r="C12" s="105" t="s">
        <v>820</v>
      </c>
      <c r="D12" s="106" t="s">
        <v>946</v>
      </c>
      <c r="E12" s="105" t="str">
        <f>IF(COUNTIF('Queen Discography'!$C$4:$C$21,C12)&gt;0,"Queen",
IF(COUNTIF('Queen Discography'!$D$4:$D$21,C12)&gt;0,"Queen II",
IF(COUNTIF('Queen Discography'!$E$4:$E$21,C12)&gt;0,"Sheer Heart Attack",
IF(COUNTIF('Queen Discography'!$F$4:$F$21,C12)&gt;0,"A Night At The Opera",
IF(COUNTIF('Queen Discography'!$G$4:$G$21,C12)&gt;0,"A Day At The Races",
IF(COUNTIF('Queen Discography'!$H$4:$H$21,C12)&gt;0,"News Of The World",
IF(COUNTIF('Queen Discography'!$I$4:$I$21,C12)&gt;0,"Jazz",
IF(COUNTIF('Queen Discography'!$J$4:$J$21,C12)&gt;0,"The Game",
IF(COUNTIF('Queen Discography'!$K$4:$K$21,C12)&gt;0,"Flash Gordon",
IF(COUNTIF('Queen Discography'!$L$4:$L$21,C12)&gt;0,"Hot Space",
IF(COUNTIF('Queen Discography'!$M$4:$M$21,C12)&gt;0,"The Works",
IF(COUNTIF('Queen Discography'!$N$4:$N$21,C12)&gt;0,"A Kind Of Magic",
IF(COUNTIF('Queen Discography'!$O$4:$O$21,C12)&gt;0,"The Miracle",
IF(COUNTIF('Queen Discography'!$P$4:$P$21,C12)&gt;0,"Innuendo",
IF(COUNTIF('Queen Discography'!$Q$4:$Q$21,C12)&gt;0,"Made In Heaven","NOT FOUND")))))))))))))))</f>
        <v>A Night At The Opera</v>
      </c>
      <c r="F12" s="33"/>
      <c r="G12" s="107" t="s">
        <v>755</v>
      </c>
      <c r="H12" s="108">
        <f t="shared" si="1"/>
        <v>0</v>
      </c>
      <c r="I12" s="33"/>
    </row>
    <row r="13">
      <c r="A13" s="33"/>
      <c r="C13" s="105" t="s">
        <v>907</v>
      </c>
      <c r="D13" s="109" t="s">
        <v>947</v>
      </c>
      <c r="E13" s="105" t="str">
        <f>IF(COUNTIF('Queen Discography'!$C$4:$C$21,C13)&gt;0,"Queen",
IF(COUNTIF('Queen Discography'!$D$4:$D$21,C13)&gt;0,"Queen II",
IF(COUNTIF('Queen Discography'!$E$4:$E$21,C13)&gt;0,"Sheer Heart Attack",
IF(COUNTIF('Queen Discography'!$F$4:$F$21,C13)&gt;0,"A Night At The Opera",
IF(COUNTIF('Queen Discography'!$G$4:$G$21,C13)&gt;0,"A Day At The Races",
IF(COUNTIF('Queen Discography'!$H$4:$H$21,C13)&gt;0,"News Of The World",
IF(COUNTIF('Queen Discography'!$I$4:$I$21,C13)&gt;0,"Jazz",
IF(COUNTIF('Queen Discography'!$J$4:$J$21,C13)&gt;0,"The Game",
IF(COUNTIF('Queen Discography'!$K$4:$K$21,C13)&gt;0,"Flash Gordon",
IF(COUNTIF('Queen Discography'!$L$4:$L$21,C13)&gt;0,"Hot Space",
IF(COUNTIF('Queen Discography'!$M$4:$M$21,C13)&gt;0,"The Works",
IF(COUNTIF('Queen Discography'!$N$4:$N$21,C13)&gt;0,"A Kind Of Magic",
IF(COUNTIF('Queen Discography'!$O$4:$O$21,C13)&gt;0,"The Miracle",
IF(COUNTIF('Queen Discography'!$P$4:$P$21,C13)&gt;0,"Innuendo",
IF(COUNTIF('Queen Discography'!$Q$4:$Q$21,C13)&gt;0,"Made In Heaven","NOT FOUND")))))))))))))))</f>
        <v>A Night At The Opera</v>
      </c>
      <c r="F13" s="33"/>
      <c r="G13" s="107" t="s">
        <v>756</v>
      </c>
      <c r="H13" s="108">
        <f t="shared" si="1"/>
        <v>1</v>
      </c>
      <c r="I13" s="33"/>
    </row>
    <row r="14">
      <c r="A14" s="33"/>
      <c r="C14" s="105" t="s">
        <v>948</v>
      </c>
      <c r="D14" s="109" t="s">
        <v>949</v>
      </c>
      <c r="E14" s="105" t="str">
        <f>IF(COUNTIF('Queen Discography'!$C$4:$C$21,C14)&gt;0,"Queen",
IF(COUNTIF('Queen Discography'!$D$4:$D$21,C14)&gt;0,"Queen II",
IF(COUNTIF('Queen Discography'!$E$4:$E$21,C14)&gt;0,"Sheer Heart Attack",
IF(COUNTIF('Queen Discography'!$F$4:$F$21,C14)&gt;0,"A Night At The Opera",
IF(COUNTIF('Queen Discography'!$G$4:$G$21,C14)&gt;0,"A Day At The Races",
IF(COUNTIF('Queen Discography'!$H$4:$H$21,C14)&gt;0,"News Of The World",
IF(COUNTIF('Queen Discography'!$I$4:$I$21,C14)&gt;0,"Jazz",
IF(COUNTIF('Queen Discography'!$J$4:$J$21,C14)&gt;0,"The Game",
IF(COUNTIF('Queen Discography'!$K$4:$K$21,C14)&gt;0,"Flash Gordon",
IF(COUNTIF('Queen Discography'!$L$4:$L$21,C14)&gt;0,"Hot Space",
IF(COUNTIF('Queen Discography'!$M$4:$M$21,C14)&gt;0,"The Works",
IF(COUNTIF('Queen Discography'!$N$4:$N$21,C14)&gt;0,"A Kind Of Magic",
IF(COUNTIF('Queen Discography'!$O$4:$O$21,C14)&gt;0,"The Miracle",
IF(COUNTIF('Queen Discography'!$P$4:$P$21,C14)&gt;0,"Innuendo",
IF(COUNTIF('Queen Discography'!$Q$4:$Q$21,C14)&gt;0,"Made In Heaven","NOT FOUND")))))))))))))))</f>
        <v>A Night At The Opera</v>
      </c>
      <c r="F14" s="33"/>
      <c r="G14" s="107" t="s">
        <v>757</v>
      </c>
      <c r="H14" s="108">
        <f t="shared" si="1"/>
        <v>4</v>
      </c>
      <c r="I14" s="33"/>
    </row>
    <row r="15">
      <c r="A15" s="33"/>
      <c r="C15" s="105" t="s">
        <v>805</v>
      </c>
      <c r="D15" s="106" t="s">
        <v>950</v>
      </c>
      <c r="E15" s="105" t="str">
        <f>IF(COUNTIF('Queen Discography'!$C$4:$C$21,C15)&gt;0,"Queen",
IF(COUNTIF('Queen Discography'!$D$4:$D$21,C15)&gt;0,"Queen II",
IF(COUNTIF('Queen Discography'!$E$4:$E$21,C15)&gt;0,"Sheer Heart Attack",
IF(COUNTIF('Queen Discography'!$F$4:$F$21,C15)&gt;0,"A Night At The Opera",
IF(COUNTIF('Queen Discography'!$G$4:$G$21,C15)&gt;0,"A Day At The Races",
IF(COUNTIF('Queen Discography'!$H$4:$H$21,C15)&gt;0,"News Of The World",
IF(COUNTIF('Queen Discography'!$I$4:$I$21,C15)&gt;0,"Jazz",
IF(COUNTIF('Queen Discography'!$J$4:$J$21,C15)&gt;0,"The Game",
IF(COUNTIF('Queen Discography'!$K$4:$K$21,C15)&gt;0,"Flash Gordon",
IF(COUNTIF('Queen Discography'!$L$4:$L$21,C15)&gt;0,"Hot Space",
IF(COUNTIF('Queen Discography'!$M$4:$M$21,C15)&gt;0,"The Works",
IF(COUNTIF('Queen Discography'!$N$4:$N$21,C15)&gt;0,"A Kind Of Magic",
IF(COUNTIF('Queen Discography'!$O$4:$O$21,C15)&gt;0,"The Miracle",
IF(COUNTIF('Queen Discography'!$P$4:$P$21,C15)&gt;0,"Innuendo",
IF(COUNTIF('Queen Discography'!$Q$4:$Q$21,C15)&gt;0,"Made In Heaven","NOT FOUND")))))))))))))))</f>
        <v>A Night At The Opera</v>
      </c>
      <c r="F15" s="33"/>
      <c r="G15" s="107" t="s">
        <v>758</v>
      </c>
      <c r="H15" s="108">
        <f t="shared" si="1"/>
        <v>5</v>
      </c>
      <c r="I15" s="33"/>
    </row>
    <row r="16">
      <c r="A16" s="33"/>
      <c r="C16" s="112" t="s">
        <v>765</v>
      </c>
      <c r="D16" s="109" t="s">
        <v>951</v>
      </c>
      <c r="E16" s="105" t="str">
        <f>IF(COUNTIF('Queen Discography'!$C$4:$C$21,C16)&gt;0,"Queen",
IF(COUNTIF('Queen Discography'!$D$4:$D$21,C16)&gt;0,"Queen II",
IF(COUNTIF('Queen Discography'!$E$4:$E$21,C16)&gt;0,"Sheer Heart Attack",
IF(COUNTIF('Queen Discography'!$F$4:$F$21,C16)&gt;0,"A Night At The Opera",
IF(COUNTIF('Queen Discography'!$G$4:$G$21,C16)&gt;0,"A Day At The Races",
IF(COUNTIF('Queen Discography'!$H$4:$H$21,C16)&gt;0,"News Of The World",
IF(COUNTIF('Queen Discography'!$I$4:$I$21,C16)&gt;0,"Jazz",
IF(COUNTIF('Queen Discography'!$J$4:$J$21,C16)&gt;0,"The Game",
IF(COUNTIF('Queen Discography'!$K$4:$K$21,C16)&gt;0,"Flash Gordon",
IF(COUNTIF('Queen Discography'!$L$4:$L$21,C16)&gt;0,"Hot Space",
IF(COUNTIF('Queen Discography'!$M$4:$M$21,C16)&gt;0,"The Works",
IF(COUNTIF('Queen Discography'!$N$4:$N$21,C16)&gt;0,"A Kind Of Magic",
IF(COUNTIF('Queen Discography'!$O$4:$O$21,C16)&gt;0,"The Miracle",
IF(COUNTIF('Queen Discography'!$P$4:$P$21,C16)&gt;0,"Innuendo",
IF(COUNTIF('Queen Discography'!$Q$4:$Q$21,C16)&gt;0,"Made In Heaven","NOT FOUND")))))))))))))))</f>
        <v>A Night At The Opera</v>
      </c>
      <c r="F16" s="33"/>
      <c r="G16" s="107" t="s">
        <v>759</v>
      </c>
      <c r="H16" s="108">
        <f t="shared" si="1"/>
        <v>5</v>
      </c>
      <c r="I16" s="33"/>
    </row>
    <row r="17">
      <c r="A17" s="33"/>
      <c r="C17" s="105" t="s">
        <v>911</v>
      </c>
      <c r="D17" s="109" t="s">
        <v>952</v>
      </c>
      <c r="E17" s="105" t="str">
        <f>IF(COUNTIF('Queen Discography'!$C$4:$C$21,C17)&gt;0,"Queen",
IF(COUNTIF('Queen Discography'!$D$4:$D$21,C17)&gt;0,"Queen II",
IF(COUNTIF('Queen Discography'!$E$4:$E$21,C17)&gt;0,"Sheer Heart Attack",
IF(COUNTIF('Queen Discography'!$F$4:$F$21,C17)&gt;0,"A Night At The Opera",
IF(COUNTIF('Queen Discography'!$G$4:$G$21,C17)&gt;0,"A Day At The Races",
IF(COUNTIF('Queen Discography'!$H$4:$H$21,C17)&gt;0,"News Of The World",
IF(COUNTIF('Queen Discography'!$I$4:$I$21,C17)&gt;0,"Jazz",
IF(COUNTIF('Queen Discography'!$J$4:$J$21,C17)&gt;0,"The Game",
IF(COUNTIF('Queen Discography'!$K$4:$K$21,C17)&gt;0,"Flash Gordon",
IF(COUNTIF('Queen Discography'!$L$4:$L$21,C17)&gt;0,"Hot Space",
IF(COUNTIF('Queen Discography'!$M$4:$M$21,C17)&gt;0,"The Works",
IF(COUNTIF('Queen Discography'!$N$4:$N$21,C17)&gt;0,"A Kind Of Magic",
IF(COUNTIF('Queen Discography'!$O$4:$O$21,C17)&gt;0,"The Miracle",
IF(COUNTIF('Queen Discography'!$P$4:$P$21,C17)&gt;0,"Innuendo",
IF(COUNTIF('Queen Discography'!$Q$4:$Q$21,C17)&gt;0,"Made In Heaven","NOT FOUND")))))))))))))))</f>
        <v>Hot Space</v>
      </c>
      <c r="F17" s="33"/>
      <c r="G17" s="107" t="s">
        <v>760</v>
      </c>
      <c r="H17" s="108">
        <f t="shared" si="1"/>
        <v>9</v>
      </c>
      <c r="I17" s="33"/>
    </row>
    <row r="18">
      <c r="A18" s="33"/>
      <c r="C18" s="105" t="s">
        <v>860</v>
      </c>
      <c r="D18" s="106" t="s">
        <v>953</v>
      </c>
      <c r="E18" s="105" t="str">
        <f>IF(COUNTIF('Queen Discography'!$C$4:$C$21,C18)&gt;0,"Queen",
IF(COUNTIF('Queen Discography'!$D$4:$D$21,C18)&gt;0,"Queen II",
IF(COUNTIF('Queen Discography'!$E$4:$E$21,C18)&gt;0,"Sheer Heart Attack",
IF(COUNTIF('Queen Discography'!$F$4:$F$21,C18)&gt;0,"A Night At The Opera",
IF(COUNTIF('Queen Discography'!$G$4:$G$21,C18)&gt;0,"A Day At The Races",
IF(COUNTIF('Queen Discography'!$H$4:$H$21,C18)&gt;0,"News Of The World",
IF(COUNTIF('Queen Discography'!$I$4:$I$21,C18)&gt;0,"Jazz",
IF(COUNTIF('Queen Discography'!$J$4:$J$21,C18)&gt;0,"The Game",
IF(COUNTIF('Queen Discography'!$K$4:$K$21,C18)&gt;0,"Flash Gordon",
IF(COUNTIF('Queen Discography'!$L$4:$L$21,C18)&gt;0,"Hot Space",
IF(COUNTIF('Queen Discography'!$M$4:$M$21,C18)&gt;0,"The Works",
IF(COUNTIF('Queen Discography'!$N$4:$N$21,C18)&gt;0,"A Kind Of Magic",
IF(COUNTIF('Queen Discography'!$O$4:$O$21,C18)&gt;0,"The Miracle",
IF(COUNTIF('Queen Discography'!$P$4:$P$21,C18)&gt;0,"Innuendo",
IF(COUNTIF('Queen Discography'!$Q$4:$Q$21,C18)&gt;0,"Made In Heaven","NOT FOUND")))))))))))))))</f>
        <v>Innuendo</v>
      </c>
      <c r="F18" s="33"/>
      <c r="G18" s="107" t="s">
        <v>761</v>
      </c>
      <c r="H18" s="108">
        <f t="shared" si="1"/>
        <v>7</v>
      </c>
      <c r="I18" s="33"/>
    </row>
    <row r="19">
      <c r="A19" s="33"/>
      <c r="C19" s="105" t="s">
        <v>912</v>
      </c>
      <c r="D19" s="109" t="s">
        <v>954</v>
      </c>
      <c r="E19" s="105" t="str">
        <f>IF(COUNTIF('Queen Discography'!$C$4:$C$21,C19)&gt;0,"Queen",
IF(COUNTIF('Queen Discography'!$D$4:$D$21,C19)&gt;0,"Queen II",
IF(COUNTIF('Queen Discography'!$E$4:$E$21,C19)&gt;0,"Sheer Heart Attack",
IF(COUNTIF('Queen Discography'!$F$4:$F$21,C19)&gt;0,"A Night At The Opera",
IF(COUNTIF('Queen Discography'!$G$4:$G$21,C19)&gt;0,"A Day At The Races",
IF(COUNTIF('Queen Discography'!$H$4:$H$21,C19)&gt;0,"News Of The World",
IF(COUNTIF('Queen Discography'!$I$4:$I$21,C19)&gt;0,"Jazz",
IF(COUNTIF('Queen Discography'!$J$4:$J$21,C19)&gt;0,"The Game",
IF(COUNTIF('Queen Discography'!$K$4:$K$21,C19)&gt;0,"Flash Gordon",
IF(COUNTIF('Queen Discography'!$L$4:$L$21,C19)&gt;0,"Hot Space",
IF(COUNTIF('Queen Discography'!$M$4:$M$21,C19)&gt;0,"The Works",
IF(COUNTIF('Queen Discography'!$N$4:$N$21,C19)&gt;0,"A Kind Of Magic",
IF(COUNTIF('Queen Discography'!$O$4:$O$21,C19)&gt;0,"The Miracle",
IF(COUNTIF('Queen Discography'!$P$4:$P$21,C19)&gt;0,"Innuendo",
IF(COUNTIF('Queen Discography'!$Q$4:$Q$21,C19)&gt;0,"Made In Heaven","NOT FOUND")))))))))))))))</f>
        <v>Innuendo</v>
      </c>
      <c r="F19" s="33"/>
      <c r="G19" s="113" t="s">
        <v>955</v>
      </c>
      <c r="H19" s="108">
        <f t="shared" si="1"/>
        <v>2</v>
      </c>
      <c r="I19" s="33"/>
    </row>
    <row r="20">
      <c r="A20" s="33"/>
      <c r="C20" s="105" t="s">
        <v>830</v>
      </c>
      <c r="D20" s="106" t="s">
        <v>956</v>
      </c>
      <c r="E20" s="105" t="str">
        <f>IF(COUNTIF('Queen Discography'!$C$4:$C$21,C20)&gt;0,"Queen",
IF(COUNTIF('Queen Discography'!$D$4:$D$21,C20)&gt;0,"Queen II",
IF(COUNTIF('Queen Discography'!$E$4:$E$21,C20)&gt;0,"Sheer Heart Attack",
IF(COUNTIF('Queen Discography'!$F$4:$F$21,C20)&gt;0,"A Night At The Opera",
IF(COUNTIF('Queen Discography'!$G$4:$G$21,C20)&gt;0,"A Day At The Races",
IF(COUNTIF('Queen Discography'!$H$4:$H$21,C20)&gt;0,"News Of The World",
IF(COUNTIF('Queen Discography'!$I$4:$I$21,C20)&gt;0,"Jazz",
IF(COUNTIF('Queen Discography'!$J$4:$J$21,C20)&gt;0,"The Game",
IF(COUNTIF('Queen Discography'!$K$4:$K$21,C20)&gt;0,"Flash Gordon",
IF(COUNTIF('Queen Discography'!$L$4:$L$21,C20)&gt;0,"Hot Space",
IF(COUNTIF('Queen Discography'!$M$4:$M$21,C20)&gt;0,"The Works",
IF(COUNTIF('Queen Discography'!$N$4:$N$21,C20)&gt;0,"A Kind Of Magic",
IF(COUNTIF('Queen Discography'!$O$4:$O$21,C20)&gt;0,"The Miracle",
IF(COUNTIF('Queen Discography'!$P$4:$P$21,C20)&gt;0,"Innuendo",
IF(COUNTIF('Queen Discography'!$Q$4:$Q$21,C20)&gt;0,"Made In Heaven","NOT FOUND")))))))))))))))</f>
        <v>Innuendo</v>
      </c>
      <c r="F20" s="33"/>
      <c r="G20" s="114" t="s">
        <v>957</v>
      </c>
      <c r="H20" s="115">
        <f>SUM(H4:H19)</f>
        <v>63</v>
      </c>
      <c r="I20" s="33"/>
    </row>
    <row r="21">
      <c r="A21" s="33"/>
      <c r="C21" s="105" t="s">
        <v>800</v>
      </c>
      <c r="D21" s="109" t="s">
        <v>958</v>
      </c>
      <c r="E21" s="105" t="str">
        <f>IF(COUNTIF('Queen Discography'!$C$4:$C$21,C21)&gt;0,"Queen",
IF(COUNTIF('Queen Discography'!$D$4:$D$21,C21)&gt;0,"Queen II",
IF(COUNTIF('Queen Discography'!$E$4:$E$21,C21)&gt;0,"Sheer Heart Attack",
IF(COUNTIF('Queen Discography'!$F$4:$F$21,C21)&gt;0,"A Night At The Opera",
IF(COUNTIF('Queen Discography'!$G$4:$G$21,C21)&gt;0,"A Day At The Races",
IF(COUNTIF('Queen Discography'!$H$4:$H$21,C21)&gt;0,"News Of The World",
IF(COUNTIF('Queen Discography'!$I$4:$I$21,C21)&gt;0,"Jazz",
IF(COUNTIF('Queen Discography'!$J$4:$J$21,C21)&gt;0,"The Game",
IF(COUNTIF('Queen Discography'!$K$4:$K$21,C21)&gt;0,"Flash Gordon",
IF(COUNTIF('Queen Discography'!$L$4:$L$21,C21)&gt;0,"Hot Space",
IF(COUNTIF('Queen Discography'!$M$4:$M$21,C21)&gt;0,"The Works",
IF(COUNTIF('Queen Discography'!$N$4:$N$21,C21)&gt;0,"A Kind Of Magic",
IF(COUNTIF('Queen Discography'!$O$4:$O$21,C21)&gt;0,"The Miracle",
IF(COUNTIF('Queen Discography'!$P$4:$P$21,C21)&gt;0,"Innuendo",
IF(COUNTIF('Queen Discography'!$Q$4:$Q$21,C21)&gt;0,"Made In Heaven","NOT FOUND")))))))))))))))</f>
        <v>Innuendo</v>
      </c>
      <c r="F21" s="33"/>
      <c r="G21" s="33"/>
      <c r="H21" s="33"/>
      <c r="I21" s="33"/>
    </row>
    <row r="22">
      <c r="A22" s="33"/>
      <c r="C22" s="105" t="s">
        <v>815</v>
      </c>
      <c r="D22" s="106" t="s">
        <v>959</v>
      </c>
      <c r="E22" s="105" t="str">
        <f>IF(COUNTIF('Queen Discography'!$C$4:$C$21,C22)&gt;0,"Queen",
IF(COUNTIF('Queen Discography'!$D$4:$D$21,C22)&gt;0,"Queen II",
IF(COUNTIF('Queen Discography'!$E$4:$E$21,C22)&gt;0,"Sheer Heart Attack",
IF(COUNTIF('Queen Discography'!$F$4:$F$21,C22)&gt;0,"A Night At The Opera",
IF(COUNTIF('Queen Discography'!$G$4:$G$21,C22)&gt;0,"A Day At The Races",
IF(COUNTIF('Queen Discography'!$H$4:$H$21,C22)&gt;0,"News Of The World",
IF(COUNTIF('Queen Discography'!$I$4:$I$21,C22)&gt;0,"Jazz",
IF(COUNTIF('Queen Discography'!$J$4:$J$21,C22)&gt;0,"The Game",
IF(COUNTIF('Queen Discography'!$K$4:$K$21,C22)&gt;0,"Flash Gordon",
IF(COUNTIF('Queen Discography'!$L$4:$L$21,C22)&gt;0,"Hot Space",
IF(COUNTIF('Queen Discography'!$M$4:$M$21,C22)&gt;0,"The Works",
IF(COUNTIF('Queen Discography'!$N$4:$N$21,C22)&gt;0,"A Kind Of Magic",
IF(COUNTIF('Queen Discography'!$O$4:$O$21,C22)&gt;0,"The Miracle",
IF(COUNTIF('Queen Discography'!$P$4:$P$21,C22)&gt;0,"Innuendo",
IF(COUNTIF('Queen Discography'!$Q$4:$Q$21,C22)&gt;0,"Made In Heaven","NOT FOUND")))))))))))))))</f>
        <v>Innuendo</v>
      </c>
      <c r="F22" s="33"/>
      <c r="G22" s="33"/>
      <c r="H22" s="33"/>
      <c r="I22" s="33"/>
    </row>
    <row r="23">
      <c r="A23" s="33"/>
      <c r="C23" s="105" t="s">
        <v>788</v>
      </c>
      <c r="D23" s="106" t="s">
        <v>960</v>
      </c>
      <c r="E23" s="105" t="str">
        <f>IF(COUNTIF('Queen Discography'!$C$4:$C$21,C23)&gt;0,"Queen",
IF(COUNTIF('Queen Discography'!$D$4:$D$21,C23)&gt;0,"Queen II",
IF(COUNTIF('Queen Discography'!$E$4:$E$21,C23)&gt;0,"Sheer Heart Attack",
IF(COUNTIF('Queen Discography'!$F$4:$F$21,C23)&gt;0,"A Night At The Opera",
IF(COUNTIF('Queen Discography'!$G$4:$G$21,C23)&gt;0,"A Day At The Races",
IF(COUNTIF('Queen Discography'!$H$4:$H$21,C23)&gt;0,"News Of The World",
IF(COUNTIF('Queen Discography'!$I$4:$I$21,C23)&gt;0,"Jazz",
IF(COUNTIF('Queen Discography'!$J$4:$J$21,C23)&gt;0,"The Game",
IF(COUNTIF('Queen Discography'!$K$4:$K$21,C23)&gt;0,"Flash Gordon",
IF(COUNTIF('Queen Discography'!$L$4:$L$21,C23)&gt;0,"Hot Space",
IF(COUNTIF('Queen Discography'!$M$4:$M$21,C23)&gt;0,"The Works",
IF(COUNTIF('Queen Discography'!$N$4:$N$21,C23)&gt;0,"A Kind Of Magic",
IF(COUNTIF('Queen Discography'!$O$4:$O$21,C23)&gt;0,"The Miracle",
IF(COUNTIF('Queen Discography'!$P$4:$P$21,C23)&gt;0,"Innuendo",
IF(COUNTIF('Queen Discography'!$Q$4:$Q$21,C23)&gt;0,"Made In Heaven","NOT FOUND")))))))))))))))</f>
        <v>Innuendo</v>
      </c>
      <c r="F23" s="33"/>
      <c r="G23" s="33"/>
      <c r="H23" s="33"/>
      <c r="I23" s="33"/>
    </row>
    <row r="24">
      <c r="A24" s="33"/>
      <c r="C24" s="105" t="s">
        <v>760</v>
      </c>
      <c r="D24" s="109" t="s">
        <v>961</v>
      </c>
      <c r="E24" s="105" t="str">
        <f>IF(COUNTIF('Queen Discography'!$C$4:$C$21,C24)&gt;0,"Queen",
IF(COUNTIF('Queen Discography'!$D$4:$D$21,C24)&gt;0,"Queen II",
IF(COUNTIF('Queen Discography'!$E$4:$E$21,C24)&gt;0,"Sheer Heart Attack",
IF(COUNTIF('Queen Discography'!$F$4:$F$21,C24)&gt;0,"A Night At The Opera",
IF(COUNTIF('Queen Discography'!$G$4:$G$21,C24)&gt;0,"A Day At The Races",
IF(COUNTIF('Queen Discography'!$H$4:$H$21,C24)&gt;0,"News Of The World",
IF(COUNTIF('Queen Discography'!$I$4:$I$21,C24)&gt;0,"Jazz",
IF(COUNTIF('Queen Discography'!$J$4:$J$21,C24)&gt;0,"The Game",
IF(COUNTIF('Queen Discography'!$K$4:$K$21,C24)&gt;0,"Flash Gordon",
IF(COUNTIF('Queen Discography'!$L$4:$L$21,C24)&gt;0,"Hot Space",
IF(COUNTIF('Queen Discography'!$M$4:$M$21,C24)&gt;0,"The Works",
IF(COUNTIF('Queen Discography'!$N$4:$N$21,C24)&gt;0,"A Kind Of Magic",
IF(COUNTIF('Queen Discography'!$O$4:$O$21,C24)&gt;0,"The Miracle",
IF(COUNTIF('Queen Discography'!$P$4:$P$21,C24)&gt;0,"Innuendo",
IF(COUNTIF('Queen Discography'!$Q$4:$Q$21,C24)&gt;0,"Made In Heaven","NOT FOUND")))))))))))))))</f>
        <v>Innuendo</v>
      </c>
      <c r="F24" s="33"/>
      <c r="G24" s="33"/>
      <c r="H24" s="33"/>
      <c r="I24" s="33"/>
    </row>
    <row r="25">
      <c r="A25" s="33"/>
      <c r="C25" s="105" t="s">
        <v>918</v>
      </c>
      <c r="D25" s="109" t="s">
        <v>962</v>
      </c>
      <c r="E25" s="105" t="str">
        <f>IF(COUNTIF('Queen Discography'!$C$4:$C$21,C25)&gt;0,"Queen",
IF(COUNTIF('Queen Discography'!$D$4:$D$21,C25)&gt;0,"Queen II",
IF(COUNTIF('Queen Discography'!$E$4:$E$21,C25)&gt;0,"Sheer Heart Attack",
IF(COUNTIF('Queen Discography'!$F$4:$F$21,C25)&gt;0,"A Night At The Opera",
IF(COUNTIF('Queen Discography'!$G$4:$G$21,C25)&gt;0,"A Day At The Races",
IF(COUNTIF('Queen Discography'!$H$4:$H$21,C25)&gt;0,"News Of The World",
IF(COUNTIF('Queen Discography'!$I$4:$I$21,C25)&gt;0,"Jazz",
IF(COUNTIF('Queen Discography'!$J$4:$J$21,C25)&gt;0,"The Game",
IF(COUNTIF('Queen Discography'!$K$4:$K$21,C25)&gt;0,"Flash Gordon",
IF(COUNTIF('Queen Discography'!$L$4:$L$21,C25)&gt;0,"Hot Space",
IF(COUNTIF('Queen Discography'!$M$4:$M$21,C25)&gt;0,"The Works",
IF(COUNTIF('Queen Discography'!$N$4:$N$21,C25)&gt;0,"A Kind Of Magic",
IF(COUNTIF('Queen Discography'!$O$4:$O$21,C25)&gt;0,"The Miracle",
IF(COUNTIF('Queen Discography'!$P$4:$P$21,C25)&gt;0,"Innuendo",
IF(COUNTIF('Queen Discography'!$Q$4:$Q$21,C25)&gt;0,"Made In Heaven","NOT FOUND")))))))))))))))</f>
        <v>Innuendo</v>
      </c>
      <c r="F25" s="33"/>
      <c r="G25" s="33"/>
      <c r="H25" s="33"/>
      <c r="I25" s="33"/>
    </row>
    <row r="26">
      <c r="A26" s="33"/>
      <c r="C26" s="105" t="s">
        <v>963</v>
      </c>
      <c r="D26" s="109" t="s">
        <v>964</v>
      </c>
      <c r="E26" s="105" t="str">
        <f>IF(COUNTIF('Queen Discography'!$C$4:$C$21,C26)&gt;0,"Queen",
IF(COUNTIF('Queen Discography'!$D$4:$D$21,C26)&gt;0,"Queen II",
IF(COUNTIF('Queen Discography'!$E$4:$E$21,C26)&gt;0,"Sheer Heart Attack",
IF(COUNTIF('Queen Discography'!$F$4:$F$21,C26)&gt;0,"A Night At The Opera",
IF(COUNTIF('Queen Discography'!$G$4:$G$21,C26)&gt;0,"A Day At The Races",
IF(COUNTIF('Queen Discography'!$H$4:$H$21,C26)&gt;0,"News Of The World",
IF(COUNTIF('Queen Discography'!$I$4:$I$21,C26)&gt;0,"Jazz",
IF(COUNTIF('Queen Discography'!$J$4:$J$21,C26)&gt;0,"The Game",
IF(COUNTIF('Queen Discography'!$K$4:$K$21,C26)&gt;0,"Flash Gordon",
IF(COUNTIF('Queen Discography'!$L$4:$L$21,C26)&gt;0,"Hot Space",
IF(COUNTIF('Queen Discography'!$M$4:$M$21,C26)&gt;0,"The Works",
IF(COUNTIF('Queen Discography'!$N$4:$N$21,C26)&gt;0,"A Kind Of Magic",
IF(COUNTIF('Queen Discography'!$O$4:$O$21,C26)&gt;0,"The Miracle",
IF(COUNTIF('Queen Discography'!$P$4:$P$21,C26)&gt;0,"Innuendo",
IF(COUNTIF('Queen Discography'!$Q$4:$Q$21,C26)&gt;0,"Made In Heaven","NOT FOUND")))))))))))))))</f>
        <v>Innuendo</v>
      </c>
      <c r="F26" s="33"/>
      <c r="G26" s="33"/>
      <c r="H26" s="33"/>
      <c r="I26" s="33"/>
    </row>
    <row r="27">
      <c r="A27" s="33"/>
      <c r="C27" s="105" t="s">
        <v>808</v>
      </c>
      <c r="D27" s="109" t="s">
        <v>965</v>
      </c>
      <c r="E27" s="105" t="str">
        <f>IF(COUNTIF('Queen Discography'!$C$4:$C$21,C27)&gt;0,"Queen",
IF(COUNTIF('Queen Discography'!$D$4:$D$21,C27)&gt;0,"Queen II",
IF(COUNTIF('Queen Discography'!$E$4:$E$21,C27)&gt;0,"Sheer Heart Attack",
IF(COUNTIF('Queen Discography'!$F$4:$F$21,C27)&gt;0,"A Night At The Opera",
IF(COUNTIF('Queen Discography'!$G$4:$G$21,C27)&gt;0,"A Day At The Races",
IF(COUNTIF('Queen Discography'!$H$4:$H$21,C27)&gt;0,"News Of The World",
IF(COUNTIF('Queen Discography'!$I$4:$I$21,C27)&gt;0,"Jazz",
IF(COUNTIF('Queen Discography'!$J$4:$J$21,C27)&gt;0,"The Game",
IF(COUNTIF('Queen Discography'!$K$4:$K$21,C27)&gt;0,"Flash Gordon",
IF(COUNTIF('Queen Discography'!$L$4:$L$21,C27)&gt;0,"Hot Space",
IF(COUNTIF('Queen Discography'!$M$4:$M$21,C27)&gt;0,"The Works",
IF(COUNTIF('Queen Discography'!$N$4:$N$21,C27)&gt;0,"A Kind Of Magic",
IF(COUNTIF('Queen Discography'!$O$4:$O$21,C27)&gt;0,"The Miracle",
IF(COUNTIF('Queen Discography'!$P$4:$P$21,C27)&gt;0,"Innuendo",
IF(COUNTIF('Queen Discography'!$Q$4:$Q$21,C27)&gt;0,"Made In Heaven","NOT FOUND")))))))))))))))</f>
        <v>Jazz</v>
      </c>
      <c r="F27" s="33"/>
      <c r="G27" s="33"/>
      <c r="H27" s="33"/>
      <c r="I27" s="33"/>
    </row>
    <row r="28">
      <c r="A28" s="33"/>
      <c r="C28" s="105" t="s">
        <v>916</v>
      </c>
      <c r="D28" s="106" t="s">
        <v>966</v>
      </c>
      <c r="E28" s="105" t="str">
        <f>IF(COUNTIF('Queen Discography'!$C$4:$C$21,C28)&gt;0,"Queen",
IF(COUNTIF('Queen Discography'!$D$4:$D$21,C28)&gt;0,"Queen II",
IF(COUNTIF('Queen Discography'!$E$4:$E$21,C28)&gt;0,"Sheer Heart Attack",
IF(COUNTIF('Queen Discography'!$F$4:$F$21,C28)&gt;0,"A Night At The Opera",
IF(COUNTIF('Queen Discography'!$G$4:$G$21,C28)&gt;0,"A Day At The Races",
IF(COUNTIF('Queen Discography'!$H$4:$H$21,C28)&gt;0,"News Of The World",
IF(COUNTIF('Queen Discography'!$I$4:$I$21,C28)&gt;0,"Jazz",
IF(COUNTIF('Queen Discography'!$J$4:$J$21,C28)&gt;0,"The Game",
IF(COUNTIF('Queen Discography'!$K$4:$K$21,C28)&gt;0,"Flash Gordon",
IF(COUNTIF('Queen Discography'!$L$4:$L$21,C28)&gt;0,"Hot Space",
IF(COUNTIF('Queen Discography'!$M$4:$M$21,C28)&gt;0,"The Works",
IF(COUNTIF('Queen Discography'!$N$4:$N$21,C28)&gt;0,"A Kind Of Magic",
IF(COUNTIF('Queen Discography'!$O$4:$O$21,C28)&gt;0,"The Miracle",
IF(COUNTIF('Queen Discography'!$P$4:$P$21,C28)&gt;0,"Innuendo",
IF(COUNTIF('Queen Discography'!$Q$4:$Q$21,C28)&gt;0,"Made In Heaven","NOT FOUND")))))))))))))))</f>
        <v>Jazz</v>
      </c>
      <c r="F28" s="33"/>
      <c r="G28" s="33"/>
      <c r="H28" s="33"/>
      <c r="I28" s="33"/>
    </row>
    <row r="29">
      <c r="A29" s="33"/>
      <c r="C29" s="105" t="s">
        <v>782</v>
      </c>
      <c r="D29" s="109" t="s">
        <v>967</v>
      </c>
      <c r="E29" s="105" t="str">
        <f>IF(COUNTIF('Queen Discography'!$C$4:$C$21,C29)&gt;0,"Queen",
IF(COUNTIF('Queen Discography'!$D$4:$D$21,C29)&gt;0,"Queen II",
IF(COUNTIF('Queen Discography'!$E$4:$E$21,C29)&gt;0,"Sheer Heart Attack",
IF(COUNTIF('Queen Discography'!$F$4:$F$21,C29)&gt;0,"A Night At The Opera",
IF(COUNTIF('Queen Discography'!$G$4:$G$21,C29)&gt;0,"A Day At The Races",
IF(COUNTIF('Queen Discography'!$H$4:$H$21,C29)&gt;0,"News Of The World",
IF(COUNTIF('Queen Discography'!$I$4:$I$21,C29)&gt;0,"Jazz",
IF(COUNTIF('Queen Discography'!$J$4:$J$21,C29)&gt;0,"The Game",
IF(COUNTIF('Queen Discography'!$K$4:$K$21,C29)&gt;0,"Flash Gordon",
IF(COUNTIF('Queen Discography'!$L$4:$L$21,C29)&gt;0,"Hot Space",
IF(COUNTIF('Queen Discography'!$M$4:$M$21,C29)&gt;0,"The Works",
IF(COUNTIF('Queen Discography'!$N$4:$N$21,C29)&gt;0,"A Kind Of Magic",
IF(COUNTIF('Queen Discography'!$O$4:$O$21,C29)&gt;0,"The Miracle",
IF(COUNTIF('Queen Discography'!$P$4:$P$21,C29)&gt;0,"Innuendo",
IF(COUNTIF('Queen Discography'!$Q$4:$Q$21,C29)&gt;0,"Made In Heaven","NOT FOUND")))))))))))))))</f>
        <v>Jazz</v>
      </c>
      <c r="F29" s="33"/>
      <c r="G29" s="33"/>
      <c r="H29" s="33"/>
      <c r="I29" s="33"/>
    </row>
    <row r="30">
      <c r="A30" s="33"/>
      <c r="C30" s="105" t="s">
        <v>898</v>
      </c>
      <c r="D30" s="109" t="s">
        <v>968</v>
      </c>
      <c r="E30" s="105" t="str">
        <f>IF(COUNTIF('Queen Discography'!$C$4:$C$21,C30)&gt;0,"Queen",
IF(COUNTIF('Queen Discography'!$D$4:$D$21,C30)&gt;0,"Queen II",
IF(COUNTIF('Queen Discography'!$E$4:$E$21,C30)&gt;0,"Sheer Heart Attack",
IF(COUNTIF('Queen Discography'!$F$4:$F$21,C30)&gt;0,"A Night At The Opera",
IF(COUNTIF('Queen Discography'!$G$4:$G$21,C30)&gt;0,"A Day At The Races",
IF(COUNTIF('Queen Discography'!$H$4:$H$21,C30)&gt;0,"News Of The World",
IF(COUNTIF('Queen Discography'!$I$4:$I$21,C30)&gt;0,"Jazz",
IF(COUNTIF('Queen Discography'!$J$4:$J$21,C30)&gt;0,"The Game",
IF(COUNTIF('Queen Discography'!$K$4:$K$21,C30)&gt;0,"Flash Gordon",
IF(COUNTIF('Queen Discography'!$L$4:$L$21,C30)&gt;0,"Hot Space",
IF(COUNTIF('Queen Discography'!$M$4:$M$21,C30)&gt;0,"The Works",
IF(COUNTIF('Queen Discography'!$N$4:$N$21,C30)&gt;0,"A Kind Of Magic",
IF(COUNTIF('Queen Discography'!$O$4:$O$21,C30)&gt;0,"The Miracle",
IF(COUNTIF('Queen Discography'!$P$4:$P$21,C30)&gt;0,"Innuendo",
IF(COUNTIF('Queen Discography'!$Q$4:$Q$21,C30)&gt;0,"Made In Heaven","NOT FOUND")))))))))))))))</f>
        <v>Jazz</v>
      </c>
      <c r="F30" s="33"/>
      <c r="G30" s="33"/>
      <c r="H30" s="33"/>
      <c r="I30" s="33"/>
    </row>
    <row r="31">
      <c r="A31" s="33"/>
      <c r="C31" s="105" t="s">
        <v>868</v>
      </c>
      <c r="D31" s="109" t="s">
        <v>969</v>
      </c>
      <c r="E31" s="105" t="str">
        <f>IF(COUNTIF('Queen Discography'!$C$4:$C$21,C31)&gt;0,"Queen",
IF(COUNTIF('Queen Discography'!$D$4:$D$21,C31)&gt;0,"Queen II",
IF(COUNTIF('Queen Discography'!$E$4:$E$21,C31)&gt;0,"Sheer Heart Attack",
IF(COUNTIF('Queen Discography'!$F$4:$F$21,C31)&gt;0,"A Night At The Opera",
IF(COUNTIF('Queen Discography'!$G$4:$G$21,C31)&gt;0,"A Day At The Races",
IF(COUNTIF('Queen Discography'!$H$4:$H$21,C31)&gt;0,"News Of The World",
IF(COUNTIF('Queen Discography'!$I$4:$I$21,C31)&gt;0,"Jazz",
IF(COUNTIF('Queen Discography'!$J$4:$J$21,C31)&gt;0,"The Game",
IF(COUNTIF('Queen Discography'!$K$4:$K$21,C31)&gt;0,"Flash Gordon",
IF(COUNTIF('Queen Discography'!$L$4:$L$21,C31)&gt;0,"Hot Space",
IF(COUNTIF('Queen Discography'!$M$4:$M$21,C31)&gt;0,"The Works",
IF(COUNTIF('Queen Discography'!$N$4:$N$21,C31)&gt;0,"A Kind Of Magic",
IF(COUNTIF('Queen Discography'!$O$4:$O$21,C31)&gt;0,"The Miracle",
IF(COUNTIF('Queen Discography'!$P$4:$P$21,C31)&gt;0,"Innuendo",
IF(COUNTIF('Queen Discography'!$Q$4:$Q$21,C31)&gt;0,"Made In Heaven","NOT FOUND")))))))))))))))</f>
        <v>Jazz</v>
      </c>
      <c r="F31" s="33"/>
      <c r="G31" s="33"/>
      <c r="H31" s="33"/>
      <c r="I31" s="33"/>
    </row>
    <row r="32">
      <c r="A32" s="33"/>
      <c r="C32" s="105" t="s">
        <v>970</v>
      </c>
      <c r="D32" s="109" t="s">
        <v>971</v>
      </c>
      <c r="E32" s="105" t="str">
        <f>IF(COUNTIF('Queen Discography'!$C$4:$C$21,C32)&gt;0,"Queen",
IF(COUNTIF('Queen Discography'!$D$4:$D$21,C32)&gt;0,"Queen II",
IF(COUNTIF('Queen Discography'!$E$4:$E$21,C32)&gt;0,"Sheer Heart Attack",
IF(COUNTIF('Queen Discography'!$F$4:$F$21,C32)&gt;0,"A Night At The Opera",
IF(COUNTIF('Queen Discography'!$G$4:$G$21,C32)&gt;0,"A Day At The Races",
IF(COUNTIF('Queen Discography'!$H$4:$H$21,C32)&gt;0,"News Of The World",
IF(COUNTIF('Queen Discography'!$I$4:$I$21,C32)&gt;0,"Jazz",
IF(COUNTIF('Queen Discography'!$J$4:$J$21,C32)&gt;0,"The Game",
IF(COUNTIF('Queen Discography'!$K$4:$K$21,C32)&gt;0,"Flash Gordon",
IF(COUNTIF('Queen Discography'!$L$4:$L$21,C32)&gt;0,"Hot Space",
IF(COUNTIF('Queen Discography'!$M$4:$M$21,C32)&gt;0,"The Works",
IF(COUNTIF('Queen Discography'!$N$4:$N$21,C32)&gt;0,"A Kind Of Magic",
IF(COUNTIF('Queen Discography'!$O$4:$O$21,C32)&gt;0,"The Miracle",
IF(COUNTIF('Queen Discography'!$P$4:$P$21,C32)&gt;0,"Innuendo",
IF(COUNTIF('Queen Discography'!$Q$4:$Q$21,C32)&gt;0,"Made In Heaven","NOT FOUND")))))))))))))))</f>
        <v>Made In Heaven</v>
      </c>
      <c r="F32" s="33"/>
      <c r="G32" s="33"/>
      <c r="H32" s="33"/>
      <c r="I32" s="33"/>
    </row>
    <row r="33">
      <c r="A33" s="33"/>
      <c r="C33" s="105" t="s">
        <v>972</v>
      </c>
      <c r="D33" s="109" t="s">
        <v>973</v>
      </c>
      <c r="E33" s="105" t="str">
        <f>IF(COUNTIF('Queen Discography'!$C$4:$C$21,C33)&gt;0,"Queen",
IF(COUNTIF('Queen Discography'!$D$4:$D$21,C33)&gt;0,"Queen II",
IF(COUNTIF('Queen Discography'!$E$4:$E$21,C33)&gt;0,"Sheer Heart Attack",
IF(COUNTIF('Queen Discography'!$F$4:$F$21,C33)&gt;0,"A Night At The Opera",
IF(COUNTIF('Queen Discography'!$G$4:$G$21,C33)&gt;0,"A Day At The Races",
IF(COUNTIF('Queen Discography'!$H$4:$H$21,C33)&gt;0,"News Of The World",
IF(COUNTIF('Queen Discography'!$I$4:$I$21,C33)&gt;0,"Jazz",
IF(COUNTIF('Queen Discography'!$J$4:$J$21,C33)&gt;0,"The Game",
IF(COUNTIF('Queen Discography'!$K$4:$K$21,C33)&gt;0,"Flash Gordon",
IF(COUNTIF('Queen Discography'!$L$4:$L$21,C33)&gt;0,"Hot Space",
IF(COUNTIF('Queen Discography'!$M$4:$M$21,C33)&gt;0,"The Works",
IF(COUNTIF('Queen Discography'!$N$4:$N$21,C33)&gt;0,"A Kind Of Magic",
IF(COUNTIF('Queen Discography'!$O$4:$O$21,C33)&gt;0,"The Miracle",
IF(COUNTIF('Queen Discography'!$P$4:$P$21,C33)&gt;0,"Innuendo",
IF(COUNTIF('Queen Discography'!$Q$4:$Q$21,C33)&gt;0,"Made In Heaven","NOT FOUND")))))))))))))))</f>
        <v>Made In Heaven</v>
      </c>
      <c r="F33" s="33"/>
      <c r="G33" s="33"/>
      <c r="H33" s="33"/>
      <c r="I33" s="33"/>
    </row>
    <row r="34">
      <c r="A34" s="33"/>
      <c r="C34" s="105" t="s">
        <v>974</v>
      </c>
      <c r="D34" s="109" t="s">
        <v>975</v>
      </c>
      <c r="E34" s="105" t="str">
        <f>IF(COUNTIF('Queen Discography'!$C$4:$C$21,C34)&gt;0,"Queen",
IF(COUNTIF('Queen Discography'!$D$4:$D$21,C34)&gt;0,"Queen II",
IF(COUNTIF('Queen Discography'!$E$4:$E$21,C34)&gt;0,"Sheer Heart Attack",
IF(COUNTIF('Queen Discography'!$F$4:$F$21,C34)&gt;0,"A Night At The Opera",
IF(COUNTIF('Queen Discography'!$G$4:$G$21,C34)&gt;0,"A Day At The Races",
IF(COUNTIF('Queen Discography'!$H$4:$H$21,C34)&gt;0,"News Of The World",
IF(COUNTIF('Queen Discography'!$I$4:$I$21,C34)&gt;0,"Jazz",
IF(COUNTIF('Queen Discography'!$J$4:$J$21,C34)&gt;0,"The Game",
IF(COUNTIF('Queen Discography'!$K$4:$K$21,C34)&gt;0,"Flash Gordon",
IF(COUNTIF('Queen Discography'!$L$4:$L$21,C34)&gt;0,"Hot Space",
IF(COUNTIF('Queen Discography'!$M$4:$M$21,C34)&gt;0,"The Works",
IF(COUNTIF('Queen Discography'!$N$4:$N$21,C34)&gt;0,"A Kind Of Magic",
IF(COUNTIF('Queen Discography'!$O$4:$O$21,C34)&gt;0,"The Miracle",
IF(COUNTIF('Queen Discography'!$P$4:$P$21,C34)&gt;0,"Innuendo",
IF(COUNTIF('Queen Discography'!$Q$4:$Q$21,C34)&gt;0,"Made In Heaven","NOT FOUND")))))))))))))))</f>
        <v>Made In Heaven</v>
      </c>
      <c r="F34" s="33"/>
      <c r="G34" s="33"/>
      <c r="H34" s="33"/>
      <c r="I34" s="33"/>
    </row>
    <row r="35">
      <c r="A35" s="33"/>
      <c r="C35" s="105" t="s">
        <v>816</v>
      </c>
      <c r="D35" s="109" t="s">
        <v>976</v>
      </c>
      <c r="E35" s="105" t="str">
        <f>IF(COUNTIF('Queen Discography'!$C$4:$C$21,C35)&gt;0,"Queen",
IF(COUNTIF('Queen Discography'!$D$4:$D$21,C35)&gt;0,"Queen II",
IF(COUNTIF('Queen Discography'!$E$4:$E$21,C35)&gt;0,"Sheer Heart Attack",
IF(COUNTIF('Queen Discography'!$F$4:$F$21,C35)&gt;0,"A Night At The Opera",
IF(COUNTIF('Queen Discography'!$G$4:$G$21,C35)&gt;0,"A Day At The Races",
IF(COUNTIF('Queen Discography'!$H$4:$H$21,C35)&gt;0,"News Of The World",
IF(COUNTIF('Queen Discography'!$I$4:$I$21,C35)&gt;0,"Jazz",
IF(COUNTIF('Queen Discography'!$J$4:$J$21,C35)&gt;0,"The Game",
IF(COUNTIF('Queen Discography'!$K$4:$K$21,C35)&gt;0,"Flash Gordon",
IF(COUNTIF('Queen Discography'!$L$4:$L$21,C35)&gt;0,"Hot Space",
IF(COUNTIF('Queen Discography'!$M$4:$M$21,C35)&gt;0,"The Works",
IF(COUNTIF('Queen Discography'!$N$4:$N$21,C35)&gt;0,"A Kind Of Magic",
IF(COUNTIF('Queen Discography'!$O$4:$O$21,C35)&gt;0,"The Miracle",
IF(COUNTIF('Queen Discography'!$P$4:$P$21,C35)&gt;0,"Innuendo",
IF(COUNTIF('Queen Discography'!$Q$4:$Q$21,C35)&gt;0,"Made In Heaven","NOT FOUND")))))))))))))))</f>
        <v>Made In Heaven</v>
      </c>
      <c r="F35" s="33"/>
      <c r="G35" s="33"/>
      <c r="H35" s="33"/>
      <c r="I35" s="33"/>
    </row>
    <row r="36">
      <c r="A36" s="33"/>
      <c r="C36" s="105" t="s">
        <v>831</v>
      </c>
      <c r="D36" s="109" t="s">
        <v>977</v>
      </c>
      <c r="E36" s="105" t="str">
        <f>IF(COUNTIF('Queen Discography'!$C$4:$C$21,C36)&gt;0,"Queen",
IF(COUNTIF('Queen Discography'!$D$4:$D$21,C36)&gt;0,"Queen II",
IF(COUNTIF('Queen Discography'!$E$4:$E$21,C36)&gt;0,"Sheer Heart Attack",
IF(COUNTIF('Queen Discography'!$F$4:$F$21,C36)&gt;0,"A Night At The Opera",
IF(COUNTIF('Queen Discography'!$G$4:$G$21,C36)&gt;0,"A Day At The Races",
IF(COUNTIF('Queen Discography'!$H$4:$H$21,C36)&gt;0,"News Of The World",
IF(COUNTIF('Queen Discography'!$I$4:$I$21,C36)&gt;0,"Jazz",
IF(COUNTIF('Queen Discography'!$J$4:$J$21,C36)&gt;0,"The Game",
IF(COUNTIF('Queen Discography'!$K$4:$K$21,C36)&gt;0,"Flash Gordon",
IF(COUNTIF('Queen Discography'!$L$4:$L$21,C36)&gt;0,"Hot Space",
IF(COUNTIF('Queen Discography'!$M$4:$M$21,C36)&gt;0,"The Works",
IF(COUNTIF('Queen Discography'!$N$4:$N$21,C36)&gt;0,"A Kind Of Magic",
IF(COUNTIF('Queen Discography'!$O$4:$O$21,C36)&gt;0,"The Miracle",
IF(COUNTIF('Queen Discography'!$P$4:$P$21,C36)&gt;0,"Innuendo",
IF(COUNTIF('Queen Discography'!$Q$4:$Q$21,C36)&gt;0,"Made In Heaven","NOT FOUND")))))))))))))))</f>
        <v>Made In Heaven</v>
      </c>
      <c r="F36" s="33"/>
      <c r="G36" s="33"/>
      <c r="H36" s="33"/>
      <c r="I36" s="33"/>
    </row>
    <row r="37">
      <c r="A37" s="33"/>
      <c r="C37" s="105" t="s">
        <v>876</v>
      </c>
      <c r="D37" s="109" t="s">
        <v>978</v>
      </c>
      <c r="E37" s="105" t="str">
        <f>IF(COUNTIF('Queen Discography'!$C$4:$C$21,C37)&gt;0,"Queen",
IF(COUNTIF('Queen Discography'!$D$4:$D$21,C37)&gt;0,"Queen II",
IF(COUNTIF('Queen Discography'!$E$4:$E$21,C37)&gt;0,"Sheer Heart Attack",
IF(COUNTIF('Queen Discography'!$F$4:$F$21,C37)&gt;0,"A Night At The Opera",
IF(COUNTIF('Queen Discography'!$G$4:$G$21,C37)&gt;0,"A Day At The Races",
IF(COUNTIF('Queen Discography'!$H$4:$H$21,C37)&gt;0,"News Of The World",
IF(COUNTIF('Queen Discography'!$I$4:$I$21,C37)&gt;0,"Jazz",
IF(COUNTIF('Queen Discography'!$J$4:$J$21,C37)&gt;0,"The Game",
IF(COUNTIF('Queen Discography'!$K$4:$K$21,C37)&gt;0,"Flash Gordon",
IF(COUNTIF('Queen Discography'!$L$4:$L$21,C37)&gt;0,"Hot Space",
IF(COUNTIF('Queen Discography'!$M$4:$M$21,C37)&gt;0,"The Works",
IF(COUNTIF('Queen Discography'!$N$4:$N$21,C37)&gt;0,"A Kind Of Magic",
IF(COUNTIF('Queen Discography'!$O$4:$O$21,C37)&gt;0,"The Miracle",
IF(COUNTIF('Queen Discography'!$P$4:$P$21,C37)&gt;0,"Innuendo",
IF(COUNTIF('Queen Discography'!$Q$4:$Q$21,C37)&gt;0,"Made In Heaven","NOT FOUND")))))))))))))))</f>
        <v>Made In Heaven</v>
      </c>
      <c r="F37" s="33"/>
      <c r="G37" s="33"/>
      <c r="H37" s="33"/>
      <c r="I37" s="33"/>
    </row>
    <row r="38">
      <c r="A38" s="33"/>
      <c r="C38" s="105" t="s">
        <v>891</v>
      </c>
      <c r="D38" s="106" t="s">
        <v>979</v>
      </c>
      <c r="E38" s="105" t="str">
        <f>IF(COUNTIF('Queen Discography'!$C$4:$C$21,C38)&gt;0,"Queen",
IF(COUNTIF('Queen Discography'!$D$4:$D$21,C38)&gt;0,"Queen II",
IF(COUNTIF('Queen Discography'!$E$4:$E$21,C38)&gt;0,"Sheer Heart Attack",
IF(COUNTIF('Queen Discography'!$F$4:$F$21,C38)&gt;0,"A Night At The Opera",
IF(COUNTIF('Queen Discography'!$G$4:$G$21,C38)&gt;0,"A Day At The Races",
IF(COUNTIF('Queen Discography'!$H$4:$H$21,C38)&gt;0,"News Of The World",
IF(COUNTIF('Queen Discography'!$I$4:$I$21,C38)&gt;0,"Jazz",
IF(COUNTIF('Queen Discography'!$J$4:$J$21,C38)&gt;0,"The Game",
IF(COUNTIF('Queen Discography'!$K$4:$K$21,C38)&gt;0,"Flash Gordon",
IF(COUNTIF('Queen Discography'!$L$4:$L$21,C38)&gt;0,"Hot Space",
IF(COUNTIF('Queen Discography'!$M$4:$M$21,C38)&gt;0,"The Works",
IF(COUNTIF('Queen Discography'!$N$4:$N$21,C38)&gt;0,"A Kind Of Magic",
IF(COUNTIF('Queen Discography'!$O$4:$O$21,C38)&gt;0,"The Miracle",
IF(COUNTIF('Queen Discography'!$P$4:$P$21,C38)&gt;0,"Innuendo",
IF(COUNTIF('Queen Discography'!$Q$4:$Q$21,C38)&gt;0,"Made In Heaven","NOT FOUND")))))))))))))))</f>
        <v>Made In Heaven</v>
      </c>
      <c r="F38" s="33"/>
      <c r="G38" s="33"/>
      <c r="H38" s="33"/>
      <c r="I38" s="33"/>
    </row>
    <row r="39">
      <c r="A39" s="33"/>
      <c r="C39" s="105" t="s">
        <v>908</v>
      </c>
      <c r="D39" s="109" t="s">
        <v>980</v>
      </c>
      <c r="E39" s="105" t="str">
        <f>IF(COUNTIF('Queen Discography'!$C$4:$C$21,C39)&gt;0,"Queen",
IF(COUNTIF('Queen Discography'!$D$4:$D$21,C39)&gt;0,"Queen II",
IF(COUNTIF('Queen Discography'!$E$4:$E$21,C39)&gt;0,"Sheer Heart Attack",
IF(COUNTIF('Queen Discography'!$F$4:$F$21,C39)&gt;0,"A Night At The Opera",
IF(COUNTIF('Queen Discography'!$G$4:$G$21,C39)&gt;0,"A Day At The Races",
IF(COUNTIF('Queen Discography'!$H$4:$H$21,C39)&gt;0,"News Of The World",
IF(COUNTIF('Queen Discography'!$I$4:$I$21,C39)&gt;0,"Jazz",
IF(COUNTIF('Queen Discography'!$J$4:$J$21,C39)&gt;0,"The Game",
IF(COUNTIF('Queen Discography'!$K$4:$K$21,C39)&gt;0,"Flash Gordon",
IF(COUNTIF('Queen Discography'!$L$4:$L$21,C39)&gt;0,"Hot Space",
IF(COUNTIF('Queen Discography'!$M$4:$M$21,C39)&gt;0,"The Works",
IF(COUNTIF('Queen Discography'!$N$4:$N$21,C39)&gt;0,"A Kind Of Magic",
IF(COUNTIF('Queen Discography'!$O$4:$O$21,C39)&gt;0,"The Miracle",
IF(COUNTIF('Queen Discography'!$P$4:$P$21,C39)&gt;0,"Innuendo",
IF(COUNTIF('Queen Discography'!$Q$4:$Q$21,C39)&gt;0,"Made In Heaven","NOT FOUND")))))))))))))))</f>
        <v>News Of The World</v>
      </c>
      <c r="F39" s="33"/>
      <c r="G39" s="33"/>
      <c r="H39" s="33"/>
      <c r="I39" s="33"/>
    </row>
    <row r="40">
      <c r="A40" s="33"/>
      <c r="C40" s="116" t="s">
        <v>822</v>
      </c>
      <c r="D40" s="109" t="s">
        <v>981</v>
      </c>
      <c r="E40" s="105" t="str">
        <f>IF(COUNTIF('Queen Discography'!$C$4:$C$21,C40)&gt;0,"Queen",
IF(COUNTIF('Queen Discography'!$D$4:$D$21,C40)&gt;0,"Queen II",
IF(COUNTIF('Queen Discography'!$E$4:$E$21,C40)&gt;0,"Sheer Heart Attack",
IF(COUNTIF('Queen Discography'!$F$4:$F$21,C40)&gt;0,"A Night At The Opera",
IF(COUNTIF('Queen Discography'!$G$4:$G$21,C40)&gt;0,"A Day At The Races",
IF(COUNTIF('Queen Discography'!$H$4:$H$21,C40)&gt;0,"News Of The World",
IF(COUNTIF('Queen Discography'!$I$4:$I$21,C40)&gt;0,"Jazz",
IF(COUNTIF('Queen Discography'!$J$4:$J$21,C40)&gt;0,"The Game",
IF(COUNTIF('Queen Discography'!$K$4:$K$21,C40)&gt;0,"Flash Gordon",
IF(COUNTIF('Queen Discography'!$L$4:$L$21,C40)&gt;0,"Hot Space",
IF(COUNTIF('Queen Discography'!$M$4:$M$21,C40)&gt;0,"The Works",
IF(COUNTIF('Queen Discography'!$N$4:$N$21,C40)&gt;0,"A Kind Of Magic",
IF(COUNTIF('Queen Discography'!$O$4:$O$21,C40)&gt;0,"The Miracle",
IF(COUNTIF('Queen Discography'!$P$4:$P$21,C40)&gt;0,"Innuendo",
IF(COUNTIF('Queen Discography'!$Q$4:$Q$21,C40)&gt;0,"Made In Heaven","NOT FOUND")))))))))))))))</f>
        <v>News Of The World</v>
      </c>
      <c r="F40" s="33"/>
      <c r="G40" s="33"/>
      <c r="H40" s="33"/>
      <c r="I40" s="33"/>
    </row>
    <row r="41">
      <c r="A41" s="33"/>
      <c r="C41" s="116" t="s">
        <v>781</v>
      </c>
      <c r="D41" s="109" t="s">
        <v>982</v>
      </c>
      <c r="E41" s="105" t="str">
        <f>IF(COUNTIF('Queen Discography'!$C$4:$C$21,C41)&gt;0,"Queen",
IF(COUNTIF('Queen Discography'!$D$4:$D$21,C41)&gt;0,"Queen II",
IF(COUNTIF('Queen Discography'!$E$4:$E$21,C41)&gt;0,"Sheer Heart Attack",
IF(COUNTIF('Queen Discography'!$F$4:$F$21,C41)&gt;0,"A Night At The Opera",
IF(COUNTIF('Queen Discography'!$G$4:$G$21,C41)&gt;0,"A Day At The Races",
IF(COUNTIF('Queen Discography'!$H$4:$H$21,C41)&gt;0,"News Of The World",
IF(COUNTIF('Queen Discography'!$I$4:$I$21,C41)&gt;0,"Jazz",
IF(COUNTIF('Queen Discography'!$J$4:$J$21,C41)&gt;0,"The Game",
IF(COUNTIF('Queen Discography'!$K$4:$K$21,C41)&gt;0,"Flash Gordon",
IF(COUNTIF('Queen Discography'!$L$4:$L$21,C41)&gt;0,"Hot Space",
IF(COUNTIF('Queen Discography'!$M$4:$M$21,C41)&gt;0,"The Works",
IF(COUNTIF('Queen Discography'!$N$4:$N$21,C41)&gt;0,"A Kind Of Magic",
IF(COUNTIF('Queen Discography'!$O$4:$O$21,C41)&gt;0,"The Miracle",
IF(COUNTIF('Queen Discography'!$P$4:$P$21,C41)&gt;0,"Innuendo",
IF(COUNTIF('Queen Discography'!$Q$4:$Q$21,C41)&gt;0,"Made In Heaven","NOT FOUND")))))))))))))))</f>
        <v>News Of The World</v>
      </c>
      <c r="F41" s="33"/>
      <c r="G41" s="33"/>
      <c r="H41" s="33"/>
      <c r="I41" s="33"/>
    </row>
    <row r="42">
      <c r="A42" s="33"/>
      <c r="C42" s="116" t="s">
        <v>767</v>
      </c>
      <c r="D42" s="109" t="s">
        <v>983</v>
      </c>
      <c r="E42" s="105" t="str">
        <f>IF(COUNTIF('Queen Discography'!$C$4:$C$21,C42)&gt;0,"Queen",
IF(COUNTIF('Queen Discography'!$D$4:$D$21,C42)&gt;0,"Queen II",
IF(COUNTIF('Queen Discography'!$E$4:$E$21,C42)&gt;0,"Sheer Heart Attack",
IF(COUNTIF('Queen Discography'!$F$4:$F$21,C42)&gt;0,"A Night At The Opera",
IF(COUNTIF('Queen Discography'!$G$4:$G$21,C42)&gt;0,"A Day At The Races",
IF(COUNTIF('Queen Discography'!$H$4:$H$21,C42)&gt;0,"News Of The World",
IF(COUNTIF('Queen Discography'!$I$4:$I$21,C42)&gt;0,"Jazz",
IF(COUNTIF('Queen Discography'!$J$4:$J$21,C42)&gt;0,"The Game",
IF(COUNTIF('Queen Discography'!$K$4:$K$21,C42)&gt;0,"Flash Gordon",
IF(COUNTIF('Queen Discography'!$L$4:$L$21,C42)&gt;0,"Hot Space",
IF(COUNTIF('Queen Discography'!$M$4:$M$21,C42)&gt;0,"The Works",
IF(COUNTIF('Queen Discography'!$N$4:$N$21,C42)&gt;0,"A Kind Of Magic",
IF(COUNTIF('Queen Discography'!$O$4:$O$21,C42)&gt;0,"The Miracle",
IF(COUNTIF('Queen Discography'!$P$4:$P$21,C42)&gt;0,"Innuendo",
IF(COUNTIF('Queen Discography'!$Q$4:$Q$21,C42)&gt;0,"Made In Heaven","NOT FOUND")))))))))))))))</f>
        <v>News Of The World</v>
      </c>
      <c r="F42" s="33"/>
      <c r="G42" s="33"/>
      <c r="H42" s="33"/>
      <c r="I42" s="33"/>
    </row>
    <row r="43">
      <c r="A43" s="33"/>
      <c r="C43" s="117" t="s">
        <v>984</v>
      </c>
      <c r="D43" s="109" t="s">
        <v>985</v>
      </c>
      <c r="E43" s="105" t="str">
        <f>IF(COUNTIF('Queen Discography'!$C$4:$C$21,C43)&gt;0,"Queen",
IF(COUNTIF('Queen Discography'!$D$4:$D$21,C43)&gt;0,"Queen II",
IF(COUNTIF('Queen Discography'!$E$4:$E$21,C43)&gt;0,"Sheer Heart Attack",
IF(COUNTIF('Queen Discography'!$F$4:$F$21,C43)&gt;0,"A Night At The Opera",
IF(COUNTIF('Queen Discography'!$G$4:$G$21,C43)&gt;0,"A Day At The Races",
IF(COUNTIF('Queen Discography'!$H$4:$H$21,C43)&gt;0,"News Of The World",
IF(COUNTIF('Queen Discography'!$I$4:$I$21,C43)&gt;0,"Jazz",
IF(COUNTIF('Queen Discography'!$J$4:$J$21,C43)&gt;0,"The Game",
IF(COUNTIF('Queen Discography'!$K$4:$K$21,C43)&gt;0,"Flash Gordon",
IF(COUNTIF('Queen Discography'!$L$4:$L$21,C43)&gt;0,"Hot Space",
IF(COUNTIF('Queen Discography'!$M$4:$M$21,C43)&gt;0,"The Works",
IF(COUNTIF('Queen Discography'!$N$4:$N$21,C43)&gt;0,"A Kind Of Magic",
IF(COUNTIF('Queen Discography'!$O$4:$O$21,C43)&gt;0,"The Miracle",
IF(COUNTIF('Queen Discography'!$P$4:$P$21,C43)&gt;0,"Innuendo",
IF(COUNTIF('Queen Discography'!$Q$4:$Q$21,C43)&gt;0,"Made In Heaven","NOT FOUND")))))))))))))))</f>
        <v>NOT FOUND</v>
      </c>
      <c r="F43" s="33"/>
      <c r="G43" s="33"/>
      <c r="H43" s="33"/>
      <c r="I43" s="33"/>
    </row>
    <row r="44">
      <c r="A44" s="33"/>
      <c r="C44" s="118" t="s">
        <v>986</v>
      </c>
      <c r="D44" s="109" t="s">
        <v>987</v>
      </c>
      <c r="E44" s="105" t="str">
        <f>IF(COUNTIF('Queen Discography'!$C$4:$C$21,C44)&gt;0,"Queen",
IF(COUNTIF('Queen Discography'!$D$4:$D$21,C44)&gt;0,"Queen II",
IF(COUNTIF('Queen Discography'!$E$4:$E$21,C44)&gt;0,"Sheer Heart Attack",
IF(COUNTIF('Queen Discography'!$F$4:$F$21,C44)&gt;0,"A Night At The Opera",
IF(COUNTIF('Queen Discography'!$G$4:$G$21,C44)&gt;0,"A Day At The Races",
IF(COUNTIF('Queen Discography'!$H$4:$H$21,C44)&gt;0,"News Of The World",
IF(COUNTIF('Queen Discography'!$I$4:$I$21,C44)&gt;0,"Jazz",
IF(COUNTIF('Queen Discography'!$J$4:$J$21,C44)&gt;0,"The Game",
IF(COUNTIF('Queen Discography'!$K$4:$K$21,C44)&gt;0,"Flash Gordon",
IF(COUNTIF('Queen Discography'!$L$4:$L$21,C44)&gt;0,"Hot Space",
IF(COUNTIF('Queen Discography'!$M$4:$M$21,C44)&gt;0,"The Works",
IF(COUNTIF('Queen Discography'!$N$4:$N$21,C44)&gt;0,"A Kind Of Magic",
IF(COUNTIF('Queen Discography'!$O$4:$O$21,C44)&gt;0,"The Miracle",
IF(COUNTIF('Queen Discography'!$P$4:$P$21,C44)&gt;0,"Innuendo",
IF(COUNTIF('Queen Discography'!$Q$4:$Q$21,C44)&gt;0,"Made In Heaven","NOT FOUND")))))))))))))))</f>
        <v>NOT FOUND</v>
      </c>
      <c r="F44" s="33"/>
      <c r="G44" s="33"/>
      <c r="H44" s="33"/>
      <c r="I44" s="33"/>
    </row>
    <row r="45">
      <c r="A45" s="33"/>
      <c r="C45" s="119" t="s">
        <v>776</v>
      </c>
      <c r="D45" s="109" t="s">
        <v>988</v>
      </c>
      <c r="E45" s="105" t="str">
        <f>IF(COUNTIF('Queen Discography'!$C$4:$C$21,C45)&gt;0,"Queen",
IF(COUNTIF('Queen Discography'!$D$4:$D$21,C45)&gt;0,"Queen II",
IF(COUNTIF('Queen Discography'!$E$4:$E$21,C45)&gt;0,"Sheer Heart Attack",
IF(COUNTIF('Queen Discography'!$F$4:$F$21,C45)&gt;0,"A Night At The Opera",
IF(COUNTIF('Queen Discography'!$G$4:$G$21,C45)&gt;0,"A Day At The Races",
IF(COUNTIF('Queen Discography'!$H$4:$H$21,C45)&gt;0,"News Of The World",
IF(COUNTIF('Queen Discography'!$I$4:$I$21,C45)&gt;0,"Jazz",
IF(COUNTIF('Queen Discography'!$J$4:$J$21,C45)&gt;0,"The Game",
IF(COUNTIF('Queen Discography'!$K$4:$K$21,C45)&gt;0,"Flash Gordon",
IF(COUNTIF('Queen Discography'!$L$4:$L$21,C45)&gt;0,"Hot Space",
IF(COUNTIF('Queen Discography'!$M$4:$M$21,C45)&gt;0,"The Works",
IF(COUNTIF('Queen Discography'!$N$4:$N$21,C45)&gt;0,"A Kind Of Magic",
IF(COUNTIF('Queen Discography'!$O$4:$O$21,C45)&gt;0,"The Miracle",
IF(COUNTIF('Queen Discography'!$P$4:$P$21,C45)&gt;0,"Innuendo",
IF(COUNTIF('Queen Discography'!$Q$4:$Q$21,C45)&gt;0,"Made In Heaven","NOT FOUND")))))))))))))))</f>
        <v>Queen</v>
      </c>
      <c r="F45" s="33"/>
      <c r="G45" s="33"/>
      <c r="H45" s="33"/>
      <c r="I45" s="33"/>
    </row>
    <row r="46">
      <c r="A46" s="33"/>
      <c r="C46" s="105" t="s">
        <v>762</v>
      </c>
      <c r="D46" s="109" t="s">
        <v>989</v>
      </c>
      <c r="E46" s="105" t="str">
        <f>IF(COUNTIF('Queen Discography'!$C$4:$C$21,C46)&gt;0,"Queen",
IF(COUNTIF('Queen Discography'!$D$4:$D$21,C46)&gt;0,"Queen II",
IF(COUNTIF('Queen Discography'!$E$4:$E$21,C46)&gt;0,"Sheer Heart Attack",
IF(COUNTIF('Queen Discography'!$F$4:$F$21,C46)&gt;0,"A Night At The Opera",
IF(COUNTIF('Queen Discography'!$G$4:$G$21,C46)&gt;0,"A Day At The Races",
IF(COUNTIF('Queen Discography'!$H$4:$H$21,C46)&gt;0,"News Of The World",
IF(COUNTIF('Queen Discography'!$I$4:$I$21,C46)&gt;0,"Jazz",
IF(COUNTIF('Queen Discography'!$J$4:$J$21,C46)&gt;0,"The Game",
IF(COUNTIF('Queen Discography'!$K$4:$K$21,C46)&gt;0,"Flash Gordon",
IF(COUNTIF('Queen Discography'!$L$4:$L$21,C46)&gt;0,"Hot Space",
IF(COUNTIF('Queen Discography'!$M$4:$M$21,C46)&gt;0,"The Works",
IF(COUNTIF('Queen Discography'!$N$4:$N$21,C46)&gt;0,"A Kind Of Magic",
IF(COUNTIF('Queen Discography'!$O$4:$O$21,C46)&gt;0,"The Miracle",
IF(COUNTIF('Queen Discography'!$P$4:$P$21,C46)&gt;0,"Innuendo",
IF(COUNTIF('Queen Discography'!$Q$4:$Q$21,C46)&gt;0,"Made In Heaven","NOT FOUND")))))))))))))))</f>
        <v>Queen</v>
      </c>
      <c r="F46" s="33"/>
      <c r="G46" s="33"/>
      <c r="H46" s="33"/>
      <c r="I46" s="33"/>
    </row>
    <row r="47">
      <c r="A47" s="33"/>
      <c r="C47" s="105" t="s">
        <v>905</v>
      </c>
      <c r="D47" s="109" t="s">
        <v>990</v>
      </c>
      <c r="E47" s="105" t="str">
        <f>IF(COUNTIF('Queen Discography'!$C$4:$C$21,C47)&gt;0,"Queen",
IF(COUNTIF('Queen Discography'!$D$4:$D$21,C47)&gt;0,"Queen II",
IF(COUNTIF('Queen Discography'!$E$4:$E$21,C47)&gt;0,"Sheer Heart Attack",
IF(COUNTIF('Queen Discography'!$F$4:$F$21,C47)&gt;0,"A Night At The Opera",
IF(COUNTIF('Queen Discography'!$G$4:$G$21,C47)&gt;0,"A Day At The Races",
IF(COUNTIF('Queen Discography'!$H$4:$H$21,C47)&gt;0,"News Of The World",
IF(COUNTIF('Queen Discography'!$I$4:$I$21,C47)&gt;0,"Jazz",
IF(COUNTIF('Queen Discography'!$J$4:$J$21,C47)&gt;0,"The Game",
IF(COUNTIF('Queen Discography'!$K$4:$K$21,C47)&gt;0,"Flash Gordon",
IF(COUNTIF('Queen Discography'!$L$4:$L$21,C47)&gt;0,"Hot Space",
IF(COUNTIF('Queen Discography'!$M$4:$M$21,C47)&gt;0,"The Works",
IF(COUNTIF('Queen Discography'!$N$4:$N$21,C47)&gt;0,"A Kind Of Magic",
IF(COUNTIF('Queen Discography'!$O$4:$O$21,C47)&gt;0,"The Miracle",
IF(COUNTIF('Queen Discography'!$P$4:$P$21,C47)&gt;0,"Innuendo",
IF(COUNTIF('Queen Discography'!$Q$4:$Q$21,C47)&gt;0,"Made In Heaven","NOT FOUND")))))))))))))))</f>
        <v>Queen</v>
      </c>
      <c r="F47" s="33"/>
      <c r="G47" s="33"/>
      <c r="H47" s="33"/>
      <c r="I47" s="33"/>
    </row>
    <row r="48">
      <c r="A48" s="33"/>
      <c r="C48" s="105" t="s">
        <v>991</v>
      </c>
      <c r="D48" s="109" t="s">
        <v>992</v>
      </c>
      <c r="E48" s="105" t="str">
        <f>IF(COUNTIF('Queen Discography'!$C$4:$C$21,C48)&gt;0,"Queen",
IF(COUNTIF('Queen Discography'!$D$4:$D$21,C48)&gt;0,"Queen II",
IF(COUNTIF('Queen Discography'!$E$4:$E$21,C48)&gt;0,"Sheer Heart Attack",
IF(COUNTIF('Queen Discography'!$F$4:$F$21,C48)&gt;0,"A Night At The Opera",
IF(COUNTIF('Queen Discography'!$G$4:$G$21,C48)&gt;0,"A Day At The Races",
IF(COUNTIF('Queen Discography'!$H$4:$H$21,C48)&gt;0,"News Of The World",
IF(COUNTIF('Queen Discography'!$I$4:$I$21,C48)&gt;0,"Jazz",
IF(COUNTIF('Queen Discography'!$J$4:$J$21,C48)&gt;0,"The Game",
IF(COUNTIF('Queen Discography'!$K$4:$K$21,C48)&gt;0,"Flash Gordon",
IF(COUNTIF('Queen Discography'!$L$4:$L$21,C48)&gt;0,"Hot Space",
IF(COUNTIF('Queen Discography'!$M$4:$M$21,C48)&gt;0,"The Works",
IF(COUNTIF('Queen Discography'!$N$4:$N$21,C48)&gt;0,"A Kind Of Magic",
IF(COUNTIF('Queen Discography'!$O$4:$O$21,C48)&gt;0,"The Miracle",
IF(COUNTIF('Queen Discography'!$P$4:$P$21,C48)&gt;0,"Innuendo",
IF(COUNTIF('Queen Discography'!$Q$4:$Q$21,C48)&gt;0,"Made In Heaven","NOT FOUND")))))))))))))))</f>
        <v>Queen</v>
      </c>
      <c r="F48" s="33"/>
      <c r="G48" s="33"/>
      <c r="H48" s="33"/>
      <c r="I48" s="33"/>
    </row>
    <row r="49">
      <c r="A49" s="33"/>
      <c r="C49" s="120" t="s">
        <v>863</v>
      </c>
      <c r="D49" s="109" t="s">
        <v>993</v>
      </c>
      <c r="E49" s="105" t="str">
        <f>IF(COUNTIF('Queen Discography'!$C$4:$C$21,C49)&gt;0,"Queen",
IF(COUNTIF('Queen Discography'!$D$4:$D$21,C49)&gt;0,"Queen II",
IF(COUNTIF('Queen Discography'!$E$4:$E$21,C49)&gt;0,"Sheer Heart Attack",
IF(COUNTIF('Queen Discography'!$F$4:$F$21,C49)&gt;0,"A Night At The Opera",
IF(COUNTIF('Queen Discography'!$G$4:$G$21,C49)&gt;0,"A Day At The Races",
IF(COUNTIF('Queen Discography'!$H$4:$H$21,C49)&gt;0,"News Of The World",
IF(COUNTIF('Queen Discography'!$I$4:$I$21,C49)&gt;0,"Jazz",
IF(COUNTIF('Queen Discography'!$J$4:$J$21,C49)&gt;0,"The Game",
IF(COUNTIF('Queen Discography'!$K$4:$K$21,C49)&gt;0,"Flash Gordon",
IF(COUNTIF('Queen Discography'!$L$4:$L$21,C49)&gt;0,"Hot Space",
IF(COUNTIF('Queen Discography'!$M$4:$M$21,C49)&gt;0,"The Works",
IF(COUNTIF('Queen Discography'!$N$4:$N$21,C49)&gt;0,"A Kind Of Magic",
IF(COUNTIF('Queen Discography'!$O$4:$O$21,C49)&gt;0,"The Miracle",
IF(COUNTIF('Queen Discography'!$P$4:$P$21,C49)&gt;0,"Innuendo",
IF(COUNTIF('Queen Discography'!$Q$4:$Q$21,C49)&gt;0,"Made In Heaven","NOT FOUND")))))))))))))))</f>
        <v>Queen II</v>
      </c>
      <c r="F49" s="33"/>
      <c r="G49" s="33"/>
      <c r="H49" s="33"/>
      <c r="I49" s="33"/>
    </row>
    <row r="50">
      <c r="A50" s="33"/>
      <c r="C50" s="105" t="s">
        <v>994</v>
      </c>
      <c r="D50" s="109" t="s">
        <v>995</v>
      </c>
      <c r="E50" s="105" t="str">
        <f>IF(COUNTIF('Queen Discography'!$C$4:$C$21,C50)&gt;0,"Queen",
IF(COUNTIF('Queen Discography'!$D$4:$D$21,C50)&gt;0,"Queen II",
IF(COUNTIF('Queen Discography'!$E$4:$E$21,C50)&gt;0,"Sheer Heart Attack",
IF(COUNTIF('Queen Discography'!$F$4:$F$21,C50)&gt;0,"A Night At The Opera",
IF(COUNTIF('Queen Discography'!$G$4:$G$21,C50)&gt;0,"A Day At The Races",
IF(COUNTIF('Queen Discography'!$H$4:$H$21,C50)&gt;0,"News Of The World",
IF(COUNTIF('Queen Discography'!$I$4:$I$21,C50)&gt;0,"Jazz",
IF(COUNTIF('Queen Discography'!$J$4:$J$21,C50)&gt;0,"The Game",
IF(COUNTIF('Queen Discography'!$K$4:$K$21,C50)&gt;0,"Flash Gordon",
IF(COUNTIF('Queen Discography'!$L$4:$L$21,C50)&gt;0,"Hot Space",
IF(COUNTIF('Queen Discography'!$M$4:$M$21,C50)&gt;0,"The Works",
IF(COUNTIF('Queen Discography'!$N$4:$N$21,C50)&gt;0,"A Kind Of Magic",
IF(COUNTIF('Queen Discography'!$O$4:$O$21,C50)&gt;0,"The Miracle",
IF(COUNTIF('Queen Discography'!$P$4:$P$21,C50)&gt;0,"Innuendo",
IF(COUNTIF('Queen Discography'!$Q$4:$Q$21,C50)&gt;0,"Made In Heaven","NOT FOUND")))))))))))))))</f>
        <v>Queen II</v>
      </c>
      <c r="F50" s="33"/>
      <c r="G50" s="33"/>
      <c r="H50" s="33"/>
      <c r="I50" s="33"/>
    </row>
    <row r="51">
      <c r="A51" s="33"/>
      <c r="C51" s="105" t="s">
        <v>763</v>
      </c>
      <c r="D51" s="109" t="s">
        <v>996</v>
      </c>
      <c r="E51" s="105" t="str">
        <f>IF(COUNTIF('Queen Discography'!$C$4:$C$21,C51)&gt;0,"Queen",
IF(COUNTIF('Queen Discography'!$D$4:$D$21,C51)&gt;0,"Queen II",
IF(COUNTIF('Queen Discography'!$E$4:$E$21,C51)&gt;0,"Sheer Heart Attack",
IF(COUNTIF('Queen Discography'!$F$4:$F$21,C51)&gt;0,"A Night At The Opera",
IF(COUNTIF('Queen Discography'!$G$4:$G$21,C51)&gt;0,"A Day At The Races",
IF(COUNTIF('Queen Discography'!$H$4:$H$21,C51)&gt;0,"News Of The World",
IF(COUNTIF('Queen Discography'!$I$4:$I$21,C51)&gt;0,"Jazz",
IF(COUNTIF('Queen Discography'!$J$4:$J$21,C51)&gt;0,"The Game",
IF(COUNTIF('Queen Discography'!$K$4:$K$21,C51)&gt;0,"Flash Gordon",
IF(COUNTIF('Queen Discography'!$L$4:$L$21,C51)&gt;0,"Hot Space",
IF(COUNTIF('Queen Discography'!$M$4:$M$21,C51)&gt;0,"The Works",
IF(COUNTIF('Queen Discography'!$N$4:$N$21,C51)&gt;0,"A Kind Of Magic",
IF(COUNTIF('Queen Discography'!$O$4:$O$21,C51)&gt;0,"The Miracle",
IF(COUNTIF('Queen Discography'!$P$4:$P$21,C51)&gt;0,"Innuendo",
IF(COUNTIF('Queen Discography'!$Q$4:$Q$21,C51)&gt;0,"Made In Heaven","NOT FOUND")))))))))))))))</f>
        <v>Queen II</v>
      </c>
      <c r="F51" s="33"/>
      <c r="G51" s="33"/>
      <c r="H51" s="33"/>
      <c r="I51" s="33"/>
    </row>
    <row r="52">
      <c r="A52" s="33"/>
      <c r="C52" s="111" t="s">
        <v>834</v>
      </c>
      <c r="D52" s="106" t="s">
        <v>997</v>
      </c>
      <c r="E52" s="105" t="str">
        <f>IF(COUNTIF('Queen Discography'!$C$4:$C$21,C52)&gt;0,"Queen",
IF(COUNTIF('Queen Discography'!$D$4:$D$21,C52)&gt;0,"Queen II",
IF(COUNTIF('Queen Discography'!$E$4:$E$21,C52)&gt;0,"Sheer Heart Attack",
IF(COUNTIF('Queen Discography'!$F$4:$F$21,C52)&gt;0,"A Night At The Opera",
IF(COUNTIF('Queen Discography'!$G$4:$G$21,C52)&gt;0,"A Day At The Races",
IF(COUNTIF('Queen Discography'!$H$4:$H$21,C52)&gt;0,"News Of The World",
IF(COUNTIF('Queen Discography'!$I$4:$I$21,C52)&gt;0,"Jazz",
IF(COUNTIF('Queen Discography'!$J$4:$J$21,C52)&gt;0,"The Game",
IF(COUNTIF('Queen Discography'!$K$4:$K$21,C52)&gt;0,"Flash Gordon",
IF(COUNTIF('Queen Discography'!$L$4:$L$21,C52)&gt;0,"Hot Space",
IF(COUNTIF('Queen Discography'!$M$4:$M$21,C52)&gt;0,"The Works",
IF(COUNTIF('Queen Discography'!$N$4:$N$21,C52)&gt;0,"A Kind Of Magic",
IF(COUNTIF('Queen Discography'!$O$4:$O$21,C52)&gt;0,"The Miracle",
IF(COUNTIF('Queen Discography'!$P$4:$P$21,C52)&gt;0,"Innuendo",
IF(COUNTIF('Queen Discography'!$Q$4:$Q$21,C52)&gt;0,"Made In Heaven","NOT FOUND")))))))))))))))</f>
        <v>Sheer Heart Attack</v>
      </c>
      <c r="F52" s="33"/>
      <c r="G52" s="33"/>
      <c r="H52" s="33"/>
      <c r="I52" s="33"/>
    </row>
    <row r="53">
      <c r="A53" s="33"/>
      <c r="C53" s="105" t="s">
        <v>778</v>
      </c>
      <c r="D53" s="109" t="s">
        <v>998</v>
      </c>
      <c r="E53" s="105" t="str">
        <f>IF(COUNTIF('Queen Discography'!$C$4:$C$21,C53)&gt;0,"Queen",
IF(COUNTIF('Queen Discography'!$D$4:$D$21,C53)&gt;0,"Queen II",
IF(COUNTIF('Queen Discography'!$E$4:$E$21,C53)&gt;0,"Sheer Heart Attack",
IF(COUNTIF('Queen Discography'!$F$4:$F$21,C53)&gt;0,"A Night At The Opera",
IF(COUNTIF('Queen Discography'!$G$4:$G$21,C53)&gt;0,"A Day At The Races",
IF(COUNTIF('Queen Discography'!$H$4:$H$21,C53)&gt;0,"News Of The World",
IF(COUNTIF('Queen Discography'!$I$4:$I$21,C53)&gt;0,"Jazz",
IF(COUNTIF('Queen Discography'!$J$4:$J$21,C53)&gt;0,"The Game",
IF(COUNTIF('Queen Discography'!$K$4:$K$21,C53)&gt;0,"Flash Gordon",
IF(COUNTIF('Queen Discography'!$L$4:$L$21,C53)&gt;0,"Hot Space",
IF(COUNTIF('Queen Discography'!$M$4:$M$21,C53)&gt;0,"The Works",
IF(COUNTIF('Queen Discography'!$N$4:$N$21,C53)&gt;0,"A Kind Of Magic",
IF(COUNTIF('Queen Discography'!$O$4:$O$21,C53)&gt;0,"The Miracle",
IF(COUNTIF('Queen Discography'!$P$4:$P$21,C53)&gt;0,"Innuendo",
IF(COUNTIF('Queen Discography'!$Q$4:$Q$21,C53)&gt;0,"Made In Heaven","NOT FOUND")))))))))))))))</f>
        <v>Sheer Heart Attack</v>
      </c>
      <c r="F53" s="33"/>
      <c r="G53" s="33"/>
      <c r="H53" s="33"/>
      <c r="I53" s="33"/>
    </row>
    <row r="54">
      <c r="A54" s="33"/>
      <c r="C54" s="105" t="s">
        <v>795</v>
      </c>
      <c r="D54" s="109" t="s">
        <v>999</v>
      </c>
      <c r="E54" s="105" t="str">
        <f>IF(COUNTIF('Queen Discography'!$C$4:$C$21,C54)&gt;0,"Queen",
IF(COUNTIF('Queen Discography'!$D$4:$D$21,C54)&gt;0,"Queen II",
IF(COUNTIF('Queen Discography'!$E$4:$E$21,C54)&gt;0,"Sheer Heart Attack",
IF(COUNTIF('Queen Discography'!$F$4:$F$21,C54)&gt;0,"A Night At The Opera",
IF(COUNTIF('Queen Discography'!$G$4:$G$21,C54)&gt;0,"A Day At The Races",
IF(COUNTIF('Queen Discography'!$H$4:$H$21,C54)&gt;0,"News Of The World",
IF(COUNTIF('Queen Discography'!$I$4:$I$21,C54)&gt;0,"Jazz",
IF(COUNTIF('Queen Discography'!$J$4:$J$21,C54)&gt;0,"The Game",
IF(COUNTIF('Queen Discography'!$K$4:$K$21,C54)&gt;0,"Flash Gordon",
IF(COUNTIF('Queen Discography'!$L$4:$L$21,C54)&gt;0,"Hot Space",
IF(COUNTIF('Queen Discography'!$M$4:$M$21,C54)&gt;0,"The Works",
IF(COUNTIF('Queen Discography'!$N$4:$N$21,C54)&gt;0,"A Kind Of Magic",
IF(COUNTIF('Queen Discography'!$O$4:$O$21,C54)&gt;0,"The Miracle",
IF(COUNTIF('Queen Discography'!$P$4:$P$21,C54)&gt;0,"Innuendo",
IF(COUNTIF('Queen Discography'!$Q$4:$Q$21,C54)&gt;0,"Made In Heaven","NOT FOUND")))))))))))))))</f>
        <v>The Game</v>
      </c>
      <c r="F54" s="33"/>
      <c r="G54" s="33"/>
      <c r="H54" s="33"/>
      <c r="I54" s="33"/>
    </row>
    <row r="55">
      <c r="A55" s="33"/>
      <c r="C55" s="105" t="s">
        <v>824</v>
      </c>
      <c r="D55" s="109" t="s">
        <v>1000</v>
      </c>
      <c r="E55" s="105" t="str">
        <f>IF(COUNTIF('Queen Discography'!$C$4:$C$21,C55)&gt;0,"Queen",
IF(COUNTIF('Queen Discography'!$D$4:$D$21,C55)&gt;0,"Queen II",
IF(COUNTIF('Queen Discography'!$E$4:$E$21,C55)&gt;0,"Sheer Heart Attack",
IF(COUNTIF('Queen Discography'!$F$4:$F$21,C55)&gt;0,"A Night At The Opera",
IF(COUNTIF('Queen Discography'!$G$4:$G$21,C55)&gt;0,"A Day At The Races",
IF(COUNTIF('Queen Discography'!$H$4:$H$21,C55)&gt;0,"News Of The World",
IF(COUNTIF('Queen Discography'!$I$4:$I$21,C55)&gt;0,"Jazz",
IF(COUNTIF('Queen Discography'!$J$4:$J$21,C55)&gt;0,"The Game",
IF(COUNTIF('Queen Discography'!$K$4:$K$21,C55)&gt;0,"Flash Gordon",
IF(COUNTIF('Queen Discography'!$L$4:$L$21,C55)&gt;0,"Hot Space",
IF(COUNTIF('Queen Discography'!$M$4:$M$21,C55)&gt;0,"The Works",
IF(COUNTIF('Queen Discography'!$N$4:$N$21,C55)&gt;0,"A Kind Of Magic",
IF(COUNTIF('Queen Discography'!$O$4:$O$21,C55)&gt;0,"The Miracle",
IF(COUNTIF('Queen Discography'!$P$4:$P$21,C55)&gt;0,"Innuendo",
IF(COUNTIF('Queen Discography'!$Q$4:$Q$21,C55)&gt;0,"Made In Heaven","NOT FOUND")))))))))))))))</f>
        <v>The Game</v>
      </c>
      <c r="F55" s="33"/>
      <c r="G55" s="33"/>
      <c r="H55" s="33"/>
      <c r="I55" s="33"/>
    </row>
    <row r="56">
      <c r="A56" s="33"/>
      <c r="C56" s="105" t="s">
        <v>1001</v>
      </c>
      <c r="D56" s="109" t="s">
        <v>1002</v>
      </c>
      <c r="E56" s="105" t="str">
        <f>IF(COUNTIF('Queen Discography'!$C$4:$C$21,C56)&gt;0,"Queen",
IF(COUNTIF('Queen Discography'!$D$4:$D$21,C56)&gt;0,"Queen II",
IF(COUNTIF('Queen Discography'!$E$4:$E$21,C56)&gt;0,"Sheer Heart Attack",
IF(COUNTIF('Queen Discography'!$F$4:$F$21,C56)&gt;0,"A Night At The Opera",
IF(COUNTIF('Queen Discography'!$G$4:$G$21,C56)&gt;0,"A Day At The Races",
IF(COUNTIF('Queen Discography'!$H$4:$H$21,C56)&gt;0,"News Of The World",
IF(COUNTIF('Queen Discography'!$I$4:$I$21,C56)&gt;0,"Jazz",
IF(COUNTIF('Queen Discography'!$J$4:$J$21,C56)&gt;0,"The Game",
IF(COUNTIF('Queen Discography'!$K$4:$K$21,C56)&gt;0,"Flash Gordon",
IF(COUNTIF('Queen Discography'!$L$4:$L$21,C56)&gt;0,"Hot Space",
IF(COUNTIF('Queen Discography'!$M$4:$M$21,C56)&gt;0,"The Works",
IF(COUNTIF('Queen Discography'!$N$4:$N$21,C56)&gt;0,"A Kind Of Magic",
IF(COUNTIF('Queen Discography'!$O$4:$O$21,C56)&gt;0,"The Miracle",
IF(COUNTIF('Queen Discography'!$P$4:$P$21,C56)&gt;0,"Innuendo",
IF(COUNTIF('Queen Discography'!$Q$4:$Q$21,C56)&gt;0,"Made In Heaven","NOT FOUND")))))))))))))))</f>
        <v>The Game</v>
      </c>
      <c r="F56" s="33"/>
      <c r="G56" s="33"/>
      <c r="H56" s="33"/>
      <c r="I56" s="33"/>
    </row>
    <row r="57">
      <c r="A57" s="33"/>
      <c r="C57" s="105" t="s">
        <v>899</v>
      </c>
      <c r="D57" s="109" t="s">
        <v>1003</v>
      </c>
      <c r="E57" s="105" t="str">
        <f>IF(COUNTIF('Queen Discography'!$C$4:$C$21,C57)&gt;0,"Queen",
IF(COUNTIF('Queen Discography'!$D$4:$D$21,C57)&gt;0,"Queen II",
IF(COUNTIF('Queen Discography'!$E$4:$E$21,C57)&gt;0,"Sheer Heart Attack",
IF(COUNTIF('Queen Discography'!$F$4:$F$21,C57)&gt;0,"A Night At The Opera",
IF(COUNTIF('Queen Discography'!$G$4:$G$21,C57)&gt;0,"A Day At The Races",
IF(COUNTIF('Queen Discography'!$H$4:$H$21,C57)&gt;0,"News Of The World",
IF(COUNTIF('Queen Discography'!$I$4:$I$21,C57)&gt;0,"Jazz",
IF(COUNTIF('Queen Discography'!$J$4:$J$21,C57)&gt;0,"The Game",
IF(COUNTIF('Queen Discography'!$K$4:$K$21,C57)&gt;0,"Flash Gordon",
IF(COUNTIF('Queen Discography'!$L$4:$L$21,C57)&gt;0,"Hot Space",
IF(COUNTIF('Queen Discography'!$M$4:$M$21,C57)&gt;0,"The Works",
IF(COUNTIF('Queen Discography'!$N$4:$N$21,C57)&gt;0,"A Kind Of Magic",
IF(COUNTIF('Queen Discography'!$O$4:$O$21,C57)&gt;0,"The Miracle",
IF(COUNTIF('Queen Discography'!$P$4:$P$21,C57)&gt;0,"Innuendo",
IF(COUNTIF('Queen Discography'!$Q$4:$Q$21,C57)&gt;0,"Made In Heaven","NOT FOUND")))))))))))))))</f>
        <v>The Game</v>
      </c>
      <c r="F57" s="33"/>
      <c r="G57" s="33"/>
      <c r="H57" s="33"/>
      <c r="I57" s="33"/>
    </row>
    <row r="58">
      <c r="A58" s="33"/>
      <c r="C58" s="105" t="s">
        <v>814</v>
      </c>
      <c r="D58" s="109" t="s">
        <v>1004</v>
      </c>
      <c r="E58" s="105" t="str">
        <f>IF(COUNTIF('Queen Discography'!$C$4:$C$21,C58)&gt;0,"Queen",
IF(COUNTIF('Queen Discography'!$D$4:$D$21,C58)&gt;0,"Queen II",
IF(COUNTIF('Queen Discography'!$E$4:$E$21,C58)&gt;0,"Sheer Heart Attack",
IF(COUNTIF('Queen Discography'!$F$4:$F$21,C58)&gt;0,"A Night At The Opera",
IF(COUNTIF('Queen Discography'!$G$4:$G$21,C58)&gt;0,"A Day At The Races",
IF(COUNTIF('Queen Discography'!$H$4:$H$21,C58)&gt;0,"News Of The World",
IF(COUNTIF('Queen Discography'!$I$4:$I$21,C58)&gt;0,"Jazz",
IF(COUNTIF('Queen Discography'!$J$4:$J$21,C58)&gt;0,"The Game",
IF(COUNTIF('Queen Discography'!$K$4:$K$21,C58)&gt;0,"Flash Gordon",
IF(COUNTIF('Queen Discography'!$L$4:$L$21,C58)&gt;0,"Hot Space",
IF(COUNTIF('Queen Discography'!$M$4:$M$21,C58)&gt;0,"The Works",
IF(COUNTIF('Queen Discography'!$N$4:$N$21,C58)&gt;0,"A Kind Of Magic",
IF(COUNTIF('Queen Discography'!$O$4:$O$21,C58)&gt;0,"The Miracle",
IF(COUNTIF('Queen Discography'!$P$4:$P$21,C58)&gt;0,"Innuendo",
IF(COUNTIF('Queen Discography'!$Q$4:$Q$21,C58)&gt;0,"Made In Heaven","NOT FOUND")))))))))))))))</f>
        <v>The Miracle</v>
      </c>
      <c r="F58" s="33"/>
      <c r="G58" s="33"/>
      <c r="H58" s="33"/>
      <c r="I58" s="33"/>
    </row>
    <row r="59">
      <c r="A59" s="33"/>
      <c r="C59" s="105" t="s">
        <v>859</v>
      </c>
      <c r="D59" s="109" t="s">
        <v>1005</v>
      </c>
      <c r="E59" s="105" t="str">
        <f>IF(COUNTIF('Queen Discography'!$C$4:$C$21,C59)&gt;0,"Queen",
IF(COUNTIF('Queen Discography'!$D$4:$D$21,C59)&gt;0,"Queen II",
IF(COUNTIF('Queen Discography'!$E$4:$E$21,C59)&gt;0,"Sheer Heart Attack",
IF(COUNTIF('Queen Discography'!$F$4:$F$21,C59)&gt;0,"A Night At The Opera",
IF(COUNTIF('Queen Discography'!$G$4:$G$21,C59)&gt;0,"A Day At The Races",
IF(COUNTIF('Queen Discography'!$H$4:$H$21,C59)&gt;0,"News Of The World",
IF(COUNTIF('Queen Discography'!$I$4:$I$21,C59)&gt;0,"Jazz",
IF(COUNTIF('Queen Discography'!$J$4:$J$21,C59)&gt;0,"The Game",
IF(COUNTIF('Queen Discography'!$K$4:$K$21,C59)&gt;0,"Flash Gordon",
IF(COUNTIF('Queen Discography'!$L$4:$L$21,C59)&gt;0,"Hot Space",
IF(COUNTIF('Queen Discography'!$M$4:$M$21,C59)&gt;0,"The Works",
IF(COUNTIF('Queen Discography'!$N$4:$N$21,C59)&gt;0,"A Kind Of Magic",
IF(COUNTIF('Queen Discography'!$O$4:$O$21,C59)&gt;0,"The Miracle",
IF(COUNTIF('Queen Discography'!$P$4:$P$21,C59)&gt;0,"Innuendo",
IF(COUNTIF('Queen Discography'!$Q$4:$Q$21,C59)&gt;0,"Made In Heaven","NOT FOUND")))))))))))))))</f>
        <v>The Miracle</v>
      </c>
      <c r="F59" s="33"/>
      <c r="G59" s="33"/>
      <c r="H59" s="33"/>
      <c r="I59" s="33"/>
    </row>
    <row r="60">
      <c r="A60" s="33"/>
      <c r="C60" s="105" t="s">
        <v>874</v>
      </c>
      <c r="D60" s="109" t="s">
        <v>1006</v>
      </c>
      <c r="E60" s="105" t="str">
        <f>IF(COUNTIF('Queen Discography'!$C$4:$C$21,C60)&gt;0,"Queen",
IF(COUNTIF('Queen Discography'!$D$4:$D$21,C60)&gt;0,"Queen II",
IF(COUNTIF('Queen Discography'!$E$4:$E$21,C60)&gt;0,"Sheer Heart Attack",
IF(COUNTIF('Queen Discography'!$F$4:$F$21,C60)&gt;0,"A Night At The Opera",
IF(COUNTIF('Queen Discography'!$G$4:$G$21,C60)&gt;0,"A Day At The Races",
IF(COUNTIF('Queen Discography'!$H$4:$H$21,C60)&gt;0,"News Of The World",
IF(COUNTIF('Queen Discography'!$I$4:$I$21,C60)&gt;0,"Jazz",
IF(COUNTIF('Queen Discography'!$J$4:$J$21,C60)&gt;0,"The Game",
IF(COUNTIF('Queen Discography'!$K$4:$K$21,C60)&gt;0,"Flash Gordon",
IF(COUNTIF('Queen Discography'!$L$4:$L$21,C60)&gt;0,"Hot Space",
IF(COUNTIF('Queen Discography'!$M$4:$M$21,C60)&gt;0,"The Works",
IF(COUNTIF('Queen Discography'!$N$4:$N$21,C60)&gt;0,"A Kind Of Magic",
IF(COUNTIF('Queen Discography'!$O$4:$O$21,C60)&gt;0,"The Miracle",
IF(COUNTIF('Queen Discography'!$P$4:$P$21,C60)&gt;0,"Innuendo",
IF(COUNTIF('Queen Discography'!$Q$4:$Q$21,C60)&gt;0,"Made In Heaven","NOT FOUND")))))))))))))))</f>
        <v>The Miracle</v>
      </c>
      <c r="F60" s="33"/>
      <c r="G60" s="33"/>
      <c r="H60" s="33"/>
      <c r="I60" s="33"/>
    </row>
    <row r="61">
      <c r="A61" s="33"/>
      <c r="C61" s="105" t="s">
        <v>829</v>
      </c>
      <c r="D61" s="109" t="s">
        <v>1007</v>
      </c>
      <c r="E61" s="105" t="str">
        <f>IF(COUNTIF('Queen Discography'!$C$4:$C$21,C61)&gt;0,"Queen",
IF(COUNTIF('Queen Discography'!$D$4:$D$21,C61)&gt;0,"Queen II",
IF(COUNTIF('Queen Discography'!$E$4:$E$21,C61)&gt;0,"Sheer Heart Attack",
IF(COUNTIF('Queen Discography'!$F$4:$F$21,C61)&gt;0,"A Night At The Opera",
IF(COUNTIF('Queen Discography'!$G$4:$G$21,C61)&gt;0,"A Day At The Races",
IF(COUNTIF('Queen Discography'!$H$4:$H$21,C61)&gt;0,"News Of The World",
IF(COUNTIF('Queen Discography'!$I$4:$I$21,C61)&gt;0,"Jazz",
IF(COUNTIF('Queen Discography'!$J$4:$J$21,C61)&gt;0,"The Game",
IF(COUNTIF('Queen Discography'!$K$4:$K$21,C61)&gt;0,"Flash Gordon",
IF(COUNTIF('Queen Discography'!$L$4:$L$21,C61)&gt;0,"Hot Space",
IF(COUNTIF('Queen Discography'!$M$4:$M$21,C61)&gt;0,"The Works",
IF(COUNTIF('Queen Discography'!$N$4:$N$21,C61)&gt;0,"A Kind Of Magic",
IF(COUNTIF('Queen Discography'!$O$4:$O$21,C61)&gt;0,"The Miracle",
IF(COUNTIF('Queen Discography'!$P$4:$P$21,C61)&gt;0,"Innuendo",
IF(COUNTIF('Queen Discography'!$Q$4:$Q$21,C61)&gt;0,"Made In Heaven","NOT FOUND")))))))))))))))</f>
        <v>The Miracle</v>
      </c>
      <c r="F61" s="33"/>
      <c r="G61" s="33"/>
      <c r="H61" s="33"/>
      <c r="I61" s="33"/>
    </row>
    <row r="62">
      <c r="A62" s="33"/>
      <c r="C62" s="105" t="s">
        <v>759</v>
      </c>
      <c r="D62" s="109" t="s">
        <v>1008</v>
      </c>
      <c r="E62" s="105" t="str">
        <f>IF(COUNTIF('Queen Discography'!$C$4:$C$21,C62)&gt;0,"Queen",
IF(COUNTIF('Queen Discography'!$D$4:$D$21,C62)&gt;0,"Queen II",
IF(COUNTIF('Queen Discography'!$E$4:$E$21,C62)&gt;0,"Sheer Heart Attack",
IF(COUNTIF('Queen Discography'!$F$4:$F$21,C62)&gt;0,"A Night At The Opera",
IF(COUNTIF('Queen Discography'!$G$4:$G$21,C62)&gt;0,"A Day At The Races",
IF(COUNTIF('Queen Discography'!$H$4:$H$21,C62)&gt;0,"News Of The World",
IF(COUNTIF('Queen Discography'!$I$4:$I$21,C62)&gt;0,"Jazz",
IF(COUNTIF('Queen Discography'!$J$4:$J$21,C62)&gt;0,"The Game",
IF(COUNTIF('Queen Discography'!$K$4:$K$21,C62)&gt;0,"Flash Gordon",
IF(COUNTIF('Queen Discography'!$L$4:$L$21,C62)&gt;0,"Hot Space",
IF(COUNTIF('Queen Discography'!$M$4:$M$21,C62)&gt;0,"The Works",
IF(COUNTIF('Queen Discography'!$N$4:$N$21,C62)&gt;0,"A Kind Of Magic",
IF(COUNTIF('Queen Discography'!$O$4:$O$21,C62)&gt;0,"The Miracle",
IF(COUNTIF('Queen Discography'!$P$4:$P$21,C62)&gt;0,"Innuendo",
IF(COUNTIF('Queen Discography'!$Q$4:$Q$21,C62)&gt;0,"Made In Heaven","NOT FOUND")))))))))))))))</f>
        <v>The Miracle</v>
      </c>
      <c r="F62" s="33"/>
      <c r="G62" s="33"/>
      <c r="H62" s="33"/>
      <c r="I62" s="33"/>
    </row>
    <row r="63">
      <c r="A63" s="33"/>
      <c r="C63" s="105" t="s">
        <v>1009</v>
      </c>
      <c r="D63" s="109" t="s">
        <v>1010</v>
      </c>
      <c r="E63" s="105" t="str">
        <f>IF(COUNTIF('Queen Discography'!$C$4:$C$21,C63)&gt;0,"Queen",
IF(COUNTIF('Queen Discography'!$D$4:$D$21,C63)&gt;0,"Queen II",
IF(COUNTIF('Queen Discography'!$E$4:$E$21,C63)&gt;0,"Sheer Heart Attack",
IF(COUNTIF('Queen Discography'!$F$4:$F$21,C63)&gt;0,"A Night At The Opera",
IF(COUNTIF('Queen Discography'!$G$4:$G$21,C63)&gt;0,"A Day At The Races",
IF(COUNTIF('Queen Discography'!$H$4:$H$21,C63)&gt;0,"News Of The World",
IF(COUNTIF('Queen Discography'!$I$4:$I$21,C63)&gt;0,"Jazz",
IF(COUNTIF('Queen Discography'!$J$4:$J$21,C63)&gt;0,"The Game",
IF(COUNTIF('Queen Discography'!$K$4:$K$21,C63)&gt;0,"Flash Gordon",
IF(COUNTIF('Queen Discography'!$L$4:$L$21,C63)&gt;0,"Hot Space",
IF(COUNTIF('Queen Discography'!$M$4:$M$21,C63)&gt;0,"The Works",
IF(COUNTIF('Queen Discography'!$N$4:$N$21,C63)&gt;0,"A Kind Of Magic",
IF(COUNTIF('Queen Discography'!$O$4:$O$21,C63)&gt;0,"The Miracle",
IF(COUNTIF('Queen Discography'!$P$4:$P$21,C63)&gt;0,"Innuendo",
IF(COUNTIF('Queen Discography'!$Q$4:$Q$21,C63)&gt;0,"Made In Heaven","NOT FOUND")))))))))))))))</f>
        <v>The Works</v>
      </c>
      <c r="F63" s="33"/>
      <c r="G63" s="33"/>
      <c r="H63" s="33"/>
      <c r="I63" s="33"/>
    </row>
    <row r="64">
      <c r="A64" s="33"/>
      <c r="C64" s="105" t="s">
        <v>1011</v>
      </c>
      <c r="D64" s="109" t="s">
        <v>1012</v>
      </c>
      <c r="E64" s="105" t="str">
        <f>IF(COUNTIF('Queen Discography'!$C$4:$C$21,C64)&gt;0,"Queen",
IF(COUNTIF('Queen Discography'!$D$4:$D$21,C64)&gt;0,"Queen II",
IF(COUNTIF('Queen Discography'!$E$4:$E$21,C64)&gt;0,"Sheer Heart Attack",
IF(COUNTIF('Queen Discography'!$F$4:$F$21,C64)&gt;0,"A Night At The Opera",
IF(COUNTIF('Queen Discography'!$G$4:$G$21,C64)&gt;0,"A Day At The Races",
IF(COUNTIF('Queen Discography'!$H$4:$H$21,C64)&gt;0,"News Of The World",
IF(COUNTIF('Queen Discography'!$I$4:$I$21,C64)&gt;0,"Jazz",
IF(COUNTIF('Queen Discography'!$J$4:$J$21,C64)&gt;0,"The Game",
IF(COUNTIF('Queen Discography'!$K$4:$K$21,C64)&gt;0,"Flash Gordon",
IF(COUNTIF('Queen Discography'!$L$4:$L$21,C64)&gt;0,"Hot Space",
IF(COUNTIF('Queen Discography'!$M$4:$M$21,C64)&gt;0,"The Works",
IF(COUNTIF('Queen Discography'!$N$4:$N$21,C64)&gt;0,"A Kind Of Magic",
IF(COUNTIF('Queen Discography'!$O$4:$O$21,C64)&gt;0,"The Miracle",
IF(COUNTIF('Queen Discography'!$P$4:$P$21,C64)&gt;0,"Innuendo",
IF(COUNTIF('Queen Discography'!$Q$4:$Q$21,C64)&gt;0,"Made In Heaven","NOT FOUND")))))))))))))))</f>
        <v>The Works</v>
      </c>
      <c r="F64" s="33"/>
      <c r="G64" s="33"/>
      <c r="H64" s="33"/>
      <c r="I64" s="33"/>
    </row>
    <row r="65">
      <c r="A65" s="33"/>
      <c r="C65" s="105" t="s">
        <v>1013</v>
      </c>
      <c r="D65" s="106" t="s">
        <v>1014</v>
      </c>
      <c r="E65" s="105" t="str">
        <f>IF(COUNTIF('Queen Discography'!$C$4:$C$21,C65)&gt;0,"Queen",
IF(COUNTIF('Queen Discography'!$D$4:$D$21,C65)&gt;0,"Queen II",
IF(COUNTIF('Queen Discography'!$E$4:$E$21,C65)&gt;0,"Sheer Heart Attack",
IF(COUNTIF('Queen Discography'!$F$4:$F$21,C65)&gt;0,"A Night At The Opera",
IF(COUNTIF('Queen Discography'!$G$4:$G$21,C65)&gt;0,"A Day At The Races",
IF(COUNTIF('Queen Discography'!$H$4:$H$21,C65)&gt;0,"News Of The World",
IF(COUNTIF('Queen Discography'!$I$4:$I$21,C65)&gt;0,"Jazz",
IF(COUNTIF('Queen Discography'!$J$4:$J$21,C65)&gt;0,"The Game",
IF(COUNTIF('Queen Discography'!$K$4:$K$21,C65)&gt;0,"Flash Gordon",
IF(COUNTIF('Queen Discography'!$L$4:$L$21,C65)&gt;0,"Hot Space",
IF(COUNTIF('Queen Discography'!$M$4:$M$21,C65)&gt;0,"The Works",
IF(COUNTIF('Queen Discography'!$N$4:$N$21,C65)&gt;0,"A Kind Of Magic",
IF(COUNTIF('Queen Discography'!$O$4:$O$21,C65)&gt;0,"The Miracle",
IF(COUNTIF('Queen Discography'!$P$4:$P$21,C65)&gt;0,"Innuendo",
IF(COUNTIF('Queen Discography'!$Q$4:$Q$21,C65)&gt;0,"Made In Heaven","NOT FOUND")))))))))))))))</f>
        <v>The Works</v>
      </c>
      <c r="F65" s="33"/>
      <c r="G65" s="33"/>
      <c r="H65" s="33"/>
      <c r="I65" s="33"/>
    </row>
    <row r="66">
      <c r="A66" s="33"/>
      <c r="C66" s="105" t="s">
        <v>772</v>
      </c>
      <c r="D66" s="109" t="s">
        <v>1015</v>
      </c>
      <c r="E66" s="105" t="str">
        <f>IF(COUNTIF('Queen Discography'!$C$4:$C$21,C66)&gt;0,"Queen",
IF(COUNTIF('Queen Discography'!$D$4:$D$21,C66)&gt;0,"Queen II",
IF(COUNTIF('Queen Discography'!$E$4:$E$21,C66)&gt;0,"Sheer Heart Attack",
IF(COUNTIF('Queen Discography'!$F$4:$F$21,C66)&gt;0,"A Night At The Opera",
IF(COUNTIF('Queen Discography'!$G$4:$G$21,C66)&gt;0,"A Day At The Races",
IF(COUNTIF('Queen Discography'!$H$4:$H$21,C66)&gt;0,"News Of The World",
IF(COUNTIF('Queen Discography'!$I$4:$I$21,C66)&gt;0,"Jazz",
IF(COUNTIF('Queen Discography'!$J$4:$J$21,C66)&gt;0,"The Game",
IF(COUNTIF('Queen Discography'!$K$4:$K$21,C66)&gt;0,"Flash Gordon",
IF(COUNTIF('Queen Discography'!$L$4:$L$21,C66)&gt;0,"Hot Space",
IF(COUNTIF('Queen Discography'!$M$4:$M$21,C66)&gt;0,"The Works",
IF(COUNTIF('Queen Discography'!$N$4:$N$21,C66)&gt;0,"A Kind Of Magic",
IF(COUNTIF('Queen Discography'!$O$4:$O$21,C66)&gt;0,"The Miracle",
IF(COUNTIF('Queen Discography'!$P$4:$P$21,C66)&gt;0,"Innuendo",
IF(COUNTIF('Queen Discography'!$Q$4:$Q$21,C66)&gt;0,"Made In Heaven","NOT FOUND")))))))))))))))</f>
        <v>The Works</v>
      </c>
      <c r="F66" s="33"/>
      <c r="G66" s="33"/>
      <c r="H66" s="33"/>
      <c r="I66" s="33"/>
    </row>
    <row r="67">
      <c r="A67" s="33"/>
      <c r="B67" s="99"/>
      <c r="C67" s="33"/>
      <c r="D67" s="33"/>
      <c r="E67" s="33"/>
      <c r="F67" s="33"/>
      <c r="G67" s="33"/>
      <c r="H67" s="33"/>
      <c r="I67" s="33"/>
    </row>
  </sheetData>
  <autoFilter ref="$C$3:$E$66">
    <sortState ref="C3:E66">
      <sortCondition ref="E3:E66"/>
    </sortState>
  </autoFilter>
  <mergeCells count="3">
    <mergeCell ref="C2:E2"/>
    <mergeCell ref="G2:H3"/>
    <mergeCell ref="B4:B66"/>
  </mergeCells>
  <conditionalFormatting sqref="C4:C39 D4:E66 C43:C66">
    <cfRule type="expression" dxfId="4" priority="1">
      <formula>$E4="NOT FOUND"</formula>
    </cfRule>
  </conditionalFormatting>
  <conditionalFormatting sqref="C4:C39 D4:E66 C43:C66">
    <cfRule type="expression" dxfId="5" priority="2">
      <formula>$E4="Queen"</formula>
    </cfRule>
  </conditionalFormatting>
  <conditionalFormatting sqref="C4:C39 D4:E66 C43:C66">
    <cfRule type="expression" dxfId="6" priority="3">
      <formula>$E4="Queen II"</formula>
    </cfRule>
  </conditionalFormatting>
  <conditionalFormatting sqref="C4:C39 D4:E66 C43:C66">
    <cfRule type="expression" dxfId="7" priority="4">
      <formula>$E4="Sheer Heart Attack"</formula>
    </cfRule>
  </conditionalFormatting>
  <conditionalFormatting sqref="C4:C39 D4:E66 C43:C66">
    <cfRule type="expression" dxfId="8" priority="5">
      <formula>$E4="A Night At The Opera"</formula>
    </cfRule>
  </conditionalFormatting>
  <conditionalFormatting sqref="C4:C39 D4:E66 C43:C66">
    <cfRule type="expression" dxfId="9" priority="6">
      <formula>$E4="A Day At The Races"</formula>
    </cfRule>
  </conditionalFormatting>
  <conditionalFormatting sqref="C4:C39 D4:E66 C43:C66">
    <cfRule type="expression" dxfId="10" priority="7">
      <formula>$E4="News Of The World"</formula>
    </cfRule>
  </conditionalFormatting>
  <conditionalFormatting sqref="C4:C39 D4:E66 C43:C66">
    <cfRule type="expression" dxfId="11" priority="8">
      <formula>$E4="Jazz"</formula>
    </cfRule>
  </conditionalFormatting>
  <conditionalFormatting sqref="C4:C39 D4:E66 C43:C66">
    <cfRule type="expression" dxfId="12" priority="9">
      <formula>$E4="The Game"</formula>
    </cfRule>
  </conditionalFormatting>
  <conditionalFormatting sqref="C4:C39 D4:E66 C43:C66">
    <cfRule type="expression" dxfId="13" priority="10">
      <formula>$E4="Flash Gordon"</formula>
    </cfRule>
  </conditionalFormatting>
  <conditionalFormatting sqref="C4:C39 D4:E66 C43:C66">
    <cfRule type="expression" dxfId="14" priority="11">
      <formula>$E4="Hot Space"</formula>
    </cfRule>
  </conditionalFormatting>
  <conditionalFormatting sqref="C4:C39 D4:E66 C43:C66">
    <cfRule type="expression" dxfId="15" priority="12">
      <formula>$E4="The Works"</formula>
    </cfRule>
  </conditionalFormatting>
  <conditionalFormatting sqref="C4:C39 D4:E66 C43:C66">
    <cfRule type="expression" dxfId="16" priority="13">
      <formula>$E4="A Kind Of Magic"</formula>
    </cfRule>
  </conditionalFormatting>
  <conditionalFormatting sqref="C4:C39 D4:E66 C43:C66">
    <cfRule type="expression" dxfId="17" priority="14">
      <formula>$E4="The Miracle"</formula>
    </cfRule>
  </conditionalFormatting>
  <conditionalFormatting sqref="C4:C39 D4:E66 C43:C66">
    <cfRule type="expression" dxfId="18" priority="15">
      <formula>$E4="Innuendo"</formula>
    </cfRule>
  </conditionalFormatting>
  <conditionalFormatting sqref="C4:C39 D4:E66 C43:C66">
    <cfRule type="expression" dxfId="19" priority="16">
      <formula>$E4="Made In Heaven"</formula>
    </cfRule>
  </conditionalFormatting>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3"/>
    <hyperlink r:id="rId21" ref="D24"/>
    <hyperlink r:id="rId22" ref="D25"/>
    <hyperlink r:id="rId23" ref="D26"/>
    <hyperlink r:id="rId24" ref="D27"/>
    <hyperlink r:id="rId25" ref="D28"/>
    <hyperlink r:id="rId26" ref="D29"/>
    <hyperlink r:id="rId27" ref="D30"/>
    <hyperlink r:id="rId28" ref="D31"/>
    <hyperlink r:id="rId29" ref="D32"/>
    <hyperlink r:id="rId30" ref="D33"/>
    <hyperlink r:id="rId31" ref="D34"/>
    <hyperlink r:id="rId32" ref="D35"/>
    <hyperlink r:id="rId33" ref="D36"/>
    <hyperlink r:id="rId34" ref="D37"/>
    <hyperlink r:id="rId35" ref="D38"/>
    <hyperlink r:id="rId36" ref="D39"/>
    <hyperlink r:id="rId37" ref="D40"/>
    <hyperlink r:id="rId38" ref="D41"/>
    <hyperlink r:id="rId39" ref="D42"/>
    <hyperlink r:id="rId40" ref="D43"/>
    <hyperlink r:id="rId41" ref="D44"/>
    <hyperlink r:id="rId42" ref="D45"/>
    <hyperlink r:id="rId43" ref="D46"/>
    <hyperlink r:id="rId44" ref="D47"/>
    <hyperlink r:id="rId45" ref="D48"/>
    <hyperlink r:id="rId46" ref="D49"/>
    <hyperlink r:id="rId47" ref="D50"/>
    <hyperlink r:id="rId48" ref="D51"/>
    <hyperlink r:id="rId49" ref="D52"/>
    <hyperlink r:id="rId50" ref="D53"/>
    <hyperlink r:id="rId51" ref="D54"/>
    <hyperlink r:id="rId52" ref="D55"/>
    <hyperlink r:id="rId53" ref="D56"/>
    <hyperlink r:id="rId54" ref="D57"/>
    <hyperlink r:id="rId55" ref="D58"/>
    <hyperlink r:id="rId56" ref="D59"/>
    <hyperlink r:id="rId57" ref="D60"/>
    <hyperlink r:id="rId58" ref="D61"/>
    <hyperlink r:id="rId59" ref="D62"/>
    <hyperlink r:id="rId60" ref="D63"/>
    <hyperlink r:id="rId61" ref="D64"/>
    <hyperlink r:id="rId62" ref="D65"/>
    <hyperlink r:id="rId63" ref="D66"/>
  </hyperlinks>
  <drawing r:id="rId6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63"/>
    <col customWidth="1" min="2" max="2" width="3.88"/>
    <col customWidth="1" hidden="1" min="3" max="4" width="12.63"/>
    <col customWidth="1" min="5" max="5" width="28.13"/>
    <col customWidth="1" min="6" max="6" width="2.63"/>
    <col customWidth="1" min="7" max="7" width="3.25"/>
    <col customWidth="1" hidden="1" min="8" max="9" width="12.63"/>
    <col customWidth="1" min="10" max="10" width="28.13"/>
    <col customWidth="1" min="11" max="11" width="2.63"/>
    <col customWidth="1" min="12" max="12" width="3.25"/>
    <col customWidth="1" hidden="1" min="13" max="14" width="12.63"/>
    <col customWidth="1" min="15" max="15" width="28.13"/>
    <col customWidth="1" min="16" max="16" width="2.63"/>
    <col customWidth="1" min="17" max="17" width="3.25"/>
    <col customWidth="1" hidden="1" min="18" max="19" width="12.63"/>
    <col customWidth="1" min="20" max="20" width="28.13"/>
    <col customWidth="1" min="21" max="21" width="2.63"/>
    <col customWidth="1" min="22" max="22" width="3.25"/>
    <col customWidth="1" hidden="1" min="23" max="24" width="12.63"/>
    <col customWidth="1" min="25" max="25" width="28.13"/>
    <col customWidth="1" min="26" max="26" width="2.63"/>
    <col customWidth="1" min="27" max="27" width="3.25"/>
    <col customWidth="1" hidden="1" min="28" max="29" width="12.63"/>
    <col customWidth="1" min="30" max="30" width="28.13"/>
    <col customWidth="1" min="31" max="31" width="2.63"/>
    <col customWidth="1" min="32" max="32" width="3.25"/>
    <col customWidth="1" hidden="1" min="33" max="34" width="12.63"/>
    <col customWidth="1" min="35" max="35" width="28.13"/>
    <col customWidth="1" min="36" max="36" width="2.63"/>
    <col customWidth="1" min="37" max="37" width="3.25"/>
    <col customWidth="1" hidden="1" min="38" max="39" width="12.63"/>
    <col customWidth="1" min="40" max="40" width="28.13"/>
    <col customWidth="1" min="41" max="41" width="2.63"/>
    <col customWidth="1" min="42" max="42" width="3.25"/>
    <col customWidth="1" hidden="1" min="43" max="44" width="12.63"/>
    <col customWidth="1" min="45" max="45" width="28.13"/>
    <col customWidth="1" min="46" max="46" width="2.63"/>
    <col customWidth="1" min="47" max="47" width="3.25"/>
    <col customWidth="1" hidden="1" min="48" max="49" width="12.63"/>
    <col customWidth="1" min="50" max="50" width="28.13"/>
    <col customWidth="1" min="51" max="51" width="2.63"/>
  </cols>
  <sheetData>
    <row r="1" ht="15.75" customHeight="1">
      <c r="A1" s="121"/>
      <c r="B1" s="121"/>
      <c r="C1" s="121"/>
      <c r="D1" s="121"/>
      <c r="E1" s="122"/>
      <c r="F1" s="122"/>
      <c r="G1" s="121"/>
      <c r="H1" s="121"/>
      <c r="I1" s="121"/>
      <c r="J1" s="122"/>
      <c r="K1" s="122"/>
      <c r="L1" s="121"/>
      <c r="M1" s="121"/>
      <c r="N1" s="121"/>
      <c r="O1" s="122"/>
      <c r="P1" s="122"/>
      <c r="Q1" s="121"/>
      <c r="R1" s="121"/>
      <c r="S1" s="121"/>
      <c r="T1" s="122"/>
      <c r="U1" s="122"/>
      <c r="V1" s="121"/>
      <c r="W1" s="121"/>
      <c r="X1" s="121"/>
      <c r="Y1" s="122"/>
      <c r="Z1" s="122"/>
      <c r="AA1" s="121"/>
      <c r="AB1" s="121"/>
      <c r="AC1" s="121"/>
      <c r="AD1" s="122"/>
      <c r="AE1" s="122"/>
      <c r="AF1" s="121"/>
      <c r="AG1" s="121"/>
      <c r="AH1" s="121"/>
      <c r="AI1" s="122"/>
      <c r="AJ1" s="122"/>
      <c r="AK1" s="121"/>
      <c r="AL1" s="121"/>
      <c r="AM1" s="121"/>
      <c r="AN1" s="122"/>
      <c r="AO1" s="122"/>
      <c r="AP1" s="121"/>
      <c r="AQ1" s="121"/>
      <c r="AR1" s="121"/>
      <c r="AS1" s="122"/>
      <c r="AT1" s="122"/>
      <c r="AU1" s="121"/>
      <c r="AV1" s="121"/>
      <c r="AW1" s="121"/>
      <c r="AX1" s="122"/>
      <c r="AY1" s="122"/>
    </row>
    <row r="2" ht="15.75" customHeight="1">
      <c r="A2" s="121"/>
      <c r="B2" s="123" t="s">
        <v>1016</v>
      </c>
      <c r="F2" s="122"/>
      <c r="G2" s="123" t="s">
        <v>1017</v>
      </c>
      <c r="K2" s="122"/>
      <c r="L2" s="123" t="s">
        <v>1018</v>
      </c>
      <c r="P2" s="122"/>
      <c r="Q2" s="123" t="s">
        <v>1019</v>
      </c>
      <c r="U2" s="122"/>
      <c r="V2" s="123" t="s">
        <v>1020</v>
      </c>
      <c r="Z2" s="122"/>
      <c r="AA2" s="123" t="s">
        <v>1021</v>
      </c>
      <c r="AE2" s="122"/>
      <c r="AF2" s="123" t="s">
        <v>1022</v>
      </c>
      <c r="AJ2" s="122"/>
      <c r="AK2" s="123" t="s">
        <v>1023</v>
      </c>
      <c r="AO2" s="122"/>
      <c r="AP2" s="123" t="s">
        <v>1024</v>
      </c>
      <c r="AT2" s="122"/>
      <c r="AU2" s="123" t="s">
        <v>1025</v>
      </c>
      <c r="AY2" s="122"/>
    </row>
    <row r="3" ht="15.75" customHeight="1">
      <c r="A3" s="124"/>
      <c r="B3" s="125">
        <v>-1.0</v>
      </c>
      <c r="C3" s="126" t="s">
        <v>1026</v>
      </c>
      <c r="D3" s="127" t="str">
        <f t="shared" ref="D3:D214" si="1">RIGHT(C3,LEN(C3)-66)</f>
        <v>A Kind of Magic.2.mid</v>
      </c>
      <c r="E3" s="128" t="str">
        <f t="shared" ref="E3:E214" si="2">LEFT(D3,LEN(D3)-4)</f>
        <v>A Kind of Magic.2</v>
      </c>
      <c r="F3" s="122"/>
      <c r="G3" s="125">
        <v>-1.0</v>
      </c>
      <c r="H3" s="126" t="s">
        <v>1027</v>
      </c>
      <c r="I3" s="127" t="str">
        <f t="shared" ref="I3:I214" si="3">RIGHT(H3,LEN(H3)-66)</f>
        <v>We Will Rock You.6.mid</v>
      </c>
      <c r="J3" s="128" t="str">
        <f t="shared" ref="J3:J214" si="4">LEFT(I3,LEN(I3)-4)</f>
        <v>We Will Rock You.6</v>
      </c>
      <c r="K3" s="122"/>
      <c r="L3" s="125">
        <v>0.0</v>
      </c>
      <c r="M3" s="126" t="s">
        <v>1028</v>
      </c>
      <c r="N3" s="127" t="str">
        <f t="shared" ref="N3:N214" si="5">RIGHT(M3,LEN(M3)-66)</f>
        <v>'39.mid</v>
      </c>
      <c r="O3" s="128" t="str">
        <f t="shared" ref="O3:O214" si="6">LEFT(N3,LEN(N3)-4)</f>
        <v>'39</v>
      </c>
      <c r="P3" s="122"/>
      <c r="Q3" s="125">
        <v>0.0</v>
      </c>
      <c r="R3" s="126" t="s">
        <v>1028</v>
      </c>
      <c r="S3" s="127" t="str">
        <f t="shared" ref="S3:S214" si="7">RIGHT(R3,LEN(R3)-66)</f>
        <v>'39.mid</v>
      </c>
      <c r="T3" s="128" t="str">
        <f t="shared" ref="T3:T214" si="8">LEFT(S3,LEN(S3)-4)</f>
        <v>'39</v>
      </c>
      <c r="U3" s="122"/>
      <c r="V3" s="125">
        <v>0.0</v>
      </c>
      <c r="W3" s="126" t="s">
        <v>1028</v>
      </c>
      <c r="X3" s="127" t="str">
        <f t="shared" ref="X3:X214" si="9">RIGHT(W3,LEN(W3)-66)</f>
        <v>'39.mid</v>
      </c>
      <c r="Y3" s="128" t="str">
        <f t="shared" ref="Y3:Y214" si="10">LEFT(X3,LEN(X3)-4)</f>
        <v>'39</v>
      </c>
      <c r="Z3" s="122"/>
      <c r="AA3" s="125">
        <v>0.0</v>
      </c>
      <c r="AB3" s="126" t="s">
        <v>1026</v>
      </c>
      <c r="AC3" s="127" t="str">
        <f t="shared" ref="AC3:AC214" si="11">RIGHT(AB3,LEN(AB3)-66)</f>
        <v>A Kind of Magic.2.mid</v>
      </c>
      <c r="AD3" s="128" t="str">
        <f t="shared" ref="AD3:AD214" si="12">LEFT(AC3,LEN(AC3)-4)</f>
        <v>A Kind of Magic.2</v>
      </c>
      <c r="AE3" s="122"/>
      <c r="AF3" s="125">
        <v>0.0</v>
      </c>
      <c r="AG3" s="126" t="s">
        <v>1026</v>
      </c>
      <c r="AH3" s="127" t="str">
        <f t="shared" ref="AH3:AH214" si="13">RIGHT(AG3,LEN(AG3)-66)</f>
        <v>A Kind of Magic.2.mid</v>
      </c>
      <c r="AI3" s="128" t="str">
        <f t="shared" ref="AI3:AI214" si="14">LEFT(AH3,LEN(AH3)-4)</f>
        <v>A Kind of Magic.2</v>
      </c>
      <c r="AJ3" s="122"/>
      <c r="AK3" s="125">
        <v>0.0</v>
      </c>
      <c r="AL3" s="126" t="s">
        <v>1026</v>
      </c>
      <c r="AM3" s="127" t="str">
        <f t="shared" ref="AM3:AM214" si="15">RIGHT(AL3,LEN(AL3)-66)</f>
        <v>A Kind of Magic.2.mid</v>
      </c>
      <c r="AN3" s="128" t="str">
        <f t="shared" ref="AN3:AN214" si="16">LEFT(AM3,LEN(AM3)-4)</f>
        <v>A Kind of Magic.2</v>
      </c>
      <c r="AO3" s="122"/>
      <c r="AP3" s="125">
        <v>0.0</v>
      </c>
      <c r="AQ3" s="126" t="s">
        <v>1026</v>
      </c>
      <c r="AR3" s="127" t="str">
        <f t="shared" ref="AR3:AR214" si="17">RIGHT(AQ3,LEN(AQ3)-66)</f>
        <v>A Kind of Magic.2.mid</v>
      </c>
      <c r="AS3" s="128" t="str">
        <f t="shared" ref="AS3:AS214" si="18">LEFT(AR3,LEN(AR3)-4)</f>
        <v>A Kind of Magic.2</v>
      </c>
      <c r="AT3" s="122"/>
      <c r="AU3" s="125">
        <v>0.0</v>
      </c>
      <c r="AV3" s="126" t="s">
        <v>1029</v>
      </c>
      <c r="AW3" s="127" t="str">
        <f t="shared" ref="AW3:AW214" si="19">RIGHT(AV3,LEN(AV3)-66)</f>
        <v>A Kind of Magic.1.mid</v>
      </c>
      <c r="AX3" s="128" t="str">
        <f t="shared" ref="AX3:AX214" si="20">LEFT(AW3,LEN(AW3)-4)</f>
        <v>A Kind of Magic.1</v>
      </c>
      <c r="AY3" s="122"/>
    </row>
    <row r="4" ht="15.75" customHeight="1">
      <c r="A4" s="124"/>
      <c r="B4" s="125">
        <v>-1.0</v>
      </c>
      <c r="C4" s="126" t="s">
        <v>1030</v>
      </c>
      <c r="D4" s="127" t="str">
        <f t="shared" si="1"/>
        <v>A Kind of Magic.4.mid</v>
      </c>
      <c r="E4" s="128" t="str">
        <f t="shared" si="2"/>
        <v>A Kind of Magic.4</v>
      </c>
      <c r="F4" s="122"/>
      <c r="G4" s="125">
        <v>-1.0</v>
      </c>
      <c r="H4" s="126" t="s">
        <v>1031</v>
      </c>
      <c r="I4" s="127" t="str">
        <f t="shared" si="3"/>
        <v>You're My Best Friend.5.mid</v>
      </c>
      <c r="J4" s="128" t="str">
        <f t="shared" si="4"/>
        <v>You're My Best Friend.5</v>
      </c>
      <c r="K4" s="122"/>
      <c r="L4" s="125">
        <v>0.0</v>
      </c>
      <c r="M4" s="126" t="s">
        <v>1029</v>
      </c>
      <c r="N4" s="127" t="str">
        <f t="shared" si="5"/>
        <v>A Kind of Magic.1.mid</v>
      </c>
      <c r="O4" s="128" t="str">
        <f t="shared" si="6"/>
        <v>A Kind of Magic.1</v>
      </c>
      <c r="P4" s="122"/>
      <c r="Q4" s="125">
        <v>0.0</v>
      </c>
      <c r="R4" s="126" t="s">
        <v>1029</v>
      </c>
      <c r="S4" s="127" t="str">
        <f t="shared" si="7"/>
        <v>A Kind of Magic.1.mid</v>
      </c>
      <c r="T4" s="128" t="str">
        <f t="shared" si="8"/>
        <v>A Kind of Magic.1</v>
      </c>
      <c r="U4" s="122"/>
      <c r="V4" s="125">
        <v>0.0</v>
      </c>
      <c r="W4" s="126" t="s">
        <v>1029</v>
      </c>
      <c r="X4" s="127" t="str">
        <f t="shared" si="9"/>
        <v>A Kind of Magic.1.mid</v>
      </c>
      <c r="Y4" s="128" t="str">
        <f t="shared" si="10"/>
        <v>A Kind of Magic.1</v>
      </c>
      <c r="Z4" s="122"/>
      <c r="AA4" s="125">
        <v>0.0</v>
      </c>
      <c r="AB4" s="126" t="s">
        <v>1030</v>
      </c>
      <c r="AC4" s="127" t="str">
        <f t="shared" si="11"/>
        <v>A Kind of Magic.4.mid</v>
      </c>
      <c r="AD4" s="128" t="str">
        <f t="shared" si="12"/>
        <v>A Kind of Magic.4</v>
      </c>
      <c r="AE4" s="122"/>
      <c r="AF4" s="125">
        <v>1.0</v>
      </c>
      <c r="AG4" s="126" t="s">
        <v>1030</v>
      </c>
      <c r="AH4" s="127" t="str">
        <f t="shared" si="13"/>
        <v>A Kind of Magic.4.mid</v>
      </c>
      <c r="AI4" s="128" t="str">
        <f t="shared" si="14"/>
        <v>A Kind of Magic.4</v>
      </c>
      <c r="AJ4" s="122"/>
      <c r="AK4" s="125">
        <v>1.0</v>
      </c>
      <c r="AL4" s="126" t="s">
        <v>1030</v>
      </c>
      <c r="AM4" s="127" t="str">
        <f t="shared" si="15"/>
        <v>A Kind of Magic.4.mid</v>
      </c>
      <c r="AN4" s="128" t="str">
        <f t="shared" si="16"/>
        <v>A Kind of Magic.4</v>
      </c>
      <c r="AO4" s="122"/>
      <c r="AP4" s="125">
        <v>1.0</v>
      </c>
      <c r="AQ4" s="126" t="s">
        <v>1030</v>
      </c>
      <c r="AR4" s="127" t="str">
        <f t="shared" si="17"/>
        <v>A Kind of Magic.4.mid</v>
      </c>
      <c r="AS4" s="128" t="str">
        <f t="shared" si="18"/>
        <v>A Kind of Magic.4</v>
      </c>
      <c r="AT4" s="122"/>
      <c r="AU4" s="125">
        <v>0.0</v>
      </c>
      <c r="AV4" s="126" t="s">
        <v>1032</v>
      </c>
      <c r="AW4" s="127" t="str">
        <f t="shared" si="19"/>
        <v>Another One Bites The Dust.2.mid</v>
      </c>
      <c r="AX4" s="128" t="str">
        <f t="shared" si="20"/>
        <v>Another One Bites The Dust.2</v>
      </c>
      <c r="AY4" s="122"/>
    </row>
    <row r="5" ht="15.75" customHeight="1">
      <c r="A5" s="124"/>
      <c r="B5" s="125">
        <v>-1.0</v>
      </c>
      <c r="C5" s="126" t="s">
        <v>1027</v>
      </c>
      <c r="D5" s="127" t="str">
        <f t="shared" si="1"/>
        <v>We Will Rock You.6.mid</v>
      </c>
      <c r="E5" s="128" t="str">
        <f t="shared" si="2"/>
        <v>We Will Rock You.6</v>
      </c>
      <c r="F5" s="122"/>
      <c r="G5" s="125">
        <v>0.0</v>
      </c>
      <c r="H5" s="126" t="s">
        <v>1028</v>
      </c>
      <c r="I5" s="127" t="str">
        <f t="shared" si="3"/>
        <v>'39.mid</v>
      </c>
      <c r="J5" s="128" t="str">
        <f t="shared" si="4"/>
        <v>'39</v>
      </c>
      <c r="K5" s="122"/>
      <c r="L5" s="125">
        <v>0.0</v>
      </c>
      <c r="M5" s="126" t="s">
        <v>1033</v>
      </c>
      <c r="N5" s="127" t="str">
        <f t="shared" si="5"/>
        <v>A Kind of Magic.3.mid</v>
      </c>
      <c r="O5" s="128" t="str">
        <f t="shared" si="6"/>
        <v>A Kind of Magic.3</v>
      </c>
      <c r="P5" s="122"/>
      <c r="Q5" s="125">
        <v>0.0</v>
      </c>
      <c r="R5" s="126" t="s">
        <v>1033</v>
      </c>
      <c r="S5" s="127" t="str">
        <f t="shared" si="7"/>
        <v>A Kind of Magic.3.mid</v>
      </c>
      <c r="T5" s="128" t="str">
        <f t="shared" si="8"/>
        <v>A Kind of Magic.3</v>
      </c>
      <c r="U5" s="122"/>
      <c r="V5" s="125">
        <v>0.0</v>
      </c>
      <c r="W5" s="126" t="s">
        <v>1026</v>
      </c>
      <c r="X5" s="127" t="str">
        <f t="shared" si="9"/>
        <v>A Kind of Magic.2.mid</v>
      </c>
      <c r="Y5" s="128" t="str">
        <f t="shared" si="10"/>
        <v>A Kind of Magic.2</v>
      </c>
      <c r="Z5" s="122"/>
      <c r="AA5" s="125">
        <v>1.0</v>
      </c>
      <c r="AB5" s="126" t="s">
        <v>1028</v>
      </c>
      <c r="AC5" s="127" t="str">
        <f t="shared" si="11"/>
        <v>'39.mid</v>
      </c>
      <c r="AD5" s="128" t="str">
        <f t="shared" si="12"/>
        <v>'39</v>
      </c>
      <c r="AE5" s="122"/>
      <c r="AF5" s="125">
        <v>2.0</v>
      </c>
      <c r="AG5" s="126" t="s">
        <v>1029</v>
      </c>
      <c r="AH5" s="127" t="str">
        <f t="shared" si="13"/>
        <v>A Kind of Magic.1.mid</v>
      </c>
      <c r="AI5" s="128" t="str">
        <f t="shared" si="14"/>
        <v>A Kind of Magic.1</v>
      </c>
      <c r="AJ5" s="122"/>
      <c r="AK5" s="125">
        <v>2.0</v>
      </c>
      <c r="AL5" s="126" t="s">
        <v>1029</v>
      </c>
      <c r="AM5" s="127" t="str">
        <f t="shared" si="15"/>
        <v>A Kind of Magic.1.mid</v>
      </c>
      <c r="AN5" s="128" t="str">
        <f t="shared" si="16"/>
        <v>A Kind of Magic.1</v>
      </c>
      <c r="AO5" s="122"/>
      <c r="AP5" s="125">
        <v>2.0</v>
      </c>
      <c r="AQ5" s="126" t="s">
        <v>1034</v>
      </c>
      <c r="AR5" s="127" t="str">
        <f t="shared" si="17"/>
        <v>Another One Bites The Dust.1.mid</v>
      </c>
      <c r="AS5" s="128" t="str">
        <f t="shared" si="18"/>
        <v>Another One Bites The Dust.1</v>
      </c>
      <c r="AT5" s="122"/>
      <c r="AU5" s="125">
        <v>0.0</v>
      </c>
      <c r="AV5" s="126" t="s">
        <v>1035</v>
      </c>
      <c r="AW5" s="127" t="str">
        <f t="shared" si="19"/>
        <v>I'm Going Slightly Mad.3.mid</v>
      </c>
      <c r="AX5" s="128" t="str">
        <f t="shared" si="20"/>
        <v>I'm Going Slightly Mad.3</v>
      </c>
      <c r="AY5" s="122"/>
    </row>
    <row r="6" ht="15.75" customHeight="1">
      <c r="A6" s="124"/>
      <c r="B6" s="125">
        <v>-1.0</v>
      </c>
      <c r="C6" s="126" t="s">
        <v>1031</v>
      </c>
      <c r="D6" s="127" t="str">
        <f t="shared" si="1"/>
        <v>You're My Best Friend.5.mid</v>
      </c>
      <c r="E6" s="128" t="str">
        <f t="shared" si="2"/>
        <v>You're My Best Friend.5</v>
      </c>
      <c r="F6" s="122"/>
      <c r="G6" s="125">
        <v>0.0</v>
      </c>
      <c r="H6" s="126" t="s">
        <v>1029</v>
      </c>
      <c r="I6" s="127" t="str">
        <f t="shared" si="3"/>
        <v>A Kind of Magic.1.mid</v>
      </c>
      <c r="J6" s="128" t="str">
        <f t="shared" si="4"/>
        <v>A Kind of Magic.1</v>
      </c>
      <c r="K6" s="122"/>
      <c r="L6" s="125">
        <v>0.0</v>
      </c>
      <c r="M6" s="126" t="s">
        <v>1030</v>
      </c>
      <c r="N6" s="127" t="str">
        <f t="shared" si="5"/>
        <v>A Kind of Magic.4.mid</v>
      </c>
      <c r="O6" s="128" t="str">
        <f t="shared" si="6"/>
        <v>A Kind of Magic.4</v>
      </c>
      <c r="P6" s="122"/>
      <c r="Q6" s="125">
        <v>0.0</v>
      </c>
      <c r="R6" s="126" t="s">
        <v>1036</v>
      </c>
      <c r="S6" s="127" t="str">
        <f t="shared" si="7"/>
        <v>A Kind of Magic.mid</v>
      </c>
      <c r="T6" s="128" t="str">
        <f t="shared" si="8"/>
        <v>A Kind of Magic</v>
      </c>
      <c r="U6" s="122"/>
      <c r="V6" s="125">
        <v>0.0</v>
      </c>
      <c r="W6" s="126" t="s">
        <v>1033</v>
      </c>
      <c r="X6" s="127" t="str">
        <f t="shared" si="9"/>
        <v>A Kind of Magic.3.mid</v>
      </c>
      <c r="Y6" s="128" t="str">
        <f t="shared" si="10"/>
        <v>A Kind of Magic.3</v>
      </c>
      <c r="Z6" s="122"/>
      <c r="AA6" s="125">
        <v>1.0</v>
      </c>
      <c r="AB6" s="126" t="s">
        <v>1029</v>
      </c>
      <c r="AC6" s="127" t="str">
        <f t="shared" si="11"/>
        <v>A Kind of Magic.1.mid</v>
      </c>
      <c r="AD6" s="128" t="str">
        <f t="shared" si="12"/>
        <v>A Kind of Magic.1</v>
      </c>
      <c r="AE6" s="122"/>
      <c r="AF6" s="125">
        <v>2.0</v>
      </c>
      <c r="AG6" s="126" t="s">
        <v>1032</v>
      </c>
      <c r="AH6" s="127" t="str">
        <f t="shared" si="13"/>
        <v>Another One Bites The Dust.2.mid</v>
      </c>
      <c r="AI6" s="128" t="str">
        <f t="shared" si="14"/>
        <v>Another One Bites The Dust.2</v>
      </c>
      <c r="AJ6" s="122"/>
      <c r="AK6" s="125">
        <v>2.0</v>
      </c>
      <c r="AL6" s="126" t="s">
        <v>1032</v>
      </c>
      <c r="AM6" s="127" t="str">
        <f t="shared" si="15"/>
        <v>Another One Bites The Dust.2.mid</v>
      </c>
      <c r="AN6" s="128" t="str">
        <f t="shared" si="16"/>
        <v>Another One Bites The Dust.2</v>
      </c>
      <c r="AO6" s="122"/>
      <c r="AP6" s="125">
        <v>2.0</v>
      </c>
      <c r="AQ6" s="126" t="s">
        <v>1037</v>
      </c>
      <c r="AR6" s="127" t="str">
        <f t="shared" si="17"/>
        <v>Bohemian Rhapsody.3.mid</v>
      </c>
      <c r="AS6" s="128" t="str">
        <f t="shared" si="18"/>
        <v>Bohemian Rhapsody.3</v>
      </c>
      <c r="AT6" s="122"/>
      <c r="AU6" s="125">
        <v>0.0</v>
      </c>
      <c r="AV6" s="126" t="s">
        <v>1038</v>
      </c>
      <c r="AW6" s="127" t="str">
        <f t="shared" si="19"/>
        <v>It's a Hard Life.1.mid</v>
      </c>
      <c r="AX6" s="128" t="str">
        <f t="shared" si="20"/>
        <v>It's a Hard Life.1</v>
      </c>
      <c r="AY6" s="122"/>
    </row>
    <row r="7" ht="15.75" customHeight="1">
      <c r="A7" s="124"/>
      <c r="B7" s="125">
        <v>0.0</v>
      </c>
      <c r="C7" s="126" t="s">
        <v>1028</v>
      </c>
      <c r="D7" s="127" t="str">
        <f t="shared" si="1"/>
        <v>'39.mid</v>
      </c>
      <c r="E7" s="128" t="str">
        <f t="shared" si="2"/>
        <v>'39</v>
      </c>
      <c r="F7" s="122"/>
      <c r="G7" s="125">
        <v>0.0</v>
      </c>
      <c r="H7" s="126" t="s">
        <v>1033</v>
      </c>
      <c r="I7" s="127" t="str">
        <f t="shared" si="3"/>
        <v>A Kind of Magic.3.mid</v>
      </c>
      <c r="J7" s="128" t="str">
        <f t="shared" si="4"/>
        <v>A Kind of Magic.3</v>
      </c>
      <c r="K7" s="122"/>
      <c r="L7" s="125">
        <v>0.0</v>
      </c>
      <c r="M7" s="126" t="s">
        <v>1036</v>
      </c>
      <c r="N7" s="127" t="str">
        <f t="shared" si="5"/>
        <v>A Kind of Magic.mid</v>
      </c>
      <c r="O7" s="128" t="str">
        <f t="shared" si="6"/>
        <v>A Kind of Magic</v>
      </c>
      <c r="P7" s="122"/>
      <c r="Q7" s="125">
        <v>0.0</v>
      </c>
      <c r="R7" s="126" t="s">
        <v>1039</v>
      </c>
      <c r="S7" s="127" t="str">
        <f t="shared" si="7"/>
        <v>All God's People.1.mid</v>
      </c>
      <c r="T7" s="128" t="str">
        <f t="shared" si="8"/>
        <v>All God's People.1</v>
      </c>
      <c r="U7" s="122"/>
      <c r="V7" s="125">
        <v>0.0</v>
      </c>
      <c r="W7" s="126" t="s">
        <v>1036</v>
      </c>
      <c r="X7" s="127" t="str">
        <f t="shared" si="9"/>
        <v>A Kind of Magic.mid</v>
      </c>
      <c r="Y7" s="128" t="str">
        <f t="shared" si="10"/>
        <v>A Kind of Magic</v>
      </c>
      <c r="Z7" s="122"/>
      <c r="AA7" s="125">
        <v>1.0</v>
      </c>
      <c r="AB7" s="126" t="s">
        <v>1033</v>
      </c>
      <c r="AC7" s="127" t="str">
        <f t="shared" si="11"/>
        <v>A Kind of Magic.3.mid</v>
      </c>
      <c r="AD7" s="128" t="str">
        <f t="shared" si="12"/>
        <v>A Kind of Magic.3</v>
      </c>
      <c r="AE7" s="122"/>
      <c r="AF7" s="125">
        <v>2.0</v>
      </c>
      <c r="AG7" s="126" t="s">
        <v>1035</v>
      </c>
      <c r="AH7" s="127" t="str">
        <f t="shared" si="13"/>
        <v>I'm Going Slightly Mad.3.mid</v>
      </c>
      <c r="AI7" s="128" t="str">
        <f t="shared" si="14"/>
        <v>I'm Going Slightly Mad.3</v>
      </c>
      <c r="AJ7" s="122"/>
      <c r="AK7" s="125">
        <v>2.0</v>
      </c>
      <c r="AL7" s="126" t="s">
        <v>1035</v>
      </c>
      <c r="AM7" s="127" t="str">
        <f t="shared" si="15"/>
        <v>I'm Going Slightly Mad.3.mid</v>
      </c>
      <c r="AN7" s="128" t="str">
        <f t="shared" si="16"/>
        <v>I'm Going Slightly Mad.3</v>
      </c>
      <c r="AO7" s="122"/>
      <c r="AP7" s="125">
        <v>2.0</v>
      </c>
      <c r="AQ7" s="126" t="s">
        <v>1040</v>
      </c>
      <c r="AR7" s="127" t="str">
        <f t="shared" si="17"/>
        <v>Father to Son.mid</v>
      </c>
      <c r="AS7" s="128" t="str">
        <f t="shared" si="18"/>
        <v>Father to Son</v>
      </c>
      <c r="AT7" s="122"/>
      <c r="AU7" s="125">
        <v>0.0</v>
      </c>
      <c r="AV7" s="126" t="s">
        <v>1041</v>
      </c>
      <c r="AW7" s="127" t="str">
        <f t="shared" si="19"/>
        <v>The Show Must Go On.mid</v>
      </c>
      <c r="AX7" s="128" t="str">
        <f t="shared" si="20"/>
        <v>The Show Must Go On</v>
      </c>
      <c r="AY7" s="122"/>
    </row>
    <row r="8" ht="15.75" customHeight="1">
      <c r="A8" s="124"/>
      <c r="B8" s="125">
        <v>0.0</v>
      </c>
      <c r="C8" s="126" t="s">
        <v>1029</v>
      </c>
      <c r="D8" s="127" t="str">
        <f t="shared" si="1"/>
        <v>A Kind of Magic.1.mid</v>
      </c>
      <c r="E8" s="128" t="str">
        <f t="shared" si="2"/>
        <v>A Kind of Magic.1</v>
      </c>
      <c r="F8" s="122"/>
      <c r="G8" s="125">
        <v>0.0</v>
      </c>
      <c r="H8" s="126" t="s">
        <v>1036</v>
      </c>
      <c r="I8" s="127" t="str">
        <f t="shared" si="3"/>
        <v>A Kind of Magic.mid</v>
      </c>
      <c r="J8" s="128" t="str">
        <f t="shared" si="4"/>
        <v>A Kind of Magic</v>
      </c>
      <c r="K8" s="122"/>
      <c r="L8" s="125">
        <v>0.0</v>
      </c>
      <c r="M8" s="126" t="s">
        <v>1039</v>
      </c>
      <c r="N8" s="127" t="str">
        <f t="shared" si="5"/>
        <v>All God's People.1.mid</v>
      </c>
      <c r="O8" s="128" t="str">
        <f t="shared" si="6"/>
        <v>All God's People.1</v>
      </c>
      <c r="P8" s="122"/>
      <c r="Q8" s="125">
        <v>0.0</v>
      </c>
      <c r="R8" s="126" t="s">
        <v>1042</v>
      </c>
      <c r="S8" s="127" t="str">
        <f t="shared" si="7"/>
        <v>All God's People.2.mid</v>
      </c>
      <c r="T8" s="128" t="str">
        <f t="shared" si="8"/>
        <v>All God's People.2</v>
      </c>
      <c r="U8" s="122"/>
      <c r="V8" s="125">
        <v>0.0</v>
      </c>
      <c r="W8" s="126" t="s">
        <v>1039</v>
      </c>
      <c r="X8" s="127" t="str">
        <f t="shared" si="9"/>
        <v>All God's People.1.mid</v>
      </c>
      <c r="Y8" s="128" t="str">
        <f t="shared" si="10"/>
        <v>All God's People.1</v>
      </c>
      <c r="Z8" s="122"/>
      <c r="AA8" s="125">
        <v>1.0</v>
      </c>
      <c r="AB8" s="126" t="s">
        <v>1036</v>
      </c>
      <c r="AC8" s="127" t="str">
        <f t="shared" si="11"/>
        <v>A Kind of Magic.mid</v>
      </c>
      <c r="AD8" s="128" t="str">
        <f t="shared" si="12"/>
        <v>A Kind of Magic</v>
      </c>
      <c r="AE8" s="122"/>
      <c r="AF8" s="125">
        <v>2.0</v>
      </c>
      <c r="AG8" s="126" t="s">
        <v>1038</v>
      </c>
      <c r="AH8" s="127" t="str">
        <f t="shared" si="13"/>
        <v>It's a Hard Life.1.mid</v>
      </c>
      <c r="AI8" s="128" t="str">
        <f t="shared" si="14"/>
        <v>It's a Hard Life.1</v>
      </c>
      <c r="AJ8" s="122"/>
      <c r="AK8" s="125">
        <v>2.0</v>
      </c>
      <c r="AL8" s="126" t="s">
        <v>1038</v>
      </c>
      <c r="AM8" s="127" t="str">
        <f t="shared" si="15"/>
        <v>It's a Hard Life.1.mid</v>
      </c>
      <c r="AN8" s="128" t="str">
        <f t="shared" si="16"/>
        <v>It's a Hard Life.1</v>
      </c>
      <c r="AO8" s="122"/>
      <c r="AP8" s="125">
        <v>2.0</v>
      </c>
      <c r="AQ8" s="126" t="s">
        <v>1043</v>
      </c>
      <c r="AR8" s="127" t="str">
        <f t="shared" si="17"/>
        <v>I Can't Live With You.1.mid</v>
      </c>
      <c r="AS8" s="128" t="str">
        <f t="shared" si="18"/>
        <v>I Can't Live With You.1</v>
      </c>
      <c r="AT8" s="122"/>
      <c r="AU8" s="125">
        <v>1.0</v>
      </c>
      <c r="AV8" s="126" t="s">
        <v>1026</v>
      </c>
      <c r="AW8" s="127" t="str">
        <f t="shared" si="19"/>
        <v>A Kind of Magic.2.mid</v>
      </c>
      <c r="AX8" s="128" t="str">
        <f t="shared" si="20"/>
        <v>A Kind of Magic.2</v>
      </c>
      <c r="AY8" s="122"/>
    </row>
    <row r="9" ht="15.75" customHeight="1">
      <c r="A9" s="124"/>
      <c r="B9" s="125">
        <v>0.0</v>
      </c>
      <c r="C9" s="126" t="s">
        <v>1033</v>
      </c>
      <c r="D9" s="127" t="str">
        <f t="shared" si="1"/>
        <v>A Kind of Magic.3.mid</v>
      </c>
      <c r="E9" s="128" t="str">
        <f t="shared" si="2"/>
        <v>A Kind of Magic.3</v>
      </c>
      <c r="F9" s="122"/>
      <c r="G9" s="125">
        <v>0.0</v>
      </c>
      <c r="H9" s="126" t="s">
        <v>1039</v>
      </c>
      <c r="I9" s="127" t="str">
        <f t="shared" si="3"/>
        <v>All God's People.1.mid</v>
      </c>
      <c r="J9" s="128" t="str">
        <f t="shared" si="4"/>
        <v>All God's People.1</v>
      </c>
      <c r="K9" s="122"/>
      <c r="L9" s="125">
        <v>0.0</v>
      </c>
      <c r="M9" s="126" t="s">
        <v>1042</v>
      </c>
      <c r="N9" s="127" t="str">
        <f t="shared" si="5"/>
        <v>All God's People.2.mid</v>
      </c>
      <c r="O9" s="128" t="str">
        <f t="shared" si="6"/>
        <v>All God's People.2</v>
      </c>
      <c r="P9" s="122"/>
      <c r="Q9" s="125">
        <v>0.0</v>
      </c>
      <c r="R9" s="126" t="s">
        <v>1044</v>
      </c>
      <c r="S9" s="127" t="str">
        <f t="shared" si="7"/>
        <v>All God's People.mid</v>
      </c>
      <c r="T9" s="128" t="str">
        <f t="shared" si="8"/>
        <v>All God's People</v>
      </c>
      <c r="U9" s="122"/>
      <c r="V9" s="125">
        <v>0.0</v>
      </c>
      <c r="W9" s="126" t="s">
        <v>1042</v>
      </c>
      <c r="X9" s="127" t="str">
        <f t="shared" si="9"/>
        <v>All God's People.2.mid</v>
      </c>
      <c r="Y9" s="128" t="str">
        <f t="shared" si="10"/>
        <v>All God's People.2</v>
      </c>
      <c r="Z9" s="122"/>
      <c r="AA9" s="125">
        <v>1.0</v>
      </c>
      <c r="AB9" s="126" t="s">
        <v>1039</v>
      </c>
      <c r="AC9" s="127" t="str">
        <f t="shared" si="11"/>
        <v>All God's People.1.mid</v>
      </c>
      <c r="AD9" s="128" t="str">
        <f t="shared" si="12"/>
        <v>All God's People.1</v>
      </c>
      <c r="AE9" s="122"/>
      <c r="AF9" s="125">
        <v>2.0</v>
      </c>
      <c r="AG9" s="126" t="s">
        <v>1041</v>
      </c>
      <c r="AH9" s="127" t="str">
        <f t="shared" si="13"/>
        <v>The Show Must Go On.mid</v>
      </c>
      <c r="AI9" s="128" t="str">
        <f t="shared" si="14"/>
        <v>The Show Must Go On</v>
      </c>
      <c r="AJ9" s="122"/>
      <c r="AK9" s="125">
        <v>2.0</v>
      </c>
      <c r="AL9" s="126" t="s">
        <v>1041</v>
      </c>
      <c r="AM9" s="127" t="str">
        <f t="shared" si="15"/>
        <v>The Show Must Go On.mid</v>
      </c>
      <c r="AN9" s="128" t="str">
        <f t="shared" si="16"/>
        <v>The Show Must Go On</v>
      </c>
      <c r="AO9" s="122"/>
      <c r="AP9" s="125">
        <v>2.0</v>
      </c>
      <c r="AQ9" s="126" t="s">
        <v>1045</v>
      </c>
      <c r="AR9" s="127" t="str">
        <f t="shared" si="17"/>
        <v>I'm Going Slightly Mad.1.mid</v>
      </c>
      <c r="AS9" s="128" t="str">
        <f t="shared" si="18"/>
        <v>I'm Going Slightly Mad.1</v>
      </c>
      <c r="AT9" s="122"/>
      <c r="AU9" s="125">
        <v>2.0</v>
      </c>
      <c r="AV9" s="126" t="s">
        <v>1030</v>
      </c>
      <c r="AW9" s="127" t="str">
        <f t="shared" si="19"/>
        <v>A Kind of Magic.4.mid</v>
      </c>
      <c r="AX9" s="128" t="str">
        <f t="shared" si="20"/>
        <v>A Kind of Magic.4</v>
      </c>
      <c r="AY9" s="122"/>
    </row>
    <row r="10" ht="15.75" customHeight="1">
      <c r="A10" s="124"/>
      <c r="B10" s="125">
        <v>0.0</v>
      </c>
      <c r="C10" s="126" t="s">
        <v>1036</v>
      </c>
      <c r="D10" s="127" t="str">
        <f t="shared" si="1"/>
        <v>A Kind of Magic.mid</v>
      </c>
      <c r="E10" s="128" t="str">
        <f t="shared" si="2"/>
        <v>A Kind of Magic</v>
      </c>
      <c r="F10" s="122"/>
      <c r="G10" s="125">
        <v>0.0</v>
      </c>
      <c r="H10" s="126" t="s">
        <v>1042</v>
      </c>
      <c r="I10" s="127" t="str">
        <f t="shared" si="3"/>
        <v>All God's People.2.mid</v>
      </c>
      <c r="J10" s="128" t="str">
        <f t="shared" si="4"/>
        <v>All God's People.2</v>
      </c>
      <c r="K10" s="122"/>
      <c r="L10" s="125">
        <v>0.0</v>
      </c>
      <c r="M10" s="126" t="s">
        <v>1044</v>
      </c>
      <c r="N10" s="127" t="str">
        <f t="shared" si="5"/>
        <v>All God's People.mid</v>
      </c>
      <c r="O10" s="128" t="str">
        <f t="shared" si="6"/>
        <v>All God's People</v>
      </c>
      <c r="P10" s="122"/>
      <c r="Q10" s="125">
        <v>0.0</v>
      </c>
      <c r="R10" s="126" t="s">
        <v>1034</v>
      </c>
      <c r="S10" s="127" t="str">
        <f t="shared" si="7"/>
        <v>Another One Bites The Dust.1.mid</v>
      </c>
      <c r="T10" s="128" t="str">
        <f t="shared" si="8"/>
        <v>Another One Bites The Dust.1</v>
      </c>
      <c r="U10" s="122"/>
      <c r="V10" s="125">
        <v>0.0</v>
      </c>
      <c r="W10" s="126" t="s">
        <v>1044</v>
      </c>
      <c r="X10" s="127" t="str">
        <f t="shared" si="9"/>
        <v>All God's People.mid</v>
      </c>
      <c r="Y10" s="128" t="str">
        <f t="shared" si="10"/>
        <v>All God's People</v>
      </c>
      <c r="Z10" s="122"/>
      <c r="AA10" s="125">
        <v>1.0</v>
      </c>
      <c r="AB10" s="126" t="s">
        <v>1042</v>
      </c>
      <c r="AC10" s="127" t="str">
        <f t="shared" si="11"/>
        <v>All God's People.2.mid</v>
      </c>
      <c r="AD10" s="128" t="str">
        <f t="shared" si="12"/>
        <v>All God's People.2</v>
      </c>
      <c r="AE10" s="122"/>
      <c r="AF10" s="125">
        <v>3.0</v>
      </c>
      <c r="AG10" s="126" t="s">
        <v>1046</v>
      </c>
      <c r="AH10" s="127" t="str">
        <f t="shared" si="13"/>
        <v>Bohemian Rhapsody.4.mid</v>
      </c>
      <c r="AI10" s="128" t="str">
        <f t="shared" si="14"/>
        <v>Bohemian Rhapsody.4</v>
      </c>
      <c r="AJ10" s="122"/>
      <c r="AK10" s="125">
        <v>3.0</v>
      </c>
      <c r="AL10" s="126" t="s">
        <v>1046</v>
      </c>
      <c r="AM10" s="127" t="str">
        <f t="shared" si="15"/>
        <v>Bohemian Rhapsody.4.mid</v>
      </c>
      <c r="AN10" s="128" t="str">
        <f t="shared" si="16"/>
        <v>Bohemian Rhapsody.4</v>
      </c>
      <c r="AO10" s="122"/>
      <c r="AP10" s="125">
        <v>2.0</v>
      </c>
      <c r="AQ10" s="126" t="s">
        <v>1047</v>
      </c>
      <c r="AR10" s="127" t="str">
        <f t="shared" si="17"/>
        <v>The Miracle.5.mid</v>
      </c>
      <c r="AS10" s="128" t="str">
        <f t="shared" si="18"/>
        <v>The Miracle.5</v>
      </c>
      <c r="AT10" s="122"/>
      <c r="AU10" s="125">
        <v>3.0</v>
      </c>
      <c r="AV10" s="126" t="s">
        <v>1048</v>
      </c>
      <c r="AW10" s="127" t="str">
        <f t="shared" si="19"/>
        <v>Another One Bites The Dust.6.mid</v>
      </c>
      <c r="AX10" s="128" t="str">
        <f t="shared" si="20"/>
        <v>Another One Bites The Dust.6</v>
      </c>
      <c r="AY10" s="122"/>
    </row>
    <row r="11" ht="15.75" customHeight="1">
      <c r="A11" s="124"/>
      <c r="B11" s="125">
        <v>0.0</v>
      </c>
      <c r="C11" s="126" t="s">
        <v>1039</v>
      </c>
      <c r="D11" s="127" t="str">
        <f t="shared" si="1"/>
        <v>All God's People.1.mid</v>
      </c>
      <c r="E11" s="128" t="str">
        <f t="shared" si="2"/>
        <v>All God's People.1</v>
      </c>
      <c r="F11" s="122"/>
      <c r="G11" s="125">
        <v>0.0</v>
      </c>
      <c r="H11" s="126" t="s">
        <v>1044</v>
      </c>
      <c r="I11" s="127" t="str">
        <f t="shared" si="3"/>
        <v>All God's People.mid</v>
      </c>
      <c r="J11" s="128" t="str">
        <f t="shared" si="4"/>
        <v>All God's People</v>
      </c>
      <c r="K11" s="122"/>
      <c r="L11" s="125">
        <v>0.0</v>
      </c>
      <c r="M11" s="126" t="s">
        <v>1034</v>
      </c>
      <c r="N11" s="127" t="str">
        <f t="shared" si="5"/>
        <v>Another One Bites The Dust.1.mid</v>
      </c>
      <c r="O11" s="128" t="str">
        <f t="shared" si="6"/>
        <v>Another One Bites The Dust.1</v>
      </c>
      <c r="P11" s="122"/>
      <c r="Q11" s="125">
        <v>0.0</v>
      </c>
      <c r="R11" s="126" t="s">
        <v>1032</v>
      </c>
      <c r="S11" s="127" t="str">
        <f t="shared" si="7"/>
        <v>Another One Bites The Dust.2.mid</v>
      </c>
      <c r="T11" s="128" t="str">
        <f t="shared" si="8"/>
        <v>Another One Bites The Dust.2</v>
      </c>
      <c r="U11" s="122"/>
      <c r="V11" s="125">
        <v>0.0</v>
      </c>
      <c r="W11" s="126" t="s">
        <v>1034</v>
      </c>
      <c r="X11" s="127" t="str">
        <f t="shared" si="9"/>
        <v>Another One Bites The Dust.1.mid</v>
      </c>
      <c r="Y11" s="128" t="str">
        <f t="shared" si="10"/>
        <v>Another One Bites The Dust.1</v>
      </c>
      <c r="Z11" s="122"/>
      <c r="AA11" s="125">
        <v>1.0</v>
      </c>
      <c r="AB11" s="126" t="s">
        <v>1044</v>
      </c>
      <c r="AC11" s="127" t="str">
        <f t="shared" si="11"/>
        <v>All God's People.mid</v>
      </c>
      <c r="AD11" s="128" t="str">
        <f t="shared" si="12"/>
        <v>All God's People</v>
      </c>
      <c r="AE11" s="122"/>
      <c r="AF11" s="125">
        <v>3.0</v>
      </c>
      <c r="AG11" s="126" t="s">
        <v>1049</v>
      </c>
      <c r="AH11" s="127" t="str">
        <f t="shared" si="13"/>
        <v>We Are The Champions.9.mid</v>
      </c>
      <c r="AI11" s="128" t="str">
        <f t="shared" si="14"/>
        <v>We Are The Champions.9</v>
      </c>
      <c r="AJ11" s="122"/>
      <c r="AK11" s="125">
        <v>3.0</v>
      </c>
      <c r="AL11" s="126" t="s">
        <v>1049</v>
      </c>
      <c r="AM11" s="127" t="str">
        <f t="shared" si="15"/>
        <v>We Are The Champions.9.mid</v>
      </c>
      <c r="AN11" s="128" t="str">
        <f t="shared" si="16"/>
        <v>We Are The Champions.9</v>
      </c>
      <c r="AO11" s="122"/>
      <c r="AP11" s="125">
        <v>3.0</v>
      </c>
      <c r="AQ11" s="126" t="s">
        <v>1029</v>
      </c>
      <c r="AR11" s="127" t="str">
        <f t="shared" si="17"/>
        <v>A Kind of Magic.1.mid</v>
      </c>
      <c r="AS11" s="128" t="str">
        <f t="shared" si="18"/>
        <v>A Kind of Magic.1</v>
      </c>
      <c r="AT11" s="122"/>
      <c r="AU11" s="125">
        <v>4.0</v>
      </c>
      <c r="AV11" s="126" t="s">
        <v>1046</v>
      </c>
      <c r="AW11" s="127" t="str">
        <f t="shared" si="19"/>
        <v>Bohemian Rhapsody.4.mid</v>
      </c>
      <c r="AX11" s="128" t="str">
        <f t="shared" si="20"/>
        <v>Bohemian Rhapsody.4</v>
      </c>
      <c r="AY11" s="122"/>
    </row>
    <row r="12" ht="15.75" customHeight="1">
      <c r="A12" s="124"/>
      <c r="B12" s="125">
        <v>0.0</v>
      </c>
      <c r="C12" s="126" t="s">
        <v>1042</v>
      </c>
      <c r="D12" s="127" t="str">
        <f t="shared" si="1"/>
        <v>All God's People.2.mid</v>
      </c>
      <c r="E12" s="128" t="str">
        <f t="shared" si="2"/>
        <v>All God's People.2</v>
      </c>
      <c r="F12" s="122"/>
      <c r="G12" s="125">
        <v>0.0</v>
      </c>
      <c r="H12" s="126" t="s">
        <v>1034</v>
      </c>
      <c r="I12" s="127" t="str">
        <f t="shared" si="3"/>
        <v>Another One Bites The Dust.1.mid</v>
      </c>
      <c r="J12" s="128" t="str">
        <f t="shared" si="4"/>
        <v>Another One Bites The Dust.1</v>
      </c>
      <c r="K12" s="122"/>
      <c r="L12" s="125">
        <v>0.0</v>
      </c>
      <c r="M12" s="126" t="s">
        <v>1032</v>
      </c>
      <c r="N12" s="127" t="str">
        <f t="shared" si="5"/>
        <v>Another One Bites The Dust.2.mid</v>
      </c>
      <c r="O12" s="128" t="str">
        <f t="shared" si="6"/>
        <v>Another One Bites The Dust.2</v>
      </c>
      <c r="P12" s="122"/>
      <c r="Q12" s="125">
        <v>0.0</v>
      </c>
      <c r="R12" s="126" t="s">
        <v>1050</v>
      </c>
      <c r="S12" s="127" t="str">
        <f t="shared" si="7"/>
        <v>Another One Bites The Dust.3.mid</v>
      </c>
      <c r="T12" s="128" t="str">
        <f t="shared" si="8"/>
        <v>Another One Bites The Dust.3</v>
      </c>
      <c r="U12" s="122"/>
      <c r="V12" s="125">
        <v>0.0</v>
      </c>
      <c r="W12" s="126" t="s">
        <v>1032</v>
      </c>
      <c r="X12" s="127" t="str">
        <f t="shared" si="9"/>
        <v>Another One Bites The Dust.2.mid</v>
      </c>
      <c r="Y12" s="128" t="str">
        <f t="shared" si="10"/>
        <v>Another One Bites The Dust.2</v>
      </c>
      <c r="Z12" s="122"/>
      <c r="AA12" s="125">
        <v>1.0</v>
      </c>
      <c r="AB12" s="126" t="s">
        <v>1034</v>
      </c>
      <c r="AC12" s="127" t="str">
        <f t="shared" si="11"/>
        <v>Another One Bites The Dust.1.mid</v>
      </c>
      <c r="AD12" s="128" t="str">
        <f t="shared" si="12"/>
        <v>Another One Bites The Dust.1</v>
      </c>
      <c r="AE12" s="122"/>
      <c r="AF12" s="125">
        <v>3.0</v>
      </c>
      <c r="AG12" s="126" t="s">
        <v>1051</v>
      </c>
      <c r="AH12" s="127" t="str">
        <f t="shared" si="13"/>
        <v>You Don't Fool Me.2.mid</v>
      </c>
      <c r="AI12" s="128" t="str">
        <f t="shared" si="14"/>
        <v>You Don't Fool Me.2</v>
      </c>
      <c r="AJ12" s="122"/>
      <c r="AK12" s="125">
        <v>3.0</v>
      </c>
      <c r="AL12" s="126" t="s">
        <v>1051</v>
      </c>
      <c r="AM12" s="127" t="str">
        <f t="shared" si="15"/>
        <v>You Don't Fool Me.2.mid</v>
      </c>
      <c r="AN12" s="128" t="str">
        <f t="shared" si="16"/>
        <v>You Don't Fool Me.2</v>
      </c>
      <c r="AO12" s="122"/>
      <c r="AP12" s="125">
        <v>3.0</v>
      </c>
      <c r="AQ12" s="126" t="s">
        <v>1032</v>
      </c>
      <c r="AR12" s="127" t="str">
        <f t="shared" si="17"/>
        <v>Another One Bites The Dust.2.mid</v>
      </c>
      <c r="AS12" s="128" t="str">
        <f t="shared" si="18"/>
        <v>Another One Bites The Dust.2</v>
      </c>
      <c r="AT12" s="122"/>
      <c r="AU12" s="125">
        <v>4.0</v>
      </c>
      <c r="AV12" s="126" t="s">
        <v>1049</v>
      </c>
      <c r="AW12" s="127" t="str">
        <f t="shared" si="19"/>
        <v>We Are The Champions.9.mid</v>
      </c>
      <c r="AX12" s="128" t="str">
        <f t="shared" si="20"/>
        <v>We Are The Champions.9</v>
      </c>
      <c r="AY12" s="122"/>
    </row>
    <row r="13" ht="15.75" customHeight="1">
      <c r="A13" s="124"/>
      <c r="B13" s="125">
        <v>0.0</v>
      </c>
      <c r="C13" s="126" t="s">
        <v>1044</v>
      </c>
      <c r="D13" s="127" t="str">
        <f t="shared" si="1"/>
        <v>All God's People.mid</v>
      </c>
      <c r="E13" s="128" t="str">
        <f t="shared" si="2"/>
        <v>All God's People</v>
      </c>
      <c r="F13" s="122"/>
      <c r="G13" s="125">
        <v>0.0</v>
      </c>
      <c r="H13" s="126" t="s">
        <v>1032</v>
      </c>
      <c r="I13" s="127" t="str">
        <f t="shared" si="3"/>
        <v>Another One Bites The Dust.2.mid</v>
      </c>
      <c r="J13" s="128" t="str">
        <f t="shared" si="4"/>
        <v>Another One Bites The Dust.2</v>
      </c>
      <c r="K13" s="122"/>
      <c r="L13" s="125">
        <v>0.0</v>
      </c>
      <c r="M13" s="126" t="s">
        <v>1050</v>
      </c>
      <c r="N13" s="127" t="str">
        <f t="shared" si="5"/>
        <v>Another One Bites The Dust.3.mid</v>
      </c>
      <c r="O13" s="128" t="str">
        <f t="shared" si="6"/>
        <v>Another One Bites The Dust.3</v>
      </c>
      <c r="P13" s="122"/>
      <c r="Q13" s="125">
        <v>0.0</v>
      </c>
      <c r="R13" s="126" t="s">
        <v>1052</v>
      </c>
      <c r="S13" s="127" t="str">
        <f t="shared" si="7"/>
        <v>Another One Bites The Dust.4.mid</v>
      </c>
      <c r="T13" s="128" t="str">
        <f t="shared" si="8"/>
        <v>Another One Bites The Dust.4</v>
      </c>
      <c r="U13" s="122"/>
      <c r="V13" s="125">
        <v>0.0</v>
      </c>
      <c r="W13" s="126" t="s">
        <v>1050</v>
      </c>
      <c r="X13" s="127" t="str">
        <f t="shared" si="9"/>
        <v>Another One Bites The Dust.3.mid</v>
      </c>
      <c r="Y13" s="128" t="str">
        <f t="shared" si="10"/>
        <v>Another One Bites The Dust.3</v>
      </c>
      <c r="Z13" s="122"/>
      <c r="AA13" s="125">
        <v>1.0</v>
      </c>
      <c r="AB13" s="126" t="s">
        <v>1032</v>
      </c>
      <c r="AC13" s="127" t="str">
        <f t="shared" si="11"/>
        <v>Another One Bites The Dust.2.mid</v>
      </c>
      <c r="AD13" s="128" t="str">
        <f t="shared" si="12"/>
        <v>Another One Bites The Dust.2</v>
      </c>
      <c r="AE13" s="122"/>
      <c r="AF13" s="125">
        <v>4.0</v>
      </c>
      <c r="AG13" s="126" t="s">
        <v>1053</v>
      </c>
      <c r="AH13" s="127" t="str">
        <f t="shared" si="13"/>
        <v>Crazy Little Thing Called Love.5.mid</v>
      </c>
      <c r="AI13" s="128" t="str">
        <f t="shared" si="14"/>
        <v>Crazy Little Thing Called Love.5</v>
      </c>
      <c r="AJ13" s="122"/>
      <c r="AK13" s="125">
        <v>4.0</v>
      </c>
      <c r="AL13" s="126" t="s">
        <v>1053</v>
      </c>
      <c r="AM13" s="127" t="str">
        <f t="shared" si="15"/>
        <v>Crazy Little Thing Called Love.5.mid</v>
      </c>
      <c r="AN13" s="128" t="str">
        <f t="shared" si="16"/>
        <v>Crazy Little Thing Called Love.5</v>
      </c>
      <c r="AO13" s="122"/>
      <c r="AP13" s="125">
        <v>3.0</v>
      </c>
      <c r="AQ13" s="126" t="s">
        <v>1038</v>
      </c>
      <c r="AR13" s="127" t="str">
        <f t="shared" si="17"/>
        <v>It's a Hard Life.1.mid</v>
      </c>
      <c r="AS13" s="128" t="str">
        <f t="shared" si="18"/>
        <v>It's a Hard Life.1</v>
      </c>
      <c r="AT13" s="122"/>
      <c r="AU13" s="125">
        <v>4.0</v>
      </c>
      <c r="AV13" s="126" t="s">
        <v>1051</v>
      </c>
      <c r="AW13" s="127" t="str">
        <f t="shared" si="19"/>
        <v>You Don't Fool Me.2.mid</v>
      </c>
      <c r="AX13" s="128" t="str">
        <f t="shared" si="20"/>
        <v>You Don't Fool Me.2</v>
      </c>
      <c r="AY13" s="122"/>
    </row>
    <row r="14" ht="15.75" customHeight="1">
      <c r="A14" s="124"/>
      <c r="B14" s="125">
        <v>0.0</v>
      </c>
      <c r="C14" s="126" t="s">
        <v>1034</v>
      </c>
      <c r="D14" s="127" t="str">
        <f t="shared" si="1"/>
        <v>Another One Bites The Dust.1.mid</v>
      </c>
      <c r="E14" s="128" t="str">
        <f t="shared" si="2"/>
        <v>Another One Bites The Dust.1</v>
      </c>
      <c r="F14" s="122"/>
      <c r="G14" s="125">
        <v>0.0</v>
      </c>
      <c r="H14" s="126" t="s">
        <v>1050</v>
      </c>
      <c r="I14" s="127" t="str">
        <f t="shared" si="3"/>
        <v>Another One Bites The Dust.3.mid</v>
      </c>
      <c r="J14" s="128" t="str">
        <f t="shared" si="4"/>
        <v>Another One Bites The Dust.3</v>
      </c>
      <c r="K14" s="122"/>
      <c r="L14" s="125">
        <v>0.0</v>
      </c>
      <c r="M14" s="126" t="s">
        <v>1052</v>
      </c>
      <c r="N14" s="127" t="str">
        <f t="shared" si="5"/>
        <v>Another One Bites The Dust.4.mid</v>
      </c>
      <c r="O14" s="128" t="str">
        <f t="shared" si="6"/>
        <v>Another One Bites The Dust.4</v>
      </c>
      <c r="P14" s="122"/>
      <c r="Q14" s="125">
        <v>0.0</v>
      </c>
      <c r="R14" s="126" t="s">
        <v>1054</v>
      </c>
      <c r="S14" s="127" t="str">
        <f t="shared" si="7"/>
        <v>Another One Bites The Dust.5.mid</v>
      </c>
      <c r="T14" s="128" t="str">
        <f t="shared" si="8"/>
        <v>Another One Bites The Dust.5</v>
      </c>
      <c r="U14" s="122"/>
      <c r="V14" s="125">
        <v>0.0</v>
      </c>
      <c r="W14" s="126" t="s">
        <v>1052</v>
      </c>
      <c r="X14" s="127" t="str">
        <f t="shared" si="9"/>
        <v>Another One Bites The Dust.4.mid</v>
      </c>
      <c r="Y14" s="128" t="str">
        <f t="shared" si="10"/>
        <v>Another One Bites The Dust.4</v>
      </c>
      <c r="Z14" s="122"/>
      <c r="AA14" s="125">
        <v>1.0</v>
      </c>
      <c r="AB14" s="126" t="s">
        <v>1050</v>
      </c>
      <c r="AC14" s="127" t="str">
        <f t="shared" si="11"/>
        <v>Another One Bites The Dust.3.mid</v>
      </c>
      <c r="AD14" s="128" t="str">
        <f t="shared" si="12"/>
        <v>Another One Bites The Dust.3</v>
      </c>
      <c r="AE14" s="122"/>
      <c r="AF14" s="125">
        <v>5.0</v>
      </c>
      <c r="AG14" s="126" t="s">
        <v>1055</v>
      </c>
      <c r="AH14" s="127" t="str">
        <f t="shared" si="13"/>
        <v>Don't Stop Me Now.mid</v>
      </c>
      <c r="AI14" s="128" t="str">
        <f t="shared" si="14"/>
        <v>Don't Stop Me Now</v>
      </c>
      <c r="AJ14" s="122"/>
      <c r="AK14" s="125">
        <v>5.0</v>
      </c>
      <c r="AL14" s="126" t="s">
        <v>1055</v>
      </c>
      <c r="AM14" s="127" t="str">
        <f t="shared" si="15"/>
        <v>Don't Stop Me Now.mid</v>
      </c>
      <c r="AN14" s="128" t="str">
        <f t="shared" si="16"/>
        <v>Don't Stop Me Now</v>
      </c>
      <c r="AO14" s="122"/>
      <c r="AP14" s="125">
        <v>3.0</v>
      </c>
      <c r="AQ14" s="126" t="s">
        <v>1041</v>
      </c>
      <c r="AR14" s="127" t="str">
        <f t="shared" si="17"/>
        <v>The Show Must Go On.mid</v>
      </c>
      <c r="AS14" s="128" t="str">
        <f t="shared" si="18"/>
        <v>The Show Must Go On</v>
      </c>
      <c r="AT14" s="122"/>
      <c r="AU14" s="125">
        <v>5.0</v>
      </c>
      <c r="AV14" s="126" t="s">
        <v>1053</v>
      </c>
      <c r="AW14" s="127" t="str">
        <f t="shared" si="19"/>
        <v>Crazy Little Thing Called Love.5.mid</v>
      </c>
      <c r="AX14" s="128" t="str">
        <f t="shared" si="20"/>
        <v>Crazy Little Thing Called Love.5</v>
      </c>
      <c r="AY14" s="122"/>
    </row>
    <row r="15" ht="15.75" customHeight="1">
      <c r="A15" s="124"/>
      <c r="B15" s="125">
        <v>0.0</v>
      </c>
      <c r="C15" s="126" t="s">
        <v>1032</v>
      </c>
      <c r="D15" s="127" t="str">
        <f t="shared" si="1"/>
        <v>Another One Bites The Dust.2.mid</v>
      </c>
      <c r="E15" s="128" t="str">
        <f t="shared" si="2"/>
        <v>Another One Bites The Dust.2</v>
      </c>
      <c r="F15" s="122"/>
      <c r="G15" s="125">
        <v>0.0</v>
      </c>
      <c r="H15" s="126" t="s">
        <v>1052</v>
      </c>
      <c r="I15" s="127" t="str">
        <f t="shared" si="3"/>
        <v>Another One Bites The Dust.4.mid</v>
      </c>
      <c r="J15" s="128" t="str">
        <f t="shared" si="4"/>
        <v>Another One Bites The Dust.4</v>
      </c>
      <c r="K15" s="122"/>
      <c r="L15" s="125">
        <v>0.0</v>
      </c>
      <c r="M15" s="126" t="s">
        <v>1054</v>
      </c>
      <c r="N15" s="127" t="str">
        <f t="shared" si="5"/>
        <v>Another One Bites The Dust.5.mid</v>
      </c>
      <c r="O15" s="128" t="str">
        <f t="shared" si="6"/>
        <v>Another One Bites The Dust.5</v>
      </c>
      <c r="P15" s="122"/>
      <c r="Q15" s="125">
        <v>0.0</v>
      </c>
      <c r="R15" s="126" t="s">
        <v>1048</v>
      </c>
      <c r="S15" s="127" t="str">
        <f t="shared" si="7"/>
        <v>Another One Bites The Dust.6.mid</v>
      </c>
      <c r="T15" s="128" t="str">
        <f t="shared" si="8"/>
        <v>Another One Bites The Dust.6</v>
      </c>
      <c r="U15" s="122"/>
      <c r="V15" s="125">
        <v>0.0</v>
      </c>
      <c r="W15" s="126" t="s">
        <v>1054</v>
      </c>
      <c r="X15" s="127" t="str">
        <f t="shared" si="9"/>
        <v>Another One Bites The Dust.5.mid</v>
      </c>
      <c r="Y15" s="128" t="str">
        <f t="shared" si="10"/>
        <v>Another One Bites The Dust.5</v>
      </c>
      <c r="Z15" s="122"/>
      <c r="AA15" s="125">
        <v>1.0</v>
      </c>
      <c r="AB15" s="126" t="s">
        <v>1052</v>
      </c>
      <c r="AC15" s="127" t="str">
        <f t="shared" si="11"/>
        <v>Another One Bites The Dust.4.mid</v>
      </c>
      <c r="AD15" s="128" t="str">
        <f t="shared" si="12"/>
        <v>Another One Bites The Dust.4</v>
      </c>
      <c r="AE15" s="122"/>
      <c r="AF15" s="125">
        <v>6.0</v>
      </c>
      <c r="AG15" s="126" t="s">
        <v>1056</v>
      </c>
      <c r="AH15" s="127" t="str">
        <f t="shared" si="13"/>
        <v>Fat Bottomed Girls.mid</v>
      </c>
      <c r="AI15" s="128" t="str">
        <f t="shared" si="14"/>
        <v>Fat Bottomed Girls</v>
      </c>
      <c r="AJ15" s="122"/>
      <c r="AK15" s="125">
        <v>6.0</v>
      </c>
      <c r="AL15" s="126" t="s">
        <v>1056</v>
      </c>
      <c r="AM15" s="127" t="str">
        <f t="shared" si="15"/>
        <v>Fat Bottomed Girls.mid</v>
      </c>
      <c r="AN15" s="128" t="str">
        <f t="shared" si="16"/>
        <v>Fat Bottomed Girls</v>
      </c>
      <c r="AO15" s="122"/>
      <c r="AP15" s="125">
        <v>4.0</v>
      </c>
      <c r="AQ15" s="126" t="s">
        <v>1048</v>
      </c>
      <c r="AR15" s="127" t="str">
        <f t="shared" si="17"/>
        <v>Another One Bites The Dust.6.mid</v>
      </c>
      <c r="AS15" s="128" t="str">
        <f t="shared" si="18"/>
        <v>Another One Bites The Dust.6</v>
      </c>
      <c r="AT15" s="122"/>
      <c r="AU15" s="125">
        <v>6.0</v>
      </c>
      <c r="AV15" s="126" t="s">
        <v>1055</v>
      </c>
      <c r="AW15" s="127" t="str">
        <f t="shared" si="19"/>
        <v>Don't Stop Me Now.mid</v>
      </c>
      <c r="AX15" s="128" t="str">
        <f t="shared" si="20"/>
        <v>Don't Stop Me Now</v>
      </c>
      <c r="AY15" s="122"/>
    </row>
    <row r="16" ht="15.75" customHeight="1">
      <c r="A16" s="124"/>
      <c r="B16" s="125">
        <v>0.0</v>
      </c>
      <c r="C16" s="126" t="s">
        <v>1050</v>
      </c>
      <c r="D16" s="127" t="str">
        <f t="shared" si="1"/>
        <v>Another One Bites The Dust.3.mid</v>
      </c>
      <c r="E16" s="128" t="str">
        <f t="shared" si="2"/>
        <v>Another One Bites The Dust.3</v>
      </c>
      <c r="F16" s="122"/>
      <c r="G16" s="125">
        <v>0.0</v>
      </c>
      <c r="H16" s="126" t="s">
        <v>1054</v>
      </c>
      <c r="I16" s="127" t="str">
        <f t="shared" si="3"/>
        <v>Another One Bites The Dust.5.mid</v>
      </c>
      <c r="J16" s="128" t="str">
        <f t="shared" si="4"/>
        <v>Another One Bites The Dust.5</v>
      </c>
      <c r="K16" s="122"/>
      <c r="L16" s="125">
        <v>0.0</v>
      </c>
      <c r="M16" s="126" t="s">
        <v>1048</v>
      </c>
      <c r="N16" s="127" t="str">
        <f t="shared" si="5"/>
        <v>Another One Bites The Dust.6.mid</v>
      </c>
      <c r="O16" s="128" t="str">
        <f t="shared" si="6"/>
        <v>Another One Bites The Dust.6</v>
      </c>
      <c r="P16" s="122"/>
      <c r="Q16" s="125">
        <v>0.0</v>
      </c>
      <c r="R16" s="126" t="s">
        <v>1057</v>
      </c>
      <c r="S16" s="127" t="str">
        <f t="shared" si="7"/>
        <v>Another One Bites The Dust.7.mid</v>
      </c>
      <c r="T16" s="128" t="str">
        <f t="shared" si="8"/>
        <v>Another One Bites The Dust.7</v>
      </c>
      <c r="U16" s="122"/>
      <c r="V16" s="125">
        <v>0.0</v>
      </c>
      <c r="W16" s="126" t="s">
        <v>1048</v>
      </c>
      <c r="X16" s="127" t="str">
        <f t="shared" si="9"/>
        <v>Another One Bites The Dust.6.mid</v>
      </c>
      <c r="Y16" s="128" t="str">
        <f t="shared" si="10"/>
        <v>Another One Bites The Dust.6</v>
      </c>
      <c r="Z16" s="122"/>
      <c r="AA16" s="125">
        <v>1.0</v>
      </c>
      <c r="AB16" s="126" t="s">
        <v>1054</v>
      </c>
      <c r="AC16" s="127" t="str">
        <f t="shared" si="11"/>
        <v>Another One Bites The Dust.5.mid</v>
      </c>
      <c r="AD16" s="128" t="str">
        <f t="shared" si="12"/>
        <v>Another One Bites The Dust.5</v>
      </c>
      <c r="AE16" s="122"/>
      <c r="AF16" s="125">
        <v>7.0</v>
      </c>
      <c r="AG16" s="126" t="s">
        <v>1058</v>
      </c>
      <c r="AH16" s="127" t="str">
        <f t="shared" si="13"/>
        <v>Bohemian Rhapsody.1.mid</v>
      </c>
      <c r="AI16" s="128" t="str">
        <f t="shared" si="14"/>
        <v>Bohemian Rhapsody.1</v>
      </c>
      <c r="AJ16" s="122"/>
      <c r="AK16" s="125">
        <v>7.0</v>
      </c>
      <c r="AL16" s="126" t="s">
        <v>1058</v>
      </c>
      <c r="AM16" s="127" t="str">
        <f t="shared" si="15"/>
        <v>Bohemian Rhapsody.1.mid</v>
      </c>
      <c r="AN16" s="128" t="str">
        <f t="shared" si="16"/>
        <v>Bohemian Rhapsody.1</v>
      </c>
      <c r="AO16" s="122"/>
      <c r="AP16" s="125">
        <v>5.0</v>
      </c>
      <c r="AQ16" s="126" t="s">
        <v>1059</v>
      </c>
      <c r="AR16" s="127" t="str">
        <f t="shared" si="17"/>
        <v>Bicycle Race.1.mid</v>
      </c>
      <c r="AS16" s="128" t="str">
        <f t="shared" si="18"/>
        <v>Bicycle Race.1</v>
      </c>
      <c r="AT16" s="122"/>
      <c r="AU16" s="125">
        <v>7.0</v>
      </c>
      <c r="AV16" s="126" t="s">
        <v>1056</v>
      </c>
      <c r="AW16" s="127" t="str">
        <f t="shared" si="19"/>
        <v>Fat Bottomed Girls.mid</v>
      </c>
      <c r="AX16" s="128" t="str">
        <f t="shared" si="20"/>
        <v>Fat Bottomed Girls</v>
      </c>
      <c r="AY16" s="122"/>
    </row>
    <row r="17" ht="15.75" customHeight="1">
      <c r="A17" s="124"/>
      <c r="B17" s="125">
        <v>0.0</v>
      </c>
      <c r="C17" s="126" t="s">
        <v>1052</v>
      </c>
      <c r="D17" s="127" t="str">
        <f t="shared" si="1"/>
        <v>Another One Bites The Dust.4.mid</v>
      </c>
      <c r="E17" s="128" t="str">
        <f t="shared" si="2"/>
        <v>Another One Bites The Dust.4</v>
      </c>
      <c r="F17" s="122"/>
      <c r="G17" s="125">
        <v>0.0</v>
      </c>
      <c r="H17" s="126" t="s">
        <v>1048</v>
      </c>
      <c r="I17" s="127" t="str">
        <f t="shared" si="3"/>
        <v>Another One Bites The Dust.6.mid</v>
      </c>
      <c r="J17" s="128" t="str">
        <f t="shared" si="4"/>
        <v>Another One Bites The Dust.6</v>
      </c>
      <c r="K17" s="122"/>
      <c r="L17" s="125">
        <v>0.0</v>
      </c>
      <c r="M17" s="126" t="s">
        <v>1057</v>
      </c>
      <c r="N17" s="127" t="str">
        <f t="shared" si="5"/>
        <v>Another One Bites The Dust.7.mid</v>
      </c>
      <c r="O17" s="128" t="str">
        <f t="shared" si="6"/>
        <v>Another One Bites The Dust.7</v>
      </c>
      <c r="P17" s="122"/>
      <c r="Q17" s="125">
        <v>0.0</v>
      </c>
      <c r="R17" s="126" t="s">
        <v>1060</v>
      </c>
      <c r="S17" s="127" t="str">
        <f t="shared" si="7"/>
        <v>Another One Bites The Dust.mid</v>
      </c>
      <c r="T17" s="128" t="str">
        <f t="shared" si="8"/>
        <v>Another One Bites The Dust</v>
      </c>
      <c r="U17" s="122"/>
      <c r="V17" s="125">
        <v>0.0</v>
      </c>
      <c r="W17" s="126" t="s">
        <v>1057</v>
      </c>
      <c r="X17" s="127" t="str">
        <f t="shared" si="9"/>
        <v>Another One Bites The Dust.7.mid</v>
      </c>
      <c r="Y17" s="128" t="str">
        <f t="shared" si="10"/>
        <v>Another One Bites The Dust.7</v>
      </c>
      <c r="Z17" s="122"/>
      <c r="AA17" s="125">
        <v>1.0</v>
      </c>
      <c r="AB17" s="126" t="s">
        <v>1057</v>
      </c>
      <c r="AC17" s="127" t="str">
        <f t="shared" si="11"/>
        <v>Another One Bites The Dust.7.mid</v>
      </c>
      <c r="AD17" s="128" t="str">
        <f t="shared" si="12"/>
        <v>Another One Bites The Dust.7</v>
      </c>
      <c r="AE17" s="122"/>
      <c r="AF17" s="125">
        <v>7.0</v>
      </c>
      <c r="AG17" s="126" t="s">
        <v>1061</v>
      </c>
      <c r="AH17" s="127" t="str">
        <f t="shared" si="13"/>
        <v>I Want It All.1.mid</v>
      </c>
      <c r="AI17" s="128" t="str">
        <f t="shared" si="14"/>
        <v>I Want It All.1</v>
      </c>
      <c r="AJ17" s="122"/>
      <c r="AK17" s="125">
        <v>7.0</v>
      </c>
      <c r="AL17" s="126" t="s">
        <v>1061</v>
      </c>
      <c r="AM17" s="127" t="str">
        <f t="shared" si="15"/>
        <v>I Want It All.1.mid</v>
      </c>
      <c r="AN17" s="128" t="str">
        <f t="shared" si="16"/>
        <v>I Want It All.1</v>
      </c>
      <c r="AO17" s="122"/>
      <c r="AP17" s="125">
        <v>5.0</v>
      </c>
      <c r="AQ17" s="126" t="s">
        <v>1062</v>
      </c>
      <c r="AR17" s="127" t="str">
        <f t="shared" si="17"/>
        <v>Somebody to Love.mid</v>
      </c>
      <c r="AS17" s="128" t="str">
        <f t="shared" si="18"/>
        <v>Somebody to Love</v>
      </c>
      <c r="AT17" s="122"/>
      <c r="AU17" s="125">
        <v>8.0</v>
      </c>
      <c r="AV17" s="126" t="s">
        <v>1063</v>
      </c>
      <c r="AW17" s="127" t="str">
        <f t="shared" si="19"/>
        <v>Good Old Fashioned Lover Boy.2.mid</v>
      </c>
      <c r="AX17" s="128" t="str">
        <f t="shared" si="20"/>
        <v>Good Old Fashioned Lover Boy.2</v>
      </c>
      <c r="AY17" s="122"/>
    </row>
    <row r="18" ht="15.75" customHeight="1">
      <c r="A18" s="124"/>
      <c r="B18" s="125">
        <v>0.0</v>
      </c>
      <c r="C18" s="126" t="s">
        <v>1054</v>
      </c>
      <c r="D18" s="127" t="str">
        <f t="shared" si="1"/>
        <v>Another One Bites The Dust.5.mid</v>
      </c>
      <c r="E18" s="128" t="str">
        <f t="shared" si="2"/>
        <v>Another One Bites The Dust.5</v>
      </c>
      <c r="F18" s="122"/>
      <c r="G18" s="125">
        <v>0.0</v>
      </c>
      <c r="H18" s="126" t="s">
        <v>1057</v>
      </c>
      <c r="I18" s="127" t="str">
        <f t="shared" si="3"/>
        <v>Another One Bites The Dust.7.mid</v>
      </c>
      <c r="J18" s="128" t="str">
        <f t="shared" si="4"/>
        <v>Another One Bites The Dust.7</v>
      </c>
      <c r="K18" s="122"/>
      <c r="L18" s="125">
        <v>0.0</v>
      </c>
      <c r="M18" s="126" t="s">
        <v>1060</v>
      </c>
      <c r="N18" s="127" t="str">
        <f t="shared" si="5"/>
        <v>Another One Bites The Dust.mid</v>
      </c>
      <c r="O18" s="128" t="str">
        <f t="shared" si="6"/>
        <v>Another One Bites The Dust</v>
      </c>
      <c r="P18" s="122"/>
      <c r="Q18" s="125">
        <v>0.0</v>
      </c>
      <c r="R18" s="126" t="s">
        <v>1059</v>
      </c>
      <c r="S18" s="127" t="str">
        <f t="shared" si="7"/>
        <v>Bicycle Race.1.mid</v>
      </c>
      <c r="T18" s="128" t="str">
        <f t="shared" si="8"/>
        <v>Bicycle Race.1</v>
      </c>
      <c r="U18" s="122"/>
      <c r="V18" s="125">
        <v>0.0</v>
      </c>
      <c r="W18" s="126" t="s">
        <v>1060</v>
      </c>
      <c r="X18" s="127" t="str">
        <f t="shared" si="9"/>
        <v>Another One Bites The Dust.mid</v>
      </c>
      <c r="Y18" s="128" t="str">
        <f t="shared" si="10"/>
        <v>Another One Bites The Dust</v>
      </c>
      <c r="Z18" s="122"/>
      <c r="AA18" s="125">
        <v>1.0</v>
      </c>
      <c r="AB18" s="126" t="s">
        <v>1060</v>
      </c>
      <c r="AC18" s="127" t="str">
        <f t="shared" si="11"/>
        <v>Another One Bites The Dust.mid</v>
      </c>
      <c r="AD18" s="128" t="str">
        <f t="shared" si="12"/>
        <v>Another One Bites The Dust</v>
      </c>
      <c r="AE18" s="122"/>
      <c r="AF18" s="125">
        <v>7.0</v>
      </c>
      <c r="AG18" s="126" t="s">
        <v>1064</v>
      </c>
      <c r="AH18" s="127" t="str">
        <f t="shared" si="13"/>
        <v>Innuendo.mid</v>
      </c>
      <c r="AI18" s="128" t="str">
        <f t="shared" si="14"/>
        <v>Innuendo</v>
      </c>
      <c r="AJ18" s="122"/>
      <c r="AK18" s="125">
        <v>7.0</v>
      </c>
      <c r="AL18" s="126" t="s">
        <v>1064</v>
      </c>
      <c r="AM18" s="127" t="str">
        <f t="shared" si="15"/>
        <v>Innuendo.mid</v>
      </c>
      <c r="AN18" s="128" t="str">
        <f t="shared" si="16"/>
        <v>Innuendo</v>
      </c>
      <c r="AO18" s="122"/>
      <c r="AP18" s="125">
        <v>6.0</v>
      </c>
      <c r="AQ18" s="126" t="s">
        <v>1042</v>
      </c>
      <c r="AR18" s="127" t="str">
        <f t="shared" si="17"/>
        <v>All God's People.2.mid</v>
      </c>
      <c r="AS18" s="128" t="str">
        <f t="shared" si="18"/>
        <v>All God's People.2</v>
      </c>
      <c r="AT18" s="122"/>
      <c r="AU18" s="125">
        <v>9.0</v>
      </c>
      <c r="AV18" s="126" t="s">
        <v>1065</v>
      </c>
      <c r="AW18" s="127" t="str">
        <f t="shared" si="19"/>
        <v>I Want to Break Free.3.mid</v>
      </c>
      <c r="AX18" s="128" t="str">
        <f t="shared" si="20"/>
        <v>I Want to Break Free.3</v>
      </c>
      <c r="AY18" s="122"/>
    </row>
    <row r="19" ht="15.75" customHeight="1">
      <c r="A19" s="124"/>
      <c r="B19" s="125">
        <v>0.0</v>
      </c>
      <c r="C19" s="126" t="s">
        <v>1048</v>
      </c>
      <c r="D19" s="127" t="str">
        <f t="shared" si="1"/>
        <v>Another One Bites The Dust.6.mid</v>
      </c>
      <c r="E19" s="128" t="str">
        <f t="shared" si="2"/>
        <v>Another One Bites The Dust.6</v>
      </c>
      <c r="F19" s="122"/>
      <c r="G19" s="125">
        <v>0.0</v>
      </c>
      <c r="H19" s="126" t="s">
        <v>1060</v>
      </c>
      <c r="I19" s="127" t="str">
        <f t="shared" si="3"/>
        <v>Another One Bites The Dust.mid</v>
      </c>
      <c r="J19" s="128" t="str">
        <f t="shared" si="4"/>
        <v>Another One Bites The Dust</v>
      </c>
      <c r="K19" s="122"/>
      <c r="L19" s="125">
        <v>0.0</v>
      </c>
      <c r="M19" s="126" t="s">
        <v>1059</v>
      </c>
      <c r="N19" s="127" t="str">
        <f t="shared" si="5"/>
        <v>Bicycle Race.1.mid</v>
      </c>
      <c r="O19" s="128" t="str">
        <f t="shared" si="6"/>
        <v>Bicycle Race.1</v>
      </c>
      <c r="P19" s="122"/>
      <c r="Q19" s="125">
        <v>0.0</v>
      </c>
      <c r="R19" s="126" t="s">
        <v>1066</v>
      </c>
      <c r="S19" s="127" t="str">
        <f t="shared" si="7"/>
        <v>Bicycle Race.mid</v>
      </c>
      <c r="T19" s="128" t="str">
        <f t="shared" si="8"/>
        <v>Bicycle Race</v>
      </c>
      <c r="U19" s="122"/>
      <c r="V19" s="125">
        <v>0.0</v>
      </c>
      <c r="W19" s="126" t="s">
        <v>1059</v>
      </c>
      <c r="X19" s="127" t="str">
        <f t="shared" si="9"/>
        <v>Bicycle Race.1.mid</v>
      </c>
      <c r="Y19" s="128" t="str">
        <f t="shared" si="10"/>
        <v>Bicycle Race.1</v>
      </c>
      <c r="Z19" s="122"/>
      <c r="AA19" s="125">
        <v>1.0</v>
      </c>
      <c r="AB19" s="126" t="s">
        <v>1059</v>
      </c>
      <c r="AC19" s="127" t="str">
        <f t="shared" si="11"/>
        <v>Bicycle Race.1.mid</v>
      </c>
      <c r="AD19" s="128" t="str">
        <f t="shared" si="12"/>
        <v>Bicycle Race.1</v>
      </c>
      <c r="AE19" s="122"/>
      <c r="AF19" s="125">
        <v>7.0</v>
      </c>
      <c r="AG19" s="126" t="s">
        <v>1067</v>
      </c>
      <c r="AH19" s="127" t="str">
        <f t="shared" si="13"/>
        <v>Radio Ga Ga.3.mid</v>
      </c>
      <c r="AI19" s="128" t="str">
        <f t="shared" si="14"/>
        <v>Radio Ga Ga.3</v>
      </c>
      <c r="AJ19" s="122"/>
      <c r="AK19" s="125">
        <v>7.0</v>
      </c>
      <c r="AL19" s="126" t="s">
        <v>1067</v>
      </c>
      <c r="AM19" s="127" t="str">
        <f t="shared" si="15"/>
        <v>Radio Ga Ga.3.mid</v>
      </c>
      <c r="AN19" s="128" t="str">
        <f t="shared" si="16"/>
        <v>Radio Ga Ga.3</v>
      </c>
      <c r="AO19" s="122"/>
      <c r="AP19" s="125">
        <v>6.0</v>
      </c>
      <c r="AQ19" s="126" t="s">
        <v>1058</v>
      </c>
      <c r="AR19" s="127" t="str">
        <f t="shared" si="17"/>
        <v>Bohemian Rhapsody.1.mid</v>
      </c>
      <c r="AS19" s="128" t="str">
        <f t="shared" si="18"/>
        <v>Bohemian Rhapsody.1</v>
      </c>
      <c r="AT19" s="122"/>
      <c r="AU19" s="125">
        <v>10.0</v>
      </c>
      <c r="AV19" s="126" t="s">
        <v>1068</v>
      </c>
      <c r="AW19" s="127" t="str">
        <f t="shared" si="19"/>
        <v>Killer Queen.6.mid</v>
      </c>
      <c r="AX19" s="128" t="str">
        <f t="shared" si="20"/>
        <v>Killer Queen.6</v>
      </c>
      <c r="AY19" s="122"/>
    </row>
    <row r="20" ht="15.75" customHeight="1">
      <c r="A20" s="124"/>
      <c r="B20" s="125">
        <v>0.0</v>
      </c>
      <c r="C20" s="126" t="s">
        <v>1057</v>
      </c>
      <c r="D20" s="127" t="str">
        <f t="shared" si="1"/>
        <v>Another One Bites The Dust.7.mid</v>
      </c>
      <c r="E20" s="128" t="str">
        <f t="shared" si="2"/>
        <v>Another One Bites The Dust.7</v>
      </c>
      <c r="F20" s="122"/>
      <c r="G20" s="125">
        <v>0.0</v>
      </c>
      <c r="H20" s="126" t="s">
        <v>1059</v>
      </c>
      <c r="I20" s="127" t="str">
        <f t="shared" si="3"/>
        <v>Bicycle Race.1.mid</v>
      </c>
      <c r="J20" s="128" t="str">
        <f t="shared" si="4"/>
        <v>Bicycle Race.1</v>
      </c>
      <c r="K20" s="122"/>
      <c r="L20" s="125">
        <v>0.0</v>
      </c>
      <c r="M20" s="126" t="s">
        <v>1066</v>
      </c>
      <c r="N20" s="127" t="str">
        <f t="shared" si="5"/>
        <v>Bicycle Race.mid</v>
      </c>
      <c r="O20" s="128" t="str">
        <f t="shared" si="6"/>
        <v>Bicycle Race</v>
      </c>
      <c r="P20" s="122"/>
      <c r="Q20" s="125">
        <v>0.0</v>
      </c>
      <c r="R20" s="126" t="s">
        <v>1069</v>
      </c>
      <c r="S20" s="127" t="str">
        <f t="shared" si="7"/>
        <v>Bijou.1.mid</v>
      </c>
      <c r="T20" s="128" t="str">
        <f t="shared" si="8"/>
        <v>Bijou.1</v>
      </c>
      <c r="U20" s="122"/>
      <c r="V20" s="125">
        <v>0.0</v>
      </c>
      <c r="W20" s="126" t="s">
        <v>1066</v>
      </c>
      <c r="X20" s="127" t="str">
        <f t="shared" si="9"/>
        <v>Bicycle Race.mid</v>
      </c>
      <c r="Y20" s="128" t="str">
        <f t="shared" si="10"/>
        <v>Bicycle Race</v>
      </c>
      <c r="Z20" s="122"/>
      <c r="AA20" s="125">
        <v>1.0</v>
      </c>
      <c r="AB20" s="126" t="s">
        <v>1066</v>
      </c>
      <c r="AC20" s="127" t="str">
        <f t="shared" si="11"/>
        <v>Bicycle Race.mid</v>
      </c>
      <c r="AD20" s="128" t="str">
        <f t="shared" si="12"/>
        <v>Bicycle Race</v>
      </c>
      <c r="AE20" s="122"/>
      <c r="AF20" s="125">
        <v>7.0</v>
      </c>
      <c r="AG20" s="126" t="s">
        <v>1070</v>
      </c>
      <c r="AH20" s="127" t="str">
        <f t="shared" si="13"/>
        <v>Son and Daughter.1.mid</v>
      </c>
      <c r="AI20" s="128" t="str">
        <f t="shared" si="14"/>
        <v>Son and Daughter.1</v>
      </c>
      <c r="AJ20" s="122"/>
      <c r="AK20" s="125">
        <v>7.0</v>
      </c>
      <c r="AL20" s="126" t="s">
        <v>1070</v>
      </c>
      <c r="AM20" s="127" t="str">
        <f t="shared" si="15"/>
        <v>Son and Daughter.1.mid</v>
      </c>
      <c r="AN20" s="128" t="str">
        <f t="shared" si="16"/>
        <v>Son and Daughter.1</v>
      </c>
      <c r="AO20" s="122"/>
      <c r="AP20" s="125">
        <v>6.0</v>
      </c>
      <c r="AQ20" s="126" t="s">
        <v>1061</v>
      </c>
      <c r="AR20" s="127" t="str">
        <f t="shared" si="17"/>
        <v>I Want It All.1.mid</v>
      </c>
      <c r="AS20" s="128" t="str">
        <f t="shared" si="18"/>
        <v>I Want It All.1</v>
      </c>
      <c r="AT20" s="122"/>
      <c r="AU20" s="125">
        <v>11.0</v>
      </c>
      <c r="AV20" s="126" t="s">
        <v>1069</v>
      </c>
      <c r="AW20" s="127" t="str">
        <f t="shared" si="19"/>
        <v>Bijou.1.mid</v>
      </c>
      <c r="AX20" s="128" t="str">
        <f t="shared" si="20"/>
        <v>Bijou.1</v>
      </c>
      <c r="AY20" s="122"/>
    </row>
    <row r="21" ht="15.75" customHeight="1">
      <c r="A21" s="124"/>
      <c r="B21" s="125">
        <v>0.0</v>
      </c>
      <c r="C21" s="126" t="s">
        <v>1060</v>
      </c>
      <c r="D21" s="127" t="str">
        <f t="shared" si="1"/>
        <v>Another One Bites The Dust.mid</v>
      </c>
      <c r="E21" s="128" t="str">
        <f t="shared" si="2"/>
        <v>Another One Bites The Dust</v>
      </c>
      <c r="F21" s="122"/>
      <c r="G21" s="125">
        <v>0.0</v>
      </c>
      <c r="H21" s="126" t="s">
        <v>1066</v>
      </c>
      <c r="I21" s="127" t="str">
        <f t="shared" si="3"/>
        <v>Bicycle Race.mid</v>
      </c>
      <c r="J21" s="128" t="str">
        <f t="shared" si="4"/>
        <v>Bicycle Race</v>
      </c>
      <c r="K21" s="122"/>
      <c r="L21" s="125">
        <v>0.0</v>
      </c>
      <c r="M21" s="126" t="s">
        <v>1069</v>
      </c>
      <c r="N21" s="127" t="str">
        <f t="shared" si="5"/>
        <v>Bijou.1.mid</v>
      </c>
      <c r="O21" s="128" t="str">
        <f t="shared" si="6"/>
        <v>Bijou.1</v>
      </c>
      <c r="P21" s="122"/>
      <c r="Q21" s="125">
        <v>0.0</v>
      </c>
      <c r="R21" s="126" t="s">
        <v>1071</v>
      </c>
      <c r="S21" s="127" t="str">
        <f t="shared" si="7"/>
        <v>Bijou.mid</v>
      </c>
      <c r="T21" s="128" t="str">
        <f t="shared" si="8"/>
        <v>Bijou</v>
      </c>
      <c r="U21" s="122"/>
      <c r="V21" s="125">
        <v>0.0</v>
      </c>
      <c r="W21" s="126" t="s">
        <v>1069</v>
      </c>
      <c r="X21" s="127" t="str">
        <f t="shared" si="9"/>
        <v>Bijou.1.mid</v>
      </c>
      <c r="Y21" s="128" t="str">
        <f t="shared" si="10"/>
        <v>Bijou.1</v>
      </c>
      <c r="Z21" s="122"/>
      <c r="AA21" s="125">
        <v>1.0</v>
      </c>
      <c r="AB21" s="126" t="s">
        <v>1069</v>
      </c>
      <c r="AC21" s="127" t="str">
        <f t="shared" si="11"/>
        <v>Bijou.1.mid</v>
      </c>
      <c r="AD21" s="128" t="str">
        <f t="shared" si="12"/>
        <v>Bijou.1</v>
      </c>
      <c r="AE21" s="122"/>
      <c r="AF21" s="125">
        <v>7.0</v>
      </c>
      <c r="AG21" s="126" t="s">
        <v>1072</v>
      </c>
      <c r="AH21" s="127" t="str">
        <f t="shared" si="13"/>
        <v>We Will Rock You.2.mid</v>
      </c>
      <c r="AI21" s="128" t="str">
        <f t="shared" si="14"/>
        <v>We Will Rock You.2</v>
      </c>
      <c r="AJ21" s="122"/>
      <c r="AK21" s="125">
        <v>7.0</v>
      </c>
      <c r="AL21" s="126" t="s">
        <v>1072</v>
      </c>
      <c r="AM21" s="127" t="str">
        <f t="shared" si="15"/>
        <v>We Will Rock You.2.mid</v>
      </c>
      <c r="AN21" s="128" t="str">
        <f t="shared" si="16"/>
        <v>We Will Rock You.2</v>
      </c>
      <c r="AO21" s="122"/>
      <c r="AP21" s="125">
        <v>6.0</v>
      </c>
      <c r="AQ21" s="126" t="s">
        <v>1064</v>
      </c>
      <c r="AR21" s="127" t="str">
        <f t="shared" si="17"/>
        <v>Innuendo.mid</v>
      </c>
      <c r="AS21" s="128" t="str">
        <f t="shared" si="18"/>
        <v>Innuendo</v>
      </c>
      <c r="AT21" s="122"/>
      <c r="AU21" s="125">
        <v>11.0</v>
      </c>
      <c r="AV21" s="126" t="s">
        <v>1073</v>
      </c>
      <c r="AW21" s="127" t="str">
        <f t="shared" si="19"/>
        <v>Bohemian Rhapsody.mid</v>
      </c>
      <c r="AX21" s="128" t="str">
        <f t="shared" si="20"/>
        <v>Bohemian Rhapsody</v>
      </c>
      <c r="AY21" s="122"/>
    </row>
    <row r="22" ht="15.75" customHeight="1">
      <c r="A22" s="124"/>
      <c r="B22" s="125">
        <v>0.0</v>
      </c>
      <c r="C22" s="126" t="s">
        <v>1059</v>
      </c>
      <c r="D22" s="127" t="str">
        <f t="shared" si="1"/>
        <v>Bicycle Race.1.mid</v>
      </c>
      <c r="E22" s="128" t="str">
        <f t="shared" si="2"/>
        <v>Bicycle Race.1</v>
      </c>
      <c r="F22" s="122"/>
      <c r="G22" s="125">
        <v>0.0</v>
      </c>
      <c r="H22" s="126" t="s">
        <v>1069</v>
      </c>
      <c r="I22" s="127" t="str">
        <f t="shared" si="3"/>
        <v>Bijou.1.mid</v>
      </c>
      <c r="J22" s="128" t="str">
        <f t="shared" si="4"/>
        <v>Bijou.1</v>
      </c>
      <c r="K22" s="122"/>
      <c r="L22" s="125">
        <v>0.0</v>
      </c>
      <c r="M22" s="126" t="s">
        <v>1071</v>
      </c>
      <c r="N22" s="127" t="str">
        <f t="shared" si="5"/>
        <v>Bijou.mid</v>
      </c>
      <c r="O22" s="128" t="str">
        <f t="shared" si="6"/>
        <v>Bijou</v>
      </c>
      <c r="P22" s="122"/>
      <c r="Q22" s="125">
        <v>0.0</v>
      </c>
      <c r="R22" s="126" t="s">
        <v>1058</v>
      </c>
      <c r="S22" s="127" t="str">
        <f t="shared" si="7"/>
        <v>Bohemian Rhapsody.1.mid</v>
      </c>
      <c r="T22" s="128" t="str">
        <f t="shared" si="8"/>
        <v>Bohemian Rhapsody.1</v>
      </c>
      <c r="U22" s="122"/>
      <c r="V22" s="125">
        <v>0.0</v>
      </c>
      <c r="W22" s="126" t="s">
        <v>1071</v>
      </c>
      <c r="X22" s="127" t="str">
        <f t="shared" si="9"/>
        <v>Bijou.mid</v>
      </c>
      <c r="Y22" s="128" t="str">
        <f t="shared" si="10"/>
        <v>Bijou</v>
      </c>
      <c r="Z22" s="122"/>
      <c r="AA22" s="125">
        <v>1.0</v>
      </c>
      <c r="AB22" s="126" t="s">
        <v>1071</v>
      </c>
      <c r="AC22" s="127" t="str">
        <f t="shared" si="11"/>
        <v>Bijou.mid</v>
      </c>
      <c r="AD22" s="128" t="str">
        <f t="shared" si="12"/>
        <v>Bijou</v>
      </c>
      <c r="AE22" s="122"/>
      <c r="AF22" s="125">
        <v>7.0</v>
      </c>
      <c r="AG22" s="126" t="s">
        <v>1074</v>
      </c>
      <c r="AH22" s="127" t="str">
        <f t="shared" si="13"/>
        <v>Who Wants to Live Forever.5.mid</v>
      </c>
      <c r="AI22" s="128" t="str">
        <f t="shared" si="14"/>
        <v>Who Wants to Live Forever.5</v>
      </c>
      <c r="AJ22" s="122"/>
      <c r="AK22" s="125">
        <v>7.0</v>
      </c>
      <c r="AL22" s="126" t="s">
        <v>1074</v>
      </c>
      <c r="AM22" s="127" t="str">
        <f t="shared" si="15"/>
        <v>Who Wants to Live Forever.5.mid</v>
      </c>
      <c r="AN22" s="128" t="str">
        <f t="shared" si="16"/>
        <v>Who Wants to Live Forever.5</v>
      </c>
      <c r="AO22" s="122"/>
      <c r="AP22" s="125">
        <v>6.0</v>
      </c>
      <c r="AQ22" s="126" t="s">
        <v>1075</v>
      </c>
      <c r="AR22" s="127" t="str">
        <f t="shared" si="17"/>
        <v>Princes of the Universe.1.mid</v>
      </c>
      <c r="AS22" s="128" t="str">
        <f t="shared" si="18"/>
        <v>Princes of the Universe.1</v>
      </c>
      <c r="AT22" s="122"/>
      <c r="AU22" s="125">
        <v>11.0</v>
      </c>
      <c r="AV22" s="126" t="s">
        <v>1076</v>
      </c>
      <c r="AW22" s="127" t="str">
        <f t="shared" si="19"/>
        <v>Don't Try So Hard.1.mid</v>
      </c>
      <c r="AX22" s="128" t="str">
        <f t="shared" si="20"/>
        <v>Don't Try So Hard.1</v>
      </c>
      <c r="AY22" s="122"/>
    </row>
    <row r="23" ht="15.75" customHeight="1">
      <c r="A23" s="124"/>
      <c r="B23" s="125">
        <v>0.0</v>
      </c>
      <c r="C23" s="126" t="s">
        <v>1066</v>
      </c>
      <c r="D23" s="127" t="str">
        <f t="shared" si="1"/>
        <v>Bicycle Race.mid</v>
      </c>
      <c r="E23" s="128" t="str">
        <f t="shared" si="2"/>
        <v>Bicycle Race</v>
      </c>
      <c r="F23" s="122"/>
      <c r="G23" s="125">
        <v>0.0</v>
      </c>
      <c r="H23" s="126" t="s">
        <v>1071</v>
      </c>
      <c r="I23" s="127" t="str">
        <f t="shared" si="3"/>
        <v>Bijou.mid</v>
      </c>
      <c r="J23" s="128" t="str">
        <f t="shared" si="4"/>
        <v>Bijou</v>
      </c>
      <c r="K23" s="122"/>
      <c r="L23" s="125">
        <v>0.0</v>
      </c>
      <c r="M23" s="126" t="s">
        <v>1058</v>
      </c>
      <c r="N23" s="127" t="str">
        <f t="shared" si="5"/>
        <v>Bohemian Rhapsody.1.mid</v>
      </c>
      <c r="O23" s="128" t="str">
        <f t="shared" si="6"/>
        <v>Bohemian Rhapsody.1</v>
      </c>
      <c r="P23" s="122"/>
      <c r="Q23" s="125">
        <v>0.0</v>
      </c>
      <c r="R23" s="126" t="s">
        <v>1077</v>
      </c>
      <c r="S23" s="127" t="str">
        <f t="shared" si="7"/>
        <v>Bohemian Rhapsody.2.mid</v>
      </c>
      <c r="T23" s="128" t="str">
        <f t="shared" si="8"/>
        <v>Bohemian Rhapsody.2</v>
      </c>
      <c r="U23" s="122"/>
      <c r="V23" s="125">
        <v>0.0</v>
      </c>
      <c r="W23" s="126" t="s">
        <v>1058</v>
      </c>
      <c r="X23" s="127" t="str">
        <f t="shared" si="9"/>
        <v>Bohemian Rhapsody.1.mid</v>
      </c>
      <c r="Y23" s="128" t="str">
        <f t="shared" si="10"/>
        <v>Bohemian Rhapsody.1</v>
      </c>
      <c r="Z23" s="122"/>
      <c r="AA23" s="125">
        <v>1.0</v>
      </c>
      <c r="AB23" s="126" t="s">
        <v>1058</v>
      </c>
      <c r="AC23" s="127" t="str">
        <f t="shared" si="11"/>
        <v>Bohemian Rhapsody.1.mid</v>
      </c>
      <c r="AD23" s="128" t="str">
        <f t="shared" si="12"/>
        <v>Bohemian Rhapsody.1</v>
      </c>
      <c r="AE23" s="122"/>
      <c r="AF23" s="125">
        <v>8.0</v>
      </c>
      <c r="AG23" s="126" t="s">
        <v>1068</v>
      </c>
      <c r="AH23" s="127" t="str">
        <f t="shared" si="13"/>
        <v>Killer Queen.6.mid</v>
      </c>
      <c r="AI23" s="128" t="str">
        <f t="shared" si="14"/>
        <v>Killer Queen.6</v>
      </c>
      <c r="AJ23" s="122"/>
      <c r="AK23" s="125">
        <v>8.0</v>
      </c>
      <c r="AL23" s="126" t="s">
        <v>1068</v>
      </c>
      <c r="AM23" s="127" t="str">
        <f t="shared" si="15"/>
        <v>Killer Queen.6.mid</v>
      </c>
      <c r="AN23" s="128" t="str">
        <f t="shared" si="16"/>
        <v>Killer Queen.6</v>
      </c>
      <c r="AO23" s="122"/>
      <c r="AP23" s="125">
        <v>6.0</v>
      </c>
      <c r="AQ23" s="126" t="s">
        <v>1078</v>
      </c>
      <c r="AR23" s="127" t="str">
        <f t="shared" si="17"/>
        <v>Radio Ga Ga.5.mid</v>
      </c>
      <c r="AS23" s="128" t="str">
        <f t="shared" si="18"/>
        <v>Radio Ga Ga.5</v>
      </c>
      <c r="AT23" s="122"/>
      <c r="AU23" s="125">
        <v>11.0</v>
      </c>
      <c r="AV23" s="126" t="s">
        <v>1079</v>
      </c>
      <c r="AW23" s="127" t="str">
        <f t="shared" si="19"/>
        <v>Don't Try So Hard.mid</v>
      </c>
      <c r="AX23" s="128" t="str">
        <f t="shared" si="20"/>
        <v>Don't Try So Hard</v>
      </c>
      <c r="AY23" s="122"/>
    </row>
    <row r="24" ht="15.75" customHeight="1">
      <c r="A24" s="124"/>
      <c r="B24" s="125">
        <v>0.0</v>
      </c>
      <c r="C24" s="126" t="s">
        <v>1069</v>
      </c>
      <c r="D24" s="127" t="str">
        <f t="shared" si="1"/>
        <v>Bijou.1.mid</v>
      </c>
      <c r="E24" s="128" t="str">
        <f t="shared" si="2"/>
        <v>Bijou.1</v>
      </c>
      <c r="F24" s="122"/>
      <c r="G24" s="125">
        <v>0.0</v>
      </c>
      <c r="H24" s="126" t="s">
        <v>1058</v>
      </c>
      <c r="I24" s="127" t="str">
        <f t="shared" si="3"/>
        <v>Bohemian Rhapsody.1.mid</v>
      </c>
      <c r="J24" s="128" t="str">
        <f t="shared" si="4"/>
        <v>Bohemian Rhapsody.1</v>
      </c>
      <c r="K24" s="122"/>
      <c r="L24" s="125">
        <v>0.0</v>
      </c>
      <c r="M24" s="126" t="s">
        <v>1077</v>
      </c>
      <c r="N24" s="127" t="str">
        <f t="shared" si="5"/>
        <v>Bohemian Rhapsody.2.mid</v>
      </c>
      <c r="O24" s="128" t="str">
        <f t="shared" si="6"/>
        <v>Bohemian Rhapsody.2</v>
      </c>
      <c r="P24" s="122"/>
      <c r="Q24" s="125">
        <v>0.0</v>
      </c>
      <c r="R24" s="126" t="s">
        <v>1037</v>
      </c>
      <c r="S24" s="127" t="str">
        <f t="shared" si="7"/>
        <v>Bohemian Rhapsody.3.mid</v>
      </c>
      <c r="T24" s="128" t="str">
        <f t="shared" si="8"/>
        <v>Bohemian Rhapsody.3</v>
      </c>
      <c r="U24" s="122"/>
      <c r="V24" s="125">
        <v>0.0</v>
      </c>
      <c r="W24" s="126" t="s">
        <v>1077</v>
      </c>
      <c r="X24" s="127" t="str">
        <f t="shared" si="9"/>
        <v>Bohemian Rhapsody.2.mid</v>
      </c>
      <c r="Y24" s="128" t="str">
        <f t="shared" si="10"/>
        <v>Bohemian Rhapsody.2</v>
      </c>
      <c r="Z24" s="122"/>
      <c r="AA24" s="125">
        <v>1.0</v>
      </c>
      <c r="AB24" s="126" t="s">
        <v>1077</v>
      </c>
      <c r="AC24" s="127" t="str">
        <f t="shared" si="11"/>
        <v>Bohemian Rhapsody.2.mid</v>
      </c>
      <c r="AD24" s="128" t="str">
        <f t="shared" si="12"/>
        <v>Bohemian Rhapsody.2</v>
      </c>
      <c r="AE24" s="122"/>
      <c r="AF24" s="125">
        <v>9.0</v>
      </c>
      <c r="AG24" s="126" t="s">
        <v>1028</v>
      </c>
      <c r="AH24" s="127" t="str">
        <f t="shared" si="13"/>
        <v>'39.mid</v>
      </c>
      <c r="AI24" s="128" t="str">
        <f t="shared" si="14"/>
        <v>'39</v>
      </c>
      <c r="AJ24" s="122"/>
      <c r="AK24" s="125">
        <v>9.0</v>
      </c>
      <c r="AL24" s="126" t="s">
        <v>1028</v>
      </c>
      <c r="AM24" s="127" t="str">
        <f t="shared" si="15"/>
        <v>'39.mid</v>
      </c>
      <c r="AN24" s="128" t="str">
        <f t="shared" si="16"/>
        <v>'39</v>
      </c>
      <c r="AO24" s="122"/>
      <c r="AP24" s="125">
        <v>6.0</v>
      </c>
      <c r="AQ24" s="126" t="s">
        <v>1080</v>
      </c>
      <c r="AR24" s="127" t="str">
        <f t="shared" si="17"/>
        <v>Somebody to Love.1.mid</v>
      </c>
      <c r="AS24" s="128" t="str">
        <f t="shared" si="18"/>
        <v>Somebody to Love.1</v>
      </c>
      <c r="AT24" s="122"/>
      <c r="AU24" s="125">
        <v>11.0</v>
      </c>
      <c r="AV24" s="126" t="s">
        <v>1081</v>
      </c>
      <c r="AW24" s="127" t="str">
        <f t="shared" si="19"/>
        <v>Friends Will Be Friends.2.mid</v>
      </c>
      <c r="AX24" s="128" t="str">
        <f t="shared" si="20"/>
        <v>Friends Will Be Friends.2</v>
      </c>
      <c r="AY24" s="122"/>
    </row>
    <row r="25" ht="15.75" customHeight="1">
      <c r="A25" s="124"/>
      <c r="B25" s="125">
        <v>0.0</v>
      </c>
      <c r="C25" s="126" t="s">
        <v>1071</v>
      </c>
      <c r="D25" s="127" t="str">
        <f t="shared" si="1"/>
        <v>Bijou.mid</v>
      </c>
      <c r="E25" s="128" t="str">
        <f t="shared" si="2"/>
        <v>Bijou</v>
      </c>
      <c r="F25" s="122"/>
      <c r="G25" s="125">
        <v>0.0</v>
      </c>
      <c r="H25" s="126" t="s">
        <v>1077</v>
      </c>
      <c r="I25" s="127" t="str">
        <f t="shared" si="3"/>
        <v>Bohemian Rhapsody.2.mid</v>
      </c>
      <c r="J25" s="128" t="str">
        <f t="shared" si="4"/>
        <v>Bohemian Rhapsody.2</v>
      </c>
      <c r="K25" s="122"/>
      <c r="L25" s="125">
        <v>0.0</v>
      </c>
      <c r="M25" s="126" t="s">
        <v>1037</v>
      </c>
      <c r="N25" s="127" t="str">
        <f t="shared" si="5"/>
        <v>Bohemian Rhapsody.3.mid</v>
      </c>
      <c r="O25" s="128" t="str">
        <f t="shared" si="6"/>
        <v>Bohemian Rhapsody.3</v>
      </c>
      <c r="P25" s="122"/>
      <c r="Q25" s="125">
        <v>0.0</v>
      </c>
      <c r="R25" s="126" t="s">
        <v>1082</v>
      </c>
      <c r="S25" s="127" t="str">
        <f t="shared" si="7"/>
        <v>Bohemian Rhapsody.5.mid</v>
      </c>
      <c r="T25" s="128" t="str">
        <f t="shared" si="8"/>
        <v>Bohemian Rhapsody.5</v>
      </c>
      <c r="U25" s="122"/>
      <c r="V25" s="125">
        <v>0.0</v>
      </c>
      <c r="W25" s="126" t="s">
        <v>1037</v>
      </c>
      <c r="X25" s="127" t="str">
        <f t="shared" si="9"/>
        <v>Bohemian Rhapsody.3.mid</v>
      </c>
      <c r="Y25" s="128" t="str">
        <f t="shared" si="10"/>
        <v>Bohemian Rhapsody.3</v>
      </c>
      <c r="Z25" s="122"/>
      <c r="AA25" s="125">
        <v>1.0</v>
      </c>
      <c r="AB25" s="126" t="s">
        <v>1037</v>
      </c>
      <c r="AC25" s="127" t="str">
        <f t="shared" si="11"/>
        <v>Bohemian Rhapsody.3.mid</v>
      </c>
      <c r="AD25" s="128" t="str">
        <f t="shared" si="12"/>
        <v>Bohemian Rhapsody.3</v>
      </c>
      <c r="AE25" s="122"/>
      <c r="AF25" s="125">
        <v>9.0</v>
      </c>
      <c r="AG25" s="126" t="s">
        <v>1033</v>
      </c>
      <c r="AH25" s="127" t="str">
        <f t="shared" si="13"/>
        <v>A Kind of Magic.3.mid</v>
      </c>
      <c r="AI25" s="128" t="str">
        <f t="shared" si="14"/>
        <v>A Kind of Magic.3</v>
      </c>
      <c r="AJ25" s="122"/>
      <c r="AK25" s="125">
        <v>9.0</v>
      </c>
      <c r="AL25" s="126" t="s">
        <v>1033</v>
      </c>
      <c r="AM25" s="127" t="str">
        <f t="shared" si="15"/>
        <v>A Kind of Magic.3.mid</v>
      </c>
      <c r="AN25" s="128" t="str">
        <f t="shared" si="16"/>
        <v>A Kind of Magic.3</v>
      </c>
      <c r="AO25" s="122"/>
      <c r="AP25" s="125">
        <v>6.0</v>
      </c>
      <c r="AQ25" s="126" t="s">
        <v>1070</v>
      </c>
      <c r="AR25" s="127" t="str">
        <f t="shared" si="17"/>
        <v>Son and Daughter.1.mid</v>
      </c>
      <c r="AS25" s="128" t="str">
        <f t="shared" si="18"/>
        <v>Son and Daughter.1</v>
      </c>
      <c r="AT25" s="122"/>
      <c r="AU25" s="125">
        <v>11.0</v>
      </c>
      <c r="AV25" s="126" t="s">
        <v>1083</v>
      </c>
      <c r="AW25" s="127" t="str">
        <f t="shared" si="19"/>
        <v>Friends Will Be Friends.4.mid</v>
      </c>
      <c r="AX25" s="128" t="str">
        <f t="shared" si="20"/>
        <v>Friends Will Be Friends.4</v>
      </c>
      <c r="AY25" s="122"/>
    </row>
    <row r="26" ht="15.75" customHeight="1">
      <c r="A26" s="124"/>
      <c r="B26" s="125">
        <v>0.0</v>
      </c>
      <c r="C26" s="126" t="s">
        <v>1058</v>
      </c>
      <c r="D26" s="127" t="str">
        <f t="shared" si="1"/>
        <v>Bohemian Rhapsody.1.mid</v>
      </c>
      <c r="E26" s="128" t="str">
        <f t="shared" si="2"/>
        <v>Bohemian Rhapsody.1</v>
      </c>
      <c r="F26" s="122"/>
      <c r="G26" s="125">
        <v>0.0</v>
      </c>
      <c r="H26" s="126" t="s">
        <v>1037</v>
      </c>
      <c r="I26" s="127" t="str">
        <f t="shared" si="3"/>
        <v>Bohemian Rhapsody.3.mid</v>
      </c>
      <c r="J26" s="128" t="str">
        <f t="shared" si="4"/>
        <v>Bohemian Rhapsody.3</v>
      </c>
      <c r="K26" s="122"/>
      <c r="L26" s="125">
        <v>0.0</v>
      </c>
      <c r="M26" s="126" t="s">
        <v>1046</v>
      </c>
      <c r="N26" s="127" t="str">
        <f t="shared" si="5"/>
        <v>Bohemian Rhapsody.4.mid</v>
      </c>
      <c r="O26" s="128" t="str">
        <f t="shared" si="6"/>
        <v>Bohemian Rhapsody.4</v>
      </c>
      <c r="P26" s="122"/>
      <c r="Q26" s="125">
        <v>0.0</v>
      </c>
      <c r="R26" s="126" t="s">
        <v>1084</v>
      </c>
      <c r="S26" s="127" t="str">
        <f t="shared" si="7"/>
        <v>Bohemian Rhapsody.6.mid</v>
      </c>
      <c r="T26" s="128" t="str">
        <f t="shared" si="8"/>
        <v>Bohemian Rhapsody.6</v>
      </c>
      <c r="U26" s="122"/>
      <c r="V26" s="125">
        <v>0.0</v>
      </c>
      <c r="W26" s="126" t="s">
        <v>1046</v>
      </c>
      <c r="X26" s="127" t="str">
        <f t="shared" si="9"/>
        <v>Bohemian Rhapsody.4.mid</v>
      </c>
      <c r="Y26" s="128" t="str">
        <f t="shared" si="10"/>
        <v>Bohemian Rhapsody.4</v>
      </c>
      <c r="Z26" s="122"/>
      <c r="AA26" s="125">
        <v>1.0</v>
      </c>
      <c r="AB26" s="126" t="s">
        <v>1082</v>
      </c>
      <c r="AC26" s="127" t="str">
        <f t="shared" si="11"/>
        <v>Bohemian Rhapsody.5.mid</v>
      </c>
      <c r="AD26" s="128" t="str">
        <f t="shared" si="12"/>
        <v>Bohemian Rhapsody.5</v>
      </c>
      <c r="AE26" s="122"/>
      <c r="AF26" s="125">
        <v>9.0</v>
      </c>
      <c r="AG26" s="126" t="s">
        <v>1036</v>
      </c>
      <c r="AH26" s="127" t="str">
        <f t="shared" si="13"/>
        <v>A Kind of Magic.mid</v>
      </c>
      <c r="AI26" s="128" t="str">
        <f t="shared" si="14"/>
        <v>A Kind of Magic</v>
      </c>
      <c r="AJ26" s="122"/>
      <c r="AK26" s="125">
        <v>9.0</v>
      </c>
      <c r="AL26" s="126" t="s">
        <v>1036</v>
      </c>
      <c r="AM26" s="127" t="str">
        <f t="shared" si="15"/>
        <v>A Kind of Magic.mid</v>
      </c>
      <c r="AN26" s="128" t="str">
        <f t="shared" si="16"/>
        <v>A Kind of Magic</v>
      </c>
      <c r="AO26" s="122"/>
      <c r="AP26" s="125">
        <v>6.0</v>
      </c>
      <c r="AQ26" s="126" t="s">
        <v>1085</v>
      </c>
      <c r="AR26" s="127" t="str">
        <f t="shared" si="17"/>
        <v>Under Pressure.5.mid</v>
      </c>
      <c r="AS26" s="128" t="str">
        <f t="shared" si="18"/>
        <v>Under Pressure.5</v>
      </c>
      <c r="AT26" s="122"/>
      <c r="AU26" s="125">
        <v>11.0</v>
      </c>
      <c r="AV26" s="126" t="s">
        <v>1086</v>
      </c>
      <c r="AW26" s="127" t="str">
        <f t="shared" si="19"/>
        <v>Friends Will Be Friends.mid</v>
      </c>
      <c r="AX26" s="128" t="str">
        <f t="shared" si="20"/>
        <v>Friends Will Be Friends</v>
      </c>
      <c r="AY26" s="122"/>
    </row>
    <row r="27" ht="15.75" customHeight="1">
      <c r="A27" s="124"/>
      <c r="B27" s="125">
        <v>0.0</v>
      </c>
      <c r="C27" s="126" t="s">
        <v>1077</v>
      </c>
      <c r="D27" s="127" t="str">
        <f t="shared" si="1"/>
        <v>Bohemian Rhapsody.2.mid</v>
      </c>
      <c r="E27" s="128" t="str">
        <f t="shared" si="2"/>
        <v>Bohemian Rhapsody.2</v>
      </c>
      <c r="F27" s="122"/>
      <c r="G27" s="125">
        <v>0.0</v>
      </c>
      <c r="H27" s="126" t="s">
        <v>1046</v>
      </c>
      <c r="I27" s="127" t="str">
        <f t="shared" si="3"/>
        <v>Bohemian Rhapsody.4.mid</v>
      </c>
      <c r="J27" s="128" t="str">
        <f t="shared" si="4"/>
        <v>Bohemian Rhapsody.4</v>
      </c>
      <c r="K27" s="122"/>
      <c r="L27" s="125">
        <v>0.0</v>
      </c>
      <c r="M27" s="126" t="s">
        <v>1082</v>
      </c>
      <c r="N27" s="127" t="str">
        <f t="shared" si="5"/>
        <v>Bohemian Rhapsody.5.mid</v>
      </c>
      <c r="O27" s="128" t="str">
        <f t="shared" si="6"/>
        <v>Bohemian Rhapsody.5</v>
      </c>
      <c r="P27" s="122"/>
      <c r="Q27" s="125">
        <v>0.0</v>
      </c>
      <c r="R27" s="126" t="s">
        <v>1087</v>
      </c>
      <c r="S27" s="127" t="str">
        <f t="shared" si="7"/>
        <v>Bohemian Rhapsody.7.mid</v>
      </c>
      <c r="T27" s="128" t="str">
        <f t="shared" si="8"/>
        <v>Bohemian Rhapsody.7</v>
      </c>
      <c r="U27" s="122"/>
      <c r="V27" s="125">
        <v>0.0</v>
      </c>
      <c r="W27" s="126" t="s">
        <v>1082</v>
      </c>
      <c r="X27" s="127" t="str">
        <f t="shared" si="9"/>
        <v>Bohemian Rhapsody.5.mid</v>
      </c>
      <c r="Y27" s="128" t="str">
        <f t="shared" si="10"/>
        <v>Bohemian Rhapsody.5</v>
      </c>
      <c r="Z27" s="122"/>
      <c r="AA27" s="125">
        <v>1.0</v>
      </c>
      <c r="AB27" s="126" t="s">
        <v>1084</v>
      </c>
      <c r="AC27" s="127" t="str">
        <f t="shared" si="11"/>
        <v>Bohemian Rhapsody.6.mid</v>
      </c>
      <c r="AD27" s="128" t="str">
        <f t="shared" si="12"/>
        <v>Bohemian Rhapsody.6</v>
      </c>
      <c r="AE27" s="122"/>
      <c r="AF27" s="125">
        <v>9.0</v>
      </c>
      <c r="AG27" s="126" t="s">
        <v>1039</v>
      </c>
      <c r="AH27" s="127" t="str">
        <f t="shared" si="13"/>
        <v>All God's People.1.mid</v>
      </c>
      <c r="AI27" s="128" t="str">
        <f t="shared" si="14"/>
        <v>All God's People.1</v>
      </c>
      <c r="AJ27" s="122"/>
      <c r="AK27" s="125">
        <v>9.0</v>
      </c>
      <c r="AL27" s="126" t="s">
        <v>1039</v>
      </c>
      <c r="AM27" s="127" t="str">
        <f t="shared" si="15"/>
        <v>All God's People.1.mid</v>
      </c>
      <c r="AN27" s="128" t="str">
        <f t="shared" si="16"/>
        <v>All God's People.1</v>
      </c>
      <c r="AO27" s="122"/>
      <c r="AP27" s="125">
        <v>6.0</v>
      </c>
      <c r="AQ27" s="126" t="s">
        <v>1074</v>
      </c>
      <c r="AR27" s="127" t="str">
        <f t="shared" si="17"/>
        <v>Who Wants to Live Forever.5.mid</v>
      </c>
      <c r="AS27" s="128" t="str">
        <f t="shared" si="18"/>
        <v>Who Wants to Live Forever.5</v>
      </c>
      <c r="AT27" s="122"/>
      <c r="AU27" s="125">
        <v>11.0</v>
      </c>
      <c r="AV27" s="126" t="s">
        <v>1088</v>
      </c>
      <c r="AW27" s="127" t="str">
        <f t="shared" si="19"/>
        <v>Headlong.mid</v>
      </c>
      <c r="AX27" s="128" t="str">
        <f t="shared" si="20"/>
        <v>Headlong</v>
      </c>
      <c r="AY27" s="122"/>
    </row>
    <row r="28" ht="15.75" customHeight="1">
      <c r="A28" s="124"/>
      <c r="B28" s="125">
        <v>0.0</v>
      </c>
      <c r="C28" s="126" t="s">
        <v>1037</v>
      </c>
      <c r="D28" s="127" t="str">
        <f t="shared" si="1"/>
        <v>Bohemian Rhapsody.3.mid</v>
      </c>
      <c r="E28" s="128" t="str">
        <f t="shared" si="2"/>
        <v>Bohemian Rhapsody.3</v>
      </c>
      <c r="F28" s="122"/>
      <c r="G28" s="125">
        <v>0.0</v>
      </c>
      <c r="H28" s="126" t="s">
        <v>1082</v>
      </c>
      <c r="I28" s="127" t="str">
        <f t="shared" si="3"/>
        <v>Bohemian Rhapsody.5.mid</v>
      </c>
      <c r="J28" s="128" t="str">
        <f t="shared" si="4"/>
        <v>Bohemian Rhapsody.5</v>
      </c>
      <c r="K28" s="122"/>
      <c r="L28" s="125">
        <v>0.0</v>
      </c>
      <c r="M28" s="126" t="s">
        <v>1084</v>
      </c>
      <c r="N28" s="127" t="str">
        <f t="shared" si="5"/>
        <v>Bohemian Rhapsody.6.mid</v>
      </c>
      <c r="O28" s="128" t="str">
        <f t="shared" si="6"/>
        <v>Bohemian Rhapsody.6</v>
      </c>
      <c r="P28" s="122"/>
      <c r="Q28" s="125">
        <v>0.0</v>
      </c>
      <c r="R28" s="126" t="s">
        <v>1073</v>
      </c>
      <c r="S28" s="127" t="str">
        <f t="shared" si="7"/>
        <v>Bohemian Rhapsody.mid</v>
      </c>
      <c r="T28" s="128" t="str">
        <f t="shared" si="8"/>
        <v>Bohemian Rhapsody</v>
      </c>
      <c r="U28" s="122"/>
      <c r="V28" s="125">
        <v>0.0</v>
      </c>
      <c r="W28" s="126" t="s">
        <v>1084</v>
      </c>
      <c r="X28" s="127" t="str">
        <f t="shared" si="9"/>
        <v>Bohemian Rhapsody.6.mid</v>
      </c>
      <c r="Y28" s="128" t="str">
        <f t="shared" si="10"/>
        <v>Bohemian Rhapsody.6</v>
      </c>
      <c r="Z28" s="122"/>
      <c r="AA28" s="125">
        <v>1.0</v>
      </c>
      <c r="AB28" s="126" t="s">
        <v>1087</v>
      </c>
      <c r="AC28" s="127" t="str">
        <f t="shared" si="11"/>
        <v>Bohemian Rhapsody.7.mid</v>
      </c>
      <c r="AD28" s="128" t="str">
        <f t="shared" si="12"/>
        <v>Bohemian Rhapsody.7</v>
      </c>
      <c r="AE28" s="122"/>
      <c r="AF28" s="125">
        <v>9.0</v>
      </c>
      <c r="AG28" s="126" t="s">
        <v>1042</v>
      </c>
      <c r="AH28" s="127" t="str">
        <f t="shared" si="13"/>
        <v>All God's People.2.mid</v>
      </c>
      <c r="AI28" s="128" t="str">
        <f t="shared" si="14"/>
        <v>All God's People.2</v>
      </c>
      <c r="AJ28" s="122"/>
      <c r="AK28" s="125">
        <v>9.0</v>
      </c>
      <c r="AL28" s="126" t="s">
        <v>1042</v>
      </c>
      <c r="AM28" s="127" t="str">
        <f t="shared" si="15"/>
        <v>All God's People.2.mid</v>
      </c>
      <c r="AN28" s="128" t="str">
        <f t="shared" si="16"/>
        <v>All God's People.2</v>
      </c>
      <c r="AO28" s="122"/>
      <c r="AP28" s="125">
        <v>7.0</v>
      </c>
      <c r="AQ28" s="126" t="s">
        <v>1046</v>
      </c>
      <c r="AR28" s="127" t="str">
        <f t="shared" si="17"/>
        <v>Bohemian Rhapsody.4.mid</v>
      </c>
      <c r="AS28" s="128" t="str">
        <f t="shared" si="18"/>
        <v>Bohemian Rhapsody.4</v>
      </c>
      <c r="AT28" s="122"/>
      <c r="AU28" s="125">
        <v>11.0</v>
      </c>
      <c r="AV28" s="126" t="s">
        <v>1089</v>
      </c>
      <c r="AW28" s="127" t="str">
        <f t="shared" si="19"/>
        <v>Innuendo.2.mid</v>
      </c>
      <c r="AX28" s="128" t="str">
        <f t="shared" si="20"/>
        <v>Innuendo.2</v>
      </c>
      <c r="AY28" s="122"/>
    </row>
    <row r="29" ht="15.75" customHeight="1">
      <c r="A29" s="124"/>
      <c r="B29" s="125">
        <v>0.0</v>
      </c>
      <c r="C29" s="126" t="s">
        <v>1046</v>
      </c>
      <c r="D29" s="127" t="str">
        <f t="shared" si="1"/>
        <v>Bohemian Rhapsody.4.mid</v>
      </c>
      <c r="E29" s="128" t="str">
        <f t="shared" si="2"/>
        <v>Bohemian Rhapsody.4</v>
      </c>
      <c r="F29" s="122"/>
      <c r="G29" s="125">
        <v>0.0</v>
      </c>
      <c r="H29" s="126" t="s">
        <v>1084</v>
      </c>
      <c r="I29" s="127" t="str">
        <f t="shared" si="3"/>
        <v>Bohemian Rhapsody.6.mid</v>
      </c>
      <c r="J29" s="128" t="str">
        <f t="shared" si="4"/>
        <v>Bohemian Rhapsody.6</v>
      </c>
      <c r="K29" s="122"/>
      <c r="L29" s="125">
        <v>0.0</v>
      </c>
      <c r="M29" s="126" t="s">
        <v>1087</v>
      </c>
      <c r="N29" s="127" t="str">
        <f t="shared" si="5"/>
        <v>Bohemian Rhapsody.7.mid</v>
      </c>
      <c r="O29" s="128" t="str">
        <f t="shared" si="6"/>
        <v>Bohemian Rhapsody.7</v>
      </c>
      <c r="P29" s="122"/>
      <c r="Q29" s="125">
        <v>0.0</v>
      </c>
      <c r="R29" s="126" t="s">
        <v>1090</v>
      </c>
      <c r="S29" s="127" t="str">
        <f t="shared" si="7"/>
        <v>Crazy Little Thing Called Love.1.mid</v>
      </c>
      <c r="T29" s="128" t="str">
        <f t="shared" si="8"/>
        <v>Crazy Little Thing Called Love.1</v>
      </c>
      <c r="U29" s="122"/>
      <c r="V29" s="125">
        <v>0.0</v>
      </c>
      <c r="W29" s="126" t="s">
        <v>1087</v>
      </c>
      <c r="X29" s="127" t="str">
        <f t="shared" si="9"/>
        <v>Bohemian Rhapsody.7.mid</v>
      </c>
      <c r="Y29" s="128" t="str">
        <f t="shared" si="10"/>
        <v>Bohemian Rhapsody.7</v>
      </c>
      <c r="Z29" s="122"/>
      <c r="AA29" s="125">
        <v>1.0</v>
      </c>
      <c r="AB29" s="126" t="s">
        <v>1073</v>
      </c>
      <c r="AC29" s="127" t="str">
        <f t="shared" si="11"/>
        <v>Bohemian Rhapsody.mid</v>
      </c>
      <c r="AD29" s="128" t="str">
        <f t="shared" si="12"/>
        <v>Bohemian Rhapsody</v>
      </c>
      <c r="AE29" s="122"/>
      <c r="AF29" s="125">
        <v>9.0</v>
      </c>
      <c r="AG29" s="126" t="s">
        <v>1044</v>
      </c>
      <c r="AH29" s="127" t="str">
        <f t="shared" si="13"/>
        <v>All God's People.mid</v>
      </c>
      <c r="AI29" s="128" t="str">
        <f t="shared" si="14"/>
        <v>All God's People</v>
      </c>
      <c r="AJ29" s="122"/>
      <c r="AK29" s="125">
        <v>9.0</v>
      </c>
      <c r="AL29" s="126" t="s">
        <v>1044</v>
      </c>
      <c r="AM29" s="127" t="str">
        <f t="shared" si="15"/>
        <v>All God's People.mid</v>
      </c>
      <c r="AN29" s="128" t="str">
        <f t="shared" si="16"/>
        <v>All God's People</v>
      </c>
      <c r="AO29" s="122"/>
      <c r="AP29" s="125">
        <v>7.0</v>
      </c>
      <c r="AQ29" s="126" t="s">
        <v>1049</v>
      </c>
      <c r="AR29" s="127" t="str">
        <f t="shared" si="17"/>
        <v>We Are The Champions.9.mid</v>
      </c>
      <c r="AS29" s="128" t="str">
        <f t="shared" si="18"/>
        <v>We Are The Champions.9</v>
      </c>
      <c r="AT29" s="122"/>
      <c r="AU29" s="125">
        <v>11.0</v>
      </c>
      <c r="AV29" s="126" t="s">
        <v>1091</v>
      </c>
      <c r="AW29" s="127" t="str">
        <f t="shared" si="19"/>
        <v>Lily of the Valley.mid</v>
      </c>
      <c r="AX29" s="128" t="str">
        <f t="shared" si="20"/>
        <v>Lily of the Valley</v>
      </c>
      <c r="AY29" s="122"/>
    </row>
    <row r="30" ht="15.75" customHeight="1">
      <c r="A30" s="124"/>
      <c r="B30" s="125">
        <v>0.0</v>
      </c>
      <c r="C30" s="126" t="s">
        <v>1082</v>
      </c>
      <c r="D30" s="127" t="str">
        <f t="shared" si="1"/>
        <v>Bohemian Rhapsody.5.mid</v>
      </c>
      <c r="E30" s="128" t="str">
        <f t="shared" si="2"/>
        <v>Bohemian Rhapsody.5</v>
      </c>
      <c r="F30" s="122"/>
      <c r="G30" s="125">
        <v>0.0</v>
      </c>
      <c r="H30" s="126" t="s">
        <v>1087</v>
      </c>
      <c r="I30" s="127" t="str">
        <f t="shared" si="3"/>
        <v>Bohemian Rhapsody.7.mid</v>
      </c>
      <c r="J30" s="128" t="str">
        <f t="shared" si="4"/>
        <v>Bohemian Rhapsody.7</v>
      </c>
      <c r="K30" s="122"/>
      <c r="L30" s="125">
        <v>0.0</v>
      </c>
      <c r="M30" s="126" t="s">
        <v>1073</v>
      </c>
      <c r="N30" s="127" t="str">
        <f t="shared" si="5"/>
        <v>Bohemian Rhapsody.mid</v>
      </c>
      <c r="O30" s="128" t="str">
        <f t="shared" si="6"/>
        <v>Bohemian Rhapsody</v>
      </c>
      <c r="P30" s="122"/>
      <c r="Q30" s="125">
        <v>0.0</v>
      </c>
      <c r="R30" s="126" t="s">
        <v>1092</v>
      </c>
      <c r="S30" s="127" t="str">
        <f t="shared" si="7"/>
        <v>Crazy Little Thing Called Love.2.mid</v>
      </c>
      <c r="T30" s="128" t="str">
        <f t="shared" si="8"/>
        <v>Crazy Little Thing Called Love.2</v>
      </c>
      <c r="U30" s="122"/>
      <c r="V30" s="125">
        <v>0.0</v>
      </c>
      <c r="W30" s="126" t="s">
        <v>1073</v>
      </c>
      <c r="X30" s="127" t="str">
        <f t="shared" si="9"/>
        <v>Bohemian Rhapsody.mid</v>
      </c>
      <c r="Y30" s="128" t="str">
        <f t="shared" si="10"/>
        <v>Bohemian Rhapsody</v>
      </c>
      <c r="Z30" s="122"/>
      <c r="AA30" s="125">
        <v>1.0</v>
      </c>
      <c r="AB30" s="126" t="s">
        <v>1090</v>
      </c>
      <c r="AC30" s="127" t="str">
        <f t="shared" si="11"/>
        <v>Crazy Little Thing Called Love.1.mid</v>
      </c>
      <c r="AD30" s="128" t="str">
        <f t="shared" si="12"/>
        <v>Crazy Little Thing Called Love.1</v>
      </c>
      <c r="AE30" s="122"/>
      <c r="AF30" s="125">
        <v>9.0</v>
      </c>
      <c r="AG30" s="126" t="s">
        <v>1034</v>
      </c>
      <c r="AH30" s="127" t="str">
        <f t="shared" si="13"/>
        <v>Another One Bites The Dust.1.mid</v>
      </c>
      <c r="AI30" s="128" t="str">
        <f t="shared" si="14"/>
        <v>Another One Bites The Dust.1</v>
      </c>
      <c r="AJ30" s="122"/>
      <c r="AK30" s="125">
        <v>9.0</v>
      </c>
      <c r="AL30" s="126" t="s">
        <v>1034</v>
      </c>
      <c r="AM30" s="127" t="str">
        <f t="shared" si="15"/>
        <v>Another One Bites The Dust.1.mid</v>
      </c>
      <c r="AN30" s="128" t="str">
        <f t="shared" si="16"/>
        <v>Another One Bites The Dust.1</v>
      </c>
      <c r="AO30" s="122"/>
      <c r="AP30" s="125">
        <v>7.0</v>
      </c>
      <c r="AQ30" s="126" t="s">
        <v>1051</v>
      </c>
      <c r="AR30" s="127" t="str">
        <f t="shared" si="17"/>
        <v>You Don't Fool Me.2.mid</v>
      </c>
      <c r="AS30" s="128" t="str">
        <f t="shared" si="18"/>
        <v>You Don't Fool Me.2</v>
      </c>
      <c r="AT30" s="122"/>
      <c r="AU30" s="125">
        <v>11.0</v>
      </c>
      <c r="AV30" s="126" t="s">
        <v>1093</v>
      </c>
      <c r="AW30" s="127" t="str">
        <f t="shared" si="19"/>
        <v>Living on My Own.mid</v>
      </c>
      <c r="AX30" s="128" t="str">
        <f t="shared" si="20"/>
        <v>Living on My Own</v>
      </c>
      <c r="AY30" s="122"/>
    </row>
    <row r="31" ht="15.75" customHeight="1">
      <c r="A31" s="124"/>
      <c r="B31" s="125">
        <v>0.0</v>
      </c>
      <c r="C31" s="126" t="s">
        <v>1084</v>
      </c>
      <c r="D31" s="127" t="str">
        <f t="shared" si="1"/>
        <v>Bohemian Rhapsody.6.mid</v>
      </c>
      <c r="E31" s="128" t="str">
        <f t="shared" si="2"/>
        <v>Bohemian Rhapsody.6</v>
      </c>
      <c r="F31" s="122"/>
      <c r="G31" s="125">
        <v>0.0</v>
      </c>
      <c r="H31" s="126" t="s">
        <v>1073</v>
      </c>
      <c r="I31" s="127" t="str">
        <f t="shared" si="3"/>
        <v>Bohemian Rhapsody.mid</v>
      </c>
      <c r="J31" s="128" t="str">
        <f t="shared" si="4"/>
        <v>Bohemian Rhapsody</v>
      </c>
      <c r="K31" s="122"/>
      <c r="L31" s="125">
        <v>0.0</v>
      </c>
      <c r="M31" s="126" t="s">
        <v>1090</v>
      </c>
      <c r="N31" s="127" t="str">
        <f t="shared" si="5"/>
        <v>Crazy Little Thing Called Love.1.mid</v>
      </c>
      <c r="O31" s="128" t="str">
        <f t="shared" si="6"/>
        <v>Crazy Little Thing Called Love.1</v>
      </c>
      <c r="P31" s="122"/>
      <c r="Q31" s="125">
        <v>0.0</v>
      </c>
      <c r="R31" s="126" t="s">
        <v>1094</v>
      </c>
      <c r="S31" s="127" t="str">
        <f t="shared" si="7"/>
        <v>Crazy Little Thing Called Love.3.mid</v>
      </c>
      <c r="T31" s="128" t="str">
        <f t="shared" si="8"/>
        <v>Crazy Little Thing Called Love.3</v>
      </c>
      <c r="U31" s="122"/>
      <c r="V31" s="125">
        <v>0.0</v>
      </c>
      <c r="W31" s="126" t="s">
        <v>1090</v>
      </c>
      <c r="X31" s="127" t="str">
        <f t="shared" si="9"/>
        <v>Crazy Little Thing Called Love.1.mid</v>
      </c>
      <c r="Y31" s="128" t="str">
        <f t="shared" si="10"/>
        <v>Crazy Little Thing Called Love.1</v>
      </c>
      <c r="Z31" s="122"/>
      <c r="AA31" s="125">
        <v>1.0</v>
      </c>
      <c r="AB31" s="126" t="s">
        <v>1092</v>
      </c>
      <c r="AC31" s="127" t="str">
        <f t="shared" si="11"/>
        <v>Crazy Little Thing Called Love.2.mid</v>
      </c>
      <c r="AD31" s="128" t="str">
        <f t="shared" si="12"/>
        <v>Crazy Little Thing Called Love.2</v>
      </c>
      <c r="AE31" s="122"/>
      <c r="AF31" s="125">
        <v>9.0</v>
      </c>
      <c r="AG31" s="126" t="s">
        <v>1050</v>
      </c>
      <c r="AH31" s="127" t="str">
        <f t="shared" si="13"/>
        <v>Another One Bites The Dust.3.mid</v>
      </c>
      <c r="AI31" s="128" t="str">
        <f t="shared" si="14"/>
        <v>Another One Bites The Dust.3</v>
      </c>
      <c r="AJ31" s="122"/>
      <c r="AK31" s="125">
        <v>9.0</v>
      </c>
      <c r="AL31" s="126" t="s">
        <v>1050</v>
      </c>
      <c r="AM31" s="127" t="str">
        <f t="shared" si="15"/>
        <v>Another One Bites The Dust.3.mid</v>
      </c>
      <c r="AN31" s="128" t="str">
        <f t="shared" si="16"/>
        <v>Another One Bites The Dust.3</v>
      </c>
      <c r="AO31" s="122"/>
      <c r="AP31" s="125">
        <v>8.0</v>
      </c>
      <c r="AQ31" s="126" t="s">
        <v>1084</v>
      </c>
      <c r="AR31" s="127" t="str">
        <f t="shared" si="17"/>
        <v>Bohemian Rhapsody.6.mid</v>
      </c>
      <c r="AS31" s="128" t="str">
        <f t="shared" si="18"/>
        <v>Bohemian Rhapsody.6</v>
      </c>
      <c r="AT31" s="122"/>
      <c r="AU31" s="125">
        <v>11.0</v>
      </c>
      <c r="AV31" s="126" t="s">
        <v>1095</v>
      </c>
      <c r="AW31" s="127" t="str">
        <f t="shared" si="19"/>
        <v>Love of My Life.2.mid</v>
      </c>
      <c r="AX31" s="128" t="str">
        <f t="shared" si="20"/>
        <v>Love of My Life.2</v>
      </c>
      <c r="AY31" s="122"/>
    </row>
    <row r="32" ht="15.75" customHeight="1">
      <c r="A32" s="124"/>
      <c r="B32" s="125">
        <v>0.0</v>
      </c>
      <c r="C32" s="126" t="s">
        <v>1087</v>
      </c>
      <c r="D32" s="127" t="str">
        <f t="shared" si="1"/>
        <v>Bohemian Rhapsody.7.mid</v>
      </c>
      <c r="E32" s="128" t="str">
        <f t="shared" si="2"/>
        <v>Bohemian Rhapsody.7</v>
      </c>
      <c r="F32" s="122"/>
      <c r="G32" s="125">
        <v>0.0</v>
      </c>
      <c r="H32" s="126" t="s">
        <v>1090</v>
      </c>
      <c r="I32" s="127" t="str">
        <f t="shared" si="3"/>
        <v>Crazy Little Thing Called Love.1.mid</v>
      </c>
      <c r="J32" s="128" t="str">
        <f t="shared" si="4"/>
        <v>Crazy Little Thing Called Love.1</v>
      </c>
      <c r="K32" s="122"/>
      <c r="L32" s="125">
        <v>0.0</v>
      </c>
      <c r="M32" s="126" t="s">
        <v>1092</v>
      </c>
      <c r="N32" s="127" t="str">
        <f t="shared" si="5"/>
        <v>Crazy Little Thing Called Love.2.mid</v>
      </c>
      <c r="O32" s="128" t="str">
        <f t="shared" si="6"/>
        <v>Crazy Little Thing Called Love.2</v>
      </c>
      <c r="P32" s="122"/>
      <c r="Q32" s="125">
        <v>0.0</v>
      </c>
      <c r="R32" s="126" t="s">
        <v>1096</v>
      </c>
      <c r="S32" s="127" t="str">
        <f t="shared" si="7"/>
        <v>Crazy Little Thing Called Love.4.mid</v>
      </c>
      <c r="T32" s="128" t="str">
        <f t="shared" si="8"/>
        <v>Crazy Little Thing Called Love.4</v>
      </c>
      <c r="U32" s="122"/>
      <c r="V32" s="125">
        <v>0.0</v>
      </c>
      <c r="W32" s="126" t="s">
        <v>1092</v>
      </c>
      <c r="X32" s="127" t="str">
        <f t="shared" si="9"/>
        <v>Crazy Little Thing Called Love.2.mid</v>
      </c>
      <c r="Y32" s="128" t="str">
        <f t="shared" si="10"/>
        <v>Crazy Little Thing Called Love.2</v>
      </c>
      <c r="Z32" s="122"/>
      <c r="AA32" s="125">
        <v>1.0</v>
      </c>
      <c r="AB32" s="126" t="s">
        <v>1094</v>
      </c>
      <c r="AC32" s="127" t="str">
        <f t="shared" si="11"/>
        <v>Crazy Little Thing Called Love.3.mid</v>
      </c>
      <c r="AD32" s="128" t="str">
        <f t="shared" si="12"/>
        <v>Crazy Little Thing Called Love.3</v>
      </c>
      <c r="AE32" s="122"/>
      <c r="AF32" s="125">
        <v>9.0</v>
      </c>
      <c r="AG32" s="126" t="s">
        <v>1052</v>
      </c>
      <c r="AH32" s="127" t="str">
        <f t="shared" si="13"/>
        <v>Another One Bites The Dust.4.mid</v>
      </c>
      <c r="AI32" s="128" t="str">
        <f t="shared" si="14"/>
        <v>Another One Bites The Dust.4</v>
      </c>
      <c r="AJ32" s="122"/>
      <c r="AK32" s="125">
        <v>9.0</v>
      </c>
      <c r="AL32" s="126" t="s">
        <v>1052</v>
      </c>
      <c r="AM32" s="127" t="str">
        <f t="shared" si="15"/>
        <v>Another One Bites The Dust.4.mid</v>
      </c>
      <c r="AN32" s="128" t="str">
        <f t="shared" si="16"/>
        <v>Another One Bites The Dust.4</v>
      </c>
      <c r="AO32" s="122"/>
      <c r="AP32" s="125">
        <v>8.0</v>
      </c>
      <c r="AQ32" s="126" t="s">
        <v>1097</v>
      </c>
      <c r="AR32" s="127" t="str">
        <f t="shared" si="17"/>
        <v>Death on Two Legs (Dedicated to ...).mid</v>
      </c>
      <c r="AS32" s="128" t="str">
        <f t="shared" si="18"/>
        <v>Death on Two Legs (Dedicated to ...)</v>
      </c>
      <c r="AT32" s="122"/>
      <c r="AU32" s="125">
        <v>11.0</v>
      </c>
      <c r="AV32" s="126" t="s">
        <v>1098</v>
      </c>
      <c r="AW32" s="127" t="str">
        <f t="shared" si="19"/>
        <v>Love of My Life.mid</v>
      </c>
      <c r="AX32" s="128" t="str">
        <f t="shared" si="20"/>
        <v>Love of My Life</v>
      </c>
      <c r="AY32" s="122"/>
    </row>
    <row r="33" ht="15.75" customHeight="1">
      <c r="A33" s="124"/>
      <c r="B33" s="125">
        <v>0.0</v>
      </c>
      <c r="C33" s="126" t="s">
        <v>1073</v>
      </c>
      <c r="D33" s="127" t="str">
        <f t="shared" si="1"/>
        <v>Bohemian Rhapsody.mid</v>
      </c>
      <c r="E33" s="128" t="str">
        <f t="shared" si="2"/>
        <v>Bohemian Rhapsody</v>
      </c>
      <c r="F33" s="122"/>
      <c r="G33" s="125">
        <v>0.0</v>
      </c>
      <c r="H33" s="126" t="s">
        <v>1092</v>
      </c>
      <c r="I33" s="127" t="str">
        <f t="shared" si="3"/>
        <v>Crazy Little Thing Called Love.2.mid</v>
      </c>
      <c r="J33" s="128" t="str">
        <f t="shared" si="4"/>
        <v>Crazy Little Thing Called Love.2</v>
      </c>
      <c r="K33" s="122"/>
      <c r="L33" s="125">
        <v>0.0</v>
      </c>
      <c r="M33" s="126" t="s">
        <v>1094</v>
      </c>
      <c r="N33" s="127" t="str">
        <f t="shared" si="5"/>
        <v>Crazy Little Thing Called Love.3.mid</v>
      </c>
      <c r="O33" s="128" t="str">
        <f t="shared" si="6"/>
        <v>Crazy Little Thing Called Love.3</v>
      </c>
      <c r="P33" s="122"/>
      <c r="Q33" s="125">
        <v>0.0</v>
      </c>
      <c r="R33" s="126" t="s">
        <v>1053</v>
      </c>
      <c r="S33" s="127" t="str">
        <f t="shared" si="7"/>
        <v>Crazy Little Thing Called Love.5.mid</v>
      </c>
      <c r="T33" s="128" t="str">
        <f t="shared" si="8"/>
        <v>Crazy Little Thing Called Love.5</v>
      </c>
      <c r="U33" s="122"/>
      <c r="V33" s="125">
        <v>0.0</v>
      </c>
      <c r="W33" s="126" t="s">
        <v>1094</v>
      </c>
      <c r="X33" s="127" t="str">
        <f t="shared" si="9"/>
        <v>Crazy Little Thing Called Love.3.mid</v>
      </c>
      <c r="Y33" s="128" t="str">
        <f t="shared" si="10"/>
        <v>Crazy Little Thing Called Love.3</v>
      </c>
      <c r="Z33" s="122"/>
      <c r="AA33" s="125">
        <v>1.0</v>
      </c>
      <c r="AB33" s="126" t="s">
        <v>1096</v>
      </c>
      <c r="AC33" s="127" t="str">
        <f t="shared" si="11"/>
        <v>Crazy Little Thing Called Love.4.mid</v>
      </c>
      <c r="AD33" s="128" t="str">
        <f t="shared" si="12"/>
        <v>Crazy Little Thing Called Love.4</v>
      </c>
      <c r="AE33" s="122"/>
      <c r="AF33" s="125">
        <v>9.0</v>
      </c>
      <c r="AG33" s="126" t="s">
        <v>1054</v>
      </c>
      <c r="AH33" s="127" t="str">
        <f t="shared" si="13"/>
        <v>Another One Bites The Dust.5.mid</v>
      </c>
      <c r="AI33" s="128" t="str">
        <f t="shared" si="14"/>
        <v>Another One Bites The Dust.5</v>
      </c>
      <c r="AJ33" s="122"/>
      <c r="AK33" s="125">
        <v>9.0</v>
      </c>
      <c r="AL33" s="126" t="s">
        <v>1054</v>
      </c>
      <c r="AM33" s="127" t="str">
        <f t="shared" si="15"/>
        <v>Another One Bites The Dust.5.mid</v>
      </c>
      <c r="AN33" s="128" t="str">
        <f t="shared" si="16"/>
        <v>Another One Bites The Dust.5</v>
      </c>
      <c r="AO33" s="122"/>
      <c r="AP33" s="125">
        <v>9.0</v>
      </c>
      <c r="AQ33" s="126" t="s">
        <v>1073</v>
      </c>
      <c r="AR33" s="127" t="str">
        <f t="shared" si="17"/>
        <v>Bohemian Rhapsody.mid</v>
      </c>
      <c r="AS33" s="128" t="str">
        <f t="shared" si="18"/>
        <v>Bohemian Rhapsody</v>
      </c>
      <c r="AT33" s="122"/>
      <c r="AU33" s="125">
        <v>11.0</v>
      </c>
      <c r="AV33" s="126" t="s">
        <v>1099</v>
      </c>
      <c r="AW33" s="127" t="str">
        <f t="shared" si="19"/>
        <v>My Melancholy Blues.mid</v>
      </c>
      <c r="AX33" s="128" t="str">
        <f t="shared" si="20"/>
        <v>My Melancholy Blues</v>
      </c>
      <c r="AY33" s="122"/>
    </row>
    <row r="34" ht="15.75" customHeight="1">
      <c r="A34" s="124"/>
      <c r="B34" s="125">
        <v>0.0</v>
      </c>
      <c r="C34" s="126" t="s">
        <v>1090</v>
      </c>
      <c r="D34" s="127" t="str">
        <f t="shared" si="1"/>
        <v>Crazy Little Thing Called Love.1.mid</v>
      </c>
      <c r="E34" s="128" t="str">
        <f t="shared" si="2"/>
        <v>Crazy Little Thing Called Love.1</v>
      </c>
      <c r="F34" s="122"/>
      <c r="G34" s="125">
        <v>0.0</v>
      </c>
      <c r="H34" s="126" t="s">
        <v>1094</v>
      </c>
      <c r="I34" s="127" t="str">
        <f t="shared" si="3"/>
        <v>Crazy Little Thing Called Love.3.mid</v>
      </c>
      <c r="J34" s="128" t="str">
        <f t="shared" si="4"/>
        <v>Crazy Little Thing Called Love.3</v>
      </c>
      <c r="K34" s="122"/>
      <c r="L34" s="125">
        <v>0.0</v>
      </c>
      <c r="M34" s="126" t="s">
        <v>1096</v>
      </c>
      <c r="N34" s="127" t="str">
        <f t="shared" si="5"/>
        <v>Crazy Little Thing Called Love.4.mid</v>
      </c>
      <c r="O34" s="128" t="str">
        <f t="shared" si="6"/>
        <v>Crazy Little Thing Called Love.4</v>
      </c>
      <c r="P34" s="122"/>
      <c r="Q34" s="125">
        <v>0.0</v>
      </c>
      <c r="R34" s="126" t="s">
        <v>1100</v>
      </c>
      <c r="S34" s="127" t="str">
        <f t="shared" si="7"/>
        <v>Crazy Little Thing Called Love.6.mid</v>
      </c>
      <c r="T34" s="128" t="str">
        <f t="shared" si="8"/>
        <v>Crazy Little Thing Called Love.6</v>
      </c>
      <c r="U34" s="122"/>
      <c r="V34" s="125">
        <v>0.0</v>
      </c>
      <c r="W34" s="126" t="s">
        <v>1096</v>
      </c>
      <c r="X34" s="127" t="str">
        <f t="shared" si="9"/>
        <v>Crazy Little Thing Called Love.4.mid</v>
      </c>
      <c r="Y34" s="128" t="str">
        <f t="shared" si="10"/>
        <v>Crazy Little Thing Called Love.4</v>
      </c>
      <c r="Z34" s="122"/>
      <c r="AA34" s="125">
        <v>1.0</v>
      </c>
      <c r="AB34" s="126" t="s">
        <v>1100</v>
      </c>
      <c r="AC34" s="127" t="str">
        <f t="shared" si="11"/>
        <v>Crazy Little Thing Called Love.6.mid</v>
      </c>
      <c r="AD34" s="128" t="str">
        <f t="shared" si="12"/>
        <v>Crazy Little Thing Called Love.6</v>
      </c>
      <c r="AE34" s="122"/>
      <c r="AF34" s="125">
        <v>9.0</v>
      </c>
      <c r="AG34" s="126" t="s">
        <v>1057</v>
      </c>
      <c r="AH34" s="127" t="str">
        <f t="shared" si="13"/>
        <v>Another One Bites The Dust.7.mid</v>
      </c>
      <c r="AI34" s="128" t="str">
        <f t="shared" si="14"/>
        <v>Another One Bites The Dust.7</v>
      </c>
      <c r="AJ34" s="122"/>
      <c r="AK34" s="125">
        <v>9.0</v>
      </c>
      <c r="AL34" s="126" t="s">
        <v>1057</v>
      </c>
      <c r="AM34" s="127" t="str">
        <f t="shared" si="15"/>
        <v>Another One Bites The Dust.7.mid</v>
      </c>
      <c r="AN34" s="128" t="str">
        <f t="shared" si="16"/>
        <v>Another One Bites The Dust.7</v>
      </c>
      <c r="AO34" s="122"/>
      <c r="AP34" s="125">
        <v>9.0</v>
      </c>
      <c r="AQ34" s="126" t="s">
        <v>1101</v>
      </c>
      <c r="AR34" s="127" t="str">
        <f t="shared" si="17"/>
        <v>Don't Stop Me Now.1.mid</v>
      </c>
      <c r="AS34" s="128" t="str">
        <f t="shared" si="18"/>
        <v>Don't Stop Me Now.1</v>
      </c>
      <c r="AT34" s="122"/>
      <c r="AU34" s="125">
        <v>11.0</v>
      </c>
      <c r="AV34" s="126" t="s">
        <v>1102</v>
      </c>
      <c r="AW34" s="127" t="str">
        <f t="shared" si="19"/>
        <v>Now I'm Here.4.mid</v>
      </c>
      <c r="AX34" s="128" t="str">
        <f t="shared" si="20"/>
        <v>Now I'm Here.4</v>
      </c>
      <c r="AY34" s="122"/>
    </row>
    <row r="35" ht="15.75" customHeight="1">
      <c r="A35" s="124"/>
      <c r="B35" s="125">
        <v>0.0</v>
      </c>
      <c r="C35" s="126" t="s">
        <v>1092</v>
      </c>
      <c r="D35" s="127" t="str">
        <f t="shared" si="1"/>
        <v>Crazy Little Thing Called Love.2.mid</v>
      </c>
      <c r="E35" s="128" t="str">
        <f t="shared" si="2"/>
        <v>Crazy Little Thing Called Love.2</v>
      </c>
      <c r="F35" s="122"/>
      <c r="G35" s="125">
        <v>0.0</v>
      </c>
      <c r="H35" s="126" t="s">
        <v>1096</v>
      </c>
      <c r="I35" s="127" t="str">
        <f t="shared" si="3"/>
        <v>Crazy Little Thing Called Love.4.mid</v>
      </c>
      <c r="J35" s="128" t="str">
        <f t="shared" si="4"/>
        <v>Crazy Little Thing Called Love.4</v>
      </c>
      <c r="K35" s="122"/>
      <c r="L35" s="125">
        <v>0.0</v>
      </c>
      <c r="M35" s="126" t="s">
        <v>1053</v>
      </c>
      <c r="N35" s="127" t="str">
        <f t="shared" si="5"/>
        <v>Crazy Little Thing Called Love.5.mid</v>
      </c>
      <c r="O35" s="128" t="str">
        <f t="shared" si="6"/>
        <v>Crazy Little Thing Called Love.5</v>
      </c>
      <c r="P35" s="122"/>
      <c r="Q35" s="125">
        <v>0.0</v>
      </c>
      <c r="R35" s="126" t="s">
        <v>1097</v>
      </c>
      <c r="S35" s="127" t="str">
        <f t="shared" si="7"/>
        <v>Death on Two Legs (Dedicated to ...).mid</v>
      </c>
      <c r="T35" s="128" t="str">
        <f t="shared" si="8"/>
        <v>Death on Two Legs (Dedicated to ...)</v>
      </c>
      <c r="U35" s="122"/>
      <c r="V35" s="125">
        <v>0.0</v>
      </c>
      <c r="W35" s="126" t="s">
        <v>1053</v>
      </c>
      <c r="X35" s="127" t="str">
        <f t="shared" si="9"/>
        <v>Crazy Little Thing Called Love.5.mid</v>
      </c>
      <c r="Y35" s="128" t="str">
        <f t="shared" si="10"/>
        <v>Crazy Little Thing Called Love.5</v>
      </c>
      <c r="Z35" s="122"/>
      <c r="AA35" s="125">
        <v>1.0</v>
      </c>
      <c r="AB35" s="126" t="s">
        <v>1097</v>
      </c>
      <c r="AC35" s="127" t="str">
        <f t="shared" si="11"/>
        <v>Death on Two Legs (Dedicated to ...).mid</v>
      </c>
      <c r="AD35" s="128" t="str">
        <f t="shared" si="12"/>
        <v>Death on Two Legs (Dedicated to ...)</v>
      </c>
      <c r="AE35" s="122"/>
      <c r="AF35" s="125">
        <v>9.0</v>
      </c>
      <c r="AG35" s="126" t="s">
        <v>1060</v>
      </c>
      <c r="AH35" s="127" t="str">
        <f t="shared" si="13"/>
        <v>Another One Bites The Dust.mid</v>
      </c>
      <c r="AI35" s="128" t="str">
        <f t="shared" si="14"/>
        <v>Another One Bites The Dust</v>
      </c>
      <c r="AJ35" s="122"/>
      <c r="AK35" s="125">
        <v>9.0</v>
      </c>
      <c r="AL35" s="126" t="s">
        <v>1060</v>
      </c>
      <c r="AM35" s="127" t="str">
        <f t="shared" si="15"/>
        <v>Another One Bites The Dust.mid</v>
      </c>
      <c r="AN35" s="128" t="str">
        <f t="shared" si="16"/>
        <v>Another One Bites The Dust</v>
      </c>
      <c r="AO35" s="122"/>
      <c r="AP35" s="125">
        <v>9.0</v>
      </c>
      <c r="AQ35" s="126" t="s">
        <v>1103</v>
      </c>
      <c r="AR35" s="127" t="str">
        <f t="shared" si="17"/>
        <v>These Are the Days of Our Lives.2.mid</v>
      </c>
      <c r="AS35" s="128" t="str">
        <f t="shared" si="18"/>
        <v>These Are the Days of Our Lives.2</v>
      </c>
      <c r="AT35" s="122"/>
      <c r="AU35" s="125">
        <v>11.0</v>
      </c>
      <c r="AV35" s="126" t="s">
        <v>1104</v>
      </c>
      <c r="AW35" s="127" t="str">
        <f t="shared" si="19"/>
        <v>One Vision.mid</v>
      </c>
      <c r="AX35" s="128" t="str">
        <f t="shared" si="20"/>
        <v>One Vision</v>
      </c>
      <c r="AY35" s="122"/>
    </row>
    <row r="36" ht="15.75" customHeight="1">
      <c r="A36" s="124"/>
      <c r="B36" s="125">
        <v>0.0</v>
      </c>
      <c r="C36" s="126" t="s">
        <v>1094</v>
      </c>
      <c r="D36" s="127" t="str">
        <f t="shared" si="1"/>
        <v>Crazy Little Thing Called Love.3.mid</v>
      </c>
      <c r="E36" s="128" t="str">
        <f t="shared" si="2"/>
        <v>Crazy Little Thing Called Love.3</v>
      </c>
      <c r="F36" s="122"/>
      <c r="G36" s="125">
        <v>0.0</v>
      </c>
      <c r="H36" s="126" t="s">
        <v>1053</v>
      </c>
      <c r="I36" s="127" t="str">
        <f t="shared" si="3"/>
        <v>Crazy Little Thing Called Love.5.mid</v>
      </c>
      <c r="J36" s="128" t="str">
        <f t="shared" si="4"/>
        <v>Crazy Little Thing Called Love.5</v>
      </c>
      <c r="K36" s="122"/>
      <c r="L36" s="125">
        <v>0.0</v>
      </c>
      <c r="M36" s="126" t="s">
        <v>1100</v>
      </c>
      <c r="N36" s="127" t="str">
        <f t="shared" si="5"/>
        <v>Crazy Little Thing Called Love.6.mid</v>
      </c>
      <c r="O36" s="128" t="str">
        <f t="shared" si="6"/>
        <v>Crazy Little Thing Called Love.6</v>
      </c>
      <c r="P36" s="122"/>
      <c r="Q36" s="125">
        <v>0.0</v>
      </c>
      <c r="R36" s="126" t="s">
        <v>1105</v>
      </c>
      <c r="S36" s="127" t="str">
        <f t="shared" si="7"/>
        <v>Death on Two Legs (Dedicated To...).mid</v>
      </c>
      <c r="T36" s="128" t="str">
        <f t="shared" si="8"/>
        <v>Death on Two Legs (Dedicated To...)</v>
      </c>
      <c r="U36" s="122"/>
      <c r="V36" s="125">
        <v>0.0</v>
      </c>
      <c r="W36" s="126" t="s">
        <v>1100</v>
      </c>
      <c r="X36" s="127" t="str">
        <f t="shared" si="9"/>
        <v>Crazy Little Thing Called Love.6.mid</v>
      </c>
      <c r="Y36" s="128" t="str">
        <f t="shared" si="10"/>
        <v>Crazy Little Thing Called Love.6</v>
      </c>
      <c r="Z36" s="122"/>
      <c r="AA36" s="125">
        <v>1.0</v>
      </c>
      <c r="AB36" s="126" t="s">
        <v>1105</v>
      </c>
      <c r="AC36" s="127" t="str">
        <f t="shared" si="11"/>
        <v>Death on Two Legs (Dedicated To...).mid</v>
      </c>
      <c r="AD36" s="128" t="str">
        <f t="shared" si="12"/>
        <v>Death on Two Legs (Dedicated To...)</v>
      </c>
      <c r="AE36" s="122"/>
      <c r="AF36" s="125">
        <v>9.0</v>
      </c>
      <c r="AG36" s="126" t="s">
        <v>1059</v>
      </c>
      <c r="AH36" s="127" t="str">
        <f t="shared" si="13"/>
        <v>Bicycle Race.1.mid</v>
      </c>
      <c r="AI36" s="128" t="str">
        <f t="shared" si="14"/>
        <v>Bicycle Race.1</v>
      </c>
      <c r="AJ36" s="122"/>
      <c r="AK36" s="125">
        <v>9.0</v>
      </c>
      <c r="AL36" s="126" t="s">
        <v>1059</v>
      </c>
      <c r="AM36" s="127" t="str">
        <f t="shared" si="15"/>
        <v>Bicycle Race.1.mid</v>
      </c>
      <c r="AN36" s="128" t="str">
        <f t="shared" si="16"/>
        <v>Bicycle Race.1</v>
      </c>
      <c r="AO36" s="122"/>
      <c r="AP36" s="125">
        <v>10.0</v>
      </c>
      <c r="AQ36" s="126" t="s">
        <v>1090</v>
      </c>
      <c r="AR36" s="127" t="str">
        <f t="shared" si="17"/>
        <v>Crazy Little Thing Called Love.1.mid</v>
      </c>
      <c r="AS36" s="128" t="str">
        <f t="shared" si="18"/>
        <v>Crazy Little Thing Called Love.1</v>
      </c>
      <c r="AT36" s="122"/>
      <c r="AU36" s="125">
        <v>11.0</v>
      </c>
      <c r="AV36" s="126" t="s">
        <v>1106</v>
      </c>
      <c r="AW36" s="127" t="str">
        <f t="shared" si="19"/>
        <v>Save Me.2.mid</v>
      </c>
      <c r="AX36" s="128" t="str">
        <f t="shared" si="20"/>
        <v>Save Me.2</v>
      </c>
      <c r="AY36" s="122"/>
    </row>
    <row r="37" ht="15.75" customHeight="1">
      <c r="A37" s="124"/>
      <c r="B37" s="125">
        <v>0.0</v>
      </c>
      <c r="C37" s="126" t="s">
        <v>1096</v>
      </c>
      <c r="D37" s="127" t="str">
        <f t="shared" si="1"/>
        <v>Crazy Little Thing Called Love.4.mid</v>
      </c>
      <c r="E37" s="128" t="str">
        <f t="shared" si="2"/>
        <v>Crazy Little Thing Called Love.4</v>
      </c>
      <c r="F37" s="122"/>
      <c r="G37" s="125">
        <v>0.0</v>
      </c>
      <c r="H37" s="126" t="s">
        <v>1100</v>
      </c>
      <c r="I37" s="127" t="str">
        <f t="shared" si="3"/>
        <v>Crazy Little Thing Called Love.6.mid</v>
      </c>
      <c r="J37" s="128" t="str">
        <f t="shared" si="4"/>
        <v>Crazy Little Thing Called Love.6</v>
      </c>
      <c r="K37" s="122"/>
      <c r="L37" s="125">
        <v>0.0</v>
      </c>
      <c r="M37" s="126" t="s">
        <v>1097</v>
      </c>
      <c r="N37" s="127" t="str">
        <f t="shared" si="5"/>
        <v>Death on Two Legs (Dedicated to ...).mid</v>
      </c>
      <c r="O37" s="128" t="str">
        <f t="shared" si="6"/>
        <v>Death on Two Legs (Dedicated to ...)</v>
      </c>
      <c r="P37" s="122"/>
      <c r="Q37" s="125">
        <v>0.0</v>
      </c>
      <c r="R37" s="126" t="s">
        <v>1107</v>
      </c>
      <c r="S37" s="127" t="str">
        <f t="shared" si="7"/>
        <v>Doing All Right.1.mid</v>
      </c>
      <c r="T37" s="128" t="str">
        <f t="shared" si="8"/>
        <v>Doing All Right.1</v>
      </c>
      <c r="U37" s="122"/>
      <c r="V37" s="125">
        <v>0.0</v>
      </c>
      <c r="W37" s="126" t="s">
        <v>1097</v>
      </c>
      <c r="X37" s="127" t="str">
        <f t="shared" si="9"/>
        <v>Death on Two Legs (Dedicated to ...).mid</v>
      </c>
      <c r="Y37" s="128" t="str">
        <f t="shared" si="10"/>
        <v>Death on Two Legs (Dedicated to ...)</v>
      </c>
      <c r="Z37" s="122"/>
      <c r="AA37" s="125">
        <v>1.0</v>
      </c>
      <c r="AB37" s="126" t="s">
        <v>1107</v>
      </c>
      <c r="AC37" s="127" t="str">
        <f t="shared" si="11"/>
        <v>Doing All Right.1.mid</v>
      </c>
      <c r="AD37" s="128" t="str">
        <f t="shared" si="12"/>
        <v>Doing All Right.1</v>
      </c>
      <c r="AE37" s="122"/>
      <c r="AF37" s="125">
        <v>9.0</v>
      </c>
      <c r="AG37" s="126" t="s">
        <v>1066</v>
      </c>
      <c r="AH37" s="127" t="str">
        <f t="shared" si="13"/>
        <v>Bicycle Race.mid</v>
      </c>
      <c r="AI37" s="128" t="str">
        <f t="shared" si="14"/>
        <v>Bicycle Race</v>
      </c>
      <c r="AJ37" s="122"/>
      <c r="AK37" s="125">
        <v>9.0</v>
      </c>
      <c r="AL37" s="126" t="s">
        <v>1066</v>
      </c>
      <c r="AM37" s="127" t="str">
        <f t="shared" si="15"/>
        <v>Bicycle Race.mid</v>
      </c>
      <c r="AN37" s="128" t="str">
        <f t="shared" si="16"/>
        <v>Bicycle Race</v>
      </c>
      <c r="AO37" s="122"/>
      <c r="AP37" s="125">
        <v>10.0</v>
      </c>
      <c r="AQ37" s="126" t="s">
        <v>1096</v>
      </c>
      <c r="AR37" s="127" t="str">
        <f t="shared" si="17"/>
        <v>Crazy Little Thing Called Love.4.mid</v>
      </c>
      <c r="AS37" s="128" t="str">
        <f t="shared" si="18"/>
        <v>Crazy Little Thing Called Love.4</v>
      </c>
      <c r="AT37" s="122"/>
      <c r="AU37" s="125">
        <v>11.0</v>
      </c>
      <c r="AV37" s="126" t="s">
        <v>1108</v>
      </c>
      <c r="AW37" s="127" t="str">
        <f t="shared" si="19"/>
        <v>Save Me.3.mid</v>
      </c>
      <c r="AX37" s="128" t="str">
        <f t="shared" si="20"/>
        <v>Save Me.3</v>
      </c>
      <c r="AY37" s="122"/>
    </row>
    <row r="38" ht="15.75" customHeight="1">
      <c r="A38" s="124"/>
      <c r="B38" s="125">
        <v>0.0</v>
      </c>
      <c r="C38" s="126" t="s">
        <v>1053</v>
      </c>
      <c r="D38" s="127" t="str">
        <f t="shared" si="1"/>
        <v>Crazy Little Thing Called Love.5.mid</v>
      </c>
      <c r="E38" s="128" t="str">
        <f t="shared" si="2"/>
        <v>Crazy Little Thing Called Love.5</v>
      </c>
      <c r="F38" s="122"/>
      <c r="G38" s="125">
        <v>0.0</v>
      </c>
      <c r="H38" s="126" t="s">
        <v>1097</v>
      </c>
      <c r="I38" s="127" t="str">
        <f t="shared" si="3"/>
        <v>Death on Two Legs (Dedicated to ...).mid</v>
      </c>
      <c r="J38" s="128" t="str">
        <f t="shared" si="4"/>
        <v>Death on Two Legs (Dedicated to ...)</v>
      </c>
      <c r="K38" s="122"/>
      <c r="L38" s="125">
        <v>0.0</v>
      </c>
      <c r="M38" s="126" t="s">
        <v>1105</v>
      </c>
      <c r="N38" s="127" t="str">
        <f t="shared" si="5"/>
        <v>Death on Two Legs (Dedicated To...).mid</v>
      </c>
      <c r="O38" s="128" t="str">
        <f t="shared" si="6"/>
        <v>Death on Two Legs (Dedicated To...)</v>
      </c>
      <c r="P38" s="122"/>
      <c r="Q38" s="125">
        <v>0.0</v>
      </c>
      <c r="R38" s="126" t="s">
        <v>1109</v>
      </c>
      <c r="S38" s="127" t="str">
        <f t="shared" si="7"/>
        <v>Doing All Right.mid</v>
      </c>
      <c r="T38" s="128" t="str">
        <f t="shared" si="8"/>
        <v>Doing All Right</v>
      </c>
      <c r="U38" s="122"/>
      <c r="V38" s="125">
        <v>0.0</v>
      </c>
      <c r="W38" s="126" t="s">
        <v>1105</v>
      </c>
      <c r="X38" s="127" t="str">
        <f t="shared" si="9"/>
        <v>Death on Two Legs (Dedicated To...).mid</v>
      </c>
      <c r="Y38" s="128" t="str">
        <f t="shared" si="10"/>
        <v>Death on Two Legs (Dedicated To...)</v>
      </c>
      <c r="Z38" s="122"/>
      <c r="AA38" s="125">
        <v>1.0</v>
      </c>
      <c r="AB38" s="126" t="s">
        <v>1109</v>
      </c>
      <c r="AC38" s="127" t="str">
        <f t="shared" si="11"/>
        <v>Doing All Right.mid</v>
      </c>
      <c r="AD38" s="128" t="str">
        <f t="shared" si="12"/>
        <v>Doing All Right</v>
      </c>
      <c r="AE38" s="122"/>
      <c r="AF38" s="125">
        <v>9.0</v>
      </c>
      <c r="AG38" s="126" t="s">
        <v>1069</v>
      </c>
      <c r="AH38" s="127" t="str">
        <f t="shared" si="13"/>
        <v>Bijou.1.mid</v>
      </c>
      <c r="AI38" s="128" t="str">
        <f t="shared" si="14"/>
        <v>Bijou.1</v>
      </c>
      <c r="AJ38" s="122"/>
      <c r="AK38" s="125">
        <v>9.0</v>
      </c>
      <c r="AL38" s="126" t="s">
        <v>1069</v>
      </c>
      <c r="AM38" s="127" t="str">
        <f t="shared" si="15"/>
        <v>Bijou.1.mid</v>
      </c>
      <c r="AN38" s="128" t="str">
        <f t="shared" si="16"/>
        <v>Bijou.1</v>
      </c>
      <c r="AO38" s="122"/>
      <c r="AP38" s="125">
        <v>10.0</v>
      </c>
      <c r="AQ38" s="126" t="s">
        <v>1100</v>
      </c>
      <c r="AR38" s="127" t="str">
        <f t="shared" si="17"/>
        <v>Crazy Little Thing Called Love.6.mid</v>
      </c>
      <c r="AS38" s="128" t="str">
        <f t="shared" si="18"/>
        <v>Crazy Little Thing Called Love.6</v>
      </c>
      <c r="AT38" s="122"/>
      <c r="AU38" s="125">
        <v>11.0</v>
      </c>
      <c r="AV38" s="126" t="s">
        <v>1110</v>
      </c>
      <c r="AW38" s="127" t="str">
        <f t="shared" si="19"/>
        <v>Scandal.1.mid</v>
      </c>
      <c r="AX38" s="128" t="str">
        <f t="shared" si="20"/>
        <v>Scandal.1</v>
      </c>
      <c r="AY38" s="122"/>
    </row>
    <row r="39" ht="15.75" customHeight="1">
      <c r="A39" s="124"/>
      <c r="B39" s="125">
        <v>0.0</v>
      </c>
      <c r="C39" s="126" t="s">
        <v>1100</v>
      </c>
      <c r="D39" s="127" t="str">
        <f t="shared" si="1"/>
        <v>Crazy Little Thing Called Love.6.mid</v>
      </c>
      <c r="E39" s="128" t="str">
        <f t="shared" si="2"/>
        <v>Crazy Little Thing Called Love.6</v>
      </c>
      <c r="F39" s="122"/>
      <c r="G39" s="125">
        <v>0.0</v>
      </c>
      <c r="H39" s="126" t="s">
        <v>1105</v>
      </c>
      <c r="I39" s="127" t="str">
        <f t="shared" si="3"/>
        <v>Death on Two Legs (Dedicated To...).mid</v>
      </c>
      <c r="J39" s="128" t="str">
        <f t="shared" si="4"/>
        <v>Death on Two Legs (Dedicated To...)</v>
      </c>
      <c r="K39" s="122"/>
      <c r="L39" s="125">
        <v>0.0</v>
      </c>
      <c r="M39" s="126" t="s">
        <v>1107</v>
      </c>
      <c r="N39" s="127" t="str">
        <f t="shared" si="5"/>
        <v>Doing All Right.1.mid</v>
      </c>
      <c r="O39" s="128" t="str">
        <f t="shared" si="6"/>
        <v>Doing All Right.1</v>
      </c>
      <c r="P39" s="122"/>
      <c r="Q39" s="125">
        <v>0.0</v>
      </c>
      <c r="R39" s="126" t="s">
        <v>1101</v>
      </c>
      <c r="S39" s="127" t="str">
        <f t="shared" si="7"/>
        <v>Don't Stop Me Now.1.mid</v>
      </c>
      <c r="T39" s="128" t="str">
        <f t="shared" si="8"/>
        <v>Don't Stop Me Now.1</v>
      </c>
      <c r="U39" s="122"/>
      <c r="V39" s="125">
        <v>0.0</v>
      </c>
      <c r="W39" s="126" t="s">
        <v>1107</v>
      </c>
      <c r="X39" s="127" t="str">
        <f t="shared" si="9"/>
        <v>Doing All Right.1.mid</v>
      </c>
      <c r="Y39" s="128" t="str">
        <f t="shared" si="10"/>
        <v>Doing All Right.1</v>
      </c>
      <c r="Z39" s="122"/>
      <c r="AA39" s="125">
        <v>1.0</v>
      </c>
      <c r="AB39" s="126" t="s">
        <v>1101</v>
      </c>
      <c r="AC39" s="127" t="str">
        <f t="shared" si="11"/>
        <v>Don't Stop Me Now.1.mid</v>
      </c>
      <c r="AD39" s="128" t="str">
        <f t="shared" si="12"/>
        <v>Don't Stop Me Now.1</v>
      </c>
      <c r="AE39" s="122"/>
      <c r="AF39" s="125">
        <v>9.0</v>
      </c>
      <c r="AG39" s="126" t="s">
        <v>1071</v>
      </c>
      <c r="AH39" s="127" t="str">
        <f t="shared" si="13"/>
        <v>Bijou.mid</v>
      </c>
      <c r="AI39" s="128" t="str">
        <f t="shared" si="14"/>
        <v>Bijou</v>
      </c>
      <c r="AJ39" s="122"/>
      <c r="AK39" s="125">
        <v>9.0</v>
      </c>
      <c r="AL39" s="126" t="s">
        <v>1071</v>
      </c>
      <c r="AM39" s="127" t="str">
        <f t="shared" si="15"/>
        <v>Bijou.mid</v>
      </c>
      <c r="AN39" s="128" t="str">
        <f t="shared" si="16"/>
        <v>Bijou</v>
      </c>
      <c r="AO39" s="122"/>
      <c r="AP39" s="125">
        <v>11.0</v>
      </c>
      <c r="AQ39" s="126" t="s">
        <v>1053</v>
      </c>
      <c r="AR39" s="127" t="str">
        <f t="shared" si="17"/>
        <v>Crazy Little Thing Called Love.5.mid</v>
      </c>
      <c r="AS39" s="128" t="str">
        <f t="shared" si="18"/>
        <v>Crazy Little Thing Called Love.5</v>
      </c>
      <c r="AT39" s="122"/>
      <c r="AU39" s="125">
        <v>11.0</v>
      </c>
      <c r="AV39" s="126" t="s">
        <v>1111</v>
      </c>
      <c r="AW39" s="127" t="str">
        <f t="shared" si="19"/>
        <v>Spread Your Wings.1.mid</v>
      </c>
      <c r="AX39" s="128" t="str">
        <f t="shared" si="20"/>
        <v>Spread Your Wings.1</v>
      </c>
      <c r="AY39" s="122"/>
    </row>
    <row r="40" ht="15.75" customHeight="1">
      <c r="A40" s="124"/>
      <c r="B40" s="125">
        <v>0.0</v>
      </c>
      <c r="C40" s="126" t="s">
        <v>1097</v>
      </c>
      <c r="D40" s="127" t="str">
        <f t="shared" si="1"/>
        <v>Death on Two Legs (Dedicated to ...).mid</v>
      </c>
      <c r="E40" s="128" t="str">
        <f t="shared" si="2"/>
        <v>Death on Two Legs (Dedicated to ...)</v>
      </c>
      <c r="F40" s="122"/>
      <c r="G40" s="125">
        <v>0.0</v>
      </c>
      <c r="H40" s="126" t="s">
        <v>1107</v>
      </c>
      <c r="I40" s="127" t="str">
        <f t="shared" si="3"/>
        <v>Doing All Right.1.mid</v>
      </c>
      <c r="J40" s="128" t="str">
        <f t="shared" si="4"/>
        <v>Doing All Right.1</v>
      </c>
      <c r="K40" s="122"/>
      <c r="L40" s="125">
        <v>0.0</v>
      </c>
      <c r="M40" s="126" t="s">
        <v>1109</v>
      </c>
      <c r="N40" s="127" t="str">
        <f t="shared" si="5"/>
        <v>Doing All Right.mid</v>
      </c>
      <c r="O40" s="128" t="str">
        <f t="shared" si="6"/>
        <v>Doing All Right</v>
      </c>
      <c r="P40" s="122"/>
      <c r="Q40" s="125">
        <v>0.0</v>
      </c>
      <c r="R40" s="126" t="s">
        <v>1076</v>
      </c>
      <c r="S40" s="127" t="str">
        <f t="shared" si="7"/>
        <v>Don't Try So Hard.1.mid</v>
      </c>
      <c r="T40" s="128" t="str">
        <f t="shared" si="8"/>
        <v>Don't Try So Hard.1</v>
      </c>
      <c r="U40" s="122"/>
      <c r="V40" s="125">
        <v>0.0</v>
      </c>
      <c r="W40" s="126" t="s">
        <v>1109</v>
      </c>
      <c r="X40" s="127" t="str">
        <f t="shared" si="9"/>
        <v>Doing All Right.mid</v>
      </c>
      <c r="Y40" s="128" t="str">
        <f t="shared" si="10"/>
        <v>Doing All Right</v>
      </c>
      <c r="Z40" s="122"/>
      <c r="AA40" s="125">
        <v>1.0</v>
      </c>
      <c r="AB40" s="126" t="s">
        <v>1076</v>
      </c>
      <c r="AC40" s="127" t="str">
        <f t="shared" si="11"/>
        <v>Don't Try So Hard.1.mid</v>
      </c>
      <c r="AD40" s="128" t="str">
        <f t="shared" si="12"/>
        <v>Don't Try So Hard.1</v>
      </c>
      <c r="AE40" s="122"/>
      <c r="AF40" s="125">
        <v>9.0</v>
      </c>
      <c r="AG40" s="126" t="s">
        <v>1077</v>
      </c>
      <c r="AH40" s="127" t="str">
        <f t="shared" si="13"/>
        <v>Bohemian Rhapsody.2.mid</v>
      </c>
      <c r="AI40" s="128" t="str">
        <f t="shared" si="14"/>
        <v>Bohemian Rhapsody.2</v>
      </c>
      <c r="AJ40" s="122"/>
      <c r="AK40" s="125">
        <v>9.0</v>
      </c>
      <c r="AL40" s="126" t="s">
        <v>1077</v>
      </c>
      <c r="AM40" s="127" t="str">
        <f t="shared" si="15"/>
        <v>Bohemian Rhapsody.2.mid</v>
      </c>
      <c r="AN40" s="128" t="str">
        <f t="shared" si="16"/>
        <v>Bohemian Rhapsody.2</v>
      </c>
      <c r="AO40" s="122"/>
      <c r="AP40" s="125">
        <v>12.0</v>
      </c>
      <c r="AQ40" s="126" t="s">
        <v>1055</v>
      </c>
      <c r="AR40" s="127" t="str">
        <f t="shared" si="17"/>
        <v>Don't Stop Me Now.mid</v>
      </c>
      <c r="AS40" s="128" t="str">
        <f t="shared" si="18"/>
        <v>Don't Stop Me Now</v>
      </c>
      <c r="AT40" s="122"/>
      <c r="AU40" s="125">
        <v>11.0</v>
      </c>
      <c r="AV40" s="126" t="s">
        <v>1103</v>
      </c>
      <c r="AW40" s="127" t="str">
        <f t="shared" si="19"/>
        <v>These Are the Days of Our Lives.2.mid</v>
      </c>
      <c r="AX40" s="128" t="str">
        <f t="shared" si="20"/>
        <v>These Are the Days of Our Lives.2</v>
      </c>
      <c r="AY40" s="122"/>
    </row>
    <row r="41" ht="15.75" customHeight="1">
      <c r="A41" s="124"/>
      <c r="B41" s="125">
        <v>0.0</v>
      </c>
      <c r="C41" s="126" t="s">
        <v>1105</v>
      </c>
      <c r="D41" s="127" t="str">
        <f t="shared" si="1"/>
        <v>Death on Two Legs (Dedicated To...).mid</v>
      </c>
      <c r="E41" s="128" t="str">
        <f t="shared" si="2"/>
        <v>Death on Two Legs (Dedicated To...)</v>
      </c>
      <c r="F41" s="122"/>
      <c r="G41" s="125">
        <v>0.0</v>
      </c>
      <c r="H41" s="126" t="s">
        <v>1109</v>
      </c>
      <c r="I41" s="127" t="str">
        <f t="shared" si="3"/>
        <v>Doing All Right.mid</v>
      </c>
      <c r="J41" s="128" t="str">
        <f t="shared" si="4"/>
        <v>Doing All Right</v>
      </c>
      <c r="K41" s="122"/>
      <c r="L41" s="125">
        <v>0.0</v>
      </c>
      <c r="M41" s="126" t="s">
        <v>1101</v>
      </c>
      <c r="N41" s="127" t="str">
        <f t="shared" si="5"/>
        <v>Don't Stop Me Now.1.mid</v>
      </c>
      <c r="O41" s="128" t="str">
        <f t="shared" si="6"/>
        <v>Don't Stop Me Now.1</v>
      </c>
      <c r="P41" s="122"/>
      <c r="Q41" s="125">
        <v>0.0</v>
      </c>
      <c r="R41" s="126" t="s">
        <v>1112</v>
      </c>
      <c r="S41" s="127" t="str">
        <f t="shared" si="7"/>
        <v>Don't Try So Hard.2.mid</v>
      </c>
      <c r="T41" s="128" t="str">
        <f t="shared" si="8"/>
        <v>Don't Try So Hard.2</v>
      </c>
      <c r="U41" s="122"/>
      <c r="V41" s="125">
        <v>0.0</v>
      </c>
      <c r="W41" s="126" t="s">
        <v>1101</v>
      </c>
      <c r="X41" s="127" t="str">
        <f t="shared" si="9"/>
        <v>Don't Stop Me Now.1.mid</v>
      </c>
      <c r="Y41" s="128" t="str">
        <f t="shared" si="10"/>
        <v>Don't Stop Me Now.1</v>
      </c>
      <c r="Z41" s="122"/>
      <c r="AA41" s="125">
        <v>1.0</v>
      </c>
      <c r="AB41" s="126" t="s">
        <v>1112</v>
      </c>
      <c r="AC41" s="127" t="str">
        <f t="shared" si="11"/>
        <v>Don't Try So Hard.2.mid</v>
      </c>
      <c r="AD41" s="128" t="str">
        <f t="shared" si="12"/>
        <v>Don't Try So Hard.2</v>
      </c>
      <c r="AE41" s="122"/>
      <c r="AF41" s="125">
        <v>9.0</v>
      </c>
      <c r="AG41" s="126" t="s">
        <v>1037</v>
      </c>
      <c r="AH41" s="127" t="str">
        <f t="shared" si="13"/>
        <v>Bohemian Rhapsody.3.mid</v>
      </c>
      <c r="AI41" s="128" t="str">
        <f t="shared" si="14"/>
        <v>Bohemian Rhapsody.3</v>
      </c>
      <c r="AJ41" s="122"/>
      <c r="AK41" s="125">
        <v>9.0</v>
      </c>
      <c r="AL41" s="126" t="s">
        <v>1037</v>
      </c>
      <c r="AM41" s="127" t="str">
        <f t="shared" si="15"/>
        <v>Bohemian Rhapsody.3.mid</v>
      </c>
      <c r="AN41" s="128" t="str">
        <f t="shared" si="16"/>
        <v>Bohemian Rhapsody.3</v>
      </c>
      <c r="AO41" s="122"/>
      <c r="AP41" s="125">
        <v>13.0</v>
      </c>
      <c r="AQ41" s="126" t="s">
        <v>1112</v>
      </c>
      <c r="AR41" s="127" t="str">
        <f t="shared" si="17"/>
        <v>Don't Try So Hard.2.mid</v>
      </c>
      <c r="AS41" s="128" t="str">
        <f t="shared" si="18"/>
        <v>Don't Try So Hard.2</v>
      </c>
      <c r="AT41" s="122"/>
      <c r="AU41" s="125">
        <v>11.0</v>
      </c>
      <c r="AV41" s="126" t="s">
        <v>1113</v>
      </c>
      <c r="AW41" s="127" t="str">
        <f t="shared" si="19"/>
        <v>Under Pressure.4.mid</v>
      </c>
      <c r="AX41" s="128" t="str">
        <f t="shared" si="20"/>
        <v>Under Pressure.4</v>
      </c>
      <c r="AY41" s="122"/>
    </row>
    <row r="42" ht="15.75" customHeight="1">
      <c r="A42" s="124"/>
      <c r="B42" s="125">
        <v>0.0</v>
      </c>
      <c r="C42" s="126" t="s">
        <v>1107</v>
      </c>
      <c r="D42" s="127" t="str">
        <f t="shared" si="1"/>
        <v>Doing All Right.1.mid</v>
      </c>
      <c r="E42" s="128" t="str">
        <f t="shared" si="2"/>
        <v>Doing All Right.1</v>
      </c>
      <c r="F42" s="122"/>
      <c r="G42" s="125">
        <v>0.0</v>
      </c>
      <c r="H42" s="126" t="s">
        <v>1101</v>
      </c>
      <c r="I42" s="127" t="str">
        <f t="shared" si="3"/>
        <v>Don't Stop Me Now.1.mid</v>
      </c>
      <c r="J42" s="128" t="str">
        <f t="shared" si="4"/>
        <v>Don't Stop Me Now.1</v>
      </c>
      <c r="K42" s="122"/>
      <c r="L42" s="125">
        <v>0.0</v>
      </c>
      <c r="M42" s="126" t="s">
        <v>1055</v>
      </c>
      <c r="N42" s="127" t="str">
        <f t="shared" si="5"/>
        <v>Don't Stop Me Now.mid</v>
      </c>
      <c r="O42" s="128" t="str">
        <f t="shared" si="6"/>
        <v>Don't Stop Me Now</v>
      </c>
      <c r="P42" s="122"/>
      <c r="Q42" s="125">
        <v>0.0</v>
      </c>
      <c r="R42" s="126" t="s">
        <v>1079</v>
      </c>
      <c r="S42" s="127" t="str">
        <f t="shared" si="7"/>
        <v>Don't Try So Hard.mid</v>
      </c>
      <c r="T42" s="128" t="str">
        <f t="shared" si="8"/>
        <v>Don't Try So Hard</v>
      </c>
      <c r="U42" s="122"/>
      <c r="V42" s="125">
        <v>0.0</v>
      </c>
      <c r="W42" s="126" t="s">
        <v>1055</v>
      </c>
      <c r="X42" s="127" t="str">
        <f t="shared" si="9"/>
        <v>Don't Stop Me Now.mid</v>
      </c>
      <c r="Y42" s="128" t="str">
        <f t="shared" si="10"/>
        <v>Don't Stop Me Now</v>
      </c>
      <c r="Z42" s="122"/>
      <c r="AA42" s="125">
        <v>1.0</v>
      </c>
      <c r="AB42" s="126" t="s">
        <v>1079</v>
      </c>
      <c r="AC42" s="127" t="str">
        <f t="shared" si="11"/>
        <v>Don't Try So Hard.mid</v>
      </c>
      <c r="AD42" s="128" t="str">
        <f t="shared" si="12"/>
        <v>Don't Try So Hard</v>
      </c>
      <c r="AE42" s="122"/>
      <c r="AF42" s="125">
        <v>9.0</v>
      </c>
      <c r="AG42" s="126" t="s">
        <v>1082</v>
      </c>
      <c r="AH42" s="127" t="str">
        <f t="shared" si="13"/>
        <v>Bohemian Rhapsody.5.mid</v>
      </c>
      <c r="AI42" s="128" t="str">
        <f t="shared" si="14"/>
        <v>Bohemian Rhapsody.5</v>
      </c>
      <c r="AJ42" s="122"/>
      <c r="AK42" s="125">
        <v>9.0</v>
      </c>
      <c r="AL42" s="126" t="s">
        <v>1082</v>
      </c>
      <c r="AM42" s="127" t="str">
        <f t="shared" si="15"/>
        <v>Bohemian Rhapsody.5.mid</v>
      </c>
      <c r="AN42" s="128" t="str">
        <f t="shared" si="16"/>
        <v>Bohemian Rhapsody.5</v>
      </c>
      <c r="AO42" s="122"/>
      <c r="AP42" s="125">
        <v>13.0</v>
      </c>
      <c r="AQ42" s="126" t="s">
        <v>1114</v>
      </c>
      <c r="AR42" s="127" t="str">
        <f t="shared" si="17"/>
        <v>Friends Will Be Friends.6.mid</v>
      </c>
      <c r="AS42" s="128" t="str">
        <f t="shared" si="18"/>
        <v>Friends Will Be Friends.6</v>
      </c>
      <c r="AT42" s="122"/>
      <c r="AU42" s="125">
        <v>11.0</v>
      </c>
      <c r="AV42" s="126" t="s">
        <v>1085</v>
      </c>
      <c r="AW42" s="127" t="str">
        <f t="shared" si="19"/>
        <v>Under Pressure.5.mid</v>
      </c>
      <c r="AX42" s="128" t="str">
        <f t="shared" si="20"/>
        <v>Under Pressure.5</v>
      </c>
      <c r="AY42" s="122"/>
    </row>
    <row r="43" ht="15.75" customHeight="1">
      <c r="A43" s="124"/>
      <c r="B43" s="125">
        <v>0.0</v>
      </c>
      <c r="C43" s="126" t="s">
        <v>1109</v>
      </c>
      <c r="D43" s="127" t="str">
        <f t="shared" si="1"/>
        <v>Doing All Right.mid</v>
      </c>
      <c r="E43" s="128" t="str">
        <f t="shared" si="2"/>
        <v>Doing All Right</v>
      </c>
      <c r="F43" s="122"/>
      <c r="G43" s="125">
        <v>0.0</v>
      </c>
      <c r="H43" s="126" t="s">
        <v>1055</v>
      </c>
      <c r="I43" s="127" t="str">
        <f t="shared" si="3"/>
        <v>Don't Stop Me Now.mid</v>
      </c>
      <c r="J43" s="128" t="str">
        <f t="shared" si="4"/>
        <v>Don't Stop Me Now</v>
      </c>
      <c r="K43" s="122"/>
      <c r="L43" s="125">
        <v>0.0</v>
      </c>
      <c r="M43" s="126" t="s">
        <v>1076</v>
      </c>
      <c r="N43" s="127" t="str">
        <f t="shared" si="5"/>
        <v>Don't Try So Hard.1.mid</v>
      </c>
      <c r="O43" s="128" t="str">
        <f t="shared" si="6"/>
        <v>Don't Try So Hard.1</v>
      </c>
      <c r="P43" s="122"/>
      <c r="Q43" s="125">
        <v>0.0</v>
      </c>
      <c r="R43" s="126" t="s">
        <v>1056</v>
      </c>
      <c r="S43" s="127" t="str">
        <f t="shared" si="7"/>
        <v>Fat Bottomed Girls.mid</v>
      </c>
      <c r="T43" s="128" t="str">
        <f t="shared" si="8"/>
        <v>Fat Bottomed Girls</v>
      </c>
      <c r="U43" s="122"/>
      <c r="V43" s="125">
        <v>0.0</v>
      </c>
      <c r="W43" s="126" t="s">
        <v>1076</v>
      </c>
      <c r="X43" s="127" t="str">
        <f t="shared" si="9"/>
        <v>Don't Try So Hard.1.mid</v>
      </c>
      <c r="Y43" s="128" t="str">
        <f t="shared" si="10"/>
        <v>Don't Try So Hard.1</v>
      </c>
      <c r="Z43" s="122"/>
      <c r="AA43" s="125">
        <v>1.0</v>
      </c>
      <c r="AB43" s="126" t="s">
        <v>1115</v>
      </c>
      <c r="AC43" s="127" t="str">
        <f t="shared" si="11"/>
        <v>Father to Son.1.mid</v>
      </c>
      <c r="AD43" s="128" t="str">
        <f t="shared" si="12"/>
        <v>Father to Son.1</v>
      </c>
      <c r="AE43" s="122"/>
      <c r="AF43" s="125">
        <v>9.0</v>
      </c>
      <c r="AG43" s="126" t="s">
        <v>1084</v>
      </c>
      <c r="AH43" s="127" t="str">
        <f t="shared" si="13"/>
        <v>Bohemian Rhapsody.6.mid</v>
      </c>
      <c r="AI43" s="128" t="str">
        <f t="shared" si="14"/>
        <v>Bohemian Rhapsody.6</v>
      </c>
      <c r="AJ43" s="122"/>
      <c r="AK43" s="125">
        <v>9.0</v>
      </c>
      <c r="AL43" s="126" t="s">
        <v>1084</v>
      </c>
      <c r="AM43" s="127" t="str">
        <f t="shared" si="15"/>
        <v>Bohemian Rhapsody.6.mid</v>
      </c>
      <c r="AN43" s="128" t="str">
        <f t="shared" si="16"/>
        <v>Bohemian Rhapsody.6</v>
      </c>
      <c r="AO43" s="122"/>
      <c r="AP43" s="125">
        <v>13.0</v>
      </c>
      <c r="AQ43" s="126" t="s">
        <v>1116</v>
      </c>
      <c r="AR43" s="127" t="str">
        <f t="shared" si="17"/>
        <v>The Miracle.2.mid</v>
      </c>
      <c r="AS43" s="128" t="str">
        <f t="shared" si="18"/>
        <v>The Miracle.2</v>
      </c>
      <c r="AT43" s="122"/>
      <c r="AU43" s="125">
        <v>11.0</v>
      </c>
      <c r="AV43" s="126" t="s">
        <v>1117</v>
      </c>
      <c r="AW43" s="127" t="str">
        <f t="shared" si="19"/>
        <v>Under Pressure.mid</v>
      </c>
      <c r="AX43" s="128" t="str">
        <f t="shared" si="20"/>
        <v>Under Pressure</v>
      </c>
      <c r="AY43" s="122"/>
    </row>
    <row r="44" ht="15.75" customHeight="1">
      <c r="A44" s="124"/>
      <c r="B44" s="125">
        <v>0.0</v>
      </c>
      <c r="C44" s="126" t="s">
        <v>1101</v>
      </c>
      <c r="D44" s="127" t="str">
        <f t="shared" si="1"/>
        <v>Don't Stop Me Now.1.mid</v>
      </c>
      <c r="E44" s="128" t="str">
        <f t="shared" si="2"/>
        <v>Don't Stop Me Now.1</v>
      </c>
      <c r="F44" s="122"/>
      <c r="G44" s="125">
        <v>0.0</v>
      </c>
      <c r="H44" s="126" t="s">
        <v>1076</v>
      </c>
      <c r="I44" s="127" t="str">
        <f t="shared" si="3"/>
        <v>Don't Try So Hard.1.mid</v>
      </c>
      <c r="J44" s="128" t="str">
        <f t="shared" si="4"/>
        <v>Don't Try So Hard.1</v>
      </c>
      <c r="K44" s="122"/>
      <c r="L44" s="125">
        <v>0.0</v>
      </c>
      <c r="M44" s="126" t="s">
        <v>1112</v>
      </c>
      <c r="N44" s="127" t="str">
        <f t="shared" si="5"/>
        <v>Don't Try So Hard.2.mid</v>
      </c>
      <c r="O44" s="128" t="str">
        <f t="shared" si="6"/>
        <v>Don't Try So Hard.2</v>
      </c>
      <c r="P44" s="122"/>
      <c r="Q44" s="125">
        <v>0.0</v>
      </c>
      <c r="R44" s="126" t="s">
        <v>1115</v>
      </c>
      <c r="S44" s="127" t="str">
        <f t="shared" si="7"/>
        <v>Father to Son.1.mid</v>
      </c>
      <c r="T44" s="128" t="str">
        <f t="shared" si="8"/>
        <v>Father to Son.1</v>
      </c>
      <c r="U44" s="122"/>
      <c r="V44" s="125">
        <v>0.0</v>
      </c>
      <c r="W44" s="126" t="s">
        <v>1112</v>
      </c>
      <c r="X44" s="127" t="str">
        <f t="shared" si="9"/>
        <v>Don't Try So Hard.2.mid</v>
      </c>
      <c r="Y44" s="128" t="str">
        <f t="shared" si="10"/>
        <v>Don't Try So Hard.2</v>
      </c>
      <c r="Z44" s="122"/>
      <c r="AA44" s="125">
        <v>1.0</v>
      </c>
      <c r="AB44" s="126" t="s">
        <v>1040</v>
      </c>
      <c r="AC44" s="127" t="str">
        <f t="shared" si="11"/>
        <v>Father to Son.mid</v>
      </c>
      <c r="AD44" s="128" t="str">
        <f t="shared" si="12"/>
        <v>Father to Son</v>
      </c>
      <c r="AE44" s="122"/>
      <c r="AF44" s="125">
        <v>9.0</v>
      </c>
      <c r="AG44" s="126" t="s">
        <v>1087</v>
      </c>
      <c r="AH44" s="127" t="str">
        <f t="shared" si="13"/>
        <v>Bohemian Rhapsody.7.mid</v>
      </c>
      <c r="AI44" s="128" t="str">
        <f t="shared" si="14"/>
        <v>Bohemian Rhapsody.7</v>
      </c>
      <c r="AJ44" s="122"/>
      <c r="AK44" s="125">
        <v>9.0</v>
      </c>
      <c r="AL44" s="126" t="s">
        <v>1087</v>
      </c>
      <c r="AM44" s="127" t="str">
        <f t="shared" si="15"/>
        <v>Bohemian Rhapsody.7.mid</v>
      </c>
      <c r="AN44" s="128" t="str">
        <f t="shared" si="16"/>
        <v>Bohemian Rhapsody.7</v>
      </c>
      <c r="AO44" s="122"/>
      <c r="AP44" s="125">
        <v>14.0</v>
      </c>
      <c r="AQ44" s="126" t="s">
        <v>1056</v>
      </c>
      <c r="AR44" s="127" t="str">
        <f t="shared" si="17"/>
        <v>Fat Bottomed Girls.mid</v>
      </c>
      <c r="AS44" s="128" t="str">
        <f t="shared" si="18"/>
        <v>Fat Bottomed Girls</v>
      </c>
      <c r="AT44" s="122"/>
      <c r="AU44" s="125">
        <v>11.0</v>
      </c>
      <c r="AV44" s="126" t="s">
        <v>1118</v>
      </c>
      <c r="AW44" s="127" t="str">
        <f t="shared" si="19"/>
        <v>We Are the Champions.mid</v>
      </c>
      <c r="AX44" s="128" t="str">
        <f t="shared" si="20"/>
        <v>We Are the Champions</v>
      </c>
      <c r="AY44" s="122"/>
    </row>
    <row r="45" ht="15.75" customHeight="1">
      <c r="A45" s="124"/>
      <c r="B45" s="125">
        <v>0.0</v>
      </c>
      <c r="C45" s="126" t="s">
        <v>1055</v>
      </c>
      <c r="D45" s="127" t="str">
        <f t="shared" si="1"/>
        <v>Don't Stop Me Now.mid</v>
      </c>
      <c r="E45" s="128" t="str">
        <f t="shared" si="2"/>
        <v>Don't Stop Me Now</v>
      </c>
      <c r="F45" s="122"/>
      <c r="G45" s="125">
        <v>0.0</v>
      </c>
      <c r="H45" s="126" t="s">
        <v>1112</v>
      </c>
      <c r="I45" s="127" t="str">
        <f t="shared" si="3"/>
        <v>Don't Try So Hard.2.mid</v>
      </c>
      <c r="J45" s="128" t="str">
        <f t="shared" si="4"/>
        <v>Don't Try So Hard.2</v>
      </c>
      <c r="K45" s="122"/>
      <c r="L45" s="125">
        <v>0.0</v>
      </c>
      <c r="M45" s="126" t="s">
        <v>1079</v>
      </c>
      <c r="N45" s="127" t="str">
        <f t="shared" si="5"/>
        <v>Don't Try So Hard.mid</v>
      </c>
      <c r="O45" s="128" t="str">
        <f t="shared" si="6"/>
        <v>Don't Try So Hard</v>
      </c>
      <c r="P45" s="122"/>
      <c r="Q45" s="125">
        <v>0.0</v>
      </c>
      <c r="R45" s="126" t="s">
        <v>1040</v>
      </c>
      <c r="S45" s="127" t="str">
        <f t="shared" si="7"/>
        <v>Father to Son.mid</v>
      </c>
      <c r="T45" s="128" t="str">
        <f t="shared" si="8"/>
        <v>Father to Son</v>
      </c>
      <c r="U45" s="122"/>
      <c r="V45" s="125">
        <v>0.0</v>
      </c>
      <c r="W45" s="126" t="s">
        <v>1079</v>
      </c>
      <c r="X45" s="127" t="str">
        <f t="shared" si="9"/>
        <v>Don't Try So Hard.mid</v>
      </c>
      <c r="Y45" s="128" t="str">
        <f t="shared" si="10"/>
        <v>Don't Try So Hard</v>
      </c>
      <c r="Z45" s="122"/>
      <c r="AA45" s="125">
        <v>1.0</v>
      </c>
      <c r="AB45" s="126" t="s">
        <v>1119</v>
      </c>
      <c r="AC45" s="127" t="str">
        <f t="shared" si="11"/>
        <v>Friends Will Be Friends.1.mid</v>
      </c>
      <c r="AD45" s="128" t="str">
        <f t="shared" si="12"/>
        <v>Friends Will Be Friends.1</v>
      </c>
      <c r="AE45" s="122"/>
      <c r="AF45" s="125">
        <v>9.0</v>
      </c>
      <c r="AG45" s="126" t="s">
        <v>1073</v>
      </c>
      <c r="AH45" s="127" t="str">
        <f t="shared" si="13"/>
        <v>Bohemian Rhapsody.mid</v>
      </c>
      <c r="AI45" s="128" t="str">
        <f t="shared" si="14"/>
        <v>Bohemian Rhapsody</v>
      </c>
      <c r="AJ45" s="122"/>
      <c r="AK45" s="125">
        <v>9.0</v>
      </c>
      <c r="AL45" s="126" t="s">
        <v>1073</v>
      </c>
      <c r="AM45" s="127" t="str">
        <f t="shared" si="15"/>
        <v>Bohemian Rhapsody.mid</v>
      </c>
      <c r="AN45" s="128" t="str">
        <f t="shared" si="16"/>
        <v>Bohemian Rhapsody</v>
      </c>
      <c r="AO45" s="122"/>
      <c r="AP45" s="125">
        <v>15.0</v>
      </c>
      <c r="AQ45" s="126" t="s">
        <v>1081</v>
      </c>
      <c r="AR45" s="127" t="str">
        <f t="shared" si="17"/>
        <v>Friends Will Be Friends.2.mid</v>
      </c>
      <c r="AS45" s="128" t="str">
        <f t="shared" si="18"/>
        <v>Friends Will Be Friends.2</v>
      </c>
      <c r="AT45" s="122"/>
      <c r="AU45" s="125">
        <v>11.0</v>
      </c>
      <c r="AV45" s="126" t="s">
        <v>1072</v>
      </c>
      <c r="AW45" s="127" t="str">
        <f t="shared" si="19"/>
        <v>We Will Rock You.2.mid</v>
      </c>
      <c r="AX45" s="128" t="str">
        <f t="shared" si="20"/>
        <v>We Will Rock You.2</v>
      </c>
      <c r="AY45" s="122"/>
    </row>
    <row r="46" ht="15.75" customHeight="1">
      <c r="A46" s="124"/>
      <c r="B46" s="125">
        <v>0.0</v>
      </c>
      <c r="C46" s="126" t="s">
        <v>1076</v>
      </c>
      <c r="D46" s="127" t="str">
        <f t="shared" si="1"/>
        <v>Don't Try So Hard.1.mid</v>
      </c>
      <c r="E46" s="128" t="str">
        <f t="shared" si="2"/>
        <v>Don't Try So Hard.1</v>
      </c>
      <c r="F46" s="122"/>
      <c r="G46" s="125">
        <v>0.0</v>
      </c>
      <c r="H46" s="126" t="s">
        <v>1079</v>
      </c>
      <c r="I46" s="127" t="str">
        <f t="shared" si="3"/>
        <v>Don't Try So Hard.mid</v>
      </c>
      <c r="J46" s="128" t="str">
        <f t="shared" si="4"/>
        <v>Don't Try So Hard</v>
      </c>
      <c r="K46" s="122"/>
      <c r="L46" s="125">
        <v>0.0</v>
      </c>
      <c r="M46" s="126" t="s">
        <v>1056</v>
      </c>
      <c r="N46" s="127" t="str">
        <f t="shared" si="5"/>
        <v>Fat Bottomed Girls.mid</v>
      </c>
      <c r="O46" s="128" t="str">
        <f t="shared" si="6"/>
        <v>Fat Bottomed Girls</v>
      </c>
      <c r="P46" s="122"/>
      <c r="Q46" s="125">
        <v>0.0</v>
      </c>
      <c r="R46" s="126" t="s">
        <v>1119</v>
      </c>
      <c r="S46" s="127" t="str">
        <f t="shared" si="7"/>
        <v>Friends Will Be Friends.1.mid</v>
      </c>
      <c r="T46" s="128" t="str">
        <f t="shared" si="8"/>
        <v>Friends Will Be Friends.1</v>
      </c>
      <c r="U46" s="122"/>
      <c r="V46" s="125">
        <v>0.0</v>
      </c>
      <c r="W46" s="126" t="s">
        <v>1056</v>
      </c>
      <c r="X46" s="127" t="str">
        <f t="shared" si="9"/>
        <v>Fat Bottomed Girls.mid</v>
      </c>
      <c r="Y46" s="128" t="str">
        <f t="shared" si="10"/>
        <v>Fat Bottomed Girls</v>
      </c>
      <c r="Z46" s="122"/>
      <c r="AA46" s="125">
        <v>1.0</v>
      </c>
      <c r="AB46" s="126" t="s">
        <v>1081</v>
      </c>
      <c r="AC46" s="127" t="str">
        <f t="shared" si="11"/>
        <v>Friends Will Be Friends.2.mid</v>
      </c>
      <c r="AD46" s="128" t="str">
        <f t="shared" si="12"/>
        <v>Friends Will Be Friends.2</v>
      </c>
      <c r="AE46" s="122"/>
      <c r="AF46" s="125">
        <v>9.0</v>
      </c>
      <c r="AG46" s="126" t="s">
        <v>1090</v>
      </c>
      <c r="AH46" s="127" t="str">
        <f t="shared" si="13"/>
        <v>Crazy Little Thing Called Love.1.mid</v>
      </c>
      <c r="AI46" s="128" t="str">
        <f t="shared" si="14"/>
        <v>Crazy Little Thing Called Love.1</v>
      </c>
      <c r="AJ46" s="122"/>
      <c r="AK46" s="125">
        <v>9.0</v>
      </c>
      <c r="AL46" s="126" t="s">
        <v>1090</v>
      </c>
      <c r="AM46" s="127" t="str">
        <f t="shared" si="15"/>
        <v>Crazy Little Thing Called Love.1.mid</v>
      </c>
      <c r="AN46" s="128" t="str">
        <f t="shared" si="16"/>
        <v>Crazy Little Thing Called Love.1</v>
      </c>
      <c r="AO46" s="122"/>
      <c r="AP46" s="125">
        <v>15.0</v>
      </c>
      <c r="AQ46" s="126" t="s">
        <v>1104</v>
      </c>
      <c r="AR46" s="127" t="str">
        <f t="shared" si="17"/>
        <v>One Vision.mid</v>
      </c>
      <c r="AS46" s="128" t="str">
        <f t="shared" si="18"/>
        <v>One Vision</v>
      </c>
      <c r="AT46" s="122"/>
      <c r="AU46" s="125">
        <v>11.0</v>
      </c>
      <c r="AV46" s="126" t="s">
        <v>1120</v>
      </c>
      <c r="AW46" s="127" t="str">
        <f t="shared" si="19"/>
        <v>Who Wants to Live Forever.7.mid</v>
      </c>
      <c r="AX46" s="128" t="str">
        <f t="shared" si="20"/>
        <v>Who Wants to Live Forever.7</v>
      </c>
      <c r="AY46" s="122"/>
    </row>
    <row r="47" ht="15.75" customHeight="1">
      <c r="A47" s="124"/>
      <c r="B47" s="125">
        <v>0.0</v>
      </c>
      <c r="C47" s="126" t="s">
        <v>1112</v>
      </c>
      <c r="D47" s="127" t="str">
        <f t="shared" si="1"/>
        <v>Don't Try So Hard.2.mid</v>
      </c>
      <c r="E47" s="128" t="str">
        <f t="shared" si="2"/>
        <v>Don't Try So Hard.2</v>
      </c>
      <c r="F47" s="122"/>
      <c r="G47" s="125">
        <v>0.0</v>
      </c>
      <c r="H47" s="126" t="s">
        <v>1056</v>
      </c>
      <c r="I47" s="127" t="str">
        <f t="shared" si="3"/>
        <v>Fat Bottomed Girls.mid</v>
      </c>
      <c r="J47" s="128" t="str">
        <f t="shared" si="4"/>
        <v>Fat Bottomed Girls</v>
      </c>
      <c r="K47" s="122"/>
      <c r="L47" s="125">
        <v>0.0</v>
      </c>
      <c r="M47" s="126" t="s">
        <v>1115</v>
      </c>
      <c r="N47" s="127" t="str">
        <f t="shared" si="5"/>
        <v>Father to Son.1.mid</v>
      </c>
      <c r="O47" s="128" t="str">
        <f t="shared" si="6"/>
        <v>Father to Son.1</v>
      </c>
      <c r="P47" s="122"/>
      <c r="Q47" s="125">
        <v>0.0</v>
      </c>
      <c r="R47" s="126" t="s">
        <v>1081</v>
      </c>
      <c r="S47" s="127" t="str">
        <f t="shared" si="7"/>
        <v>Friends Will Be Friends.2.mid</v>
      </c>
      <c r="T47" s="128" t="str">
        <f t="shared" si="8"/>
        <v>Friends Will Be Friends.2</v>
      </c>
      <c r="U47" s="122"/>
      <c r="V47" s="125">
        <v>0.0</v>
      </c>
      <c r="W47" s="126" t="s">
        <v>1115</v>
      </c>
      <c r="X47" s="127" t="str">
        <f t="shared" si="9"/>
        <v>Father to Son.1.mid</v>
      </c>
      <c r="Y47" s="128" t="str">
        <f t="shared" si="10"/>
        <v>Father to Son.1</v>
      </c>
      <c r="Z47" s="122"/>
      <c r="AA47" s="125">
        <v>1.0</v>
      </c>
      <c r="AB47" s="126" t="s">
        <v>1121</v>
      </c>
      <c r="AC47" s="127" t="str">
        <f t="shared" si="11"/>
        <v>Friends Will Be Friends.3.mid</v>
      </c>
      <c r="AD47" s="128" t="str">
        <f t="shared" si="12"/>
        <v>Friends Will Be Friends.3</v>
      </c>
      <c r="AE47" s="122"/>
      <c r="AF47" s="125">
        <v>9.0</v>
      </c>
      <c r="AG47" s="126" t="s">
        <v>1092</v>
      </c>
      <c r="AH47" s="127" t="str">
        <f t="shared" si="13"/>
        <v>Crazy Little Thing Called Love.2.mid</v>
      </c>
      <c r="AI47" s="128" t="str">
        <f t="shared" si="14"/>
        <v>Crazy Little Thing Called Love.2</v>
      </c>
      <c r="AJ47" s="122"/>
      <c r="AK47" s="125">
        <v>9.0</v>
      </c>
      <c r="AL47" s="126" t="s">
        <v>1092</v>
      </c>
      <c r="AM47" s="127" t="str">
        <f t="shared" si="15"/>
        <v>Crazy Little Thing Called Love.2.mid</v>
      </c>
      <c r="AN47" s="128" t="str">
        <f t="shared" si="16"/>
        <v>Crazy Little Thing Called Love.2</v>
      </c>
      <c r="AO47" s="122"/>
      <c r="AP47" s="125">
        <v>16.0</v>
      </c>
      <c r="AQ47" s="126" t="s">
        <v>1066</v>
      </c>
      <c r="AR47" s="127" t="str">
        <f t="shared" si="17"/>
        <v>Bicycle Race.mid</v>
      </c>
      <c r="AS47" s="128" t="str">
        <f t="shared" si="18"/>
        <v>Bicycle Race</v>
      </c>
      <c r="AT47" s="122"/>
      <c r="AU47" s="125">
        <v>12.0</v>
      </c>
      <c r="AV47" s="126" t="s">
        <v>1122</v>
      </c>
      <c r="AW47" s="127" t="str">
        <f t="shared" si="19"/>
        <v>Love of My Life.3.mid</v>
      </c>
      <c r="AX47" s="128" t="str">
        <f t="shared" si="20"/>
        <v>Love of My Life.3</v>
      </c>
      <c r="AY47" s="122"/>
    </row>
    <row r="48" ht="15.75" customHeight="1">
      <c r="A48" s="124"/>
      <c r="B48" s="125">
        <v>0.0</v>
      </c>
      <c r="C48" s="126" t="s">
        <v>1079</v>
      </c>
      <c r="D48" s="127" t="str">
        <f t="shared" si="1"/>
        <v>Don't Try So Hard.mid</v>
      </c>
      <c r="E48" s="128" t="str">
        <f t="shared" si="2"/>
        <v>Don't Try So Hard</v>
      </c>
      <c r="F48" s="122"/>
      <c r="G48" s="125">
        <v>0.0</v>
      </c>
      <c r="H48" s="126" t="s">
        <v>1115</v>
      </c>
      <c r="I48" s="127" t="str">
        <f t="shared" si="3"/>
        <v>Father to Son.1.mid</v>
      </c>
      <c r="J48" s="128" t="str">
        <f t="shared" si="4"/>
        <v>Father to Son.1</v>
      </c>
      <c r="K48" s="122"/>
      <c r="L48" s="125">
        <v>0.0</v>
      </c>
      <c r="M48" s="126" t="s">
        <v>1040</v>
      </c>
      <c r="N48" s="127" t="str">
        <f t="shared" si="5"/>
        <v>Father to Son.mid</v>
      </c>
      <c r="O48" s="128" t="str">
        <f t="shared" si="6"/>
        <v>Father to Son</v>
      </c>
      <c r="P48" s="122"/>
      <c r="Q48" s="125">
        <v>0.0</v>
      </c>
      <c r="R48" s="126" t="s">
        <v>1121</v>
      </c>
      <c r="S48" s="127" t="str">
        <f t="shared" si="7"/>
        <v>Friends Will Be Friends.3.mid</v>
      </c>
      <c r="T48" s="128" t="str">
        <f t="shared" si="8"/>
        <v>Friends Will Be Friends.3</v>
      </c>
      <c r="U48" s="122"/>
      <c r="V48" s="125">
        <v>0.0</v>
      </c>
      <c r="W48" s="126" t="s">
        <v>1040</v>
      </c>
      <c r="X48" s="127" t="str">
        <f t="shared" si="9"/>
        <v>Father to Son.mid</v>
      </c>
      <c r="Y48" s="128" t="str">
        <f t="shared" si="10"/>
        <v>Father to Son</v>
      </c>
      <c r="Z48" s="122"/>
      <c r="AA48" s="125">
        <v>1.0</v>
      </c>
      <c r="AB48" s="126" t="s">
        <v>1083</v>
      </c>
      <c r="AC48" s="127" t="str">
        <f t="shared" si="11"/>
        <v>Friends Will Be Friends.4.mid</v>
      </c>
      <c r="AD48" s="128" t="str">
        <f t="shared" si="12"/>
        <v>Friends Will Be Friends.4</v>
      </c>
      <c r="AE48" s="122"/>
      <c r="AF48" s="125">
        <v>9.0</v>
      </c>
      <c r="AG48" s="126" t="s">
        <v>1094</v>
      </c>
      <c r="AH48" s="127" t="str">
        <f t="shared" si="13"/>
        <v>Crazy Little Thing Called Love.3.mid</v>
      </c>
      <c r="AI48" s="128" t="str">
        <f t="shared" si="14"/>
        <v>Crazy Little Thing Called Love.3</v>
      </c>
      <c r="AJ48" s="122"/>
      <c r="AK48" s="125">
        <v>9.0</v>
      </c>
      <c r="AL48" s="126" t="s">
        <v>1094</v>
      </c>
      <c r="AM48" s="127" t="str">
        <f t="shared" si="15"/>
        <v>Crazy Little Thing Called Love.3.mid</v>
      </c>
      <c r="AN48" s="128" t="str">
        <f t="shared" si="16"/>
        <v>Crazy Little Thing Called Love.3</v>
      </c>
      <c r="AO48" s="122"/>
      <c r="AP48" s="125">
        <v>16.0</v>
      </c>
      <c r="AQ48" s="126" t="s">
        <v>1123</v>
      </c>
      <c r="AR48" s="127" t="str">
        <f t="shared" si="17"/>
        <v>Good Old Fashioned Lover Boy.1.mid</v>
      </c>
      <c r="AS48" s="128" t="str">
        <f t="shared" si="18"/>
        <v>Good Old Fashioned Lover Boy.1</v>
      </c>
      <c r="AT48" s="122"/>
      <c r="AU48" s="125">
        <v>13.0</v>
      </c>
      <c r="AV48" s="126" t="s">
        <v>1124</v>
      </c>
      <c r="AW48" s="127" t="str">
        <f t="shared" si="19"/>
        <v>Procession.mid</v>
      </c>
      <c r="AX48" s="128" t="str">
        <f t="shared" si="20"/>
        <v>Procession</v>
      </c>
      <c r="AY48" s="122"/>
    </row>
    <row r="49" ht="15.75" customHeight="1">
      <c r="A49" s="124"/>
      <c r="B49" s="125">
        <v>0.0</v>
      </c>
      <c r="C49" s="126" t="s">
        <v>1056</v>
      </c>
      <c r="D49" s="127" t="str">
        <f t="shared" si="1"/>
        <v>Fat Bottomed Girls.mid</v>
      </c>
      <c r="E49" s="128" t="str">
        <f t="shared" si="2"/>
        <v>Fat Bottomed Girls</v>
      </c>
      <c r="F49" s="122"/>
      <c r="G49" s="125">
        <v>0.0</v>
      </c>
      <c r="H49" s="126" t="s">
        <v>1040</v>
      </c>
      <c r="I49" s="127" t="str">
        <f t="shared" si="3"/>
        <v>Father to Son.mid</v>
      </c>
      <c r="J49" s="128" t="str">
        <f t="shared" si="4"/>
        <v>Father to Son</v>
      </c>
      <c r="K49" s="122"/>
      <c r="L49" s="125">
        <v>0.0</v>
      </c>
      <c r="M49" s="126" t="s">
        <v>1119</v>
      </c>
      <c r="N49" s="127" t="str">
        <f t="shared" si="5"/>
        <v>Friends Will Be Friends.1.mid</v>
      </c>
      <c r="O49" s="128" t="str">
        <f t="shared" si="6"/>
        <v>Friends Will Be Friends.1</v>
      </c>
      <c r="P49" s="122"/>
      <c r="Q49" s="125">
        <v>0.0</v>
      </c>
      <c r="R49" s="126" t="s">
        <v>1083</v>
      </c>
      <c r="S49" s="127" t="str">
        <f t="shared" si="7"/>
        <v>Friends Will Be Friends.4.mid</v>
      </c>
      <c r="T49" s="128" t="str">
        <f t="shared" si="8"/>
        <v>Friends Will Be Friends.4</v>
      </c>
      <c r="U49" s="122"/>
      <c r="V49" s="125">
        <v>0.0</v>
      </c>
      <c r="W49" s="126" t="s">
        <v>1119</v>
      </c>
      <c r="X49" s="127" t="str">
        <f t="shared" si="9"/>
        <v>Friends Will Be Friends.1.mid</v>
      </c>
      <c r="Y49" s="128" t="str">
        <f t="shared" si="10"/>
        <v>Friends Will Be Friends.1</v>
      </c>
      <c r="Z49" s="122"/>
      <c r="AA49" s="125">
        <v>1.0</v>
      </c>
      <c r="AB49" s="126" t="s">
        <v>1125</v>
      </c>
      <c r="AC49" s="127" t="str">
        <f t="shared" si="11"/>
        <v>Friends Will Be Friends.5.mid</v>
      </c>
      <c r="AD49" s="128" t="str">
        <f t="shared" si="12"/>
        <v>Friends Will Be Friends.5</v>
      </c>
      <c r="AE49" s="122"/>
      <c r="AF49" s="125">
        <v>9.0</v>
      </c>
      <c r="AG49" s="126" t="s">
        <v>1096</v>
      </c>
      <c r="AH49" s="127" t="str">
        <f t="shared" si="13"/>
        <v>Crazy Little Thing Called Love.4.mid</v>
      </c>
      <c r="AI49" s="128" t="str">
        <f t="shared" si="14"/>
        <v>Crazy Little Thing Called Love.4</v>
      </c>
      <c r="AJ49" s="122"/>
      <c r="AK49" s="125">
        <v>9.0</v>
      </c>
      <c r="AL49" s="126" t="s">
        <v>1096</v>
      </c>
      <c r="AM49" s="127" t="str">
        <f t="shared" si="15"/>
        <v>Crazy Little Thing Called Love.4.mid</v>
      </c>
      <c r="AN49" s="128" t="str">
        <f t="shared" si="16"/>
        <v>Crazy Little Thing Called Love.4</v>
      </c>
      <c r="AO49" s="122"/>
      <c r="AP49" s="125">
        <v>16.0</v>
      </c>
      <c r="AQ49" s="126" t="s">
        <v>1126</v>
      </c>
      <c r="AR49" s="127" t="str">
        <f t="shared" si="17"/>
        <v>I Want to Break Free.mid</v>
      </c>
      <c r="AS49" s="128" t="str">
        <f t="shared" si="18"/>
        <v>I Want to Break Free</v>
      </c>
      <c r="AT49" s="122"/>
      <c r="AU49" s="125">
        <v>13.0</v>
      </c>
      <c r="AV49" s="126" t="s">
        <v>1127</v>
      </c>
      <c r="AW49" s="127" t="str">
        <f t="shared" si="19"/>
        <v>Scandal.mid</v>
      </c>
      <c r="AX49" s="128" t="str">
        <f t="shared" si="20"/>
        <v>Scandal</v>
      </c>
      <c r="AY49" s="122"/>
    </row>
    <row r="50" ht="15.75" customHeight="1">
      <c r="A50" s="124"/>
      <c r="B50" s="125">
        <v>0.0</v>
      </c>
      <c r="C50" s="126" t="s">
        <v>1115</v>
      </c>
      <c r="D50" s="127" t="str">
        <f t="shared" si="1"/>
        <v>Father to Son.1.mid</v>
      </c>
      <c r="E50" s="128" t="str">
        <f t="shared" si="2"/>
        <v>Father to Son.1</v>
      </c>
      <c r="F50" s="122"/>
      <c r="G50" s="125">
        <v>0.0</v>
      </c>
      <c r="H50" s="126" t="s">
        <v>1119</v>
      </c>
      <c r="I50" s="127" t="str">
        <f t="shared" si="3"/>
        <v>Friends Will Be Friends.1.mid</v>
      </c>
      <c r="J50" s="128" t="str">
        <f t="shared" si="4"/>
        <v>Friends Will Be Friends.1</v>
      </c>
      <c r="K50" s="122"/>
      <c r="L50" s="125">
        <v>0.0</v>
      </c>
      <c r="M50" s="126" t="s">
        <v>1081</v>
      </c>
      <c r="N50" s="127" t="str">
        <f t="shared" si="5"/>
        <v>Friends Will Be Friends.2.mid</v>
      </c>
      <c r="O50" s="128" t="str">
        <f t="shared" si="6"/>
        <v>Friends Will Be Friends.2</v>
      </c>
      <c r="P50" s="122"/>
      <c r="Q50" s="125">
        <v>0.0</v>
      </c>
      <c r="R50" s="126" t="s">
        <v>1125</v>
      </c>
      <c r="S50" s="127" t="str">
        <f t="shared" si="7"/>
        <v>Friends Will Be Friends.5.mid</v>
      </c>
      <c r="T50" s="128" t="str">
        <f t="shared" si="8"/>
        <v>Friends Will Be Friends.5</v>
      </c>
      <c r="U50" s="122"/>
      <c r="V50" s="125">
        <v>0.0</v>
      </c>
      <c r="W50" s="126" t="s">
        <v>1081</v>
      </c>
      <c r="X50" s="127" t="str">
        <f t="shared" si="9"/>
        <v>Friends Will Be Friends.2.mid</v>
      </c>
      <c r="Y50" s="128" t="str">
        <f t="shared" si="10"/>
        <v>Friends Will Be Friends.2</v>
      </c>
      <c r="Z50" s="122"/>
      <c r="AA50" s="125">
        <v>1.0</v>
      </c>
      <c r="AB50" s="126" t="s">
        <v>1114</v>
      </c>
      <c r="AC50" s="127" t="str">
        <f t="shared" si="11"/>
        <v>Friends Will Be Friends.6.mid</v>
      </c>
      <c r="AD50" s="128" t="str">
        <f t="shared" si="12"/>
        <v>Friends Will Be Friends.6</v>
      </c>
      <c r="AE50" s="122"/>
      <c r="AF50" s="125">
        <v>9.0</v>
      </c>
      <c r="AG50" s="126" t="s">
        <v>1100</v>
      </c>
      <c r="AH50" s="127" t="str">
        <f t="shared" si="13"/>
        <v>Crazy Little Thing Called Love.6.mid</v>
      </c>
      <c r="AI50" s="128" t="str">
        <f t="shared" si="14"/>
        <v>Crazy Little Thing Called Love.6</v>
      </c>
      <c r="AJ50" s="122"/>
      <c r="AK50" s="125">
        <v>9.0</v>
      </c>
      <c r="AL50" s="126" t="s">
        <v>1100</v>
      </c>
      <c r="AM50" s="127" t="str">
        <f t="shared" si="15"/>
        <v>Crazy Little Thing Called Love.6.mid</v>
      </c>
      <c r="AN50" s="128" t="str">
        <f t="shared" si="16"/>
        <v>Crazy Little Thing Called Love.6</v>
      </c>
      <c r="AO50" s="122"/>
      <c r="AP50" s="125">
        <v>16.0</v>
      </c>
      <c r="AQ50" s="126" t="s">
        <v>1128</v>
      </c>
      <c r="AR50" s="127" t="str">
        <f t="shared" si="17"/>
        <v>Innuendo.1.mid</v>
      </c>
      <c r="AS50" s="128" t="str">
        <f t="shared" si="18"/>
        <v>Innuendo.1</v>
      </c>
      <c r="AT50" s="122"/>
      <c r="AU50" s="125">
        <v>13.0</v>
      </c>
      <c r="AV50" s="126" t="s">
        <v>1129</v>
      </c>
      <c r="AW50" s="127" t="str">
        <f t="shared" si="19"/>
        <v>We Are The Champions.10.mid</v>
      </c>
      <c r="AX50" s="128" t="str">
        <f t="shared" si="20"/>
        <v>We Are The Champions.10</v>
      </c>
      <c r="AY50" s="122"/>
    </row>
    <row r="51" ht="15.75" customHeight="1">
      <c r="A51" s="124"/>
      <c r="B51" s="125">
        <v>0.0</v>
      </c>
      <c r="C51" s="126" t="s">
        <v>1040</v>
      </c>
      <c r="D51" s="127" t="str">
        <f t="shared" si="1"/>
        <v>Father to Son.mid</v>
      </c>
      <c r="E51" s="128" t="str">
        <f t="shared" si="2"/>
        <v>Father to Son</v>
      </c>
      <c r="F51" s="122"/>
      <c r="G51" s="125">
        <v>0.0</v>
      </c>
      <c r="H51" s="126" t="s">
        <v>1081</v>
      </c>
      <c r="I51" s="127" t="str">
        <f t="shared" si="3"/>
        <v>Friends Will Be Friends.2.mid</v>
      </c>
      <c r="J51" s="128" t="str">
        <f t="shared" si="4"/>
        <v>Friends Will Be Friends.2</v>
      </c>
      <c r="K51" s="122"/>
      <c r="L51" s="125">
        <v>0.0</v>
      </c>
      <c r="M51" s="126" t="s">
        <v>1121</v>
      </c>
      <c r="N51" s="127" t="str">
        <f t="shared" si="5"/>
        <v>Friends Will Be Friends.3.mid</v>
      </c>
      <c r="O51" s="128" t="str">
        <f t="shared" si="6"/>
        <v>Friends Will Be Friends.3</v>
      </c>
      <c r="P51" s="122"/>
      <c r="Q51" s="125">
        <v>0.0</v>
      </c>
      <c r="R51" s="126" t="s">
        <v>1114</v>
      </c>
      <c r="S51" s="127" t="str">
        <f t="shared" si="7"/>
        <v>Friends Will Be Friends.6.mid</v>
      </c>
      <c r="T51" s="128" t="str">
        <f t="shared" si="8"/>
        <v>Friends Will Be Friends.6</v>
      </c>
      <c r="U51" s="122"/>
      <c r="V51" s="125">
        <v>0.0</v>
      </c>
      <c r="W51" s="126" t="s">
        <v>1121</v>
      </c>
      <c r="X51" s="127" t="str">
        <f t="shared" si="9"/>
        <v>Friends Will Be Friends.3.mid</v>
      </c>
      <c r="Y51" s="128" t="str">
        <f t="shared" si="10"/>
        <v>Friends Will Be Friends.3</v>
      </c>
      <c r="Z51" s="122"/>
      <c r="AA51" s="125">
        <v>1.0</v>
      </c>
      <c r="AB51" s="126" t="s">
        <v>1086</v>
      </c>
      <c r="AC51" s="127" t="str">
        <f t="shared" si="11"/>
        <v>Friends Will Be Friends.mid</v>
      </c>
      <c r="AD51" s="128" t="str">
        <f t="shared" si="12"/>
        <v>Friends Will Be Friends</v>
      </c>
      <c r="AE51" s="122"/>
      <c r="AF51" s="125">
        <v>9.0</v>
      </c>
      <c r="AG51" s="126" t="s">
        <v>1097</v>
      </c>
      <c r="AH51" s="127" t="str">
        <f t="shared" si="13"/>
        <v>Death on Two Legs (Dedicated to ...).mid</v>
      </c>
      <c r="AI51" s="128" t="str">
        <f t="shared" si="14"/>
        <v>Death on Two Legs (Dedicated to ...)</v>
      </c>
      <c r="AJ51" s="122"/>
      <c r="AK51" s="125">
        <v>9.0</v>
      </c>
      <c r="AL51" s="126" t="s">
        <v>1097</v>
      </c>
      <c r="AM51" s="127" t="str">
        <f t="shared" si="15"/>
        <v>Death on Two Legs (Dedicated to ...).mid</v>
      </c>
      <c r="AN51" s="128" t="str">
        <f t="shared" si="16"/>
        <v>Death on Two Legs (Dedicated to ...)</v>
      </c>
      <c r="AO51" s="122"/>
      <c r="AP51" s="125">
        <v>16.0</v>
      </c>
      <c r="AQ51" s="126" t="s">
        <v>1130</v>
      </c>
      <c r="AR51" s="127" t="str">
        <f t="shared" si="17"/>
        <v>Killer Queen.2.mid</v>
      </c>
      <c r="AS51" s="128" t="str">
        <f t="shared" si="18"/>
        <v>Killer Queen.2</v>
      </c>
      <c r="AT51" s="122"/>
      <c r="AU51" s="125">
        <v>14.0</v>
      </c>
      <c r="AV51" s="126" t="s">
        <v>1028</v>
      </c>
      <c r="AW51" s="127" t="str">
        <f t="shared" si="19"/>
        <v>'39.mid</v>
      </c>
      <c r="AX51" s="128" t="str">
        <f t="shared" si="20"/>
        <v>'39</v>
      </c>
      <c r="AY51" s="122"/>
    </row>
    <row r="52" ht="15.75" customHeight="1">
      <c r="A52" s="124"/>
      <c r="B52" s="125">
        <v>0.0</v>
      </c>
      <c r="C52" s="126" t="s">
        <v>1119</v>
      </c>
      <c r="D52" s="127" t="str">
        <f t="shared" si="1"/>
        <v>Friends Will Be Friends.1.mid</v>
      </c>
      <c r="E52" s="128" t="str">
        <f t="shared" si="2"/>
        <v>Friends Will Be Friends.1</v>
      </c>
      <c r="F52" s="122"/>
      <c r="G52" s="125">
        <v>0.0</v>
      </c>
      <c r="H52" s="126" t="s">
        <v>1121</v>
      </c>
      <c r="I52" s="127" t="str">
        <f t="shared" si="3"/>
        <v>Friends Will Be Friends.3.mid</v>
      </c>
      <c r="J52" s="128" t="str">
        <f t="shared" si="4"/>
        <v>Friends Will Be Friends.3</v>
      </c>
      <c r="K52" s="122"/>
      <c r="L52" s="125">
        <v>0.0</v>
      </c>
      <c r="M52" s="126" t="s">
        <v>1083</v>
      </c>
      <c r="N52" s="127" t="str">
        <f t="shared" si="5"/>
        <v>Friends Will Be Friends.4.mid</v>
      </c>
      <c r="O52" s="128" t="str">
        <f t="shared" si="6"/>
        <v>Friends Will Be Friends.4</v>
      </c>
      <c r="P52" s="122"/>
      <c r="Q52" s="125">
        <v>0.0</v>
      </c>
      <c r="R52" s="126" t="s">
        <v>1086</v>
      </c>
      <c r="S52" s="127" t="str">
        <f t="shared" si="7"/>
        <v>Friends Will Be Friends.mid</v>
      </c>
      <c r="T52" s="128" t="str">
        <f t="shared" si="8"/>
        <v>Friends Will Be Friends</v>
      </c>
      <c r="U52" s="122"/>
      <c r="V52" s="125">
        <v>0.0</v>
      </c>
      <c r="W52" s="126" t="s">
        <v>1083</v>
      </c>
      <c r="X52" s="127" t="str">
        <f t="shared" si="9"/>
        <v>Friends Will Be Friends.4.mid</v>
      </c>
      <c r="Y52" s="128" t="str">
        <f t="shared" si="10"/>
        <v>Friends Will Be Friends.4</v>
      </c>
      <c r="Z52" s="122"/>
      <c r="AA52" s="125">
        <v>1.0</v>
      </c>
      <c r="AB52" s="126" t="s">
        <v>1131</v>
      </c>
      <c r="AC52" s="127" t="str">
        <f t="shared" si="11"/>
        <v>Fun It.mid</v>
      </c>
      <c r="AD52" s="128" t="str">
        <f t="shared" si="12"/>
        <v>Fun It</v>
      </c>
      <c r="AE52" s="122"/>
      <c r="AF52" s="125">
        <v>9.0</v>
      </c>
      <c r="AG52" s="126" t="s">
        <v>1105</v>
      </c>
      <c r="AH52" s="127" t="str">
        <f t="shared" si="13"/>
        <v>Death on Two Legs (Dedicated To...).mid</v>
      </c>
      <c r="AI52" s="128" t="str">
        <f t="shared" si="14"/>
        <v>Death on Two Legs (Dedicated To...)</v>
      </c>
      <c r="AJ52" s="122"/>
      <c r="AK52" s="125">
        <v>9.0</v>
      </c>
      <c r="AL52" s="126" t="s">
        <v>1105</v>
      </c>
      <c r="AM52" s="127" t="str">
        <f t="shared" si="15"/>
        <v>Death on Two Legs (Dedicated To...).mid</v>
      </c>
      <c r="AN52" s="128" t="str">
        <f t="shared" si="16"/>
        <v>Death on Two Legs (Dedicated To...)</v>
      </c>
      <c r="AO52" s="122"/>
      <c r="AP52" s="125">
        <v>16.0</v>
      </c>
      <c r="AQ52" s="126" t="s">
        <v>1132</v>
      </c>
      <c r="AR52" s="127" t="str">
        <f t="shared" si="17"/>
        <v>We Are The Champions.2.mid</v>
      </c>
      <c r="AS52" s="128" t="str">
        <f t="shared" si="18"/>
        <v>We Are The Champions.2</v>
      </c>
      <c r="AT52" s="122"/>
      <c r="AU52" s="125">
        <v>14.0</v>
      </c>
      <c r="AV52" s="126" t="s">
        <v>1033</v>
      </c>
      <c r="AW52" s="127" t="str">
        <f t="shared" si="19"/>
        <v>A Kind of Magic.3.mid</v>
      </c>
      <c r="AX52" s="128" t="str">
        <f t="shared" si="20"/>
        <v>A Kind of Magic.3</v>
      </c>
      <c r="AY52" s="122"/>
    </row>
    <row r="53" ht="15.75" customHeight="1">
      <c r="A53" s="124"/>
      <c r="B53" s="125">
        <v>0.0</v>
      </c>
      <c r="C53" s="126" t="s">
        <v>1081</v>
      </c>
      <c r="D53" s="127" t="str">
        <f t="shared" si="1"/>
        <v>Friends Will Be Friends.2.mid</v>
      </c>
      <c r="E53" s="128" t="str">
        <f t="shared" si="2"/>
        <v>Friends Will Be Friends.2</v>
      </c>
      <c r="F53" s="122"/>
      <c r="G53" s="125">
        <v>0.0</v>
      </c>
      <c r="H53" s="126" t="s">
        <v>1083</v>
      </c>
      <c r="I53" s="127" t="str">
        <f t="shared" si="3"/>
        <v>Friends Will Be Friends.4.mid</v>
      </c>
      <c r="J53" s="128" t="str">
        <f t="shared" si="4"/>
        <v>Friends Will Be Friends.4</v>
      </c>
      <c r="K53" s="122"/>
      <c r="L53" s="125">
        <v>0.0</v>
      </c>
      <c r="M53" s="126" t="s">
        <v>1125</v>
      </c>
      <c r="N53" s="127" t="str">
        <f t="shared" si="5"/>
        <v>Friends Will Be Friends.5.mid</v>
      </c>
      <c r="O53" s="128" t="str">
        <f t="shared" si="6"/>
        <v>Friends Will Be Friends.5</v>
      </c>
      <c r="P53" s="122"/>
      <c r="Q53" s="125">
        <v>0.0</v>
      </c>
      <c r="R53" s="126" t="s">
        <v>1131</v>
      </c>
      <c r="S53" s="127" t="str">
        <f t="shared" si="7"/>
        <v>Fun It.mid</v>
      </c>
      <c r="T53" s="128" t="str">
        <f t="shared" si="8"/>
        <v>Fun It</v>
      </c>
      <c r="U53" s="122"/>
      <c r="V53" s="125">
        <v>0.0</v>
      </c>
      <c r="W53" s="126" t="s">
        <v>1125</v>
      </c>
      <c r="X53" s="127" t="str">
        <f t="shared" si="9"/>
        <v>Friends Will Be Friends.5.mid</v>
      </c>
      <c r="Y53" s="128" t="str">
        <f t="shared" si="10"/>
        <v>Friends Will Be Friends.5</v>
      </c>
      <c r="Z53" s="122"/>
      <c r="AA53" s="125">
        <v>1.0</v>
      </c>
      <c r="AB53" s="126" t="s">
        <v>1123</v>
      </c>
      <c r="AC53" s="127" t="str">
        <f t="shared" si="11"/>
        <v>Good Old Fashioned Lover Boy.1.mid</v>
      </c>
      <c r="AD53" s="128" t="str">
        <f t="shared" si="12"/>
        <v>Good Old Fashioned Lover Boy.1</v>
      </c>
      <c r="AE53" s="122"/>
      <c r="AF53" s="125">
        <v>9.0</v>
      </c>
      <c r="AG53" s="126" t="s">
        <v>1107</v>
      </c>
      <c r="AH53" s="127" t="str">
        <f t="shared" si="13"/>
        <v>Doing All Right.1.mid</v>
      </c>
      <c r="AI53" s="128" t="str">
        <f t="shared" si="14"/>
        <v>Doing All Right.1</v>
      </c>
      <c r="AJ53" s="122"/>
      <c r="AK53" s="125">
        <v>9.0</v>
      </c>
      <c r="AL53" s="126" t="s">
        <v>1107</v>
      </c>
      <c r="AM53" s="127" t="str">
        <f t="shared" si="15"/>
        <v>Doing All Right.1.mid</v>
      </c>
      <c r="AN53" s="128" t="str">
        <f t="shared" si="16"/>
        <v>Doing All Right.1</v>
      </c>
      <c r="AO53" s="122"/>
      <c r="AP53" s="125">
        <v>16.0</v>
      </c>
      <c r="AQ53" s="126" t="s">
        <v>1133</v>
      </c>
      <c r="AR53" s="127" t="str">
        <f t="shared" si="17"/>
        <v>We Will Rock You.1.mid</v>
      </c>
      <c r="AS53" s="128" t="str">
        <f t="shared" si="18"/>
        <v>We Will Rock You.1</v>
      </c>
      <c r="AT53" s="122"/>
      <c r="AU53" s="125">
        <v>14.0</v>
      </c>
      <c r="AV53" s="126" t="s">
        <v>1039</v>
      </c>
      <c r="AW53" s="127" t="str">
        <f t="shared" si="19"/>
        <v>All God's People.1.mid</v>
      </c>
      <c r="AX53" s="128" t="str">
        <f t="shared" si="20"/>
        <v>All God's People.1</v>
      </c>
      <c r="AY53" s="122"/>
    </row>
    <row r="54" ht="15.75" customHeight="1">
      <c r="A54" s="124"/>
      <c r="B54" s="125">
        <v>0.0</v>
      </c>
      <c r="C54" s="126" t="s">
        <v>1121</v>
      </c>
      <c r="D54" s="127" t="str">
        <f t="shared" si="1"/>
        <v>Friends Will Be Friends.3.mid</v>
      </c>
      <c r="E54" s="128" t="str">
        <f t="shared" si="2"/>
        <v>Friends Will Be Friends.3</v>
      </c>
      <c r="F54" s="122"/>
      <c r="G54" s="125">
        <v>0.0</v>
      </c>
      <c r="H54" s="126" t="s">
        <v>1125</v>
      </c>
      <c r="I54" s="127" t="str">
        <f t="shared" si="3"/>
        <v>Friends Will Be Friends.5.mid</v>
      </c>
      <c r="J54" s="128" t="str">
        <f t="shared" si="4"/>
        <v>Friends Will Be Friends.5</v>
      </c>
      <c r="K54" s="122"/>
      <c r="L54" s="125">
        <v>0.0</v>
      </c>
      <c r="M54" s="126" t="s">
        <v>1114</v>
      </c>
      <c r="N54" s="127" t="str">
        <f t="shared" si="5"/>
        <v>Friends Will Be Friends.6.mid</v>
      </c>
      <c r="O54" s="128" t="str">
        <f t="shared" si="6"/>
        <v>Friends Will Be Friends.6</v>
      </c>
      <c r="P54" s="122"/>
      <c r="Q54" s="125">
        <v>0.0</v>
      </c>
      <c r="R54" s="126" t="s">
        <v>1123</v>
      </c>
      <c r="S54" s="127" t="str">
        <f t="shared" si="7"/>
        <v>Good Old Fashioned Lover Boy.1.mid</v>
      </c>
      <c r="T54" s="128" t="str">
        <f t="shared" si="8"/>
        <v>Good Old Fashioned Lover Boy.1</v>
      </c>
      <c r="U54" s="122"/>
      <c r="V54" s="125">
        <v>0.0</v>
      </c>
      <c r="W54" s="126" t="s">
        <v>1114</v>
      </c>
      <c r="X54" s="127" t="str">
        <f t="shared" si="9"/>
        <v>Friends Will Be Friends.6.mid</v>
      </c>
      <c r="Y54" s="128" t="str">
        <f t="shared" si="10"/>
        <v>Friends Will Be Friends.6</v>
      </c>
      <c r="Z54" s="122"/>
      <c r="AA54" s="125">
        <v>1.0</v>
      </c>
      <c r="AB54" s="126" t="s">
        <v>1134</v>
      </c>
      <c r="AC54" s="127" t="str">
        <f t="shared" si="11"/>
        <v>Good Old Fashioned Lover Boy.mid</v>
      </c>
      <c r="AD54" s="128" t="str">
        <f t="shared" si="12"/>
        <v>Good Old Fashioned Lover Boy</v>
      </c>
      <c r="AE54" s="122"/>
      <c r="AF54" s="125">
        <v>9.0</v>
      </c>
      <c r="AG54" s="126" t="s">
        <v>1109</v>
      </c>
      <c r="AH54" s="127" t="str">
        <f t="shared" si="13"/>
        <v>Doing All Right.mid</v>
      </c>
      <c r="AI54" s="128" t="str">
        <f t="shared" si="14"/>
        <v>Doing All Right</v>
      </c>
      <c r="AJ54" s="122"/>
      <c r="AK54" s="125">
        <v>9.0</v>
      </c>
      <c r="AL54" s="126" t="s">
        <v>1109</v>
      </c>
      <c r="AM54" s="127" t="str">
        <f t="shared" si="15"/>
        <v>Doing All Right.mid</v>
      </c>
      <c r="AN54" s="128" t="str">
        <f t="shared" si="16"/>
        <v>Doing All Right</v>
      </c>
      <c r="AO54" s="122"/>
      <c r="AP54" s="125">
        <v>16.0</v>
      </c>
      <c r="AQ54" s="126" t="s">
        <v>1135</v>
      </c>
      <c r="AR54" s="127" t="str">
        <f t="shared" si="17"/>
        <v>Who Wants to Live Forever.mid</v>
      </c>
      <c r="AS54" s="128" t="str">
        <f t="shared" si="18"/>
        <v>Who Wants to Live Forever</v>
      </c>
      <c r="AT54" s="122"/>
      <c r="AU54" s="125">
        <v>14.0</v>
      </c>
      <c r="AV54" s="126" t="s">
        <v>1044</v>
      </c>
      <c r="AW54" s="127" t="str">
        <f t="shared" si="19"/>
        <v>All God's People.mid</v>
      </c>
      <c r="AX54" s="128" t="str">
        <f t="shared" si="20"/>
        <v>All God's People</v>
      </c>
      <c r="AY54" s="122"/>
    </row>
    <row r="55" ht="15.75" customHeight="1">
      <c r="A55" s="124"/>
      <c r="B55" s="125">
        <v>0.0</v>
      </c>
      <c r="C55" s="126" t="s">
        <v>1083</v>
      </c>
      <c r="D55" s="127" t="str">
        <f t="shared" si="1"/>
        <v>Friends Will Be Friends.4.mid</v>
      </c>
      <c r="E55" s="128" t="str">
        <f t="shared" si="2"/>
        <v>Friends Will Be Friends.4</v>
      </c>
      <c r="F55" s="122"/>
      <c r="G55" s="125">
        <v>0.0</v>
      </c>
      <c r="H55" s="126" t="s">
        <v>1114</v>
      </c>
      <c r="I55" s="127" t="str">
        <f t="shared" si="3"/>
        <v>Friends Will Be Friends.6.mid</v>
      </c>
      <c r="J55" s="128" t="str">
        <f t="shared" si="4"/>
        <v>Friends Will Be Friends.6</v>
      </c>
      <c r="K55" s="122"/>
      <c r="L55" s="125">
        <v>0.0</v>
      </c>
      <c r="M55" s="126" t="s">
        <v>1086</v>
      </c>
      <c r="N55" s="127" t="str">
        <f t="shared" si="5"/>
        <v>Friends Will Be Friends.mid</v>
      </c>
      <c r="O55" s="128" t="str">
        <f t="shared" si="6"/>
        <v>Friends Will Be Friends</v>
      </c>
      <c r="P55" s="122"/>
      <c r="Q55" s="125">
        <v>0.0</v>
      </c>
      <c r="R55" s="126" t="s">
        <v>1063</v>
      </c>
      <c r="S55" s="127" t="str">
        <f t="shared" si="7"/>
        <v>Good Old Fashioned Lover Boy.2.mid</v>
      </c>
      <c r="T55" s="128" t="str">
        <f t="shared" si="8"/>
        <v>Good Old Fashioned Lover Boy.2</v>
      </c>
      <c r="U55" s="122"/>
      <c r="V55" s="125">
        <v>0.0</v>
      </c>
      <c r="W55" s="126" t="s">
        <v>1086</v>
      </c>
      <c r="X55" s="127" t="str">
        <f t="shared" si="9"/>
        <v>Friends Will Be Friends.mid</v>
      </c>
      <c r="Y55" s="128" t="str">
        <f t="shared" si="10"/>
        <v>Friends Will Be Friends</v>
      </c>
      <c r="Z55" s="122"/>
      <c r="AA55" s="125">
        <v>1.0</v>
      </c>
      <c r="AB55" s="126" t="s">
        <v>1136</v>
      </c>
      <c r="AC55" s="127" t="str">
        <f t="shared" si="11"/>
        <v>Hammer to Fall.mid</v>
      </c>
      <c r="AD55" s="128" t="str">
        <f t="shared" si="12"/>
        <v>Hammer to Fall</v>
      </c>
      <c r="AE55" s="122"/>
      <c r="AF55" s="125">
        <v>9.0</v>
      </c>
      <c r="AG55" s="126" t="s">
        <v>1101</v>
      </c>
      <c r="AH55" s="127" t="str">
        <f t="shared" si="13"/>
        <v>Don't Stop Me Now.1.mid</v>
      </c>
      <c r="AI55" s="128" t="str">
        <f t="shared" si="14"/>
        <v>Don't Stop Me Now.1</v>
      </c>
      <c r="AJ55" s="122"/>
      <c r="AK55" s="125">
        <v>9.0</v>
      </c>
      <c r="AL55" s="126" t="s">
        <v>1101</v>
      </c>
      <c r="AM55" s="127" t="str">
        <f t="shared" si="15"/>
        <v>Don't Stop Me Now.1.mid</v>
      </c>
      <c r="AN55" s="128" t="str">
        <f t="shared" si="16"/>
        <v>Don't Stop Me Now.1</v>
      </c>
      <c r="AO55" s="122"/>
      <c r="AP55" s="125">
        <v>16.0</v>
      </c>
      <c r="AQ55" s="126" t="s">
        <v>1137</v>
      </c>
      <c r="AR55" s="127" t="str">
        <f t="shared" si="17"/>
        <v>You're My Best Friend.4.mid</v>
      </c>
      <c r="AS55" s="128" t="str">
        <f t="shared" si="18"/>
        <v>You're My Best Friend.4</v>
      </c>
      <c r="AT55" s="122"/>
      <c r="AU55" s="125">
        <v>14.0</v>
      </c>
      <c r="AV55" s="126" t="s">
        <v>1034</v>
      </c>
      <c r="AW55" s="127" t="str">
        <f t="shared" si="19"/>
        <v>Another One Bites The Dust.1.mid</v>
      </c>
      <c r="AX55" s="128" t="str">
        <f t="shared" si="20"/>
        <v>Another One Bites The Dust.1</v>
      </c>
      <c r="AY55" s="122"/>
    </row>
    <row r="56" ht="15.75" customHeight="1">
      <c r="A56" s="124"/>
      <c r="B56" s="125">
        <v>0.0</v>
      </c>
      <c r="C56" s="126" t="s">
        <v>1125</v>
      </c>
      <c r="D56" s="127" t="str">
        <f t="shared" si="1"/>
        <v>Friends Will Be Friends.5.mid</v>
      </c>
      <c r="E56" s="128" t="str">
        <f t="shared" si="2"/>
        <v>Friends Will Be Friends.5</v>
      </c>
      <c r="F56" s="122"/>
      <c r="G56" s="125">
        <v>0.0</v>
      </c>
      <c r="H56" s="126" t="s">
        <v>1086</v>
      </c>
      <c r="I56" s="127" t="str">
        <f t="shared" si="3"/>
        <v>Friends Will Be Friends.mid</v>
      </c>
      <c r="J56" s="128" t="str">
        <f t="shared" si="4"/>
        <v>Friends Will Be Friends</v>
      </c>
      <c r="K56" s="122"/>
      <c r="L56" s="125">
        <v>0.0</v>
      </c>
      <c r="M56" s="126" t="s">
        <v>1131</v>
      </c>
      <c r="N56" s="127" t="str">
        <f t="shared" si="5"/>
        <v>Fun It.mid</v>
      </c>
      <c r="O56" s="128" t="str">
        <f t="shared" si="6"/>
        <v>Fun It</v>
      </c>
      <c r="P56" s="122"/>
      <c r="Q56" s="125">
        <v>0.0</v>
      </c>
      <c r="R56" s="126" t="s">
        <v>1134</v>
      </c>
      <c r="S56" s="127" t="str">
        <f t="shared" si="7"/>
        <v>Good Old Fashioned Lover Boy.mid</v>
      </c>
      <c r="T56" s="128" t="str">
        <f t="shared" si="8"/>
        <v>Good Old Fashioned Lover Boy</v>
      </c>
      <c r="U56" s="122"/>
      <c r="V56" s="125">
        <v>0.0</v>
      </c>
      <c r="W56" s="126" t="s">
        <v>1131</v>
      </c>
      <c r="X56" s="127" t="str">
        <f t="shared" si="9"/>
        <v>Fun It.mid</v>
      </c>
      <c r="Y56" s="128" t="str">
        <f t="shared" si="10"/>
        <v>Fun It</v>
      </c>
      <c r="Z56" s="122"/>
      <c r="AA56" s="125">
        <v>1.0</v>
      </c>
      <c r="AB56" s="126" t="s">
        <v>1138</v>
      </c>
      <c r="AC56" s="127" t="str">
        <f t="shared" si="11"/>
        <v>Headlong.1.mid</v>
      </c>
      <c r="AD56" s="128" t="str">
        <f t="shared" si="12"/>
        <v>Headlong.1</v>
      </c>
      <c r="AE56" s="122"/>
      <c r="AF56" s="125">
        <v>9.0</v>
      </c>
      <c r="AG56" s="126" t="s">
        <v>1076</v>
      </c>
      <c r="AH56" s="127" t="str">
        <f t="shared" si="13"/>
        <v>Don't Try So Hard.1.mid</v>
      </c>
      <c r="AI56" s="128" t="str">
        <f t="shared" si="14"/>
        <v>Don't Try So Hard.1</v>
      </c>
      <c r="AJ56" s="122"/>
      <c r="AK56" s="125">
        <v>9.0</v>
      </c>
      <c r="AL56" s="126" t="s">
        <v>1076</v>
      </c>
      <c r="AM56" s="127" t="str">
        <f t="shared" si="15"/>
        <v>Don't Try So Hard.1.mid</v>
      </c>
      <c r="AN56" s="128" t="str">
        <f t="shared" si="16"/>
        <v>Don't Try So Hard.1</v>
      </c>
      <c r="AO56" s="122"/>
      <c r="AP56" s="125">
        <v>17.0</v>
      </c>
      <c r="AQ56" s="126" t="s">
        <v>1063</v>
      </c>
      <c r="AR56" s="127" t="str">
        <f t="shared" si="17"/>
        <v>Good Old Fashioned Lover Boy.2.mid</v>
      </c>
      <c r="AS56" s="128" t="str">
        <f t="shared" si="18"/>
        <v>Good Old Fashioned Lover Boy.2</v>
      </c>
      <c r="AT56" s="122"/>
      <c r="AU56" s="125">
        <v>14.0</v>
      </c>
      <c r="AV56" s="126" t="s">
        <v>1050</v>
      </c>
      <c r="AW56" s="127" t="str">
        <f t="shared" si="19"/>
        <v>Another One Bites The Dust.3.mid</v>
      </c>
      <c r="AX56" s="128" t="str">
        <f t="shared" si="20"/>
        <v>Another One Bites The Dust.3</v>
      </c>
      <c r="AY56" s="122"/>
    </row>
    <row r="57" ht="15.75" customHeight="1">
      <c r="A57" s="124"/>
      <c r="B57" s="125">
        <v>0.0</v>
      </c>
      <c r="C57" s="126" t="s">
        <v>1114</v>
      </c>
      <c r="D57" s="127" t="str">
        <f t="shared" si="1"/>
        <v>Friends Will Be Friends.6.mid</v>
      </c>
      <c r="E57" s="128" t="str">
        <f t="shared" si="2"/>
        <v>Friends Will Be Friends.6</v>
      </c>
      <c r="F57" s="122"/>
      <c r="G57" s="125">
        <v>0.0</v>
      </c>
      <c r="H57" s="126" t="s">
        <v>1131</v>
      </c>
      <c r="I57" s="127" t="str">
        <f t="shared" si="3"/>
        <v>Fun It.mid</v>
      </c>
      <c r="J57" s="128" t="str">
        <f t="shared" si="4"/>
        <v>Fun It</v>
      </c>
      <c r="K57" s="122"/>
      <c r="L57" s="125">
        <v>0.0</v>
      </c>
      <c r="M57" s="126" t="s">
        <v>1123</v>
      </c>
      <c r="N57" s="127" t="str">
        <f t="shared" si="5"/>
        <v>Good Old Fashioned Lover Boy.1.mid</v>
      </c>
      <c r="O57" s="128" t="str">
        <f t="shared" si="6"/>
        <v>Good Old Fashioned Lover Boy.1</v>
      </c>
      <c r="P57" s="122"/>
      <c r="Q57" s="125">
        <v>0.0</v>
      </c>
      <c r="R57" s="126" t="s">
        <v>1136</v>
      </c>
      <c r="S57" s="127" t="str">
        <f t="shared" si="7"/>
        <v>Hammer to Fall.mid</v>
      </c>
      <c r="T57" s="128" t="str">
        <f t="shared" si="8"/>
        <v>Hammer to Fall</v>
      </c>
      <c r="U57" s="122"/>
      <c r="V57" s="125">
        <v>0.0</v>
      </c>
      <c r="W57" s="126" t="s">
        <v>1123</v>
      </c>
      <c r="X57" s="127" t="str">
        <f t="shared" si="9"/>
        <v>Good Old Fashioned Lover Boy.1.mid</v>
      </c>
      <c r="Y57" s="128" t="str">
        <f t="shared" si="10"/>
        <v>Good Old Fashioned Lover Boy.1</v>
      </c>
      <c r="Z57" s="122"/>
      <c r="AA57" s="125">
        <v>1.0</v>
      </c>
      <c r="AB57" s="126" t="s">
        <v>1088</v>
      </c>
      <c r="AC57" s="127" t="str">
        <f t="shared" si="11"/>
        <v>Headlong.mid</v>
      </c>
      <c r="AD57" s="128" t="str">
        <f t="shared" si="12"/>
        <v>Headlong</v>
      </c>
      <c r="AE57" s="122"/>
      <c r="AF57" s="125">
        <v>9.0</v>
      </c>
      <c r="AG57" s="126" t="s">
        <v>1112</v>
      </c>
      <c r="AH57" s="127" t="str">
        <f t="shared" si="13"/>
        <v>Don't Try So Hard.2.mid</v>
      </c>
      <c r="AI57" s="128" t="str">
        <f t="shared" si="14"/>
        <v>Don't Try So Hard.2</v>
      </c>
      <c r="AJ57" s="122"/>
      <c r="AK57" s="125">
        <v>9.0</v>
      </c>
      <c r="AL57" s="126" t="s">
        <v>1112</v>
      </c>
      <c r="AM57" s="127" t="str">
        <f t="shared" si="15"/>
        <v>Don't Try So Hard.2.mid</v>
      </c>
      <c r="AN57" s="128" t="str">
        <f t="shared" si="16"/>
        <v>Don't Try So Hard.2</v>
      </c>
      <c r="AO57" s="122"/>
      <c r="AP57" s="125">
        <v>18.0</v>
      </c>
      <c r="AQ57" s="126" t="s">
        <v>1139</v>
      </c>
      <c r="AR57" s="127" t="str">
        <f t="shared" si="17"/>
        <v>Heaven for Everyone.1.mid</v>
      </c>
      <c r="AS57" s="128" t="str">
        <f t="shared" si="18"/>
        <v>Heaven for Everyone.1</v>
      </c>
      <c r="AT57" s="122"/>
      <c r="AU57" s="125">
        <v>14.0</v>
      </c>
      <c r="AV57" s="126" t="s">
        <v>1052</v>
      </c>
      <c r="AW57" s="127" t="str">
        <f t="shared" si="19"/>
        <v>Another One Bites The Dust.4.mid</v>
      </c>
      <c r="AX57" s="128" t="str">
        <f t="shared" si="20"/>
        <v>Another One Bites The Dust.4</v>
      </c>
      <c r="AY57" s="122"/>
    </row>
    <row r="58" ht="15.75" customHeight="1">
      <c r="A58" s="124"/>
      <c r="B58" s="125">
        <v>0.0</v>
      </c>
      <c r="C58" s="126" t="s">
        <v>1086</v>
      </c>
      <c r="D58" s="127" t="str">
        <f t="shared" si="1"/>
        <v>Friends Will Be Friends.mid</v>
      </c>
      <c r="E58" s="128" t="str">
        <f t="shared" si="2"/>
        <v>Friends Will Be Friends</v>
      </c>
      <c r="F58" s="122"/>
      <c r="G58" s="125">
        <v>0.0</v>
      </c>
      <c r="H58" s="126" t="s">
        <v>1123</v>
      </c>
      <c r="I58" s="127" t="str">
        <f t="shared" si="3"/>
        <v>Good Old Fashioned Lover Boy.1.mid</v>
      </c>
      <c r="J58" s="128" t="str">
        <f t="shared" si="4"/>
        <v>Good Old Fashioned Lover Boy.1</v>
      </c>
      <c r="K58" s="122"/>
      <c r="L58" s="125">
        <v>0.0</v>
      </c>
      <c r="M58" s="126" t="s">
        <v>1063</v>
      </c>
      <c r="N58" s="127" t="str">
        <f t="shared" si="5"/>
        <v>Good Old Fashioned Lover Boy.2.mid</v>
      </c>
      <c r="O58" s="128" t="str">
        <f t="shared" si="6"/>
        <v>Good Old Fashioned Lover Boy.2</v>
      </c>
      <c r="P58" s="122"/>
      <c r="Q58" s="125">
        <v>0.0</v>
      </c>
      <c r="R58" s="126" t="s">
        <v>1138</v>
      </c>
      <c r="S58" s="127" t="str">
        <f t="shared" si="7"/>
        <v>Headlong.1.mid</v>
      </c>
      <c r="T58" s="128" t="str">
        <f t="shared" si="8"/>
        <v>Headlong.1</v>
      </c>
      <c r="U58" s="122"/>
      <c r="V58" s="125">
        <v>0.0</v>
      </c>
      <c r="W58" s="126" t="s">
        <v>1063</v>
      </c>
      <c r="X58" s="127" t="str">
        <f t="shared" si="9"/>
        <v>Good Old Fashioned Lover Boy.2.mid</v>
      </c>
      <c r="Y58" s="128" t="str">
        <f t="shared" si="10"/>
        <v>Good Old Fashioned Lover Boy.2</v>
      </c>
      <c r="Z58" s="122"/>
      <c r="AA58" s="125">
        <v>1.0</v>
      </c>
      <c r="AB58" s="126" t="s">
        <v>1139</v>
      </c>
      <c r="AC58" s="127" t="str">
        <f t="shared" si="11"/>
        <v>Heaven for Everyone.1.mid</v>
      </c>
      <c r="AD58" s="128" t="str">
        <f t="shared" si="12"/>
        <v>Heaven for Everyone.1</v>
      </c>
      <c r="AE58" s="122"/>
      <c r="AF58" s="125">
        <v>9.0</v>
      </c>
      <c r="AG58" s="126" t="s">
        <v>1079</v>
      </c>
      <c r="AH58" s="127" t="str">
        <f t="shared" si="13"/>
        <v>Don't Try So Hard.mid</v>
      </c>
      <c r="AI58" s="128" t="str">
        <f t="shared" si="14"/>
        <v>Don't Try So Hard</v>
      </c>
      <c r="AJ58" s="122"/>
      <c r="AK58" s="125">
        <v>9.0</v>
      </c>
      <c r="AL58" s="126" t="s">
        <v>1079</v>
      </c>
      <c r="AM58" s="127" t="str">
        <f t="shared" si="15"/>
        <v>Don't Try So Hard.mid</v>
      </c>
      <c r="AN58" s="128" t="str">
        <f t="shared" si="16"/>
        <v>Don't Try So Hard</v>
      </c>
      <c r="AO58" s="122"/>
      <c r="AP58" s="125">
        <v>18.0</v>
      </c>
      <c r="AQ58" s="126" t="s">
        <v>1140</v>
      </c>
      <c r="AR58" s="127" t="str">
        <f t="shared" si="17"/>
        <v>Heaven for Everyone.mid</v>
      </c>
      <c r="AS58" s="128" t="str">
        <f t="shared" si="18"/>
        <v>Heaven for Everyone</v>
      </c>
      <c r="AT58" s="122"/>
      <c r="AU58" s="125">
        <v>14.0</v>
      </c>
      <c r="AV58" s="126" t="s">
        <v>1054</v>
      </c>
      <c r="AW58" s="127" t="str">
        <f t="shared" si="19"/>
        <v>Another One Bites The Dust.5.mid</v>
      </c>
      <c r="AX58" s="128" t="str">
        <f t="shared" si="20"/>
        <v>Another One Bites The Dust.5</v>
      </c>
      <c r="AY58" s="122"/>
    </row>
    <row r="59" ht="15.75" customHeight="1">
      <c r="A59" s="124"/>
      <c r="B59" s="125">
        <v>0.0</v>
      </c>
      <c r="C59" s="126" t="s">
        <v>1131</v>
      </c>
      <c r="D59" s="127" t="str">
        <f t="shared" si="1"/>
        <v>Fun It.mid</v>
      </c>
      <c r="E59" s="128" t="str">
        <f t="shared" si="2"/>
        <v>Fun It</v>
      </c>
      <c r="F59" s="122"/>
      <c r="G59" s="125">
        <v>0.0</v>
      </c>
      <c r="H59" s="126" t="s">
        <v>1063</v>
      </c>
      <c r="I59" s="127" t="str">
        <f t="shared" si="3"/>
        <v>Good Old Fashioned Lover Boy.2.mid</v>
      </c>
      <c r="J59" s="128" t="str">
        <f t="shared" si="4"/>
        <v>Good Old Fashioned Lover Boy.2</v>
      </c>
      <c r="K59" s="122"/>
      <c r="L59" s="125">
        <v>0.0</v>
      </c>
      <c r="M59" s="126" t="s">
        <v>1134</v>
      </c>
      <c r="N59" s="127" t="str">
        <f t="shared" si="5"/>
        <v>Good Old Fashioned Lover Boy.mid</v>
      </c>
      <c r="O59" s="128" t="str">
        <f t="shared" si="6"/>
        <v>Good Old Fashioned Lover Boy</v>
      </c>
      <c r="P59" s="122"/>
      <c r="Q59" s="125">
        <v>0.0</v>
      </c>
      <c r="R59" s="126" t="s">
        <v>1088</v>
      </c>
      <c r="S59" s="127" t="str">
        <f t="shared" si="7"/>
        <v>Headlong.mid</v>
      </c>
      <c r="T59" s="128" t="str">
        <f t="shared" si="8"/>
        <v>Headlong</v>
      </c>
      <c r="U59" s="122"/>
      <c r="V59" s="125">
        <v>0.0</v>
      </c>
      <c r="W59" s="126" t="s">
        <v>1134</v>
      </c>
      <c r="X59" s="127" t="str">
        <f t="shared" si="9"/>
        <v>Good Old Fashioned Lover Boy.mid</v>
      </c>
      <c r="Y59" s="128" t="str">
        <f t="shared" si="10"/>
        <v>Good Old Fashioned Lover Boy</v>
      </c>
      <c r="Z59" s="122"/>
      <c r="AA59" s="125">
        <v>1.0</v>
      </c>
      <c r="AB59" s="126" t="s">
        <v>1140</v>
      </c>
      <c r="AC59" s="127" t="str">
        <f t="shared" si="11"/>
        <v>Heaven for Everyone.mid</v>
      </c>
      <c r="AD59" s="128" t="str">
        <f t="shared" si="12"/>
        <v>Heaven for Everyone</v>
      </c>
      <c r="AE59" s="122"/>
      <c r="AF59" s="125">
        <v>9.0</v>
      </c>
      <c r="AG59" s="126" t="s">
        <v>1115</v>
      </c>
      <c r="AH59" s="127" t="str">
        <f t="shared" si="13"/>
        <v>Father to Son.1.mid</v>
      </c>
      <c r="AI59" s="128" t="str">
        <f t="shared" si="14"/>
        <v>Father to Son.1</v>
      </c>
      <c r="AJ59" s="122"/>
      <c r="AK59" s="125">
        <v>9.0</v>
      </c>
      <c r="AL59" s="126" t="s">
        <v>1115</v>
      </c>
      <c r="AM59" s="127" t="str">
        <f t="shared" si="15"/>
        <v>Father to Son.1.mid</v>
      </c>
      <c r="AN59" s="128" t="str">
        <f t="shared" si="16"/>
        <v>Father to Son.1</v>
      </c>
      <c r="AO59" s="122"/>
      <c r="AP59" s="125">
        <v>18.0</v>
      </c>
      <c r="AQ59" s="126" t="s">
        <v>1141</v>
      </c>
      <c r="AR59" s="127" t="str">
        <f t="shared" si="17"/>
        <v>It's a Hard Life.mid</v>
      </c>
      <c r="AS59" s="128" t="str">
        <f t="shared" si="18"/>
        <v>It's a Hard Life</v>
      </c>
      <c r="AT59" s="122"/>
      <c r="AU59" s="125">
        <v>14.0</v>
      </c>
      <c r="AV59" s="126" t="s">
        <v>1057</v>
      </c>
      <c r="AW59" s="127" t="str">
        <f t="shared" si="19"/>
        <v>Another One Bites The Dust.7.mid</v>
      </c>
      <c r="AX59" s="128" t="str">
        <f t="shared" si="20"/>
        <v>Another One Bites The Dust.7</v>
      </c>
      <c r="AY59" s="122"/>
    </row>
    <row r="60" ht="15.75" customHeight="1">
      <c r="A60" s="124"/>
      <c r="B60" s="125">
        <v>0.0</v>
      </c>
      <c r="C60" s="126" t="s">
        <v>1123</v>
      </c>
      <c r="D60" s="127" t="str">
        <f t="shared" si="1"/>
        <v>Good Old Fashioned Lover Boy.1.mid</v>
      </c>
      <c r="E60" s="128" t="str">
        <f t="shared" si="2"/>
        <v>Good Old Fashioned Lover Boy.1</v>
      </c>
      <c r="F60" s="122"/>
      <c r="G60" s="125">
        <v>0.0</v>
      </c>
      <c r="H60" s="126" t="s">
        <v>1134</v>
      </c>
      <c r="I60" s="127" t="str">
        <f t="shared" si="3"/>
        <v>Good Old Fashioned Lover Boy.mid</v>
      </c>
      <c r="J60" s="128" t="str">
        <f t="shared" si="4"/>
        <v>Good Old Fashioned Lover Boy</v>
      </c>
      <c r="K60" s="122"/>
      <c r="L60" s="125">
        <v>0.0</v>
      </c>
      <c r="M60" s="126" t="s">
        <v>1136</v>
      </c>
      <c r="N60" s="127" t="str">
        <f t="shared" si="5"/>
        <v>Hammer to Fall.mid</v>
      </c>
      <c r="O60" s="128" t="str">
        <f t="shared" si="6"/>
        <v>Hammer to Fall</v>
      </c>
      <c r="P60" s="122"/>
      <c r="Q60" s="125">
        <v>0.0</v>
      </c>
      <c r="R60" s="126" t="s">
        <v>1139</v>
      </c>
      <c r="S60" s="127" t="str">
        <f t="shared" si="7"/>
        <v>Heaven for Everyone.1.mid</v>
      </c>
      <c r="T60" s="128" t="str">
        <f t="shared" si="8"/>
        <v>Heaven for Everyone.1</v>
      </c>
      <c r="U60" s="122"/>
      <c r="V60" s="125">
        <v>0.0</v>
      </c>
      <c r="W60" s="126" t="s">
        <v>1136</v>
      </c>
      <c r="X60" s="127" t="str">
        <f t="shared" si="9"/>
        <v>Hammer to Fall.mid</v>
      </c>
      <c r="Y60" s="128" t="str">
        <f t="shared" si="10"/>
        <v>Hammer to Fall</v>
      </c>
      <c r="Z60" s="122"/>
      <c r="AA60" s="125">
        <v>1.0</v>
      </c>
      <c r="AB60" s="126" t="s">
        <v>1043</v>
      </c>
      <c r="AC60" s="127" t="str">
        <f t="shared" si="11"/>
        <v>I Can't Live With You.1.mid</v>
      </c>
      <c r="AD60" s="128" t="str">
        <f t="shared" si="12"/>
        <v>I Can't Live With You.1</v>
      </c>
      <c r="AE60" s="122"/>
      <c r="AF60" s="125">
        <v>9.0</v>
      </c>
      <c r="AG60" s="126" t="s">
        <v>1040</v>
      </c>
      <c r="AH60" s="127" t="str">
        <f t="shared" si="13"/>
        <v>Father to Son.mid</v>
      </c>
      <c r="AI60" s="128" t="str">
        <f t="shared" si="14"/>
        <v>Father to Son</v>
      </c>
      <c r="AJ60" s="122"/>
      <c r="AK60" s="125">
        <v>9.0</v>
      </c>
      <c r="AL60" s="126" t="s">
        <v>1040</v>
      </c>
      <c r="AM60" s="127" t="str">
        <f t="shared" si="15"/>
        <v>Father to Son.mid</v>
      </c>
      <c r="AN60" s="128" t="str">
        <f t="shared" si="16"/>
        <v>Father to Son</v>
      </c>
      <c r="AO60" s="122"/>
      <c r="AP60" s="125">
        <v>18.0</v>
      </c>
      <c r="AQ60" s="126" t="s">
        <v>1142</v>
      </c>
      <c r="AR60" s="127" t="str">
        <f t="shared" si="17"/>
        <v>You Don't Fool Me.1.mid</v>
      </c>
      <c r="AS60" s="128" t="str">
        <f t="shared" si="18"/>
        <v>You Don't Fool Me.1</v>
      </c>
      <c r="AT60" s="122"/>
      <c r="AU60" s="125">
        <v>14.0</v>
      </c>
      <c r="AV60" s="126" t="s">
        <v>1060</v>
      </c>
      <c r="AW60" s="127" t="str">
        <f t="shared" si="19"/>
        <v>Another One Bites The Dust.mid</v>
      </c>
      <c r="AX60" s="128" t="str">
        <f t="shared" si="20"/>
        <v>Another One Bites The Dust</v>
      </c>
      <c r="AY60" s="122"/>
    </row>
    <row r="61" ht="15.75" customHeight="1">
      <c r="A61" s="124"/>
      <c r="B61" s="125">
        <v>0.0</v>
      </c>
      <c r="C61" s="126" t="s">
        <v>1063</v>
      </c>
      <c r="D61" s="127" t="str">
        <f t="shared" si="1"/>
        <v>Good Old Fashioned Lover Boy.2.mid</v>
      </c>
      <c r="E61" s="128" t="str">
        <f t="shared" si="2"/>
        <v>Good Old Fashioned Lover Boy.2</v>
      </c>
      <c r="F61" s="122"/>
      <c r="G61" s="125">
        <v>0.0</v>
      </c>
      <c r="H61" s="126" t="s">
        <v>1136</v>
      </c>
      <c r="I61" s="127" t="str">
        <f t="shared" si="3"/>
        <v>Hammer to Fall.mid</v>
      </c>
      <c r="J61" s="128" t="str">
        <f t="shared" si="4"/>
        <v>Hammer to Fall</v>
      </c>
      <c r="K61" s="122"/>
      <c r="L61" s="125">
        <v>0.0</v>
      </c>
      <c r="M61" s="126" t="s">
        <v>1138</v>
      </c>
      <c r="N61" s="127" t="str">
        <f t="shared" si="5"/>
        <v>Headlong.1.mid</v>
      </c>
      <c r="O61" s="128" t="str">
        <f t="shared" si="6"/>
        <v>Headlong.1</v>
      </c>
      <c r="P61" s="122"/>
      <c r="Q61" s="125">
        <v>0.0</v>
      </c>
      <c r="R61" s="126" t="s">
        <v>1140</v>
      </c>
      <c r="S61" s="127" t="str">
        <f t="shared" si="7"/>
        <v>Heaven for Everyone.mid</v>
      </c>
      <c r="T61" s="128" t="str">
        <f t="shared" si="8"/>
        <v>Heaven for Everyone</v>
      </c>
      <c r="U61" s="122"/>
      <c r="V61" s="125">
        <v>0.0</v>
      </c>
      <c r="W61" s="126" t="s">
        <v>1138</v>
      </c>
      <c r="X61" s="127" t="str">
        <f t="shared" si="9"/>
        <v>Headlong.1.mid</v>
      </c>
      <c r="Y61" s="128" t="str">
        <f t="shared" si="10"/>
        <v>Headlong.1</v>
      </c>
      <c r="Z61" s="122"/>
      <c r="AA61" s="125">
        <v>1.0</v>
      </c>
      <c r="AB61" s="126" t="s">
        <v>1143</v>
      </c>
      <c r="AC61" s="127" t="str">
        <f t="shared" si="11"/>
        <v>I Can't Live With You.mid</v>
      </c>
      <c r="AD61" s="128" t="str">
        <f t="shared" si="12"/>
        <v>I Can't Live With You</v>
      </c>
      <c r="AE61" s="122"/>
      <c r="AF61" s="125">
        <v>9.0</v>
      </c>
      <c r="AG61" s="126" t="s">
        <v>1119</v>
      </c>
      <c r="AH61" s="127" t="str">
        <f t="shared" si="13"/>
        <v>Friends Will Be Friends.1.mid</v>
      </c>
      <c r="AI61" s="128" t="str">
        <f t="shared" si="14"/>
        <v>Friends Will Be Friends.1</v>
      </c>
      <c r="AJ61" s="122"/>
      <c r="AK61" s="125">
        <v>9.0</v>
      </c>
      <c r="AL61" s="126" t="s">
        <v>1119</v>
      </c>
      <c r="AM61" s="127" t="str">
        <f t="shared" si="15"/>
        <v>Friends Will Be Friends.1.mid</v>
      </c>
      <c r="AN61" s="128" t="str">
        <f t="shared" si="16"/>
        <v>Friends Will Be Friends.1</v>
      </c>
      <c r="AO61" s="122"/>
      <c r="AP61" s="125">
        <v>19.0</v>
      </c>
      <c r="AQ61" s="126" t="s">
        <v>1144</v>
      </c>
      <c r="AR61" s="127" t="str">
        <f t="shared" si="17"/>
        <v>I Want to Break Free.2.mid</v>
      </c>
      <c r="AS61" s="128" t="str">
        <f t="shared" si="18"/>
        <v>I Want to Break Free.2</v>
      </c>
      <c r="AT61" s="122"/>
      <c r="AU61" s="125">
        <v>14.0</v>
      </c>
      <c r="AV61" s="126" t="s">
        <v>1066</v>
      </c>
      <c r="AW61" s="127" t="str">
        <f t="shared" si="19"/>
        <v>Bicycle Race.mid</v>
      </c>
      <c r="AX61" s="128" t="str">
        <f t="shared" si="20"/>
        <v>Bicycle Race</v>
      </c>
      <c r="AY61" s="122"/>
    </row>
    <row r="62" ht="15.75" customHeight="1">
      <c r="A62" s="124"/>
      <c r="B62" s="125">
        <v>0.0</v>
      </c>
      <c r="C62" s="126" t="s">
        <v>1134</v>
      </c>
      <c r="D62" s="127" t="str">
        <f t="shared" si="1"/>
        <v>Good Old Fashioned Lover Boy.mid</v>
      </c>
      <c r="E62" s="128" t="str">
        <f t="shared" si="2"/>
        <v>Good Old Fashioned Lover Boy</v>
      </c>
      <c r="F62" s="122"/>
      <c r="G62" s="125">
        <v>0.0</v>
      </c>
      <c r="H62" s="126" t="s">
        <v>1138</v>
      </c>
      <c r="I62" s="127" t="str">
        <f t="shared" si="3"/>
        <v>Headlong.1.mid</v>
      </c>
      <c r="J62" s="128" t="str">
        <f t="shared" si="4"/>
        <v>Headlong.1</v>
      </c>
      <c r="K62" s="122"/>
      <c r="L62" s="125">
        <v>0.0</v>
      </c>
      <c r="M62" s="126" t="s">
        <v>1088</v>
      </c>
      <c r="N62" s="127" t="str">
        <f t="shared" si="5"/>
        <v>Headlong.mid</v>
      </c>
      <c r="O62" s="128" t="str">
        <f t="shared" si="6"/>
        <v>Headlong</v>
      </c>
      <c r="P62" s="122"/>
      <c r="Q62" s="125">
        <v>0.0</v>
      </c>
      <c r="R62" s="126" t="s">
        <v>1043</v>
      </c>
      <c r="S62" s="127" t="str">
        <f t="shared" si="7"/>
        <v>I Can't Live With You.1.mid</v>
      </c>
      <c r="T62" s="128" t="str">
        <f t="shared" si="8"/>
        <v>I Can't Live With You.1</v>
      </c>
      <c r="U62" s="122"/>
      <c r="V62" s="125">
        <v>0.0</v>
      </c>
      <c r="W62" s="126" t="s">
        <v>1088</v>
      </c>
      <c r="X62" s="127" t="str">
        <f t="shared" si="9"/>
        <v>Headlong.mid</v>
      </c>
      <c r="Y62" s="128" t="str">
        <f t="shared" si="10"/>
        <v>Headlong</v>
      </c>
      <c r="Z62" s="122"/>
      <c r="AA62" s="125">
        <v>1.0</v>
      </c>
      <c r="AB62" s="126" t="s">
        <v>1061</v>
      </c>
      <c r="AC62" s="127" t="str">
        <f t="shared" si="11"/>
        <v>I Want It All.1.mid</v>
      </c>
      <c r="AD62" s="128" t="str">
        <f t="shared" si="12"/>
        <v>I Want It All.1</v>
      </c>
      <c r="AE62" s="122"/>
      <c r="AF62" s="125">
        <v>9.0</v>
      </c>
      <c r="AG62" s="126" t="s">
        <v>1081</v>
      </c>
      <c r="AH62" s="127" t="str">
        <f t="shared" si="13"/>
        <v>Friends Will Be Friends.2.mid</v>
      </c>
      <c r="AI62" s="128" t="str">
        <f t="shared" si="14"/>
        <v>Friends Will Be Friends.2</v>
      </c>
      <c r="AJ62" s="122"/>
      <c r="AK62" s="125">
        <v>9.0</v>
      </c>
      <c r="AL62" s="126" t="s">
        <v>1081</v>
      </c>
      <c r="AM62" s="127" t="str">
        <f t="shared" si="15"/>
        <v>Friends Will Be Friends.2.mid</v>
      </c>
      <c r="AN62" s="128" t="str">
        <f t="shared" si="16"/>
        <v>Friends Will Be Friends.2</v>
      </c>
      <c r="AO62" s="122"/>
      <c r="AP62" s="125">
        <v>20.0</v>
      </c>
      <c r="AQ62" s="126" t="s">
        <v>1065</v>
      </c>
      <c r="AR62" s="127" t="str">
        <f t="shared" si="17"/>
        <v>I Want to Break Free.3.mid</v>
      </c>
      <c r="AS62" s="128" t="str">
        <f t="shared" si="18"/>
        <v>I Want to Break Free.3</v>
      </c>
      <c r="AT62" s="122"/>
      <c r="AU62" s="125">
        <v>14.0</v>
      </c>
      <c r="AV62" s="126" t="s">
        <v>1071</v>
      </c>
      <c r="AW62" s="127" t="str">
        <f t="shared" si="19"/>
        <v>Bijou.mid</v>
      </c>
      <c r="AX62" s="128" t="str">
        <f t="shared" si="20"/>
        <v>Bijou</v>
      </c>
      <c r="AY62" s="122"/>
    </row>
    <row r="63" ht="15.75" customHeight="1">
      <c r="A63" s="124"/>
      <c r="B63" s="125">
        <v>0.0</v>
      </c>
      <c r="C63" s="126" t="s">
        <v>1136</v>
      </c>
      <c r="D63" s="127" t="str">
        <f t="shared" si="1"/>
        <v>Hammer to Fall.mid</v>
      </c>
      <c r="E63" s="128" t="str">
        <f t="shared" si="2"/>
        <v>Hammer to Fall</v>
      </c>
      <c r="F63" s="122"/>
      <c r="G63" s="125">
        <v>0.0</v>
      </c>
      <c r="H63" s="126" t="s">
        <v>1088</v>
      </c>
      <c r="I63" s="127" t="str">
        <f t="shared" si="3"/>
        <v>Headlong.mid</v>
      </c>
      <c r="J63" s="128" t="str">
        <f t="shared" si="4"/>
        <v>Headlong</v>
      </c>
      <c r="K63" s="122"/>
      <c r="L63" s="125">
        <v>0.0</v>
      </c>
      <c r="M63" s="126" t="s">
        <v>1139</v>
      </c>
      <c r="N63" s="127" t="str">
        <f t="shared" si="5"/>
        <v>Heaven for Everyone.1.mid</v>
      </c>
      <c r="O63" s="128" t="str">
        <f t="shared" si="6"/>
        <v>Heaven for Everyone.1</v>
      </c>
      <c r="P63" s="122"/>
      <c r="Q63" s="125">
        <v>0.0</v>
      </c>
      <c r="R63" s="126" t="s">
        <v>1143</v>
      </c>
      <c r="S63" s="127" t="str">
        <f t="shared" si="7"/>
        <v>I Can't Live With You.mid</v>
      </c>
      <c r="T63" s="128" t="str">
        <f t="shared" si="8"/>
        <v>I Can't Live With You</v>
      </c>
      <c r="U63" s="122"/>
      <c r="V63" s="125">
        <v>0.0</v>
      </c>
      <c r="W63" s="126" t="s">
        <v>1139</v>
      </c>
      <c r="X63" s="127" t="str">
        <f t="shared" si="9"/>
        <v>Heaven for Everyone.1.mid</v>
      </c>
      <c r="Y63" s="128" t="str">
        <f t="shared" si="10"/>
        <v>Heaven for Everyone.1</v>
      </c>
      <c r="Z63" s="122"/>
      <c r="AA63" s="125">
        <v>1.0</v>
      </c>
      <c r="AB63" s="126" t="s">
        <v>1145</v>
      </c>
      <c r="AC63" s="127" t="str">
        <f t="shared" si="11"/>
        <v>I Want It All.mid</v>
      </c>
      <c r="AD63" s="128" t="str">
        <f t="shared" si="12"/>
        <v>I Want It All</v>
      </c>
      <c r="AE63" s="122"/>
      <c r="AF63" s="125">
        <v>9.0</v>
      </c>
      <c r="AG63" s="126" t="s">
        <v>1121</v>
      </c>
      <c r="AH63" s="127" t="str">
        <f t="shared" si="13"/>
        <v>Friends Will Be Friends.3.mid</v>
      </c>
      <c r="AI63" s="128" t="str">
        <f t="shared" si="14"/>
        <v>Friends Will Be Friends.3</v>
      </c>
      <c r="AJ63" s="122"/>
      <c r="AK63" s="125">
        <v>9.0</v>
      </c>
      <c r="AL63" s="126" t="s">
        <v>1121</v>
      </c>
      <c r="AM63" s="127" t="str">
        <f t="shared" si="15"/>
        <v>Friends Will Be Friends.3.mid</v>
      </c>
      <c r="AN63" s="128" t="str">
        <f t="shared" si="16"/>
        <v>Friends Will Be Friends.3</v>
      </c>
      <c r="AO63" s="122"/>
      <c r="AP63" s="125">
        <v>21.0</v>
      </c>
      <c r="AQ63" s="126" t="s">
        <v>1146</v>
      </c>
      <c r="AR63" s="127" t="str">
        <f t="shared" si="17"/>
        <v>I Want to Break Free.1.mid</v>
      </c>
      <c r="AS63" s="128" t="str">
        <f t="shared" si="18"/>
        <v>I Want to Break Free.1</v>
      </c>
      <c r="AT63" s="122"/>
      <c r="AU63" s="125">
        <v>14.0</v>
      </c>
      <c r="AV63" s="126" t="s">
        <v>1058</v>
      </c>
      <c r="AW63" s="127" t="str">
        <f t="shared" si="19"/>
        <v>Bohemian Rhapsody.1.mid</v>
      </c>
      <c r="AX63" s="128" t="str">
        <f t="shared" si="20"/>
        <v>Bohemian Rhapsody.1</v>
      </c>
      <c r="AY63" s="122"/>
    </row>
    <row r="64" ht="15.75" customHeight="1">
      <c r="A64" s="124"/>
      <c r="B64" s="125">
        <v>0.0</v>
      </c>
      <c r="C64" s="126" t="s">
        <v>1138</v>
      </c>
      <c r="D64" s="127" t="str">
        <f t="shared" si="1"/>
        <v>Headlong.1.mid</v>
      </c>
      <c r="E64" s="128" t="str">
        <f t="shared" si="2"/>
        <v>Headlong.1</v>
      </c>
      <c r="F64" s="122"/>
      <c r="G64" s="125">
        <v>0.0</v>
      </c>
      <c r="H64" s="126" t="s">
        <v>1139</v>
      </c>
      <c r="I64" s="127" t="str">
        <f t="shared" si="3"/>
        <v>Heaven for Everyone.1.mid</v>
      </c>
      <c r="J64" s="128" t="str">
        <f t="shared" si="4"/>
        <v>Heaven for Everyone.1</v>
      </c>
      <c r="K64" s="122"/>
      <c r="L64" s="125">
        <v>0.0</v>
      </c>
      <c r="M64" s="126" t="s">
        <v>1140</v>
      </c>
      <c r="N64" s="127" t="str">
        <f t="shared" si="5"/>
        <v>Heaven for Everyone.mid</v>
      </c>
      <c r="O64" s="128" t="str">
        <f t="shared" si="6"/>
        <v>Heaven for Everyone</v>
      </c>
      <c r="P64" s="122"/>
      <c r="Q64" s="125">
        <v>0.0</v>
      </c>
      <c r="R64" s="126" t="s">
        <v>1061</v>
      </c>
      <c r="S64" s="127" t="str">
        <f t="shared" si="7"/>
        <v>I Want It All.1.mid</v>
      </c>
      <c r="T64" s="128" t="str">
        <f t="shared" si="8"/>
        <v>I Want It All.1</v>
      </c>
      <c r="U64" s="122"/>
      <c r="V64" s="125">
        <v>0.0</v>
      </c>
      <c r="W64" s="126" t="s">
        <v>1140</v>
      </c>
      <c r="X64" s="127" t="str">
        <f t="shared" si="9"/>
        <v>Heaven for Everyone.mid</v>
      </c>
      <c r="Y64" s="128" t="str">
        <f t="shared" si="10"/>
        <v>Heaven for Everyone</v>
      </c>
      <c r="Z64" s="122"/>
      <c r="AA64" s="125">
        <v>1.0</v>
      </c>
      <c r="AB64" s="126" t="s">
        <v>1146</v>
      </c>
      <c r="AC64" s="127" t="str">
        <f t="shared" si="11"/>
        <v>I Want to Break Free.1.mid</v>
      </c>
      <c r="AD64" s="128" t="str">
        <f t="shared" si="12"/>
        <v>I Want to Break Free.1</v>
      </c>
      <c r="AE64" s="122"/>
      <c r="AF64" s="125">
        <v>9.0</v>
      </c>
      <c r="AG64" s="126" t="s">
        <v>1083</v>
      </c>
      <c r="AH64" s="127" t="str">
        <f t="shared" si="13"/>
        <v>Friends Will Be Friends.4.mid</v>
      </c>
      <c r="AI64" s="128" t="str">
        <f t="shared" si="14"/>
        <v>Friends Will Be Friends.4</v>
      </c>
      <c r="AJ64" s="122"/>
      <c r="AK64" s="125">
        <v>9.0</v>
      </c>
      <c r="AL64" s="126" t="s">
        <v>1083</v>
      </c>
      <c r="AM64" s="127" t="str">
        <f t="shared" si="15"/>
        <v>Friends Will Be Friends.4.mid</v>
      </c>
      <c r="AN64" s="128" t="str">
        <f t="shared" si="16"/>
        <v>Friends Will Be Friends.4</v>
      </c>
      <c r="AO64" s="122"/>
      <c r="AP64" s="125">
        <v>21.0</v>
      </c>
      <c r="AQ64" s="126" t="s">
        <v>1147</v>
      </c>
      <c r="AR64" s="127" t="str">
        <f t="shared" si="17"/>
        <v>I'm Going Slightly Mad.2.mid</v>
      </c>
      <c r="AS64" s="128" t="str">
        <f t="shared" si="18"/>
        <v>I'm Going Slightly Mad.2</v>
      </c>
      <c r="AT64" s="122"/>
      <c r="AU64" s="125">
        <v>14.0</v>
      </c>
      <c r="AV64" s="126" t="s">
        <v>1077</v>
      </c>
      <c r="AW64" s="127" t="str">
        <f t="shared" si="19"/>
        <v>Bohemian Rhapsody.2.mid</v>
      </c>
      <c r="AX64" s="128" t="str">
        <f t="shared" si="20"/>
        <v>Bohemian Rhapsody.2</v>
      </c>
      <c r="AY64" s="122"/>
    </row>
    <row r="65" ht="15.75" customHeight="1">
      <c r="A65" s="124"/>
      <c r="B65" s="125">
        <v>0.0</v>
      </c>
      <c r="C65" s="126" t="s">
        <v>1088</v>
      </c>
      <c r="D65" s="127" t="str">
        <f t="shared" si="1"/>
        <v>Headlong.mid</v>
      </c>
      <c r="E65" s="128" t="str">
        <f t="shared" si="2"/>
        <v>Headlong</v>
      </c>
      <c r="F65" s="122"/>
      <c r="G65" s="125">
        <v>0.0</v>
      </c>
      <c r="H65" s="126" t="s">
        <v>1140</v>
      </c>
      <c r="I65" s="127" t="str">
        <f t="shared" si="3"/>
        <v>Heaven for Everyone.mid</v>
      </c>
      <c r="J65" s="128" t="str">
        <f t="shared" si="4"/>
        <v>Heaven for Everyone</v>
      </c>
      <c r="K65" s="122"/>
      <c r="L65" s="125">
        <v>0.0</v>
      </c>
      <c r="M65" s="126" t="s">
        <v>1043</v>
      </c>
      <c r="N65" s="127" t="str">
        <f t="shared" si="5"/>
        <v>I Can't Live With You.1.mid</v>
      </c>
      <c r="O65" s="128" t="str">
        <f t="shared" si="6"/>
        <v>I Can't Live With You.1</v>
      </c>
      <c r="P65" s="122"/>
      <c r="Q65" s="125">
        <v>0.0</v>
      </c>
      <c r="R65" s="126" t="s">
        <v>1145</v>
      </c>
      <c r="S65" s="127" t="str">
        <f t="shared" si="7"/>
        <v>I Want It All.mid</v>
      </c>
      <c r="T65" s="128" t="str">
        <f t="shared" si="8"/>
        <v>I Want It All</v>
      </c>
      <c r="U65" s="122"/>
      <c r="V65" s="125">
        <v>0.0</v>
      </c>
      <c r="W65" s="126" t="s">
        <v>1043</v>
      </c>
      <c r="X65" s="127" t="str">
        <f t="shared" si="9"/>
        <v>I Can't Live With You.1.mid</v>
      </c>
      <c r="Y65" s="128" t="str">
        <f t="shared" si="10"/>
        <v>I Can't Live With You.1</v>
      </c>
      <c r="Z65" s="122"/>
      <c r="AA65" s="125">
        <v>1.0</v>
      </c>
      <c r="AB65" s="126" t="s">
        <v>1144</v>
      </c>
      <c r="AC65" s="127" t="str">
        <f t="shared" si="11"/>
        <v>I Want to Break Free.2.mid</v>
      </c>
      <c r="AD65" s="128" t="str">
        <f t="shared" si="12"/>
        <v>I Want to Break Free.2</v>
      </c>
      <c r="AE65" s="122"/>
      <c r="AF65" s="125">
        <v>9.0</v>
      </c>
      <c r="AG65" s="126" t="s">
        <v>1125</v>
      </c>
      <c r="AH65" s="127" t="str">
        <f t="shared" si="13"/>
        <v>Friends Will Be Friends.5.mid</v>
      </c>
      <c r="AI65" s="128" t="str">
        <f t="shared" si="14"/>
        <v>Friends Will Be Friends.5</v>
      </c>
      <c r="AJ65" s="122"/>
      <c r="AK65" s="125">
        <v>9.0</v>
      </c>
      <c r="AL65" s="126" t="s">
        <v>1125</v>
      </c>
      <c r="AM65" s="127" t="str">
        <f t="shared" si="15"/>
        <v>Friends Will Be Friends.5.mid</v>
      </c>
      <c r="AN65" s="128" t="str">
        <f t="shared" si="16"/>
        <v>Friends Will Be Friends.5</v>
      </c>
      <c r="AO65" s="122"/>
      <c r="AP65" s="125">
        <v>21.0</v>
      </c>
      <c r="AQ65" s="126" t="s">
        <v>1148</v>
      </c>
      <c r="AR65" s="127" t="str">
        <f t="shared" si="17"/>
        <v>We Will Rock You.mid</v>
      </c>
      <c r="AS65" s="128" t="str">
        <f t="shared" si="18"/>
        <v>We Will Rock You</v>
      </c>
      <c r="AT65" s="122"/>
      <c r="AU65" s="125">
        <v>14.0</v>
      </c>
      <c r="AV65" s="126" t="s">
        <v>1037</v>
      </c>
      <c r="AW65" s="127" t="str">
        <f t="shared" si="19"/>
        <v>Bohemian Rhapsody.3.mid</v>
      </c>
      <c r="AX65" s="128" t="str">
        <f t="shared" si="20"/>
        <v>Bohemian Rhapsody.3</v>
      </c>
      <c r="AY65" s="122"/>
    </row>
    <row r="66" ht="15.75" customHeight="1">
      <c r="A66" s="124"/>
      <c r="B66" s="125">
        <v>0.0</v>
      </c>
      <c r="C66" s="126" t="s">
        <v>1139</v>
      </c>
      <c r="D66" s="127" t="str">
        <f t="shared" si="1"/>
        <v>Heaven for Everyone.1.mid</v>
      </c>
      <c r="E66" s="128" t="str">
        <f t="shared" si="2"/>
        <v>Heaven for Everyone.1</v>
      </c>
      <c r="F66" s="122"/>
      <c r="G66" s="125">
        <v>0.0</v>
      </c>
      <c r="H66" s="126" t="s">
        <v>1043</v>
      </c>
      <c r="I66" s="127" t="str">
        <f t="shared" si="3"/>
        <v>I Can't Live With You.1.mid</v>
      </c>
      <c r="J66" s="128" t="str">
        <f t="shared" si="4"/>
        <v>I Can't Live With You.1</v>
      </c>
      <c r="K66" s="122"/>
      <c r="L66" s="125">
        <v>0.0</v>
      </c>
      <c r="M66" s="126" t="s">
        <v>1143</v>
      </c>
      <c r="N66" s="127" t="str">
        <f t="shared" si="5"/>
        <v>I Can't Live With You.mid</v>
      </c>
      <c r="O66" s="128" t="str">
        <f t="shared" si="6"/>
        <v>I Can't Live With You</v>
      </c>
      <c r="P66" s="122"/>
      <c r="Q66" s="125">
        <v>0.0</v>
      </c>
      <c r="R66" s="126" t="s">
        <v>1146</v>
      </c>
      <c r="S66" s="127" t="str">
        <f t="shared" si="7"/>
        <v>I Want to Break Free.1.mid</v>
      </c>
      <c r="T66" s="128" t="str">
        <f t="shared" si="8"/>
        <v>I Want to Break Free.1</v>
      </c>
      <c r="U66" s="122"/>
      <c r="V66" s="125">
        <v>0.0</v>
      </c>
      <c r="W66" s="126" t="s">
        <v>1143</v>
      </c>
      <c r="X66" s="127" t="str">
        <f t="shared" si="9"/>
        <v>I Can't Live With You.mid</v>
      </c>
      <c r="Y66" s="128" t="str">
        <f t="shared" si="10"/>
        <v>I Can't Live With You</v>
      </c>
      <c r="Z66" s="122"/>
      <c r="AA66" s="125">
        <v>1.0</v>
      </c>
      <c r="AB66" s="126" t="s">
        <v>1126</v>
      </c>
      <c r="AC66" s="127" t="str">
        <f t="shared" si="11"/>
        <v>I Want to Break Free.mid</v>
      </c>
      <c r="AD66" s="128" t="str">
        <f t="shared" si="12"/>
        <v>I Want to Break Free</v>
      </c>
      <c r="AE66" s="122"/>
      <c r="AF66" s="125">
        <v>9.0</v>
      </c>
      <c r="AG66" s="126" t="s">
        <v>1114</v>
      </c>
      <c r="AH66" s="127" t="str">
        <f t="shared" si="13"/>
        <v>Friends Will Be Friends.6.mid</v>
      </c>
      <c r="AI66" s="128" t="str">
        <f t="shared" si="14"/>
        <v>Friends Will Be Friends.6</v>
      </c>
      <c r="AJ66" s="122"/>
      <c r="AK66" s="125">
        <v>9.0</v>
      </c>
      <c r="AL66" s="126" t="s">
        <v>1114</v>
      </c>
      <c r="AM66" s="127" t="str">
        <f t="shared" si="15"/>
        <v>Friends Will Be Friends.6.mid</v>
      </c>
      <c r="AN66" s="128" t="str">
        <f t="shared" si="16"/>
        <v>Friends Will Be Friends.6</v>
      </c>
      <c r="AO66" s="122"/>
      <c r="AP66" s="125">
        <v>21.0</v>
      </c>
      <c r="AQ66" s="126" t="s">
        <v>1149</v>
      </c>
      <c r="AR66" s="127" t="str">
        <f t="shared" si="17"/>
        <v>Who Wants to Live Forever.3.mid</v>
      </c>
      <c r="AS66" s="128" t="str">
        <f t="shared" si="18"/>
        <v>Who Wants to Live Forever.3</v>
      </c>
      <c r="AT66" s="122"/>
      <c r="AU66" s="125">
        <v>14.0</v>
      </c>
      <c r="AV66" s="126" t="s">
        <v>1082</v>
      </c>
      <c r="AW66" s="127" t="str">
        <f t="shared" si="19"/>
        <v>Bohemian Rhapsody.5.mid</v>
      </c>
      <c r="AX66" s="128" t="str">
        <f t="shared" si="20"/>
        <v>Bohemian Rhapsody.5</v>
      </c>
      <c r="AY66" s="122"/>
    </row>
    <row r="67" ht="15.75" customHeight="1">
      <c r="A67" s="124"/>
      <c r="B67" s="125">
        <v>0.0</v>
      </c>
      <c r="C67" s="126" t="s">
        <v>1140</v>
      </c>
      <c r="D67" s="127" t="str">
        <f t="shared" si="1"/>
        <v>Heaven for Everyone.mid</v>
      </c>
      <c r="E67" s="128" t="str">
        <f t="shared" si="2"/>
        <v>Heaven for Everyone</v>
      </c>
      <c r="F67" s="122"/>
      <c r="G67" s="125">
        <v>0.0</v>
      </c>
      <c r="H67" s="126" t="s">
        <v>1143</v>
      </c>
      <c r="I67" s="127" t="str">
        <f t="shared" si="3"/>
        <v>I Can't Live With You.mid</v>
      </c>
      <c r="J67" s="128" t="str">
        <f t="shared" si="4"/>
        <v>I Can't Live With You</v>
      </c>
      <c r="K67" s="122"/>
      <c r="L67" s="125">
        <v>0.0</v>
      </c>
      <c r="M67" s="126" t="s">
        <v>1061</v>
      </c>
      <c r="N67" s="127" t="str">
        <f t="shared" si="5"/>
        <v>I Want It All.1.mid</v>
      </c>
      <c r="O67" s="128" t="str">
        <f t="shared" si="6"/>
        <v>I Want It All.1</v>
      </c>
      <c r="P67" s="122"/>
      <c r="Q67" s="125">
        <v>0.0</v>
      </c>
      <c r="R67" s="126" t="s">
        <v>1144</v>
      </c>
      <c r="S67" s="127" t="str">
        <f t="shared" si="7"/>
        <v>I Want to Break Free.2.mid</v>
      </c>
      <c r="T67" s="128" t="str">
        <f t="shared" si="8"/>
        <v>I Want to Break Free.2</v>
      </c>
      <c r="U67" s="122"/>
      <c r="V67" s="125">
        <v>0.0</v>
      </c>
      <c r="W67" s="126" t="s">
        <v>1061</v>
      </c>
      <c r="X67" s="127" t="str">
        <f t="shared" si="9"/>
        <v>I Want It All.1.mid</v>
      </c>
      <c r="Y67" s="128" t="str">
        <f t="shared" si="10"/>
        <v>I Want It All.1</v>
      </c>
      <c r="Z67" s="122"/>
      <c r="AA67" s="125">
        <v>1.0</v>
      </c>
      <c r="AB67" s="126" t="s">
        <v>1150</v>
      </c>
      <c r="AC67" s="127" t="str">
        <f t="shared" si="11"/>
        <v>I Was Born to Love You.mid</v>
      </c>
      <c r="AD67" s="128" t="str">
        <f t="shared" si="12"/>
        <v>I Was Born to Love You</v>
      </c>
      <c r="AE67" s="122"/>
      <c r="AF67" s="125">
        <v>9.0</v>
      </c>
      <c r="AG67" s="126" t="s">
        <v>1086</v>
      </c>
      <c r="AH67" s="127" t="str">
        <f t="shared" si="13"/>
        <v>Friends Will Be Friends.mid</v>
      </c>
      <c r="AI67" s="128" t="str">
        <f t="shared" si="14"/>
        <v>Friends Will Be Friends</v>
      </c>
      <c r="AJ67" s="122"/>
      <c r="AK67" s="125">
        <v>9.0</v>
      </c>
      <c r="AL67" s="126" t="s">
        <v>1086</v>
      </c>
      <c r="AM67" s="127" t="str">
        <f t="shared" si="15"/>
        <v>Friends Will Be Friends.mid</v>
      </c>
      <c r="AN67" s="128" t="str">
        <f t="shared" si="16"/>
        <v>Friends Will Be Friends</v>
      </c>
      <c r="AO67" s="122"/>
      <c r="AP67" s="125">
        <v>22.0</v>
      </c>
      <c r="AQ67" s="126" t="s">
        <v>1035</v>
      </c>
      <c r="AR67" s="127" t="str">
        <f t="shared" si="17"/>
        <v>I'm Going Slightly Mad.3.mid</v>
      </c>
      <c r="AS67" s="128" t="str">
        <f t="shared" si="18"/>
        <v>I'm Going Slightly Mad.3</v>
      </c>
      <c r="AT67" s="122"/>
      <c r="AU67" s="125">
        <v>14.0</v>
      </c>
      <c r="AV67" s="126" t="s">
        <v>1084</v>
      </c>
      <c r="AW67" s="127" t="str">
        <f t="shared" si="19"/>
        <v>Bohemian Rhapsody.6.mid</v>
      </c>
      <c r="AX67" s="128" t="str">
        <f t="shared" si="20"/>
        <v>Bohemian Rhapsody.6</v>
      </c>
      <c r="AY67" s="122"/>
    </row>
    <row r="68" ht="15.75" customHeight="1">
      <c r="A68" s="124"/>
      <c r="B68" s="125">
        <v>0.0</v>
      </c>
      <c r="C68" s="126" t="s">
        <v>1043</v>
      </c>
      <c r="D68" s="127" t="str">
        <f t="shared" si="1"/>
        <v>I Can't Live With You.1.mid</v>
      </c>
      <c r="E68" s="128" t="str">
        <f t="shared" si="2"/>
        <v>I Can't Live With You.1</v>
      </c>
      <c r="F68" s="122"/>
      <c r="G68" s="125">
        <v>0.0</v>
      </c>
      <c r="H68" s="126" t="s">
        <v>1061</v>
      </c>
      <c r="I68" s="127" t="str">
        <f t="shared" si="3"/>
        <v>I Want It All.1.mid</v>
      </c>
      <c r="J68" s="128" t="str">
        <f t="shared" si="4"/>
        <v>I Want It All.1</v>
      </c>
      <c r="K68" s="122"/>
      <c r="L68" s="125">
        <v>0.0</v>
      </c>
      <c r="M68" s="126" t="s">
        <v>1145</v>
      </c>
      <c r="N68" s="127" t="str">
        <f t="shared" si="5"/>
        <v>I Want It All.mid</v>
      </c>
      <c r="O68" s="128" t="str">
        <f t="shared" si="6"/>
        <v>I Want It All</v>
      </c>
      <c r="P68" s="122"/>
      <c r="Q68" s="125">
        <v>0.0</v>
      </c>
      <c r="R68" s="126" t="s">
        <v>1065</v>
      </c>
      <c r="S68" s="127" t="str">
        <f t="shared" si="7"/>
        <v>I Want to Break Free.3.mid</v>
      </c>
      <c r="T68" s="128" t="str">
        <f t="shared" si="8"/>
        <v>I Want to Break Free.3</v>
      </c>
      <c r="U68" s="122"/>
      <c r="V68" s="125">
        <v>0.0</v>
      </c>
      <c r="W68" s="126" t="s">
        <v>1145</v>
      </c>
      <c r="X68" s="127" t="str">
        <f t="shared" si="9"/>
        <v>I Want It All.mid</v>
      </c>
      <c r="Y68" s="128" t="str">
        <f t="shared" si="10"/>
        <v>I Want It All</v>
      </c>
      <c r="Z68" s="122"/>
      <c r="AA68" s="125">
        <v>1.0</v>
      </c>
      <c r="AB68" s="126" t="s">
        <v>1045</v>
      </c>
      <c r="AC68" s="127" t="str">
        <f t="shared" si="11"/>
        <v>I'm Going Slightly Mad.1.mid</v>
      </c>
      <c r="AD68" s="128" t="str">
        <f t="shared" si="12"/>
        <v>I'm Going Slightly Mad.1</v>
      </c>
      <c r="AE68" s="122"/>
      <c r="AF68" s="125">
        <v>9.0</v>
      </c>
      <c r="AG68" s="126" t="s">
        <v>1131</v>
      </c>
      <c r="AH68" s="127" t="str">
        <f t="shared" si="13"/>
        <v>Fun It.mid</v>
      </c>
      <c r="AI68" s="128" t="str">
        <f t="shared" si="14"/>
        <v>Fun It</v>
      </c>
      <c r="AJ68" s="122"/>
      <c r="AK68" s="125">
        <v>9.0</v>
      </c>
      <c r="AL68" s="126" t="s">
        <v>1131</v>
      </c>
      <c r="AM68" s="127" t="str">
        <f t="shared" si="15"/>
        <v>Fun It.mid</v>
      </c>
      <c r="AN68" s="128" t="str">
        <f t="shared" si="16"/>
        <v>Fun It</v>
      </c>
      <c r="AO68" s="122"/>
      <c r="AP68" s="125">
        <v>23.0</v>
      </c>
      <c r="AQ68" s="126" t="s">
        <v>1094</v>
      </c>
      <c r="AR68" s="127" t="str">
        <f t="shared" si="17"/>
        <v>Crazy Little Thing Called Love.3.mid</v>
      </c>
      <c r="AS68" s="128" t="str">
        <f t="shared" si="18"/>
        <v>Crazy Little Thing Called Love.3</v>
      </c>
      <c r="AT68" s="122"/>
      <c r="AU68" s="125">
        <v>14.0</v>
      </c>
      <c r="AV68" s="126" t="s">
        <v>1092</v>
      </c>
      <c r="AW68" s="127" t="str">
        <f t="shared" si="19"/>
        <v>Crazy Little Thing Called Love.2.mid</v>
      </c>
      <c r="AX68" s="128" t="str">
        <f t="shared" si="20"/>
        <v>Crazy Little Thing Called Love.2</v>
      </c>
      <c r="AY68" s="122"/>
    </row>
    <row r="69" ht="15.75" customHeight="1">
      <c r="A69" s="124"/>
      <c r="B69" s="125">
        <v>0.0</v>
      </c>
      <c r="C69" s="126" t="s">
        <v>1143</v>
      </c>
      <c r="D69" s="127" t="str">
        <f t="shared" si="1"/>
        <v>I Can't Live With You.mid</v>
      </c>
      <c r="E69" s="128" t="str">
        <f t="shared" si="2"/>
        <v>I Can't Live With You</v>
      </c>
      <c r="F69" s="122"/>
      <c r="G69" s="125">
        <v>0.0</v>
      </c>
      <c r="H69" s="126" t="s">
        <v>1145</v>
      </c>
      <c r="I69" s="127" t="str">
        <f t="shared" si="3"/>
        <v>I Want It All.mid</v>
      </c>
      <c r="J69" s="128" t="str">
        <f t="shared" si="4"/>
        <v>I Want It All</v>
      </c>
      <c r="K69" s="122"/>
      <c r="L69" s="125">
        <v>0.0</v>
      </c>
      <c r="M69" s="126" t="s">
        <v>1146</v>
      </c>
      <c r="N69" s="127" t="str">
        <f t="shared" si="5"/>
        <v>I Want to Break Free.1.mid</v>
      </c>
      <c r="O69" s="128" t="str">
        <f t="shared" si="6"/>
        <v>I Want to Break Free.1</v>
      </c>
      <c r="P69" s="122"/>
      <c r="Q69" s="125">
        <v>0.0</v>
      </c>
      <c r="R69" s="126" t="s">
        <v>1126</v>
      </c>
      <c r="S69" s="127" t="str">
        <f t="shared" si="7"/>
        <v>I Want to Break Free.mid</v>
      </c>
      <c r="T69" s="128" t="str">
        <f t="shared" si="8"/>
        <v>I Want to Break Free</v>
      </c>
      <c r="U69" s="122"/>
      <c r="V69" s="125">
        <v>0.0</v>
      </c>
      <c r="W69" s="126" t="s">
        <v>1146</v>
      </c>
      <c r="X69" s="127" t="str">
        <f t="shared" si="9"/>
        <v>I Want to Break Free.1.mid</v>
      </c>
      <c r="Y69" s="128" t="str">
        <f t="shared" si="10"/>
        <v>I Want to Break Free.1</v>
      </c>
      <c r="Z69" s="122"/>
      <c r="AA69" s="125">
        <v>1.0</v>
      </c>
      <c r="AB69" s="126" t="s">
        <v>1147</v>
      </c>
      <c r="AC69" s="127" t="str">
        <f t="shared" si="11"/>
        <v>I'm Going Slightly Mad.2.mid</v>
      </c>
      <c r="AD69" s="128" t="str">
        <f t="shared" si="12"/>
        <v>I'm Going Slightly Mad.2</v>
      </c>
      <c r="AE69" s="122"/>
      <c r="AF69" s="125">
        <v>9.0</v>
      </c>
      <c r="AG69" s="126" t="s">
        <v>1123</v>
      </c>
      <c r="AH69" s="127" t="str">
        <f t="shared" si="13"/>
        <v>Good Old Fashioned Lover Boy.1.mid</v>
      </c>
      <c r="AI69" s="128" t="str">
        <f t="shared" si="14"/>
        <v>Good Old Fashioned Lover Boy.1</v>
      </c>
      <c r="AJ69" s="122"/>
      <c r="AK69" s="125">
        <v>9.0</v>
      </c>
      <c r="AL69" s="126" t="s">
        <v>1123</v>
      </c>
      <c r="AM69" s="127" t="str">
        <f t="shared" si="15"/>
        <v>Good Old Fashioned Lover Boy.1.mid</v>
      </c>
      <c r="AN69" s="128" t="str">
        <f t="shared" si="16"/>
        <v>Good Old Fashioned Lover Boy.1</v>
      </c>
      <c r="AO69" s="122"/>
      <c r="AP69" s="125">
        <v>23.0</v>
      </c>
      <c r="AQ69" s="126" t="s">
        <v>1134</v>
      </c>
      <c r="AR69" s="127" t="str">
        <f t="shared" si="17"/>
        <v>Good Old Fashioned Lover Boy.mid</v>
      </c>
      <c r="AS69" s="128" t="str">
        <f t="shared" si="18"/>
        <v>Good Old Fashioned Lover Boy</v>
      </c>
      <c r="AT69" s="122"/>
      <c r="AU69" s="125">
        <v>14.0</v>
      </c>
      <c r="AV69" s="126" t="s">
        <v>1094</v>
      </c>
      <c r="AW69" s="127" t="str">
        <f t="shared" si="19"/>
        <v>Crazy Little Thing Called Love.3.mid</v>
      </c>
      <c r="AX69" s="128" t="str">
        <f t="shared" si="20"/>
        <v>Crazy Little Thing Called Love.3</v>
      </c>
      <c r="AY69" s="122"/>
    </row>
    <row r="70" ht="15.75" customHeight="1">
      <c r="A70" s="124"/>
      <c r="B70" s="125">
        <v>0.0</v>
      </c>
      <c r="C70" s="126" t="s">
        <v>1061</v>
      </c>
      <c r="D70" s="127" t="str">
        <f t="shared" si="1"/>
        <v>I Want It All.1.mid</v>
      </c>
      <c r="E70" s="128" t="str">
        <f t="shared" si="2"/>
        <v>I Want It All.1</v>
      </c>
      <c r="F70" s="122"/>
      <c r="G70" s="125">
        <v>0.0</v>
      </c>
      <c r="H70" s="126" t="s">
        <v>1146</v>
      </c>
      <c r="I70" s="127" t="str">
        <f t="shared" si="3"/>
        <v>I Want to Break Free.1.mid</v>
      </c>
      <c r="J70" s="128" t="str">
        <f t="shared" si="4"/>
        <v>I Want to Break Free.1</v>
      </c>
      <c r="K70" s="122"/>
      <c r="L70" s="125">
        <v>0.0</v>
      </c>
      <c r="M70" s="126" t="s">
        <v>1144</v>
      </c>
      <c r="N70" s="127" t="str">
        <f t="shared" si="5"/>
        <v>I Want to Break Free.2.mid</v>
      </c>
      <c r="O70" s="128" t="str">
        <f t="shared" si="6"/>
        <v>I Want to Break Free.2</v>
      </c>
      <c r="P70" s="122"/>
      <c r="Q70" s="125">
        <v>0.0</v>
      </c>
      <c r="R70" s="126" t="s">
        <v>1150</v>
      </c>
      <c r="S70" s="127" t="str">
        <f t="shared" si="7"/>
        <v>I Was Born to Love You.mid</v>
      </c>
      <c r="T70" s="128" t="str">
        <f t="shared" si="8"/>
        <v>I Was Born to Love You</v>
      </c>
      <c r="U70" s="122"/>
      <c r="V70" s="125">
        <v>0.0</v>
      </c>
      <c r="W70" s="126" t="s">
        <v>1144</v>
      </c>
      <c r="X70" s="127" t="str">
        <f t="shared" si="9"/>
        <v>I Want to Break Free.2.mid</v>
      </c>
      <c r="Y70" s="128" t="str">
        <f t="shared" si="10"/>
        <v>I Want to Break Free.2</v>
      </c>
      <c r="Z70" s="122"/>
      <c r="AA70" s="125">
        <v>1.0</v>
      </c>
      <c r="AB70" s="126" t="s">
        <v>1035</v>
      </c>
      <c r="AC70" s="127" t="str">
        <f t="shared" si="11"/>
        <v>I'm Going Slightly Mad.3.mid</v>
      </c>
      <c r="AD70" s="128" t="str">
        <f t="shared" si="12"/>
        <v>I'm Going Slightly Mad.3</v>
      </c>
      <c r="AE70" s="122"/>
      <c r="AF70" s="125">
        <v>9.0</v>
      </c>
      <c r="AG70" s="126" t="s">
        <v>1134</v>
      </c>
      <c r="AH70" s="127" t="str">
        <f t="shared" si="13"/>
        <v>Good Old Fashioned Lover Boy.mid</v>
      </c>
      <c r="AI70" s="128" t="str">
        <f t="shared" si="14"/>
        <v>Good Old Fashioned Lover Boy</v>
      </c>
      <c r="AJ70" s="122"/>
      <c r="AK70" s="125">
        <v>9.0</v>
      </c>
      <c r="AL70" s="126" t="s">
        <v>1134</v>
      </c>
      <c r="AM70" s="127" t="str">
        <f t="shared" si="15"/>
        <v>Good Old Fashioned Lover Boy.mid</v>
      </c>
      <c r="AN70" s="128" t="str">
        <f t="shared" si="16"/>
        <v>Good Old Fashioned Lover Boy</v>
      </c>
      <c r="AO70" s="122"/>
      <c r="AP70" s="125">
        <v>23.0</v>
      </c>
      <c r="AQ70" s="126" t="s">
        <v>1151</v>
      </c>
      <c r="AR70" s="127" t="str">
        <f t="shared" si="17"/>
        <v>I'm Going Slightly Mad.mid</v>
      </c>
      <c r="AS70" s="128" t="str">
        <f t="shared" si="18"/>
        <v>I'm Going Slightly Mad</v>
      </c>
      <c r="AT70" s="122"/>
      <c r="AU70" s="125">
        <v>14.0</v>
      </c>
      <c r="AV70" s="126" t="s">
        <v>1097</v>
      </c>
      <c r="AW70" s="127" t="str">
        <f t="shared" si="19"/>
        <v>Death on Two Legs (Dedicated to ...).mid</v>
      </c>
      <c r="AX70" s="128" t="str">
        <f t="shared" si="20"/>
        <v>Death on Two Legs (Dedicated to ...)</v>
      </c>
      <c r="AY70" s="122"/>
    </row>
    <row r="71" ht="15.75" customHeight="1">
      <c r="A71" s="124"/>
      <c r="B71" s="125">
        <v>0.0</v>
      </c>
      <c r="C71" s="126" t="s">
        <v>1145</v>
      </c>
      <c r="D71" s="127" t="str">
        <f t="shared" si="1"/>
        <v>I Want It All.mid</v>
      </c>
      <c r="E71" s="128" t="str">
        <f t="shared" si="2"/>
        <v>I Want It All</v>
      </c>
      <c r="F71" s="122"/>
      <c r="G71" s="125">
        <v>0.0</v>
      </c>
      <c r="H71" s="126" t="s">
        <v>1144</v>
      </c>
      <c r="I71" s="127" t="str">
        <f t="shared" si="3"/>
        <v>I Want to Break Free.2.mid</v>
      </c>
      <c r="J71" s="128" t="str">
        <f t="shared" si="4"/>
        <v>I Want to Break Free.2</v>
      </c>
      <c r="K71" s="122"/>
      <c r="L71" s="125">
        <v>0.0</v>
      </c>
      <c r="M71" s="126" t="s">
        <v>1065</v>
      </c>
      <c r="N71" s="127" t="str">
        <f t="shared" si="5"/>
        <v>I Want to Break Free.3.mid</v>
      </c>
      <c r="O71" s="128" t="str">
        <f t="shared" si="6"/>
        <v>I Want to Break Free.3</v>
      </c>
      <c r="P71" s="122"/>
      <c r="Q71" s="125">
        <v>0.0</v>
      </c>
      <c r="R71" s="126" t="s">
        <v>1045</v>
      </c>
      <c r="S71" s="127" t="str">
        <f t="shared" si="7"/>
        <v>I'm Going Slightly Mad.1.mid</v>
      </c>
      <c r="T71" s="128" t="str">
        <f t="shared" si="8"/>
        <v>I'm Going Slightly Mad.1</v>
      </c>
      <c r="U71" s="122"/>
      <c r="V71" s="125">
        <v>0.0</v>
      </c>
      <c r="W71" s="126" t="s">
        <v>1065</v>
      </c>
      <c r="X71" s="127" t="str">
        <f t="shared" si="9"/>
        <v>I Want to Break Free.3.mid</v>
      </c>
      <c r="Y71" s="128" t="str">
        <f t="shared" si="10"/>
        <v>I Want to Break Free.3</v>
      </c>
      <c r="Z71" s="122"/>
      <c r="AA71" s="125">
        <v>1.0</v>
      </c>
      <c r="AB71" s="126" t="s">
        <v>1151</v>
      </c>
      <c r="AC71" s="127" t="str">
        <f t="shared" si="11"/>
        <v>I'm Going Slightly Mad.mid</v>
      </c>
      <c r="AD71" s="128" t="str">
        <f t="shared" si="12"/>
        <v>I'm Going Slightly Mad</v>
      </c>
      <c r="AE71" s="122"/>
      <c r="AF71" s="125">
        <v>9.0</v>
      </c>
      <c r="AG71" s="126" t="s">
        <v>1136</v>
      </c>
      <c r="AH71" s="127" t="str">
        <f t="shared" si="13"/>
        <v>Hammer to Fall.mid</v>
      </c>
      <c r="AI71" s="128" t="str">
        <f t="shared" si="14"/>
        <v>Hammer to Fall</v>
      </c>
      <c r="AJ71" s="122"/>
      <c r="AK71" s="125">
        <v>9.0</v>
      </c>
      <c r="AL71" s="126" t="s">
        <v>1136</v>
      </c>
      <c r="AM71" s="127" t="str">
        <f t="shared" si="15"/>
        <v>Hammer to Fall.mid</v>
      </c>
      <c r="AN71" s="128" t="str">
        <f t="shared" si="16"/>
        <v>Hammer to Fall</v>
      </c>
      <c r="AO71" s="122"/>
      <c r="AP71" s="125">
        <v>23.0</v>
      </c>
      <c r="AQ71" s="126" t="s">
        <v>1152</v>
      </c>
      <c r="AR71" s="127" t="str">
        <f t="shared" si="17"/>
        <v>In Only Seven Days.mid</v>
      </c>
      <c r="AS71" s="128" t="str">
        <f t="shared" si="18"/>
        <v>In Only Seven Days</v>
      </c>
      <c r="AT71" s="122"/>
      <c r="AU71" s="125">
        <v>14.0</v>
      </c>
      <c r="AV71" s="126" t="s">
        <v>1105</v>
      </c>
      <c r="AW71" s="127" t="str">
        <f t="shared" si="19"/>
        <v>Death on Two Legs (Dedicated To...).mid</v>
      </c>
      <c r="AX71" s="128" t="str">
        <f t="shared" si="20"/>
        <v>Death on Two Legs (Dedicated To...)</v>
      </c>
      <c r="AY71" s="122"/>
    </row>
    <row r="72" ht="15.75" customHeight="1">
      <c r="A72" s="124"/>
      <c r="B72" s="125">
        <v>0.0</v>
      </c>
      <c r="C72" s="126" t="s">
        <v>1146</v>
      </c>
      <c r="D72" s="127" t="str">
        <f t="shared" si="1"/>
        <v>I Want to Break Free.1.mid</v>
      </c>
      <c r="E72" s="128" t="str">
        <f t="shared" si="2"/>
        <v>I Want to Break Free.1</v>
      </c>
      <c r="F72" s="122"/>
      <c r="G72" s="125">
        <v>0.0</v>
      </c>
      <c r="H72" s="126" t="s">
        <v>1065</v>
      </c>
      <c r="I72" s="127" t="str">
        <f t="shared" si="3"/>
        <v>I Want to Break Free.3.mid</v>
      </c>
      <c r="J72" s="128" t="str">
        <f t="shared" si="4"/>
        <v>I Want to Break Free.3</v>
      </c>
      <c r="K72" s="122"/>
      <c r="L72" s="125">
        <v>0.0</v>
      </c>
      <c r="M72" s="126" t="s">
        <v>1126</v>
      </c>
      <c r="N72" s="127" t="str">
        <f t="shared" si="5"/>
        <v>I Want to Break Free.mid</v>
      </c>
      <c r="O72" s="128" t="str">
        <f t="shared" si="6"/>
        <v>I Want to Break Free</v>
      </c>
      <c r="P72" s="122"/>
      <c r="Q72" s="125">
        <v>0.0</v>
      </c>
      <c r="R72" s="126" t="s">
        <v>1147</v>
      </c>
      <c r="S72" s="127" t="str">
        <f t="shared" si="7"/>
        <v>I'm Going Slightly Mad.2.mid</v>
      </c>
      <c r="T72" s="128" t="str">
        <f t="shared" si="8"/>
        <v>I'm Going Slightly Mad.2</v>
      </c>
      <c r="U72" s="122"/>
      <c r="V72" s="125">
        <v>0.0</v>
      </c>
      <c r="W72" s="126" t="s">
        <v>1126</v>
      </c>
      <c r="X72" s="127" t="str">
        <f t="shared" si="9"/>
        <v>I Want to Break Free.mid</v>
      </c>
      <c r="Y72" s="128" t="str">
        <f t="shared" si="10"/>
        <v>I Want to Break Free</v>
      </c>
      <c r="Z72" s="122"/>
      <c r="AA72" s="125">
        <v>1.0</v>
      </c>
      <c r="AB72" s="126" t="s">
        <v>1152</v>
      </c>
      <c r="AC72" s="127" t="str">
        <f t="shared" si="11"/>
        <v>In Only Seven Days.mid</v>
      </c>
      <c r="AD72" s="128" t="str">
        <f t="shared" si="12"/>
        <v>In Only Seven Days</v>
      </c>
      <c r="AE72" s="122"/>
      <c r="AF72" s="125">
        <v>9.0</v>
      </c>
      <c r="AG72" s="126" t="s">
        <v>1138</v>
      </c>
      <c r="AH72" s="127" t="str">
        <f t="shared" si="13"/>
        <v>Headlong.1.mid</v>
      </c>
      <c r="AI72" s="128" t="str">
        <f t="shared" si="14"/>
        <v>Headlong.1</v>
      </c>
      <c r="AJ72" s="122"/>
      <c r="AK72" s="125">
        <v>9.0</v>
      </c>
      <c r="AL72" s="126" t="s">
        <v>1138</v>
      </c>
      <c r="AM72" s="127" t="str">
        <f t="shared" si="15"/>
        <v>Headlong.1.mid</v>
      </c>
      <c r="AN72" s="128" t="str">
        <f t="shared" si="16"/>
        <v>Headlong.1</v>
      </c>
      <c r="AO72" s="122"/>
      <c r="AP72" s="125">
        <v>23.0</v>
      </c>
      <c r="AQ72" s="126" t="s">
        <v>1153</v>
      </c>
      <c r="AR72" s="127" t="str">
        <f t="shared" si="17"/>
        <v>Under Pressure.6.mid</v>
      </c>
      <c r="AS72" s="128" t="str">
        <f t="shared" si="18"/>
        <v>Under Pressure.6</v>
      </c>
      <c r="AT72" s="122"/>
      <c r="AU72" s="125">
        <v>14.0</v>
      </c>
      <c r="AV72" s="126" t="s">
        <v>1107</v>
      </c>
      <c r="AW72" s="127" t="str">
        <f t="shared" si="19"/>
        <v>Doing All Right.1.mid</v>
      </c>
      <c r="AX72" s="128" t="str">
        <f t="shared" si="20"/>
        <v>Doing All Right.1</v>
      </c>
      <c r="AY72" s="122"/>
    </row>
    <row r="73" ht="15.75" customHeight="1">
      <c r="A73" s="124"/>
      <c r="B73" s="125">
        <v>0.0</v>
      </c>
      <c r="C73" s="126" t="s">
        <v>1144</v>
      </c>
      <c r="D73" s="127" t="str">
        <f t="shared" si="1"/>
        <v>I Want to Break Free.2.mid</v>
      </c>
      <c r="E73" s="128" t="str">
        <f t="shared" si="2"/>
        <v>I Want to Break Free.2</v>
      </c>
      <c r="F73" s="122"/>
      <c r="G73" s="125">
        <v>0.0</v>
      </c>
      <c r="H73" s="126" t="s">
        <v>1126</v>
      </c>
      <c r="I73" s="127" t="str">
        <f t="shared" si="3"/>
        <v>I Want to Break Free.mid</v>
      </c>
      <c r="J73" s="128" t="str">
        <f t="shared" si="4"/>
        <v>I Want to Break Free</v>
      </c>
      <c r="K73" s="122"/>
      <c r="L73" s="125">
        <v>0.0</v>
      </c>
      <c r="M73" s="126" t="s">
        <v>1150</v>
      </c>
      <c r="N73" s="127" t="str">
        <f t="shared" si="5"/>
        <v>I Was Born to Love You.mid</v>
      </c>
      <c r="O73" s="128" t="str">
        <f t="shared" si="6"/>
        <v>I Was Born to Love You</v>
      </c>
      <c r="P73" s="122"/>
      <c r="Q73" s="125">
        <v>0.0</v>
      </c>
      <c r="R73" s="126" t="s">
        <v>1035</v>
      </c>
      <c r="S73" s="127" t="str">
        <f t="shared" si="7"/>
        <v>I'm Going Slightly Mad.3.mid</v>
      </c>
      <c r="T73" s="128" t="str">
        <f t="shared" si="8"/>
        <v>I'm Going Slightly Mad.3</v>
      </c>
      <c r="U73" s="122"/>
      <c r="V73" s="125">
        <v>0.0</v>
      </c>
      <c r="W73" s="126" t="s">
        <v>1150</v>
      </c>
      <c r="X73" s="127" t="str">
        <f t="shared" si="9"/>
        <v>I Was Born to Love You.mid</v>
      </c>
      <c r="Y73" s="128" t="str">
        <f t="shared" si="10"/>
        <v>I Was Born to Love You</v>
      </c>
      <c r="Z73" s="122"/>
      <c r="AA73" s="125">
        <v>1.0</v>
      </c>
      <c r="AB73" s="126" t="s">
        <v>1128</v>
      </c>
      <c r="AC73" s="127" t="str">
        <f t="shared" si="11"/>
        <v>Innuendo.1.mid</v>
      </c>
      <c r="AD73" s="128" t="str">
        <f t="shared" si="12"/>
        <v>Innuendo.1</v>
      </c>
      <c r="AE73" s="122"/>
      <c r="AF73" s="125">
        <v>9.0</v>
      </c>
      <c r="AG73" s="126" t="s">
        <v>1088</v>
      </c>
      <c r="AH73" s="127" t="str">
        <f t="shared" si="13"/>
        <v>Headlong.mid</v>
      </c>
      <c r="AI73" s="128" t="str">
        <f t="shared" si="14"/>
        <v>Headlong</v>
      </c>
      <c r="AJ73" s="122"/>
      <c r="AK73" s="125">
        <v>9.0</v>
      </c>
      <c r="AL73" s="126" t="s">
        <v>1088</v>
      </c>
      <c r="AM73" s="127" t="str">
        <f t="shared" si="15"/>
        <v>Headlong.mid</v>
      </c>
      <c r="AN73" s="128" t="str">
        <f t="shared" si="16"/>
        <v>Headlong</v>
      </c>
      <c r="AO73" s="122"/>
      <c r="AP73" s="125">
        <v>23.0</v>
      </c>
      <c r="AQ73" s="126" t="s">
        <v>1154</v>
      </c>
      <c r="AR73" s="127" t="str">
        <f t="shared" si="17"/>
        <v>We Are The Champions.6.mid</v>
      </c>
      <c r="AS73" s="128" t="str">
        <f t="shared" si="18"/>
        <v>We Are The Champions.6</v>
      </c>
      <c r="AT73" s="122"/>
      <c r="AU73" s="125">
        <v>14.0</v>
      </c>
      <c r="AV73" s="126" t="s">
        <v>1109</v>
      </c>
      <c r="AW73" s="127" t="str">
        <f t="shared" si="19"/>
        <v>Doing All Right.mid</v>
      </c>
      <c r="AX73" s="128" t="str">
        <f t="shared" si="20"/>
        <v>Doing All Right</v>
      </c>
      <c r="AY73" s="122"/>
    </row>
    <row r="74" ht="15.75" customHeight="1">
      <c r="A74" s="124"/>
      <c r="B74" s="125">
        <v>0.0</v>
      </c>
      <c r="C74" s="126" t="s">
        <v>1065</v>
      </c>
      <c r="D74" s="127" t="str">
        <f t="shared" si="1"/>
        <v>I Want to Break Free.3.mid</v>
      </c>
      <c r="E74" s="128" t="str">
        <f t="shared" si="2"/>
        <v>I Want to Break Free.3</v>
      </c>
      <c r="F74" s="122"/>
      <c r="G74" s="125">
        <v>0.0</v>
      </c>
      <c r="H74" s="126" t="s">
        <v>1150</v>
      </c>
      <c r="I74" s="127" t="str">
        <f t="shared" si="3"/>
        <v>I Was Born to Love You.mid</v>
      </c>
      <c r="J74" s="128" t="str">
        <f t="shared" si="4"/>
        <v>I Was Born to Love You</v>
      </c>
      <c r="K74" s="122"/>
      <c r="L74" s="125">
        <v>0.0</v>
      </c>
      <c r="M74" s="126" t="s">
        <v>1045</v>
      </c>
      <c r="N74" s="127" t="str">
        <f t="shared" si="5"/>
        <v>I'm Going Slightly Mad.1.mid</v>
      </c>
      <c r="O74" s="128" t="str">
        <f t="shared" si="6"/>
        <v>I'm Going Slightly Mad.1</v>
      </c>
      <c r="P74" s="122"/>
      <c r="Q74" s="125">
        <v>0.0</v>
      </c>
      <c r="R74" s="126" t="s">
        <v>1151</v>
      </c>
      <c r="S74" s="127" t="str">
        <f t="shared" si="7"/>
        <v>I'm Going Slightly Mad.mid</v>
      </c>
      <c r="T74" s="128" t="str">
        <f t="shared" si="8"/>
        <v>I'm Going Slightly Mad</v>
      </c>
      <c r="U74" s="122"/>
      <c r="V74" s="125">
        <v>0.0</v>
      </c>
      <c r="W74" s="126" t="s">
        <v>1045</v>
      </c>
      <c r="X74" s="127" t="str">
        <f t="shared" si="9"/>
        <v>I'm Going Slightly Mad.1.mid</v>
      </c>
      <c r="Y74" s="128" t="str">
        <f t="shared" si="10"/>
        <v>I'm Going Slightly Mad.1</v>
      </c>
      <c r="Z74" s="122"/>
      <c r="AA74" s="125">
        <v>1.0</v>
      </c>
      <c r="AB74" s="126" t="s">
        <v>1089</v>
      </c>
      <c r="AC74" s="127" t="str">
        <f t="shared" si="11"/>
        <v>Innuendo.2.mid</v>
      </c>
      <c r="AD74" s="128" t="str">
        <f t="shared" si="12"/>
        <v>Innuendo.2</v>
      </c>
      <c r="AE74" s="122"/>
      <c r="AF74" s="125">
        <v>9.0</v>
      </c>
      <c r="AG74" s="126" t="s">
        <v>1139</v>
      </c>
      <c r="AH74" s="127" t="str">
        <f t="shared" si="13"/>
        <v>Heaven for Everyone.1.mid</v>
      </c>
      <c r="AI74" s="128" t="str">
        <f t="shared" si="14"/>
        <v>Heaven for Everyone.1</v>
      </c>
      <c r="AJ74" s="122"/>
      <c r="AK74" s="125">
        <v>9.0</v>
      </c>
      <c r="AL74" s="126" t="s">
        <v>1139</v>
      </c>
      <c r="AM74" s="127" t="str">
        <f t="shared" si="15"/>
        <v>Heaven for Everyone.1.mid</v>
      </c>
      <c r="AN74" s="128" t="str">
        <f t="shared" si="16"/>
        <v>Heaven for Everyone.1</v>
      </c>
      <c r="AO74" s="122"/>
      <c r="AP74" s="125">
        <v>23.0</v>
      </c>
      <c r="AQ74" s="126" t="s">
        <v>1155</v>
      </c>
      <c r="AR74" s="127" t="str">
        <f t="shared" si="17"/>
        <v>We Will Rock You.4.mid</v>
      </c>
      <c r="AS74" s="128" t="str">
        <f t="shared" si="18"/>
        <v>We Will Rock You.4</v>
      </c>
      <c r="AT74" s="122"/>
      <c r="AU74" s="125">
        <v>14.0</v>
      </c>
      <c r="AV74" s="126" t="s">
        <v>1101</v>
      </c>
      <c r="AW74" s="127" t="str">
        <f t="shared" si="19"/>
        <v>Don't Stop Me Now.1.mid</v>
      </c>
      <c r="AX74" s="128" t="str">
        <f t="shared" si="20"/>
        <v>Don't Stop Me Now.1</v>
      </c>
      <c r="AY74" s="122"/>
    </row>
    <row r="75" ht="15.75" customHeight="1">
      <c r="A75" s="124"/>
      <c r="B75" s="125">
        <v>0.0</v>
      </c>
      <c r="C75" s="126" t="s">
        <v>1126</v>
      </c>
      <c r="D75" s="127" t="str">
        <f t="shared" si="1"/>
        <v>I Want to Break Free.mid</v>
      </c>
      <c r="E75" s="128" t="str">
        <f t="shared" si="2"/>
        <v>I Want to Break Free</v>
      </c>
      <c r="F75" s="122"/>
      <c r="G75" s="125">
        <v>0.0</v>
      </c>
      <c r="H75" s="126" t="s">
        <v>1045</v>
      </c>
      <c r="I75" s="127" t="str">
        <f t="shared" si="3"/>
        <v>I'm Going Slightly Mad.1.mid</v>
      </c>
      <c r="J75" s="128" t="str">
        <f t="shared" si="4"/>
        <v>I'm Going Slightly Mad.1</v>
      </c>
      <c r="K75" s="122"/>
      <c r="L75" s="125">
        <v>0.0</v>
      </c>
      <c r="M75" s="126" t="s">
        <v>1147</v>
      </c>
      <c r="N75" s="127" t="str">
        <f t="shared" si="5"/>
        <v>I'm Going Slightly Mad.2.mid</v>
      </c>
      <c r="O75" s="128" t="str">
        <f t="shared" si="6"/>
        <v>I'm Going Slightly Mad.2</v>
      </c>
      <c r="P75" s="122"/>
      <c r="Q75" s="125">
        <v>0.0</v>
      </c>
      <c r="R75" s="126" t="s">
        <v>1152</v>
      </c>
      <c r="S75" s="127" t="str">
        <f t="shared" si="7"/>
        <v>In Only Seven Days.mid</v>
      </c>
      <c r="T75" s="128" t="str">
        <f t="shared" si="8"/>
        <v>In Only Seven Days</v>
      </c>
      <c r="U75" s="122"/>
      <c r="V75" s="125">
        <v>0.0</v>
      </c>
      <c r="W75" s="126" t="s">
        <v>1147</v>
      </c>
      <c r="X75" s="127" t="str">
        <f t="shared" si="9"/>
        <v>I'm Going Slightly Mad.2.mid</v>
      </c>
      <c r="Y75" s="128" t="str">
        <f t="shared" si="10"/>
        <v>I'm Going Slightly Mad.2</v>
      </c>
      <c r="Z75" s="122"/>
      <c r="AA75" s="125">
        <v>1.0</v>
      </c>
      <c r="AB75" s="126" t="s">
        <v>1064</v>
      </c>
      <c r="AC75" s="127" t="str">
        <f t="shared" si="11"/>
        <v>Innuendo.mid</v>
      </c>
      <c r="AD75" s="128" t="str">
        <f t="shared" si="12"/>
        <v>Innuendo</v>
      </c>
      <c r="AE75" s="122"/>
      <c r="AF75" s="125">
        <v>9.0</v>
      </c>
      <c r="AG75" s="126" t="s">
        <v>1140</v>
      </c>
      <c r="AH75" s="127" t="str">
        <f t="shared" si="13"/>
        <v>Heaven for Everyone.mid</v>
      </c>
      <c r="AI75" s="128" t="str">
        <f t="shared" si="14"/>
        <v>Heaven for Everyone</v>
      </c>
      <c r="AJ75" s="122"/>
      <c r="AK75" s="125">
        <v>9.0</v>
      </c>
      <c r="AL75" s="126" t="s">
        <v>1140</v>
      </c>
      <c r="AM75" s="127" t="str">
        <f t="shared" si="15"/>
        <v>Heaven for Everyone.mid</v>
      </c>
      <c r="AN75" s="128" t="str">
        <f t="shared" si="16"/>
        <v>Heaven for Everyone</v>
      </c>
      <c r="AO75" s="122"/>
      <c r="AP75" s="125">
        <v>23.0</v>
      </c>
      <c r="AQ75" s="126" t="s">
        <v>1156</v>
      </c>
      <c r="AR75" s="127" t="str">
        <f t="shared" si="17"/>
        <v>Who Wants to Live Forever.2.mid</v>
      </c>
      <c r="AS75" s="128" t="str">
        <f t="shared" si="18"/>
        <v>Who Wants to Live Forever.2</v>
      </c>
      <c r="AT75" s="122"/>
      <c r="AU75" s="125">
        <v>14.0</v>
      </c>
      <c r="AV75" s="126" t="s">
        <v>1112</v>
      </c>
      <c r="AW75" s="127" t="str">
        <f t="shared" si="19"/>
        <v>Don't Try So Hard.2.mid</v>
      </c>
      <c r="AX75" s="128" t="str">
        <f t="shared" si="20"/>
        <v>Don't Try So Hard.2</v>
      </c>
      <c r="AY75" s="122"/>
    </row>
    <row r="76" ht="15.75" customHeight="1">
      <c r="A76" s="124"/>
      <c r="B76" s="125">
        <v>0.0</v>
      </c>
      <c r="C76" s="126" t="s">
        <v>1150</v>
      </c>
      <c r="D76" s="127" t="str">
        <f t="shared" si="1"/>
        <v>I Was Born to Love You.mid</v>
      </c>
      <c r="E76" s="128" t="str">
        <f t="shared" si="2"/>
        <v>I Was Born to Love You</v>
      </c>
      <c r="F76" s="122"/>
      <c r="G76" s="125">
        <v>0.0</v>
      </c>
      <c r="H76" s="126" t="s">
        <v>1147</v>
      </c>
      <c r="I76" s="127" t="str">
        <f t="shared" si="3"/>
        <v>I'm Going Slightly Mad.2.mid</v>
      </c>
      <c r="J76" s="128" t="str">
        <f t="shared" si="4"/>
        <v>I'm Going Slightly Mad.2</v>
      </c>
      <c r="K76" s="122"/>
      <c r="L76" s="125">
        <v>0.0</v>
      </c>
      <c r="M76" s="126" t="s">
        <v>1035</v>
      </c>
      <c r="N76" s="127" t="str">
        <f t="shared" si="5"/>
        <v>I'm Going Slightly Mad.3.mid</v>
      </c>
      <c r="O76" s="128" t="str">
        <f t="shared" si="6"/>
        <v>I'm Going Slightly Mad.3</v>
      </c>
      <c r="P76" s="122"/>
      <c r="Q76" s="125">
        <v>0.0</v>
      </c>
      <c r="R76" s="126" t="s">
        <v>1128</v>
      </c>
      <c r="S76" s="127" t="str">
        <f t="shared" si="7"/>
        <v>Innuendo.1.mid</v>
      </c>
      <c r="T76" s="128" t="str">
        <f t="shared" si="8"/>
        <v>Innuendo.1</v>
      </c>
      <c r="U76" s="122"/>
      <c r="V76" s="125">
        <v>0.0</v>
      </c>
      <c r="W76" s="126" t="s">
        <v>1035</v>
      </c>
      <c r="X76" s="127" t="str">
        <f t="shared" si="9"/>
        <v>I'm Going Slightly Mad.3.mid</v>
      </c>
      <c r="Y76" s="128" t="str">
        <f t="shared" si="10"/>
        <v>I'm Going Slightly Mad.3</v>
      </c>
      <c r="Z76" s="122"/>
      <c r="AA76" s="125">
        <v>1.0</v>
      </c>
      <c r="AB76" s="126" t="s">
        <v>1038</v>
      </c>
      <c r="AC76" s="127" t="str">
        <f t="shared" si="11"/>
        <v>It's a Hard Life.1.mid</v>
      </c>
      <c r="AD76" s="128" t="str">
        <f t="shared" si="12"/>
        <v>It's a Hard Life.1</v>
      </c>
      <c r="AE76" s="122"/>
      <c r="AF76" s="125">
        <v>9.0</v>
      </c>
      <c r="AG76" s="126" t="s">
        <v>1043</v>
      </c>
      <c r="AH76" s="127" t="str">
        <f t="shared" si="13"/>
        <v>I Can't Live With You.1.mid</v>
      </c>
      <c r="AI76" s="128" t="str">
        <f t="shared" si="14"/>
        <v>I Can't Live With You.1</v>
      </c>
      <c r="AJ76" s="122"/>
      <c r="AK76" s="125">
        <v>9.0</v>
      </c>
      <c r="AL76" s="126" t="s">
        <v>1043</v>
      </c>
      <c r="AM76" s="127" t="str">
        <f t="shared" si="15"/>
        <v>I Can't Live With You.1.mid</v>
      </c>
      <c r="AN76" s="128" t="str">
        <f t="shared" si="16"/>
        <v>I Can't Live With You.1</v>
      </c>
      <c r="AO76" s="122"/>
      <c r="AP76" s="125">
        <v>23.0</v>
      </c>
      <c r="AQ76" s="126" t="s">
        <v>1157</v>
      </c>
      <c r="AR76" s="127" t="str">
        <f t="shared" si="17"/>
        <v>You're My Best Friend.3.mid</v>
      </c>
      <c r="AS76" s="128" t="str">
        <f t="shared" si="18"/>
        <v>You're My Best Friend.3</v>
      </c>
      <c r="AT76" s="122"/>
      <c r="AU76" s="125">
        <v>14.0</v>
      </c>
      <c r="AV76" s="126" t="s">
        <v>1115</v>
      </c>
      <c r="AW76" s="127" t="str">
        <f t="shared" si="19"/>
        <v>Father to Son.1.mid</v>
      </c>
      <c r="AX76" s="128" t="str">
        <f t="shared" si="20"/>
        <v>Father to Son.1</v>
      </c>
      <c r="AY76" s="122"/>
    </row>
    <row r="77" ht="15.75" customHeight="1">
      <c r="A77" s="124"/>
      <c r="B77" s="125">
        <v>0.0</v>
      </c>
      <c r="C77" s="126" t="s">
        <v>1045</v>
      </c>
      <c r="D77" s="127" t="str">
        <f t="shared" si="1"/>
        <v>I'm Going Slightly Mad.1.mid</v>
      </c>
      <c r="E77" s="128" t="str">
        <f t="shared" si="2"/>
        <v>I'm Going Slightly Mad.1</v>
      </c>
      <c r="F77" s="122"/>
      <c r="G77" s="125">
        <v>0.0</v>
      </c>
      <c r="H77" s="126" t="s">
        <v>1035</v>
      </c>
      <c r="I77" s="127" t="str">
        <f t="shared" si="3"/>
        <v>I'm Going Slightly Mad.3.mid</v>
      </c>
      <c r="J77" s="128" t="str">
        <f t="shared" si="4"/>
        <v>I'm Going Slightly Mad.3</v>
      </c>
      <c r="K77" s="122"/>
      <c r="L77" s="125">
        <v>0.0</v>
      </c>
      <c r="M77" s="126" t="s">
        <v>1151</v>
      </c>
      <c r="N77" s="127" t="str">
        <f t="shared" si="5"/>
        <v>I'm Going Slightly Mad.mid</v>
      </c>
      <c r="O77" s="128" t="str">
        <f t="shared" si="6"/>
        <v>I'm Going Slightly Mad</v>
      </c>
      <c r="P77" s="122"/>
      <c r="Q77" s="125">
        <v>0.0</v>
      </c>
      <c r="R77" s="126" t="s">
        <v>1089</v>
      </c>
      <c r="S77" s="127" t="str">
        <f t="shared" si="7"/>
        <v>Innuendo.2.mid</v>
      </c>
      <c r="T77" s="128" t="str">
        <f t="shared" si="8"/>
        <v>Innuendo.2</v>
      </c>
      <c r="U77" s="122"/>
      <c r="V77" s="125">
        <v>0.0</v>
      </c>
      <c r="W77" s="126" t="s">
        <v>1151</v>
      </c>
      <c r="X77" s="127" t="str">
        <f t="shared" si="9"/>
        <v>I'm Going Slightly Mad.mid</v>
      </c>
      <c r="Y77" s="128" t="str">
        <f t="shared" si="10"/>
        <v>I'm Going Slightly Mad</v>
      </c>
      <c r="Z77" s="122"/>
      <c r="AA77" s="125">
        <v>1.0</v>
      </c>
      <c r="AB77" s="126" t="s">
        <v>1158</v>
      </c>
      <c r="AC77" s="127" t="str">
        <f t="shared" si="11"/>
        <v>It's a Hard Life.2.mid</v>
      </c>
      <c r="AD77" s="128" t="str">
        <f t="shared" si="12"/>
        <v>It's a Hard Life.2</v>
      </c>
      <c r="AE77" s="122"/>
      <c r="AF77" s="125">
        <v>9.0</v>
      </c>
      <c r="AG77" s="126" t="s">
        <v>1143</v>
      </c>
      <c r="AH77" s="127" t="str">
        <f t="shared" si="13"/>
        <v>I Can't Live With You.mid</v>
      </c>
      <c r="AI77" s="128" t="str">
        <f t="shared" si="14"/>
        <v>I Can't Live With You</v>
      </c>
      <c r="AJ77" s="122"/>
      <c r="AK77" s="125">
        <v>9.0</v>
      </c>
      <c r="AL77" s="126" t="s">
        <v>1143</v>
      </c>
      <c r="AM77" s="127" t="str">
        <f t="shared" si="15"/>
        <v>I Can't Live With You.mid</v>
      </c>
      <c r="AN77" s="128" t="str">
        <f t="shared" si="16"/>
        <v>I Can't Live With You</v>
      </c>
      <c r="AO77" s="122"/>
      <c r="AP77" s="125">
        <v>24.0</v>
      </c>
      <c r="AQ77" s="126" t="s">
        <v>1069</v>
      </c>
      <c r="AR77" s="127" t="str">
        <f t="shared" si="17"/>
        <v>Bijou.1.mid</v>
      </c>
      <c r="AS77" s="128" t="str">
        <f t="shared" si="18"/>
        <v>Bijou.1</v>
      </c>
      <c r="AT77" s="122"/>
      <c r="AU77" s="125">
        <v>14.0</v>
      </c>
      <c r="AV77" s="126" t="s">
        <v>1040</v>
      </c>
      <c r="AW77" s="127" t="str">
        <f t="shared" si="19"/>
        <v>Father to Son.mid</v>
      </c>
      <c r="AX77" s="128" t="str">
        <f t="shared" si="20"/>
        <v>Father to Son</v>
      </c>
      <c r="AY77" s="122"/>
    </row>
    <row r="78" ht="15.75" customHeight="1">
      <c r="A78" s="124"/>
      <c r="B78" s="125">
        <v>0.0</v>
      </c>
      <c r="C78" s="126" t="s">
        <v>1147</v>
      </c>
      <c r="D78" s="127" t="str">
        <f t="shared" si="1"/>
        <v>I'm Going Slightly Mad.2.mid</v>
      </c>
      <c r="E78" s="128" t="str">
        <f t="shared" si="2"/>
        <v>I'm Going Slightly Mad.2</v>
      </c>
      <c r="F78" s="122"/>
      <c r="G78" s="125">
        <v>0.0</v>
      </c>
      <c r="H78" s="126" t="s">
        <v>1151</v>
      </c>
      <c r="I78" s="127" t="str">
        <f t="shared" si="3"/>
        <v>I'm Going Slightly Mad.mid</v>
      </c>
      <c r="J78" s="128" t="str">
        <f t="shared" si="4"/>
        <v>I'm Going Slightly Mad</v>
      </c>
      <c r="K78" s="122"/>
      <c r="L78" s="125">
        <v>0.0</v>
      </c>
      <c r="M78" s="126" t="s">
        <v>1152</v>
      </c>
      <c r="N78" s="127" t="str">
        <f t="shared" si="5"/>
        <v>In Only Seven Days.mid</v>
      </c>
      <c r="O78" s="128" t="str">
        <f t="shared" si="6"/>
        <v>In Only Seven Days</v>
      </c>
      <c r="P78" s="122"/>
      <c r="Q78" s="125">
        <v>0.0</v>
      </c>
      <c r="R78" s="126" t="s">
        <v>1064</v>
      </c>
      <c r="S78" s="127" t="str">
        <f t="shared" si="7"/>
        <v>Innuendo.mid</v>
      </c>
      <c r="T78" s="128" t="str">
        <f t="shared" si="8"/>
        <v>Innuendo</v>
      </c>
      <c r="U78" s="122"/>
      <c r="V78" s="125">
        <v>0.0</v>
      </c>
      <c r="W78" s="126" t="s">
        <v>1152</v>
      </c>
      <c r="X78" s="127" t="str">
        <f t="shared" si="9"/>
        <v>In Only Seven Days.mid</v>
      </c>
      <c r="Y78" s="128" t="str">
        <f t="shared" si="10"/>
        <v>In Only Seven Days</v>
      </c>
      <c r="Z78" s="122"/>
      <c r="AA78" s="125">
        <v>1.0</v>
      </c>
      <c r="AB78" s="126" t="s">
        <v>1141</v>
      </c>
      <c r="AC78" s="127" t="str">
        <f t="shared" si="11"/>
        <v>It's a Hard Life.mid</v>
      </c>
      <c r="AD78" s="128" t="str">
        <f t="shared" si="12"/>
        <v>It's a Hard Life</v>
      </c>
      <c r="AE78" s="122"/>
      <c r="AF78" s="125">
        <v>9.0</v>
      </c>
      <c r="AG78" s="126" t="s">
        <v>1145</v>
      </c>
      <c r="AH78" s="127" t="str">
        <f t="shared" si="13"/>
        <v>I Want It All.mid</v>
      </c>
      <c r="AI78" s="128" t="str">
        <f t="shared" si="14"/>
        <v>I Want It All</v>
      </c>
      <c r="AJ78" s="122"/>
      <c r="AK78" s="125">
        <v>9.0</v>
      </c>
      <c r="AL78" s="126" t="s">
        <v>1145</v>
      </c>
      <c r="AM78" s="127" t="str">
        <f t="shared" si="15"/>
        <v>I Want It All.mid</v>
      </c>
      <c r="AN78" s="128" t="str">
        <f t="shared" si="16"/>
        <v>I Want It All</v>
      </c>
      <c r="AO78" s="122"/>
      <c r="AP78" s="125">
        <v>24.0</v>
      </c>
      <c r="AQ78" s="126" t="s">
        <v>1092</v>
      </c>
      <c r="AR78" s="127" t="str">
        <f t="shared" si="17"/>
        <v>Crazy Little Thing Called Love.2.mid</v>
      </c>
      <c r="AS78" s="128" t="str">
        <f t="shared" si="18"/>
        <v>Crazy Little Thing Called Love.2</v>
      </c>
      <c r="AT78" s="122"/>
      <c r="AU78" s="125">
        <v>14.0</v>
      </c>
      <c r="AV78" s="126" t="s">
        <v>1119</v>
      </c>
      <c r="AW78" s="127" t="str">
        <f t="shared" si="19"/>
        <v>Friends Will Be Friends.1.mid</v>
      </c>
      <c r="AX78" s="128" t="str">
        <f t="shared" si="20"/>
        <v>Friends Will Be Friends.1</v>
      </c>
      <c r="AY78" s="122"/>
    </row>
    <row r="79" ht="15.75" customHeight="1">
      <c r="A79" s="124"/>
      <c r="B79" s="125">
        <v>0.0</v>
      </c>
      <c r="C79" s="126" t="s">
        <v>1035</v>
      </c>
      <c r="D79" s="127" t="str">
        <f t="shared" si="1"/>
        <v>I'm Going Slightly Mad.3.mid</v>
      </c>
      <c r="E79" s="128" t="str">
        <f t="shared" si="2"/>
        <v>I'm Going Slightly Mad.3</v>
      </c>
      <c r="F79" s="122"/>
      <c r="G79" s="125">
        <v>0.0</v>
      </c>
      <c r="H79" s="126" t="s">
        <v>1152</v>
      </c>
      <c r="I79" s="127" t="str">
        <f t="shared" si="3"/>
        <v>In Only Seven Days.mid</v>
      </c>
      <c r="J79" s="128" t="str">
        <f t="shared" si="4"/>
        <v>In Only Seven Days</v>
      </c>
      <c r="K79" s="122"/>
      <c r="L79" s="125">
        <v>0.0</v>
      </c>
      <c r="M79" s="126" t="s">
        <v>1128</v>
      </c>
      <c r="N79" s="127" t="str">
        <f t="shared" si="5"/>
        <v>Innuendo.1.mid</v>
      </c>
      <c r="O79" s="128" t="str">
        <f t="shared" si="6"/>
        <v>Innuendo.1</v>
      </c>
      <c r="P79" s="122"/>
      <c r="Q79" s="125">
        <v>0.0</v>
      </c>
      <c r="R79" s="126" t="s">
        <v>1038</v>
      </c>
      <c r="S79" s="127" t="str">
        <f t="shared" si="7"/>
        <v>It's a Hard Life.1.mid</v>
      </c>
      <c r="T79" s="128" t="str">
        <f t="shared" si="8"/>
        <v>It's a Hard Life.1</v>
      </c>
      <c r="U79" s="122"/>
      <c r="V79" s="125">
        <v>0.0</v>
      </c>
      <c r="W79" s="126" t="s">
        <v>1128</v>
      </c>
      <c r="X79" s="127" t="str">
        <f t="shared" si="9"/>
        <v>Innuendo.1.mid</v>
      </c>
      <c r="Y79" s="128" t="str">
        <f t="shared" si="10"/>
        <v>Innuendo.1</v>
      </c>
      <c r="Z79" s="122"/>
      <c r="AA79" s="125">
        <v>1.0</v>
      </c>
      <c r="AB79" s="126" t="s">
        <v>1159</v>
      </c>
      <c r="AC79" s="127" t="str">
        <f t="shared" si="11"/>
        <v>Keep Yourself Alive.mid</v>
      </c>
      <c r="AD79" s="128" t="str">
        <f t="shared" si="12"/>
        <v>Keep Yourself Alive</v>
      </c>
      <c r="AE79" s="122"/>
      <c r="AF79" s="125">
        <v>9.0</v>
      </c>
      <c r="AG79" s="126" t="s">
        <v>1146</v>
      </c>
      <c r="AH79" s="127" t="str">
        <f t="shared" si="13"/>
        <v>I Want to Break Free.1.mid</v>
      </c>
      <c r="AI79" s="128" t="str">
        <f t="shared" si="14"/>
        <v>I Want to Break Free.1</v>
      </c>
      <c r="AJ79" s="122"/>
      <c r="AK79" s="125">
        <v>9.0</v>
      </c>
      <c r="AL79" s="126" t="s">
        <v>1146</v>
      </c>
      <c r="AM79" s="127" t="str">
        <f t="shared" si="15"/>
        <v>I Want to Break Free.1.mid</v>
      </c>
      <c r="AN79" s="128" t="str">
        <f t="shared" si="16"/>
        <v>I Want to Break Free.1</v>
      </c>
      <c r="AO79" s="122"/>
      <c r="AP79" s="125">
        <v>24.0</v>
      </c>
      <c r="AQ79" s="126" t="s">
        <v>1076</v>
      </c>
      <c r="AR79" s="127" t="str">
        <f t="shared" si="17"/>
        <v>Don't Try So Hard.1.mid</v>
      </c>
      <c r="AS79" s="128" t="str">
        <f t="shared" si="18"/>
        <v>Don't Try So Hard.1</v>
      </c>
      <c r="AT79" s="122"/>
      <c r="AU79" s="125">
        <v>14.0</v>
      </c>
      <c r="AV79" s="126" t="s">
        <v>1121</v>
      </c>
      <c r="AW79" s="127" t="str">
        <f t="shared" si="19"/>
        <v>Friends Will Be Friends.3.mid</v>
      </c>
      <c r="AX79" s="128" t="str">
        <f t="shared" si="20"/>
        <v>Friends Will Be Friends.3</v>
      </c>
      <c r="AY79" s="122"/>
    </row>
    <row r="80" ht="15.75" customHeight="1">
      <c r="A80" s="124"/>
      <c r="B80" s="125">
        <v>0.0</v>
      </c>
      <c r="C80" s="126" t="s">
        <v>1151</v>
      </c>
      <c r="D80" s="127" t="str">
        <f t="shared" si="1"/>
        <v>I'm Going Slightly Mad.mid</v>
      </c>
      <c r="E80" s="128" t="str">
        <f t="shared" si="2"/>
        <v>I'm Going Slightly Mad</v>
      </c>
      <c r="F80" s="122"/>
      <c r="G80" s="125">
        <v>0.0</v>
      </c>
      <c r="H80" s="126" t="s">
        <v>1128</v>
      </c>
      <c r="I80" s="127" t="str">
        <f t="shared" si="3"/>
        <v>Innuendo.1.mid</v>
      </c>
      <c r="J80" s="128" t="str">
        <f t="shared" si="4"/>
        <v>Innuendo.1</v>
      </c>
      <c r="K80" s="122"/>
      <c r="L80" s="125">
        <v>0.0</v>
      </c>
      <c r="M80" s="126" t="s">
        <v>1089</v>
      </c>
      <c r="N80" s="127" t="str">
        <f t="shared" si="5"/>
        <v>Innuendo.2.mid</v>
      </c>
      <c r="O80" s="128" t="str">
        <f t="shared" si="6"/>
        <v>Innuendo.2</v>
      </c>
      <c r="P80" s="122"/>
      <c r="Q80" s="125">
        <v>0.0</v>
      </c>
      <c r="R80" s="126" t="s">
        <v>1158</v>
      </c>
      <c r="S80" s="127" t="str">
        <f t="shared" si="7"/>
        <v>It's a Hard Life.2.mid</v>
      </c>
      <c r="T80" s="128" t="str">
        <f t="shared" si="8"/>
        <v>It's a Hard Life.2</v>
      </c>
      <c r="U80" s="122"/>
      <c r="V80" s="125">
        <v>0.0</v>
      </c>
      <c r="W80" s="126" t="s">
        <v>1089</v>
      </c>
      <c r="X80" s="127" t="str">
        <f t="shared" si="9"/>
        <v>Innuendo.2.mid</v>
      </c>
      <c r="Y80" s="128" t="str">
        <f t="shared" si="10"/>
        <v>Innuendo.2</v>
      </c>
      <c r="Z80" s="122"/>
      <c r="AA80" s="125">
        <v>1.0</v>
      </c>
      <c r="AB80" s="126" t="s">
        <v>1160</v>
      </c>
      <c r="AC80" s="127" t="str">
        <f t="shared" si="11"/>
        <v>Killer Queen.1.mid</v>
      </c>
      <c r="AD80" s="128" t="str">
        <f t="shared" si="12"/>
        <v>Killer Queen.1</v>
      </c>
      <c r="AE80" s="122"/>
      <c r="AF80" s="125">
        <v>9.0</v>
      </c>
      <c r="AG80" s="126" t="s">
        <v>1144</v>
      </c>
      <c r="AH80" s="127" t="str">
        <f t="shared" si="13"/>
        <v>I Want to Break Free.2.mid</v>
      </c>
      <c r="AI80" s="128" t="str">
        <f t="shared" si="14"/>
        <v>I Want to Break Free.2</v>
      </c>
      <c r="AJ80" s="122"/>
      <c r="AK80" s="125">
        <v>9.0</v>
      </c>
      <c r="AL80" s="126" t="s">
        <v>1144</v>
      </c>
      <c r="AM80" s="127" t="str">
        <f t="shared" si="15"/>
        <v>I Want to Break Free.2.mid</v>
      </c>
      <c r="AN80" s="128" t="str">
        <f t="shared" si="16"/>
        <v>I Want to Break Free.2</v>
      </c>
      <c r="AO80" s="122"/>
      <c r="AP80" s="125">
        <v>24.0</v>
      </c>
      <c r="AQ80" s="126" t="s">
        <v>1138</v>
      </c>
      <c r="AR80" s="127" t="str">
        <f t="shared" si="17"/>
        <v>Headlong.1.mid</v>
      </c>
      <c r="AS80" s="128" t="str">
        <f t="shared" si="18"/>
        <v>Headlong.1</v>
      </c>
      <c r="AT80" s="122"/>
      <c r="AU80" s="125">
        <v>14.0</v>
      </c>
      <c r="AV80" s="126" t="s">
        <v>1125</v>
      </c>
      <c r="AW80" s="127" t="str">
        <f t="shared" si="19"/>
        <v>Friends Will Be Friends.5.mid</v>
      </c>
      <c r="AX80" s="128" t="str">
        <f t="shared" si="20"/>
        <v>Friends Will Be Friends.5</v>
      </c>
      <c r="AY80" s="122"/>
    </row>
    <row r="81" ht="15.75" customHeight="1">
      <c r="A81" s="124"/>
      <c r="B81" s="125">
        <v>0.0</v>
      </c>
      <c r="C81" s="126" t="s">
        <v>1152</v>
      </c>
      <c r="D81" s="127" t="str">
        <f t="shared" si="1"/>
        <v>In Only Seven Days.mid</v>
      </c>
      <c r="E81" s="128" t="str">
        <f t="shared" si="2"/>
        <v>In Only Seven Days</v>
      </c>
      <c r="F81" s="122"/>
      <c r="G81" s="125">
        <v>0.0</v>
      </c>
      <c r="H81" s="126" t="s">
        <v>1089</v>
      </c>
      <c r="I81" s="127" t="str">
        <f t="shared" si="3"/>
        <v>Innuendo.2.mid</v>
      </c>
      <c r="J81" s="128" t="str">
        <f t="shared" si="4"/>
        <v>Innuendo.2</v>
      </c>
      <c r="K81" s="122"/>
      <c r="L81" s="125">
        <v>0.0</v>
      </c>
      <c r="M81" s="126" t="s">
        <v>1064</v>
      </c>
      <c r="N81" s="127" t="str">
        <f t="shared" si="5"/>
        <v>Innuendo.mid</v>
      </c>
      <c r="O81" s="128" t="str">
        <f t="shared" si="6"/>
        <v>Innuendo</v>
      </c>
      <c r="P81" s="122"/>
      <c r="Q81" s="125">
        <v>0.0</v>
      </c>
      <c r="R81" s="126" t="s">
        <v>1141</v>
      </c>
      <c r="S81" s="127" t="str">
        <f t="shared" si="7"/>
        <v>It's a Hard Life.mid</v>
      </c>
      <c r="T81" s="128" t="str">
        <f t="shared" si="8"/>
        <v>It's a Hard Life</v>
      </c>
      <c r="U81" s="122"/>
      <c r="V81" s="125">
        <v>0.0</v>
      </c>
      <c r="W81" s="126" t="s">
        <v>1064</v>
      </c>
      <c r="X81" s="127" t="str">
        <f t="shared" si="9"/>
        <v>Innuendo.mid</v>
      </c>
      <c r="Y81" s="128" t="str">
        <f t="shared" si="10"/>
        <v>Innuendo</v>
      </c>
      <c r="Z81" s="122"/>
      <c r="AA81" s="125">
        <v>1.0</v>
      </c>
      <c r="AB81" s="126" t="s">
        <v>1130</v>
      </c>
      <c r="AC81" s="127" t="str">
        <f t="shared" si="11"/>
        <v>Killer Queen.2.mid</v>
      </c>
      <c r="AD81" s="128" t="str">
        <f t="shared" si="12"/>
        <v>Killer Queen.2</v>
      </c>
      <c r="AE81" s="122"/>
      <c r="AF81" s="125">
        <v>9.0</v>
      </c>
      <c r="AG81" s="126" t="s">
        <v>1126</v>
      </c>
      <c r="AH81" s="127" t="str">
        <f t="shared" si="13"/>
        <v>I Want to Break Free.mid</v>
      </c>
      <c r="AI81" s="128" t="str">
        <f t="shared" si="14"/>
        <v>I Want to Break Free</v>
      </c>
      <c r="AJ81" s="122"/>
      <c r="AK81" s="125">
        <v>9.0</v>
      </c>
      <c r="AL81" s="126" t="s">
        <v>1126</v>
      </c>
      <c r="AM81" s="127" t="str">
        <f t="shared" si="15"/>
        <v>I Want to Break Free.mid</v>
      </c>
      <c r="AN81" s="128" t="str">
        <f t="shared" si="16"/>
        <v>I Want to Break Free</v>
      </c>
      <c r="AO81" s="122"/>
      <c r="AP81" s="125">
        <v>24.0</v>
      </c>
      <c r="AQ81" s="126" t="s">
        <v>1158</v>
      </c>
      <c r="AR81" s="127" t="str">
        <f t="shared" si="17"/>
        <v>It's a Hard Life.2.mid</v>
      </c>
      <c r="AS81" s="128" t="str">
        <f t="shared" si="18"/>
        <v>It's a Hard Life.2</v>
      </c>
      <c r="AT81" s="122"/>
      <c r="AU81" s="125">
        <v>14.0</v>
      </c>
      <c r="AV81" s="126" t="s">
        <v>1114</v>
      </c>
      <c r="AW81" s="127" t="str">
        <f t="shared" si="19"/>
        <v>Friends Will Be Friends.6.mid</v>
      </c>
      <c r="AX81" s="128" t="str">
        <f t="shared" si="20"/>
        <v>Friends Will Be Friends.6</v>
      </c>
      <c r="AY81" s="122"/>
    </row>
    <row r="82" ht="15.75" customHeight="1">
      <c r="A82" s="124"/>
      <c r="B82" s="125">
        <v>0.0</v>
      </c>
      <c r="C82" s="126" t="s">
        <v>1128</v>
      </c>
      <c r="D82" s="127" t="str">
        <f t="shared" si="1"/>
        <v>Innuendo.1.mid</v>
      </c>
      <c r="E82" s="128" t="str">
        <f t="shared" si="2"/>
        <v>Innuendo.1</v>
      </c>
      <c r="F82" s="122"/>
      <c r="G82" s="125">
        <v>0.0</v>
      </c>
      <c r="H82" s="126" t="s">
        <v>1064</v>
      </c>
      <c r="I82" s="127" t="str">
        <f t="shared" si="3"/>
        <v>Innuendo.mid</v>
      </c>
      <c r="J82" s="128" t="str">
        <f t="shared" si="4"/>
        <v>Innuendo</v>
      </c>
      <c r="K82" s="122"/>
      <c r="L82" s="125">
        <v>0.0</v>
      </c>
      <c r="M82" s="126" t="s">
        <v>1038</v>
      </c>
      <c r="N82" s="127" t="str">
        <f t="shared" si="5"/>
        <v>It's a Hard Life.1.mid</v>
      </c>
      <c r="O82" s="128" t="str">
        <f t="shared" si="6"/>
        <v>It's a Hard Life.1</v>
      </c>
      <c r="P82" s="122"/>
      <c r="Q82" s="125">
        <v>0.0</v>
      </c>
      <c r="R82" s="126" t="s">
        <v>1159</v>
      </c>
      <c r="S82" s="127" t="str">
        <f t="shared" si="7"/>
        <v>Keep Yourself Alive.mid</v>
      </c>
      <c r="T82" s="128" t="str">
        <f t="shared" si="8"/>
        <v>Keep Yourself Alive</v>
      </c>
      <c r="U82" s="122"/>
      <c r="V82" s="125">
        <v>0.0</v>
      </c>
      <c r="W82" s="126" t="s">
        <v>1038</v>
      </c>
      <c r="X82" s="127" t="str">
        <f t="shared" si="9"/>
        <v>It's a Hard Life.1.mid</v>
      </c>
      <c r="Y82" s="128" t="str">
        <f t="shared" si="10"/>
        <v>It's a Hard Life.1</v>
      </c>
      <c r="Z82" s="122"/>
      <c r="AA82" s="125">
        <v>1.0</v>
      </c>
      <c r="AB82" s="126" t="s">
        <v>1161</v>
      </c>
      <c r="AC82" s="127" t="str">
        <f t="shared" si="11"/>
        <v>Killer Queen.3.mid</v>
      </c>
      <c r="AD82" s="128" t="str">
        <f t="shared" si="12"/>
        <v>Killer Queen.3</v>
      </c>
      <c r="AE82" s="122"/>
      <c r="AF82" s="125">
        <v>9.0</v>
      </c>
      <c r="AG82" s="126" t="s">
        <v>1150</v>
      </c>
      <c r="AH82" s="127" t="str">
        <f t="shared" si="13"/>
        <v>I Was Born to Love You.mid</v>
      </c>
      <c r="AI82" s="128" t="str">
        <f t="shared" si="14"/>
        <v>I Was Born to Love You</v>
      </c>
      <c r="AJ82" s="122"/>
      <c r="AK82" s="125">
        <v>9.0</v>
      </c>
      <c r="AL82" s="126" t="s">
        <v>1150</v>
      </c>
      <c r="AM82" s="127" t="str">
        <f t="shared" si="15"/>
        <v>I Was Born to Love You.mid</v>
      </c>
      <c r="AN82" s="128" t="str">
        <f t="shared" si="16"/>
        <v>I Was Born to Love You</v>
      </c>
      <c r="AO82" s="122"/>
      <c r="AP82" s="125">
        <v>24.0</v>
      </c>
      <c r="AQ82" s="126" t="s">
        <v>1162</v>
      </c>
      <c r="AR82" s="127" t="str">
        <f t="shared" si="17"/>
        <v>Killer Queen.5.mid</v>
      </c>
      <c r="AS82" s="128" t="str">
        <f t="shared" si="18"/>
        <v>Killer Queen.5</v>
      </c>
      <c r="AT82" s="122"/>
      <c r="AU82" s="125">
        <v>14.0</v>
      </c>
      <c r="AV82" s="126" t="s">
        <v>1131</v>
      </c>
      <c r="AW82" s="127" t="str">
        <f t="shared" si="19"/>
        <v>Fun It.mid</v>
      </c>
      <c r="AX82" s="128" t="str">
        <f t="shared" si="20"/>
        <v>Fun It</v>
      </c>
      <c r="AY82" s="122"/>
    </row>
    <row r="83" ht="15.75" customHeight="1">
      <c r="A83" s="124"/>
      <c r="B83" s="125">
        <v>0.0</v>
      </c>
      <c r="C83" s="126" t="s">
        <v>1089</v>
      </c>
      <c r="D83" s="127" t="str">
        <f t="shared" si="1"/>
        <v>Innuendo.2.mid</v>
      </c>
      <c r="E83" s="128" t="str">
        <f t="shared" si="2"/>
        <v>Innuendo.2</v>
      </c>
      <c r="F83" s="122"/>
      <c r="G83" s="125">
        <v>0.0</v>
      </c>
      <c r="H83" s="126" t="s">
        <v>1038</v>
      </c>
      <c r="I83" s="127" t="str">
        <f t="shared" si="3"/>
        <v>It's a Hard Life.1.mid</v>
      </c>
      <c r="J83" s="128" t="str">
        <f t="shared" si="4"/>
        <v>It's a Hard Life.1</v>
      </c>
      <c r="K83" s="122"/>
      <c r="L83" s="125">
        <v>0.0</v>
      </c>
      <c r="M83" s="126" t="s">
        <v>1158</v>
      </c>
      <c r="N83" s="127" t="str">
        <f t="shared" si="5"/>
        <v>It's a Hard Life.2.mid</v>
      </c>
      <c r="O83" s="128" t="str">
        <f t="shared" si="6"/>
        <v>It's a Hard Life.2</v>
      </c>
      <c r="P83" s="122"/>
      <c r="Q83" s="125">
        <v>0.0</v>
      </c>
      <c r="R83" s="126" t="s">
        <v>1160</v>
      </c>
      <c r="S83" s="127" t="str">
        <f t="shared" si="7"/>
        <v>Killer Queen.1.mid</v>
      </c>
      <c r="T83" s="128" t="str">
        <f t="shared" si="8"/>
        <v>Killer Queen.1</v>
      </c>
      <c r="U83" s="122"/>
      <c r="V83" s="125">
        <v>0.0</v>
      </c>
      <c r="W83" s="126" t="s">
        <v>1158</v>
      </c>
      <c r="X83" s="127" t="str">
        <f t="shared" si="9"/>
        <v>It's a Hard Life.2.mid</v>
      </c>
      <c r="Y83" s="128" t="str">
        <f t="shared" si="10"/>
        <v>It's a Hard Life.2</v>
      </c>
      <c r="Z83" s="122"/>
      <c r="AA83" s="125">
        <v>1.0</v>
      </c>
      <c r="AB83" s="126" t="s">
        <v>1163</v>
      </c>
      <c r="AC83" s="127" t="str">
        <f t="shared" si="11"/>
        <v>Killer Queen.4.mid</v>
      </c>
      <c r="AD83" s="128" t="str">
        <f t="shared" si="12"/>
        <v>Killer Queen.4</v>
      </c>
      <c r="AE83" s="122"/>
      <c r="AF83" s="125">
        <v>9.0</v>
      </c>
      <c r="AG83" s="126" t="s">
        <v>1045</v>
      </c>
      <c r="AH83" s="127" t="str">
        <f t="shared" si="13"/>
        <v>I'm Going Slightly Mad.1.mid</v>
      </c>
      <c r="AI83" s="128" t="str">
        <f t="shared" si="14"/>
        <v>I'm Going Slightly Mad.1</v>
      </c>
      <c r="AJ83" s="122"/>
      <c r="AK83" s="125">
        <v>9.0</v>
      </c>
      <c r="AL83" s="126" t="s">
        <v>1045</v>
      </c>
      <c r="AM83" s="127" t="str">
        <f t="shared" si="15"/>
        <v>I'm Going Slightly Mad.1.mid</v>
      </c>
      <c r="AN83" s="128" t="str">
        <f t="shared" si="16"/>
        <v>I'm Going Slightly Mad.1</v>
      </c>
      <c r="AO83" s="122"/>
      <c r="AP83" s="125">
        <v>24.0</v>
      </c>
      <c r="AQ83" s="126" t="s">
        <v>1164</v>
      </c>
      <c r="AR83" s="127" t="str">
        <f t="shared" si="17"/>
        <v>Somebody to Love.6.mid</v>
      </c>
      <c r="AS83" s="128" t="str">
        <f t="shared" si="18"/>
        <v>Somebody to Love.6</v>
      </c>
      <c r="AT83" s="122"/>
      <c r="AU83" s="125">
        <v>14.0</v>
      </c>
      <c r="AV83" s="126" t="s">
        <v>1123</v>
      </c>
      <c r="AW83" s="127" t="str">
        <f t="shared" si="19"/>
        <v>Good Old Fashioned Lover Boy.1.mid</v>
      </c>
      <c r="AX83" s="128" t="str">
        <f t="shared" si="20"/>
        <v>Good Old Fashioned Lover Boy.1</v>
      </c>
      <c r="AY83" s="122"/>
    </row>
    <row r="84" ht="15.75" customHeight="1">
      <c r="A84" s="124"/>
      <c r="B84" s="125">
        <v>0.0</v>
      </c>
      <c r="C84" s="126" t="s">
        <v>1064</v>
      </c>
      <c r="D84" s="127" t="str">
        <f t="shared" si="1"/>
        <v>Innuendo.mid</v>
      </c>
      <c r="E84" s="128" t="str">
        <f t="shared" si="2"/>
        <v>Innuendo</v>
      </c>
      <c r="F84" s="122"/>
      <c r="G84" s="125">
        <v>0.0</v>
      </c>
      <c r="H84" s="126" t="s">
        <v>1158</v>
      </c>
      <c r="I84" s="127" t="str">
        <f t="shared" si="3"/>
        <v>It's a Hard Life.2.mid</v>
      </c>
      <c r="J84" s="128" t="str">
        <f t="shared" si="4"/>
        <v>It's a Hard Life.2</v>
      </c>
      <c r="K84" s="122"/>
      <c r="L84" s="125">
        <v>0.0</v>
      </c>
      <c r="M84" s="126" t="s">
        <v>1141</v>
      </c>
      <c r="N84" s="127" t="str">
        <f t="shared" si="5"/>
        <v>It's a Hard Life.mid</v>
      </c>
      <c r="O84" s="128" t="str">
        <f t="shared" si="6"/>
        <v>It's a Hard Life</v>
      </c>
      <c r="P84" s="122"/>
      <c r="Q84" s="125">
        <v>0.0</v>
      </c>
      <c r="R84" s="126" t="s">
        <v>1130</v>
      </c>
      <c r="S84" s="127" t="str">
        <f t="shared" si="7"/>
        <v>Killer Queen.2.mid</v>
      </c>
      <c r="T84" s="128" t="str">
        <f t="shared" si="8"/>
        <v>Killer Queen.2</v>
      </c>
      <c r="U84" s="122"/>
      <c r="V84" s="125">
        <v>0.0</v>
      </c>
      <c r="W84" s="126" t="s">
        <v>1141</v>
      </c>
      <c r="X84" s="127" t="str">
        <f t="shared" si="9"/>
        <v>It's a Hard Life.mid</v>
      </c>
      <c r="Y84" s="128" t="str">
        <f t="shared" si="10"/>
        <v>It's a Hard Life</v>
      </c>
      <c r="Z84" s="122"/>
      <c r="AA84" s="125">
        <v>1.0</v>
      </c>
      <c r="AB84" s="126" t="s">
        <v>1162</v>
      </c>
      <c r="AC84" s="127" t="str">
        <f t="shared" si="11"/>
        <v>Killer Queen.5.mid</v>
      </c>
      <c r="AD84" s="128" t="str">
        <f t="shared" si="12"/>
        <v>Killer Queen.5</v>
      </c>
      <c r="AE84" s="122"/>
      <c r="AF84" s="125">
        <v>9.0</v>
      </c>
      <c r="AG84" s="126" t="s">
        <v>1147</v>
      </c>
      <c r="AH84" s="127" t="str">
        <f t="shared" si="13"/>
        <v>I'm Going Slightly Mad.2.mid</v>
      </c>
      <c r="AI84" s="128" t="str">
        <f t="shared" si="14"/>
        <v>I'm Going Slightly Mad.2</v>
      </c>
      <c r="AJ84" s="122"/>
      <c r="AK84" s="125">
        <v>9.0</v>
      </c>
      <c r="AL84" s="126" t="s">
        <v>1147</v>
      </c>
      <c r="AM84" s="127" t="str">
        <f t="shared" si="15"/>
        <v>I'm Going Slightly Mad.2.mid</v>
      </c>
      <c r="AN84" s="128" t="str">
        <f t="shared" si="16"/>
        <v>I'm Going Slightly Mad.2</v>
      </c>
      <c r="AO84" s="122"/>
      <c r="AP84" s="125">
        <v>24.0</v>
      </c>
      <c r="AQ84" s="126" t="s">
        <v>1113</v>
      </c>
      <c r="AR84" s="127" t="str">
        <f t="shared" si="17"/>
        <v>Under Pressure.4.mid</v>
      </c>
      <c r="AS84" s="128" t="str">
        <f t="shared" si="18"/>
        <v>Under Pressure.4</v>
      </c>
      <c r="AT84" s="122"/>
      <c r="AU84" s="125">
        <v>14.0</v>
      </c>
      <c r="AV84" s="126" t="s">
        <v>1134</v>
      </c>
      <c r="AW84" s="127" t="str">
        <f t="shared" si="19"/>
        <v>Good Old Fashioned Lover Boy.mid</v>
      </c>
      <c r="AX84" s="128" t="str">
        <f t="shared" si="20"/>
        <v>Good Old Fashioned Lover Boy</v>
      </c>
      <c r="AY84" s="122"/>
    </row>
    <row r="85" ht="15.75" customHeight="1">
      <c r="A85" s="124"/>
      <c r="B85" s="125">
        <v>0.0</v>
      </c>
      <c r="C85" s="126" t="s">
        <v>1038</v>
      </c>
      <c r="D85" s="127" t="str">
        <f t="shared" si="1"/>
        <v>It's a Hard Life.1.mid</v>
      </c>
      <c r="E85" s="128" t="str">
        <f t="shared" si="2"/>
        <v>It's a Hard Life.1</v>
      </c>
      <c r="F85" s="122"/>
      <c r="G85" s="125">
        <v>0.0</v>
      </c>
      <c r="H85" s="126" t="s">
        <v>1141</v>
      </c>
      <c r="I85" s="127" t="str">
        <f t="shared" si="3"/>
        <v>It's a Hard Life.mid</v>
      </c>
      <c r="J85" s="128" t="str">
        <f t="shared" si="4"/>
        <v>It's a Hard Life</v>
      </c>
      <c r="K85" s="122"/>
      <c r="L85" s="125">
        <v>0.0</v>
      </c>
      <c r="M85" s="126" t="s">
        <v>1159</v>
      </c>
      <c r="N85" s="127" t="str">
        <f t="shared" si="5"/>
        <v>Keep Yourself Alive.mid</v>
      </c>
      <c r="O85" s="128" t="str">
        <f t="shared" si="6"/>
        <v>Keep Yourself Alive</v>
      </c>
      <c r="P85" s="122"/>
      <c r="Q85" s="125">
        <v>0.0</v>
      </c>
      <c r="R85" s="126" t="s">
        <v>1161</v>
      </c>
      <c r="S85" s="127" t="str">
        <f t="shared" si="7"/>
        <v>Killer Queen.3.mid</v>
      </c>
      <c r="T85" s="128" t="str">
        <f t="shared" si="8"/>
        <v>Killer Queen.3</v>
      </c>
      <c r="U85" s="122"/>
      <c r="V85" s="125">
        <v>0.0</v>
      </c>
      <c r="W85" s="126" t="s">
        <v>1159</v>
      </c>
      <c r="X85" s="127" t="str">
        <f t="shared" si="9"/>
        <v>Keep Yourself Alive.mid</v>
      </c>
      <c r="Y85" s="128" t="str">
        <f t="shared" si="10"/>
        <v>Keep Yourself Alive</v>
      </c>
      <c r="Z85" s="122"/>
      <c r="AA85" s="125">
        <v>1.0</v>
      </c>
      <c r="AB85" s="126" t="s">
        <v>1165</v>
      </c>
      <c r="AC85" s="127" t="str">
        <f t="shared" si="11"/>
        <v>Killer Queen.mid</v>
      </c>
      <c r="AD85" s="128" t="str">
        <f t="shared" si="12"/>
        <v>Killer Queen</v>
      </c>
      <c r="AE85" s="122"/>
      <c r="AF85" s="125">
        <v>9.0</v>
      </c>
      <c r="AG85" s="126" t="s">
        <v>1151</v>
      </c>
      <c r="AH85" s="127" t="str">
        <f t="shared" si="13"/>
        <v>I'm Going Slightly Mad.mid</v>
      </c>
      <c r="AI85" s="128" t="str">
        <f t="shared" si="14"/>
        <v>I'm Going Slightly Mad</v>
      </c>
      <c r="AJ85" s="122"/>
      <c r="AK85" s="125">
        <v>9.0</v>
      </c>
      <c r="AL85" s="126" t="s">
        <v>1151</v>
      </c>
      <c r="AM85" s="127" t="str">
        <f t="shared" si="15"/>
        <v>I'm Going Slightly Mad.mid</v>
      </c>
      <c r="AN85" s="128" t="str">
        <f t="shared" si="16"/>
        <v>I'm Going Slightly Mad</v>
      </c>
      <c r="AO85" s="122"/>
      <c r="AP85" s="125">
        <v>24.0</v>
      </c>
      <c r="AQ85" s="126" t="s">
        <v>1166</v>
      </c>
      <c r="AR85" s="127" t="str">
        <f t="shared" si="17"/>
        <v>We Are The Champions.8.mid</v>
      </c>
      <c r="AS85" s="128" t="str">
        <f t="shared" si="18"/>
        <v>We Are The Champions.8</v>
      </c>
      <c r="AT85" s="122"/>
      <c r="AU85" s="125">
        <v>14.0</v>
      </c>
      <c r="AV85" s="126" t="s">
        <v>1136</v>
      </c>
      <c r="AW85" s="127" t="str">
        <f t="shared" si="19"/>
        <v>Hammer to Fall.mid</v>
      </c>
      <c r="AX85" s="128" t="str">
        <f t="shared" si="20"/>
        <v>Hammer to Fall</v>
      </c>
      <c r="AY85" s="122"/>
    </row>
    <row r="86" ht="15.75" customHeight="1">
      <c r="A86" s="124"/>
      <c r="B86" s="125">
        <v>0.0</v>
      </c>
      <c r="C86" s="126" t="s">
        <v>1158</v>
      </c>
      <c r="D86" s="127" t="str">
        <f t="shared" si="1"/>
        <v>It's a Hard Life.2.mid</v>
      </c>
      <c r="E86" s="128" t="str">
        <f t="shared" si="2"/>
        <v>It's a Hard Life.2</v>
      </c>
      <c r="F86" s="122"/>
      <c r="G86" s="125">
        <v>0.0</v>
      </c>
      <c r="H86" s="126" t="s">
        <v>1159</v>
      </c>
      <c r="I86" s="127" t="str">
        <f t="shared" si="3"/>
        <v>Keep Yourself Alive.mid</v>
      </c>
      <c r="J86" s="128" t="str">
        <f t="shared" si="4"/>
        <v>Keep Yourself Alive</v>
      </c>
      <c r="K86" s="122"/>
      <c r="L86" s="125">
        <v>0.0</v>
      </c>
      <c r="M86" s="126" t="s">
        <v>1160</v>
      </c>
      <c r="N86" s="127" t="str">
        <f t="shared" si="5"/>
        <v>Killer Queen.1.mid</v>
      </c>
      <c r="O86" s="128" t="str">
        <f t="shared" si="6"/>
        <v>Killer Queen.1</v>
      </c>
      <c r="P86" s="122"/>
      <c r="Q86" s="125">
        <v>0.0</v>
      </c>
      <c r="R86" s="126" t="s">
        <v>1163</v>
      </c>
      <c r="S86" s="127" t="str">
        <f t="shared" si="7"/>
        <v>Killer Queen.4.mid</v>
      </c>
      <c r="T86" s="128" t="str">
        <f t="shared" si="8"/>
        <v>Killer Queen.4</v>
      </c>
      <c r="U86" s="122"/>
      <c r="V86" s="125">
        <v>0.0</v>
      </c>
      <c r="W86" s="126" t="s">
        <v>1160</v>
      </c>
      <c r="X86" s="127" t="str">
        <f t="shared" si="9"/>
        <v>Killer Queen.1.mid</v>
      </c>
      <c r="Y86" s="128" t="str">
        <f t="shared" si="10"/>
        <v>Killer Queen.1</v>
      </c>
      <c r="Z86" s="122"/>
      <c r="AA86" s="125">
        <v>1.0</v>
      </c>
      <c r="AB86" s="126" t="s">
        <v>1091</v>
      </c>
      <c r="AC86" s="127" t="str">
        <f t="shared" si="11"/>
        <v>Lily of the Valley.mid</v>
      </c>
      <c r="AD86" s="128" t="str">
        <f t="shared" si="12"/>
        <v>Lily of the Valley</v>
      </c>
      <c r="AE86" s="122"/>
      <c r="AF86" s="125">
        <v>9.0</v>
      </c>
      <c r="AG86" s="126" t="s">
        <v>1152</v>
      </c>
      <c r="AH86" s="127" t="str">
        <f t="shared" si="13"/>
        <v>In Only Seven Days.mid</v>
      </c>
      <c r="AI86" s="128" t="str">
        <f t="shared" si="14"/>
        <v>In Only Seven Days</v>
      </c>
      <c r="AJ86" s="122"/>
      <c r="AK86" s="125">
        <v>9.0</v>
      </c>
      <c r="AL86" s="126" t="s">
        <v>1152</v>
      </c>
      <c r="AM86" s="127" t="str">
        <f t="shared" si="15"/>
        <v>In Only Seven Days.mid</v>
      </c>
      <c r="AN86" s="128" t="str">
        <f t="shared" si="16"/>
        <v>In Only Seven Days</v>
      </c>
      <c r="AO86" s="122"/>
      <c r="AP86" s="125">
        <v>25.0</v>
      </c>
      <c r="AQ86" s="126" t="s">
        <v>1068</v>
      </c>
      <c r="AR86" s="127" t="str">
        <f t="shared" si="17"/>
        <v>Killer Queen.6.mid</v>
      </c>
      <c r="AS86" s="128" t="str">
        <f t="shared" si="18"/>
        <v>Killer Queen.6</v>
      </c>
      <c r="AT86" s="122"/>
      <c r="AU86" s="125">
        <v>14.0</v>
      </c>
      <c r="AV86" s="126" t="s">
        <v>1138</v>
      </c>
      <c r="AW86" s="127" t="str">
        <f t="shared" si="19"/>
        <v>Headlong.1.mid</v>
      </c>
      <c r="AX86" s="128" t="str">
        <f t="shared" si="20"/>
        <v>Headlong.1</v>
      </c>
      <c r="AY86" s="122"/>
    </row>
    <row r="87" ht="15.75" customHeight="1">
      <c r="A87" s="124"/>
      <c r="B87" s="125">
        <v>0.0</v>
      </c>
      <c r="C87" s="126" t="s">
        <v>1141</v>
      </c>
      <c r="D87" s="127" t="str">
        <f t="shared" si="1"/>
        <v>It's a Hard Life.mid</v>
      </c>
      <c r="E87" s="128" t="str">
        <f t="shared" si="2"/>
        <v>It's a Hard Life</v>
      </c>
      <c r="F87" s="122"/>
      <c r="G87" s="125">
        <v>0.0</v>
      </c>
      <c r="H87" s="126" t="s">
        <v>1160</v>
      </c>
      <c r="I87" s="127" t="str">
        <f t="shared" si="3"/>
        <v>Killer Queen.1.mid</v>
      </c>
      <c r="J87" s="128" t="str">
        <f t="shared" si="4"/>
        <v>Killer Queen.1</v>
      </c>
      <c r="K87" s="122"/>
      <c r="L87" s="125">
        <v>0.0</v>
      </c>
      <c r="M87" s="126" t="s">
        <v>1130</v>
      </c>
      <c r="N87" s="127" t="str">
        <f t="shared" si="5"/>
        <v>Killer Queen.2.mid</v>
      </c>
      <c r="O87" s="128" t="str">
        <f t="shared" si="6"/>
        <v>Killer Queen.2</v>
      </c>
      <c r="P87" s="122"/>
      <c r="Q87" s="125">
        <v>0.0</v>
      </c>
      <c r="R87" s="126" t="s">
        <v>1162</v>
      </c>
      <c r="S87" s="127" t="str">
        <f t="shared" si="7"/>
        <v>Killer Queen.5.mid</v>
      </c>
      <c r="T87" s="128" t="str">
        <f t="shared" si="8"/>
        <v>Killer Queen.5</v>
      </c>
      <c r="U87" s="122"/>
      <c r="V87" s="125">
        <v>0.0</v>
      </c>
      <c r="W87" s="126" t="s">
        <v>1130</v>
      </c>
      <c r="X87" s="127" t="str">
        <f t="shared" si="9"/>
        <v>Killer Queen.2.mid</v>
      </c>
      <c r="Y87" s="128" t="str">
        <f t="shared" si="10"/>
        <v>Killer Queen.2</v>
      </c>
      <c r="Z87" s="122"/>
      <c r="AA87" s="125">
        <v>1.0</v>
      </c>
      <c r="AB87" s="126" t="s">
        <v>1093</v>
      </c>
      <c r="AC87" s="127" t="str">
        <f t="shared" si="11"/>
        <v>Living on My Own.mid</v>
      </c>
      <c r="AD87" s="128" t="str">
        <f t="shared" si="12"/>
        <v>Living on My Own</v>
      </c>
      <c r="AE87" s="122"/>
      <c r="AF87" s="125">
        <v>9.0</v>
      </c>
      <c r="AG87" s="126" t="s">
        <v>1128</v>
      </c>
      <c r="AH87" s="127" t="str">
        <f t="shared" si="13"/>
        <v>Innuendo.1.mid</v>
      </c>
      <c r="AI87" s="128" t="str">
        <f t="shared" si="14"/>
        <v>Innuendo.1</v>
      </c>
      <c r="AJ87" s="122"/>
      <c r="AK87" s="125">
        <v>9.0</v>
      </c>
      <c r="AL87" s="126" t="s">
        <v>1128</v>
      </c>
      <c r="AM87" s="127" t="str">
        <f t="shared" si="15"/>
        <v>Innuendo.1.mid</v>
      </c>
      <c r="AN87" s="128" t="str">
        <f t="shared" si="16"/>
        <v>Innuendo.1</v>
      </c>
      <c r="AO87" s="122"/>
      <c r="AP87" s="125">
        <v>26.0</v>
      </c>
      <c r="AQ87" s="126" t="s">
        <v>1091</v>
      </c>
      <c r="AR87" s="127" t="str">
        <f t="shared" si="17"/>
        <v>Lily of the Valley.mid</v>
      </c>
      <c r="AS87" s="128" t="str">
        <f t="shared" si="18"/>
        <v>Lily of the Valley</v>
      </c>
      <c r="AT87" s="122"/>
      <c r="AU87" s="125">
        <v>14.0</v>
      </c>
      <c r="AV87" s="126" t="s">
        <v>1140</v>
      </c>
      <c r="AW87" s="127" t="str">
        <f t="shared" si="19"/>
        <v>Heaven for Everyone.mid</v>
      </c>
      <c r="AX87" s="128" t="str">
        <f t="shared" si="20"/>
        <v>Heaven for Everyone</v>
      </c>
      <c r="AY87" s="122"/>
    </row>
    <row r="88" ht="15.75" customHeight="1">
      <c r="A88" s="124"/>
      <c r="B88" s="125">
        <v>0.0</v>
      </c>
      <c r="C88" s="126" t="s">
        <v>1159</v>
      </c>
      <c r="D88" s="127" t="str">
        <f t="shared" si="1"/>
        <v>Keep Yourself Alive.mid</v>
      </c>
      <c r="E88" s="128" t="str">
        <f t="shared" si="2"/>
        <v>Keep Yourself Alive</v>
      </c>
      <c r="F88" s="122"/>
      <c r="G88" s="125">
        <v>0.0</v>
      </c>
      <c r="H88" s="126" t="s">
        <v>1130</v>
      </c>
      <c r="I88" s="127" t="str">
        <f t="shared" si="3"/>
        <v>Killer Queen.2.mid</v>
      </c>
      <c r="J88" s="128" t="str">
        <f t="shared" si="4"/>
        <v>Killer Queen.2</v>
      </c>
      <c r="K88" s="122"/>
      <c r="L88" s="125">
        <v>0.0</v>
      </c>
      <c r="M88" s="126" t="s">
        <v>1161</v>
      </c>
      <c r="N88" s="127" t="str">
        <f t="shared" si="5"/>
        <v>Killer Queen.3.mid</v>
      </c>
      <c r="O88" s="128" t="str">
        <f t="shared" si="6"/>
        <v>Killer Queen.3</v>
      </c>
      <c r="P88" s="122"/>
      <c r="Q88" s="125">
        <v>0.0</v>
      </c>
      <c r="R88" s="126" t="s">
        <v>1068</v>
      </c>
      <c r="S88" s="127" t="str">
        <f t="shared" si="7"/>
        <v>Killer Queen.6.mid</v>
      </c>
      <c r="T88" s="128" t="str">
        <f t="shared" si="8"/>
        <v>Killer Queen.6</v>
      </c>
      <c r="U88" s="122"/>
      <c r="V88" s="125">
        <v>0.0</v>
      </c>
      <c r="W88" s="126" t="s">
        <v>1161</v>
      </c>
      <c r="X88" s="127" t="str">
        <f t="shared" si="9"/>
        <v>Killer Queen.3.mid</v>
      </c>
      <c r="Y88" s="128" t="str">
        <f t="shared" si="10"/>
        <v>Killer Queen.3</v>
      </c>
      <c r="Z88" s="122"/>
      <c r="AA88" s="125">
        <v>1.0</v>
      </c>
      <c r="AB88" s="126" t="s">
        <v>1167</v>
      </c>
      <c r="AC88" s="127" t="str">
        <f t="shared" si="11"/>
        <v>Love of My Life.1.mid</v>
      </c>
      <c r="AD88" s="128" t="str">
        <f t="shared" si="12"/>
        <v>Love of My Life.1</v>
      </c>
      <c r="AE88" s="122"/>
      <c r="AF88" s="125">
        <v>9.0</v>
      </c>
      <c r="AG88" s="126" t="s">
        <v>1089</v>
      </c>
      <c r="AH88" s="127" t="str">
        <f t="shared" si="13"/>
        <v>Innuendo.2.mid</v>
      </c>
      <c r="AI88" s="128" t="str">
        <f t="shared" si="14"/>
        <v>Innuendo.2</v>
      </c>
      <c r="AJ88" s="122"/>
      <c r="AK88" s="125">
        <v>9.0</v>
      </c>
      <c r="AL88" s="126" t="s">
        <v>1089</v>
      </c>
      <c r="AM88" s="127" t="str">
        <f t="shared" si="15"/>
        <v>Innuendo.2.mid</v>
      </c>
      <c r="AN88" s="128" t="str">
        <f t="shared" si="16"/>
        <v>Innuendo.2</v>
      </c>
      <c r="AO88" s="122"/>
      <c r="AP88" s="125">
        <v>27.0</v>
      </c>
      <c r="AQ88" s="126" t="s">
        <v>1122</v>
      </c>
      <c r="AR88" s="127" t="str">
        <f t="shared" si="17"/>
        <v>Love of My Life.3.mid</v>
      </c>
      <c r="AS88" s="128" t="str">
        <f t="shared" si="18"/>
        <v>Love of My Life.3</v>
      </c>
      <c r="AT88" s="122"/>
      <c r="AU88" s="125">
        <v>14.0</v>
      </c>
      <c r="AV88" s="126" t="s">
        <v>1043</v>
      </c>
      <c r="AW88" s="127" t="str">
        <f t="shared" si="19"/>
        <v>I Can't Live With You.1.mid</v>
      </c>
      <c r="AX88" s="128" t="str">
        <f t="shared" si="20"/>
        <v>I Can't Live With You.1</v>
      </c>
      <c r="AY88" s="122"/>
    </row>
    <row r="89" ht="15.75" customHeight="1">
      <c r="A89" s="124"/>
      <c r="B89" s="125">
        <v>0.0</v>
      </c>
      <c r="C89" s="126" t="s">
        <v>1160</v>
      </c>
      <c r="D89" s="127" t="str">
        <f t="shared" si="1"/>
        <v>Killer Queen.1.mid</v>
      </c>
      <c r="E89" s="128" t="str">
        <f t="shared" si="2"/>
        <v>Killer Queen.1</v>
      </c>
      <c r="F89" s="122"/>
      <c r="G89" s="125">
        <v>0.0</v>
      </c>
      <c r="H89" s="126" t="s">
        <v>1161</v>
      </c>
      <c r="I89" s="127" t="str">
        <f t="shared" si="3"/>
        <v>Killer Queen.3.mid</v>
      </c>
      <c r="J89" s="128" t="str">
        <f t="shared" si="4"/>
        <v>Killer Queen.3</v>
      </c>
      <c r="K89" s="122"/>
      <c r="L89" s="125">
        <v>0.0</v>
      </c>
      <c r="M89" s="126" t="s">
        <v>1163</v>
      </c>
      <c r="N89" s="127" t="str">
        <f t="shared" si="5"/>
        <v>Killer Queen.4.mid</v>
      </c>
      <c r="O89" s="128" t="str">
        <f t="shared" si="6"/>
        <v>Killer Queen.4</v>
      </c>
      <c r="P89" s="122"/>
      <c r="Q89" s="125">
        <v>0.0</v>
      </c>
      <c r="R89" s="126" t="s">
        <v>1165</v>
      </c>
      <c r="S89" s="127" t="str">
        <f t="shared" si="7"/>
        <v>Killer Queen.mid</v>
      </c>
      <c r="T89" s="128" t="str">
        <f t="shared" si="8"/>
        <v>Killer Queen</v>
      </c>
      <c r="U89" s="122"/>
      <c r="V89" s="125">
        <v>0.0</v>
      </c>
      <c r="W89" s="126" t="s">
        <v>1163</v>
      </c>
      <c r="X89" s="127" t="str">
        <f t="shared" si="9"/>
        <v>Killer Queen.4.mid</v>
      </c>
      <c r="Y89" s="128" t="str">
        <f t="shared" si="10"/>
        <v>Killer Queen.4</v>
      </c>
      <c r="Z89" s="122"/>
      <c r="AA89" s="125">
        <v>1.0</v>
      </c>
      <c r="AB89" s="126" t="s">
        <v>1095</v>
      </c>
      <c r="AC89" s="127" t="str">
        <f t="shared" si="11"/>
        <v>Love of My Life.2.mid</v>
      </c>
      <c r="AD89" s="128" t="str">
        <f t="shared" si="12"/>
        <v>Love of My Life.2</v>
      </c>
      <c r="AE89" s="122"/>
      <c r="AF89" s="125">
        <v>9.0</v>
      </c>
      <c r="AG89" s="126" t="s">
        <v>1158</v>
      </c>
      <c r="AH89" s="127" t="str">
        <f t="shared" si="13"/>
        <v>It's a Hard Life.2.mid</v>
      </c>
      <c r="AI89" s="128" t="str">
        <f t="shared" si="14"/>
        <v>It's a Hard Life.2</v>
      </c>
      <c r="AJ89" s="122"/>
      <c r="AK89" s="125">
        <v>9.0</v>
      </c>
      <c r="AL89" s="126" t="s">
        <v>1158</v>
      </c>
      <c r="AM89" s="127" t="str">
        <f t="shared" si="15"/>
        <v>It's a Hard Life.2.mid</v>
      </c>
      <c r="AN89" s="128" t="str">
        <f t="shared" si="16"/>
        <v>It's a Hard Life.2</v>
      </c>
      <c r="AO89" s="122"/>
      <c r="AP89" s="125">
        <v>28.0</v>
      </c>
      <c r="AQ89" s="126" t="s">
        <v>1125</v>
      </c>
      <c r="AR89" s="127" t="str">
        <f t="shared" si="17"/>
        <v>Friends Will Be Friends.5.mid</v>
      </c>
      <c r="AS89" s="128" t="str">
        <f t="shared" si="18"/>
        <v>Friends Will Be Friends.5</v>
      </c>
      <c r="AT89" s="122"/>
      <c r="AU89" s="125">
        <v>14.0</v>
      </c>
      <c r="AV89" s="126" t="s">
        <v>1061</v>
      </c>
      <c r="AW89" s="127" t="str">
        <f t="shared" si="19"/>
        <v>I Want It All.1.mid</v>
      </c>
      <c r="AX89" s="128" t="str">
        <f t="shared" si="20"/>
        <v>I Want It All.1</v>
      </c>
      <c r="AY89" s="122"/>
    </row>
    <row r="90" ht="15.75" customHeight="1">
      <c r="A90" s="124"/>
      <c r="B90" s="125">
        <v>0.0</v>
      </c>
      <c r="C90" s="126" t="s">
        <v>1130</v>
      </c>
      <c r="D90" s="127" t="str">
        <f t="shared" si="1"/>
        <v>Killer Queen.2.mid</v>
      </c>
      <c r="E90" s="128" t="str">
        <f t="shared" si="2"/>
        <v>Killer Queen.2</v>
      </c>
      <c r="F90" s="122"/>
      <c r="G90" s="125">
        <v>0.0</v>
      </c>
      <c r="H90" s="126" t="s">
        <v>1163</v>
      </c>
      <c r="I90" s="127" t="str">
        <f t="shared" si="3"/>
        <v>Killer Queen.4.mid</v>
      </c>
      <c r="J90" s="128" t="str">
        <f t="shared" si="4"/>
        <v>Killer Queen.4</v>
      </c>
      <c r="K90" s="122"/>
      <c r="L90" s="125">
        <v>0.0</v>
      </c>
      <c r="M90" s="126" t="s">
        <v>1162</v>
      </c>
      <c r="N90" s="127" t="str">
        <f t="shared" si="5"/>
        <v>Killer Queen.5.mid</v>
      </c>
      <c r="O90" s="128" t="str">
        <f t="shared" si="6"/>
        <v>Killer Queen.5</v>
      </c>
      <c r="P90" s="122"/>
      <c r="Q90" s="125">
        <v>0.0</v>
      </c>
      <c r="R90" s="126" t="s">
        <v>1091</v>
      </c>
      <c r="S90" s="127" t="str">
        <f t="shared" si="7"/>
        <v>Lily of the Valley.mid</v>
      </c>
      <c r="T90" s="128" t="str">
        <f t="shared" si="8"/>
        <v>Lily of the Valley</v>
      </c>
      <c r="U90" s="122"/>
      <c r="V90" s="125">
        <v>0.0</v>
      </c>
      <c r="W90" s="126" t="s">
        <v>1162</v>
      </c>
      <c r="X90" s="127" t="str">
        <f t="shared" si="9"/>
        <v>Killer Queen.5.mid</v>
      </c>
      <c r="Y90" s="128" t="str">
        <f t="shared" si="10"/>
        <v>Killer Queen.5</v>
      </c>
      <c r="Z90" s="122"/>
      <c r="AA90" s="125">
        <v>1.0</v>
      </c>
      <c r="AB90" s="126" t="s">
        <v>1098</v>
      </c>
      <c r="AC90" s="127" t="str">
        <f t="shared" si="11"/>
        <v>Love of My Life.mid</v>
      </c>
      <c r="AD90" s="128" t="str">
        <f t="shared" si="12"/>
        <v>Love of My Life</v>
      </c>
      <c r="AE90" s="122"/>
      <c r="AF90" s="125">
        <v>9.0</v>
      </c>
      <c r="AG90" s="126" t="s">
        <v>1141</v>
      </c>
      <c r="AH90" s="127" t="str">
        <f t="shared" si="13"/>
        <v>It's a Hard Life.mid</v>
      </c>
      <c r="AI90" s="128" t="str">
        <f t="shared" si="14"/>
        <v>It's a Hard Life</v>
      </c>
      <c r="AJ90" s="122"/>
      <c r="AK90" s="125">
        <v>9.0</v>
      </c>
      <c r="AL90" s="126" t="s">
        <v>1141</v>
      </c>
      <c r="AM90" s="127" t="str">
        <f t="shared" si="15"/>
        <v>It's a Hard Life.mid</v>
      </c>
      <c r="AN90" s="128" t="str">
        <f t="shared" si="16"/>
        <v>It's a Hard Life</v>
      </c>
      <c r="AO90" s="122"/>
      <c r="AP90" s="125">
        <v>28.0</v>
      </c>
      <c r="AQ90" s="126" t="s">
        <v>1168</v>
      </c>
      <c r="AR90" s="127" t="str">
        <f t="shared" si="17"/>
        <v>My Life Has Been Saved.1.mid</v>
      </c>
      <c r="AS90" s="128" t="str">
        <f t="shared" si="18"/>
        <v>My Life Has Been Saved.1</v>
      </c>
      <c r="AT90" s="122"/>
      <c r="AU90" s="125">
        <v>14.0</v>
      </c>
      <c r="AV90" s="126" t="s">
        <v>1145</v>
      </c>
      <c r="AW90" s="127" t="str">
        <f t="shared" si="19"/>
        <v>I Want It All.mid</v>
      </c>
      <c r="AX90" s="128" t="str">
        <f t="shared" si="20"/>
        <v>I Want It All</v>
      </c>
      <c r="AY90" s="122"/>
    </row>
    <row r="91" ht="15.75" customHeight="1">
      <c r="A91" s="124"/>
      <c r="B91" s="125">
        <v>0.0</v>
      </c>
      <c r="C91" s="126" t="s">
        <v>1161</v>
      </c>
      <c r="D91" s="127" t="str">
        <f t="shared" si="1"/>
        <v>Killer Queen.3.mid</v>
      </c>
      <c r="E91" s="128" t="str">
        <f t="shared" si="2"/>
        <v>Killer Queen.3</v>
      </c>
      <c r="F91" s="122"/>
      <c r="G91" s="125">
        <v>0.0</v>
      </c>
      <c r="H91" s="126" t="s">
        <v>1162</v>
      </c>
      <c r="I91" s="127" t="str">
        <f t="shared" si="3"/>
        <v>Killer Queen.5.mid</v>
      </c>
      <c r="J91" s="128" t="str">
        <f t="shared" si="4"/>
        <v>Killer Queen.5</v>
      </c>
      <c r="K91" s="122"/>
      <c r="L91" s="125">
        <v>0.0</v>
      </c>
      <c r="M91" s="126" t="s">
        <v>1068</v>
      </c>
      <c r="N91" s="127" t="str">
        <f t="shared" si="5"/>
        <v>Killer Queen.6.mid</v>
      </c>
      <c r="O91" s="128" t="str">
        <f t="shared" si="6"/>
        <v>Killer Queen.6</v>
      </c>
      <c r="P91" s="122"/>
      <c r="Q91" s="125">
        <v>0.0</v>
      </c>
      <c r="R91" s="126" t="s">
        <v>1093</v>
      </c>
      <c r="S91" s="127" t="str">
        <f t="shared" si="7"/>
        <v>Living on My Own.mid</v>
      </c>
      <c r="T91" s="128" t="str">
        <f t="shared" si="8"/>
        <v>Living on My Own</v>
      </c>
      <c r="U91" s="122"/>
      <c r="V91" s="125">
        <v>0.0</v>
      </c>
      <c r="W91" s="126" t="s">
        <v>1068</v>
      </c>
      <c r="X91" s="127" t="str">
        <f t="shared" si="9"/>
        <v>Killer Queen.6.mid</v>
      </c>
      <c r="Y91" s="128" t="str">
        <f t="shared" si="10"/>
        <v>Killer Queen.6</v>
      </c>
      <c r="Z91" s="122"/>
      <c r="AA91" s="125">
        <v>1.0</v>
      </c>
      <c r="AB91" s="126" t="s">
        <v>1169</v>
      </c>
      <c r="AC91" s="127" t="str">
        <f t="shared" si="11"/>
        <v>Made in Heaven.mid</v>
      </c>
      <c r="AD91" s="128" t="str">
        <f t="shared" si="12"/>
        <v>Made in Heaven</v>
      </c>
      <c r="AE91" s="122"/>
      <c r="AF91" s="125">
        <v>9.0</v>
      </c>
      <c r="AG91" s="126" t="s">
        <v>1159</v>
      </c>
      <c r="AH91" s="127" t="str">
        <f t="shared" si="13"/>
        <v>Keep Yourself Alive.mid</v>
      </c>
      <c r="AI91" s="128" t="str">
        <f t="shared" si="14"/>
        <v>Keep Yourself Alive</v>
      </c>
      <c r="AJ91" s="122"/>
      <c r="AK91" s="125">
        <v>9.0</v>
      </c>
      <c r="AL91" s="126" t="s">
        <v>1159</v>
      </c>
      <c r="AM91" s="127" t="str">
        <f t="shared" si="15"/>
        <v>Keep Yourself Alive.mid</v>
      </c>
      <c r="AN91" s="128" t="str">
        <f t="shared" si="16"/>
        <v>Keep Yourself Alive</v>
      </c>
      <c r="AO91" s="122"/>
      <c r="AP91" s="125">
        <v>28.0</v>
      </c>
      <c r="AQ91" s="126" t="s">
        <v>1170</v>
      </c>
      <c r="AR91" s="127" t="str">
        <f t="shared" si="17"/>
        <v>Under Pressure.3.mid</v>
      </c>
      <c r="AS91" s="128" t="str">
        <f t="shared" si="18"/>
        <v>Under Pressure.3</v>
      </c>
      <c r="AT91" s="122"/>
      <c r="AU91" s="125">
        <v>14.0</v>
      </c>
      <c r="AV91" s="126" t="s">
        <v>1126</v>
      </c>
      <c r="AW91" s="127" t="str">
        <f t="shared" si="19"/>
        <v>I Want to Break Free.mid</v>
      </c>
      <c r="AX91" s="128" t="str">
        <f t="shared" si="20"/>
        <v>I Want to Break Free</v>
      </c>
      <c r="AY91" s="122"/>
    </row>
    <row r="92" ht="15.75" customHeight="1">
      <c r="A92" s="124"/>
      <c r="B92" s="125">
        <v>0.0</v>
      </c>
      <c r="C92" s="126" t="s">
        <v>1163</v>
      </c>
      <c r="D92" s="127" t="str">
        <f t="shared" si="1"/>
        <v>Killer Queen.4.mid</v>
      </c>
      <c r="E92" s="128" t="str">
        <f t="shared" si="2"/>
        <v>Killer Queen.4</v>
      </c>
      <c r="F92" s="122"/>
      <c r="G92" s="125">
        <v>0.0</v>
      </c>
      <c r="H92" s="126" t="s">
        <v>1068</v>
      </c>
      <c r="I92" s="127" t="str">
        <f t="shared" si="3"/>
        <v>Killer Queen.6.mid</v>
      </c>
      <c r="J92" s="128" t="str">
        <f t="shared" si="4"/>
        <v>Killer Queen.6</v>
      </c>
      <c r="K92" s="122"/>
      <c r="L92" s="125">
        <v>0.0</v>
      </c>
      <c r="M92" s="126" t="s">
        <v>1165</v>
      </c>
      <c r="N92" s="127" t="str">
        <f t="shared" si="5"/>
        <v>Killer Queen.mid</v>
      </c>
      <c r="O92" s="128" t="str">
        <f t="shared" si="6"/>
        <v>Killer Queen</v>
      </c>
      <c r="P92" s="122"/>
      <c r="Q92" s="125">
        <v>0.0</v>
      </c>
      <c r="R92" s="126" t="s">
        <v>1167</v>
      </c>
      <c r="S92" s="127" t="str">
        <f t="shared" si="7"/>
        <v>Love of My Life.1.mid</v>
      </c>
      <c r="T92" s="128" t="str">
        <f t="shared" si="8"/>
        <v>Love of My Life.1</v>
      </c>
      <c r="U92" s="122"/>
      <c r="V92" s="125">
        <v>0.0</v>
      </c>
      <c r="W92" s="126" t="s">
        <v>1165</v>
      </c>
      <c r="X92" s="127" t="str">
        <f t="shared" si="9"/>
        <v>Killer Queen.mid</v>
      </c>
      <c r="Y92" s="128" t="str">
        <f t="shared" si="10"/>
        <v>Killer Queen</v>
      </c>
      <c r="Z92" s="122"/>
      <c r="AA92" s="125">
        <v>1.0</v>
      </c>
      <c r="AB92" s="126" t="s">
        <v>1171</v>
      </c>
      <c r="AC92" s="127" t="str">
        <f t="shared" si="11"/>
        <v>Mother Love.mid</v>
      </c>
      <c r="AD92" s="128" t="str">
        <f t="shared" si="12"/>
        <v>Mother Love</v>
      </c>
      <c r="AE92" s="122"/>
      <c r="AF92" s="125">
        <v>9.0</v>
      </c>
      <c r="AG92" s="126" t="s">
        <v>1160</v>
      </c>
      <c r="AH92" s="127" t="str">
        <f t="shared" si="13"/>
        <v>Killer Queen.1.mid</v>
      </c>
      <c r="AI92" s="128" t="str">
        <f t="shared" si="14"/>
        <v>Killer Queen.1</v>
      </c>
      <c r="AJ92" s="122"/>
      <c r="AK92" s="125">
        <v>9.0</v>
      </c>
      <c r="AL92" s="126" t="s">
        <v>1160</v>
      </c>
      <c r="AM92" s="127" t="str">
        <f t="shared" si="15"/>
        <v>Killer Queen.1.mid</v>
      </c>
      <c r="AN92" s="128" t="str">
        <f t="shared" si="16"/>
        <v>Killer Queen.1</v>
      </c>
      <c r="AO92" s="122"/>
      <c r="AP92" s="125">
        <v>29.0</v>
      </c>
      <c r="AQ92" s="126" t="s">
        <v>1099</v>
      </c>
      <c r="AR92" s="127" t="str">
        <f t="shared" si="17"/>
        <v>My Melancholy Blues.mid</v>
      </c>
      <c r="AS92" s="128" t="str">
        <f t="shared" si="18"/>
        <v>My Melancholy Blues</v>
      </c>
      <c r="AT92" s="122"/>
      <c r="AU92" s="125">
        <v>14.0</v>
      </c>
      <c r="AV92" s="126" t="s">
        <v>1150</v>
      </c>
      <c r="AW92" s="127" t="str">
        <f t="shared" si="19"/>
        <v>I Was Born to Love You.mid</v>
      </c>
      <c r="AX92" s="128" t="str">
        <f t="shared" si="20"/>
        <v>I Was Born to Love You</v>
      </c>
      <c r="AY92" s="122"/>
    </row>
    <row r="93" ht="15.75" customHeight="1">
      <c r="A93" s="124"/>
      <c r="B93" s="125">
        <v>0.0</v>
      </c>
      <c r="C93" s="126" t="s">
        <v>1162</v>
      </c>
      <c r="D93" s="127" t="str">
        <f t="shared" si="1"/>
        <v>Killer Queen.5.mid</v>
      </c>
      <c r="E93" s="128" t="str">
        <f t="shared" si="2"/>
        <v>Killer Queen.5</v>
      </c>
      <c r="F93" s="122"/>
      <c r="G93" s="125">
        <v>0.0</v>
      </c>
      <c r="H93" s="126" t="s">
        <v>1165</v>
      </c>
      <c r="I93" s="127" t="str">
        <f t="shared" si="3"/>
        <v>Killer Queen.mid</v>
      </c>
      <c r="J93" s="128" t="str">
        <f t="shared" si="4"/>
        <v>Killer Queen</v>
      </c>
      <c r="K93" s="122"/>
      <c r="L93" s="125">
        <v>0.0</v>
      </c>
      <c r="M93" s="126" t="s">
        <v>1091</v>
      </c>
      <c r="N93" s="127" t="str">
        <f t="shared" si="5"/>
        <v>Lily of the Valley.mid</v>
      </c>
      <c r="O93" s="128" t="str">
        <f t="shared" si="6"/>
        <v>Lily of the Valley</v>
      </c>
      <c r="P93" s="122"/>
      <c r="Q93" s="125">
        <v>0.0</v>
      </c>
      <c r="R93" s="126" t="s">
        <v>1095</v>
      </c>
      <c r="S93" s="127" t="str">
        <f t="shared" si="7"/>
        <v>Love of My Life.2.mid</v>
      </c>
      <c r="T93" s="128" t="str">
        <f t="shared" si="8"/>
        <v>Love of My Life.2</v>
      </c>
      <c r="U93" s="122"/>
      <c r="V93" s="125">
        <v>0.0</v>
      </c>
      <c r="W93" s="126" t="s">
        <v>1091</v>
      </c>
      <c r="X93" s="127" t="str">
        <f t="shared" si="9"/>
        <v>Lily of the Valley.mid</v>
      </c>
      <c r="Y93" s="128" t="str">
        <f t="shared" si="10"/>
        <v>Lily of the Valley</v>
      </c>
      <c r="Z93" s="122"/>
      <c r="AA93" s="125">
        <v>1.0</v>
      </c>
      <c r="AB93" s="126" t="s">
        <v>1168</v>
      </c>
      <c r="AC93" s="127" t="str">
        <f t="shared" si="11"/>
        <v>My Life Has Been Saved.1.mid</v>
      </c>
      <c r="AD93" s="128" t="str">
        <f t="shared" si="12"/>
        <v>My Life Has Been Saved.1</v>
      </c>
      <c r="AE93" s="122"/>
      <c r="AF93" s="125">
        <v>9.0</v>
      </c>
      <c r="AG93" s="126" t="s">
        <v>1130</v>
      </c>
      <c r="AH93" s="127" t="str">
        <f t="shared" si="13"/>
        <v>Killer Queen.2.mid</v>
      </c>
      <c r="AI93" s="128" t="str">
        <f t="shared" si="14"/>
        <v>Killer Queen.2</v>
      </c>
      <c r="AJ93" s="122"/>
      <c r="AK93" s="125">
        <v>9.0</v>
      </c>
      <c r="AL93" s="126" t="s">
        <v>1130</v>
      </c>
      <c r="AM93" s="127" t="str">
        <f t="shared" si="15"/>
        <v>Killer Queen.2.mid</v>
      </c>
      <c r="AN93" s="128" t="str">
        <f t="shared" si="16"/>
        <v>Killer Queen.2</v>
      </c>
      <c r="AO93" s="122"/>
      <c r="AP93" s="125">
        <v>30.0</v>
      </c>
      <c r="AQ93" s="126" t="s">
        <v>1172</v>
      </c>
      <c r="AR93" s="127" t="str">
        <f t="shared" si="17"/>
        <v>One Year of Love.1.mid</v>
      </c>
      <c r="AS93" s="128" t="str">
        <f t="shared" si="18"/>
        <v>One Year of Love.1</v>
      </c>
      <c r="AT93" s="122"/>
      <c r="AU93" s="125">
        <v>14.0</v>
      </c>
      <c r="AV93" s="126" t="s">
        <v>1045</v>
      </c>
      <c r="AW93" s="127" t="str">
        <f t="shared" si="19"/>
        <v>I'm Going Slightly Mad.1.mid</v>
      </c>
      <c r="AX93" s="128" t="str">
        <f t="shared" si="20"/>
        <v>I'm Going Slightly Mad.1</v>
      </c>
      <c r="AY93" s="122"/>
    </row>
    <row r="94" ht="15.75" customHeight="1">
      <c r="A94" s="124"/>
      <c r="B94" s="125">
        <v>0.0</v>
      </c>
      <c r="C94" s="126" t="s">
        <v>1068</v>
      </c>
      <c r="D94" s="127" t="str">
        <f t="shared" si="1"/>
        <v>Killer Queen.6.mid</v>
      </c>
      <c r="E94" s="128" t="str">
        <f t="shared" si="2"/>
        <v>Killer Queen.6</v>
      </c>
      <c r="F94" s="122"/>
      <c r="G94" s="125">
        <v>0.0</v>
      </c>
      <c r="H94" s="126" t="s">
        <v>1091</v>
      </c>
      <c r="I94" s="127" t="str">
        <f t="shared" si="3"/>
        <v>Lily of the Valley.mid</v>
      </c>
      <c r="J94" s="128" t="str">
        <f t="shared" si="4"/>
        <v>Lily of the Valley</v>
      </c>
      <c r="K94" s="122"/>
      <c r="L94" s="125">
        <v>0.0</v>
      </c>
      <c r="M94" s="126" t="s">
        <v>1093</v>
      </c>
      <c r="N94" s="127" t="str">
        <f t="shared" si="5"/>
        <v>Living on My Own.mid</v>
      </c>
      <c r="O94" s="128" t="str">
        <f t="shared" si="6"/>
        <v>Living on My Own</v>
      </c>
      <c r="P94" s="122"/>
      <c r="Q94" s="125">
        <v>0.0</v>
      </c>
      <c r="R94" s="126" t="s">
        <v>1098</v>
      </c>
      <c r="S94" s="127" t="str">
        <f t="shared" si="7"/>
        <v>Love of My Life.mid</v>
      </c>
      <c r="T94" s="128" t="str">
        <f t="shared" si="8"/>
        <v>Love of My Life</v>
      </c>
      <c r="U94" s="122"/>
      <c r="V94" s="125">
        <v>0.0</v>
      </c>
      <c r="W94" s="126" t="s">
        <v>1093</v>
      </c>
      <c r="X94" s="127" t="str">
        <f t="shared" si="9"/>
        <v>Living on My Own.mid</v>
      </c>
      <c r="Y94" s="128" t="str">
        <f t="shared" si="10"/>
        <v>Living on My Own</v>
      </c>
      <c r="Z94" s="122"/>
      <c r="AA94" s="125">
        <v>1.0</v>
      </c>
      <c r="AB94" s="126" t="s">
        <v>1173</v>
      </c>
      <c r="AC94" s="127" t="str">
        <f t="shared" si="11"/>
        <v>My Life Has Been Saved.mid</v>
      </c>
      <c r="AD94" s="128" t="str">
        <f t="shared" si="12"/>
        <v>My Life Has Been Saved</v>
      </c>
      <c r="AE94" s="122"/>
      <c r="AF94" s="125">
        <v>9.0</v>
      </c>
      <c r="AG94" s="126" t="s">
        <v>1161</v>
      </c>
      <c r="AH94" s="127" t="str">
        <f t="shared" si="13"/>
        <v>Killer Queen.3.mid</v>
      </c>
      <c r="AI94" s="128" t="str">
        <f t="shared" si="14"/>
        <v>Killer Queen.3</v>
      </c>
      <c r="AJ94" s="122"/>
      <c r="AK94" s="125">
        <v>9.0</v>
      </c>
      <c r="AL94" s="126" t="s">
        <v>1161</v>
      </c>
      <c r="AM94" s="127" t="str">
        <f t="shared" si="15"/>
        <v>Killer Queen.3.mid</v>
      </c>
      <c r="AN94" s="128" t="str">
        <f t="shared" si="16"/>
        <v>Killer Queen.3</v>
      </c>
      <c r="AO94" s="122"/>
      <c r="AP94" s="125">
        <v>30.0</v>
      </c>
      <c r="AQ94" s="126" t="s">
        <v>1174</v>
      </c>
      <c r="AR94" s="127" t="str">
        <f t="shared" si="17"/>
        <v>Radio Ga Ga.6.mid</v>
      </c>
      <c r="AS94" s="128" t="str">
        <f t="shared" si="18"/>
        <v>Radio Ga Ga.6</v>
      </c>
      <c r="AT94" s="122"/>
      <c r="AU94" s="125">
        <v>14.0</v>
      </c>
      <c r="AV94" s="126" t="s">
        <v>1147</v>
      </c>
      <c r="AW94" s="127" t="str">
        <f t="shared" si="19"/>
        <v>I'm Going Slightly Mad.2.mid</v>
      </c>
      <c r="AX94" s="128" t="str">
        <f t="shared" si="20"/>
        <v>I'm Going Slightly Mad.2</v>
      </c>
      <c r="AY94" s="122"/>
    </row>
    <row r="95" ht="15.75" customHeight="1">
      <c r="A95" s="124"/>
      <c r="B95" s="125">
        <v>0.0</v>
      </c>
      <c r="C95" s="126" t="s">
        <v>1165</v>
      </c>
      <c r="D95" s="127" t="str">
        <f t="shared" si="1"/>
        <v>Killer Queen.mid</v>
      </c>
      <c r="E95" s="128" t="str">
        <f t="shared" si="2"/>
        <v>Killer Queen</v>
      </c>
      <c r="F95" s="122"/>
      <c r="G95" s="125">
        <v>0.0</v>
      </c>
      <c r="H95" s="126" t="s">
        <v>1093</v>
      </c>
      <c r="I95" s="127" t="str">
        <f t="shared" si="3"/>
        <v>Living on My Own.mid</v>
      </c>
      <c r="J95" s="128" t="str">
        <f t="shared" si="4"/>
        <v>Living on My Own</v>
      </c>
      <c r="K95" s="122"/>
      <c r="L95" s="125">
        <v>0.0</v>
      </c>
      <c r="M95" s="126" t="s">
        <v>1167</v>
      </c>
      <c r="N95" s="127" t="str">
        <f t="shared" si="5"/>
        <v>Love of My Life.1.mid</v>
      </c>
      <c r="O95" s="128" t="str">
        <f t="shared" si="6"/>
        <v>Love of My Life.1</v>
      </c>
      <c r="P95" s="122"/>
      <c r="Q95" s="125">
        <v>0.0</v>
      </c>
      <c r="R95" s="126" t="s">
        <v>1169</v>
      </c>
      <c r="S95" s="127" t="str">
        <f t="shared" si="7"/>
        <v>Made in Heaven.mid</v>
      </c>
      <c r="T95" s="128" t="str">
        <f t="shared" si="8"/>
        <v>Made in Heaven</v>
      </c>
      <c r="U95" s="122"/>
      <c r="V95" s="125">
        <v>0.0</v>
      </c>
      <c r="W95" s="126" t="s">
        <v>1167</v>
      </c>
      <c r="X95" s="127" t="str">
        <f t="shared" si="9"/>
        <v>Love of My Life.1.mid</v>
      </c>
      <c r="Y95" s="128" t="str">
        <f t="shared" si="10"/>
        <v>Love of My Life.1</v>
      </c>
      <c r="Z95" s="122"/>
      <c r="AA95" s="125">
        <v>1.0</v>
      </c>
      <c r="AB95" s="126" t="s">
        <v>1099</v>
      </c>
      <c r="AC95" s="127" t="str">
        <f t="shared" si="11"/>
        <v>My Melancholy Blues.mid</v>
      </c>
      <c r="AD95" s="128" t="str">
        <f t="shared" si="12"/>
        <v>My Melancholy Blues</v>
      </c>
      <c r="AE95" s="122"/>
      <c r="AF95" s="125">
        <v>9.0</v>
      </c>
      <c r="AG95" s="126" t="s">
        <v>1163</v>
      </c>
      <c r="AH95" s="127" t="str">
        <f t="shared" si="13"/>
        <v>Killer Queen.4.mid</v>
      </c>
      <c r="AI95" s="128" t="str">
        <f t="shared" si="14"/>
        <v>Killer Queen.4</v>
      </c>
      <c r="AJ95" s="122"/>
      <c r="AK95" s="125">
        <v>9.0</v>
      </c>
      <c r="AL95" s="126" t="s">
        <v>1163</v>
      </c>
      <c r="AM95" s="127" t="str">
        <f t="shared" si="15"/>
        <v>Killer Queen.4.mid</v>
      </c>
      <c r="AN95" s="128" t="str">
        <f t="shared" si="16"/>
        <v>Killer Queen.4</v>
      </c>
      <c r="AO95" s="122"/>
      <c r="AP95" s="125">
        <v>30.0</v>
      </c>
      <c r="AQ95" s="126" t="s">
        <v>1175</v>
      </c>
      <c r="AR95" s="127" t="str">
        <f t="shared" si="17"/>
        <v>Who Wants to Live Forever.1.mid</v>
      </c>
      <c r="AS95" s="128" t="str">
        <f t="shared" si="18"/>
        <v>Who Wants to Live Forever.1</v>
      </c>
      <c r="AT95" s="122"/>
      <c r="AU95" s="125">
        <v>14.0</v>
      </c>
      <c r="AV95" s="126" t="s">
        <v>1151</v>
      </c>
      <c r="AW95" s="127" t="str">
        <f t="shared" si="19"/>
        <v>I'm Going Slightly Mad.mid</v>
      </c>
      <c r="AX95" s="128" t="str">
        <f t="shared" si="20"/>
        <v>I'm Going Slightly Mad</v>
      </c>
      <c r="AY95" s="122"/>
    </row>
    <row r="96" ht="15.75" customHeight="1">
      <c r="A96" s="124"/>
      <c r="B96" s="125">
        <v>0.0</v>
      </c>
      <c r="C96" s="126" t="s">
        <v>1091</v>
      </c>
      <c r="D96" s="127" t="str">
        <f t="shared" si="1"/>
        <v>Lily of the Valley.mid</v>
      </c>
      <c r="E96" s="128" t="str">
        <f t="shared" si="2"/>
        <v>Lily of the Valley</v>
      </c>
      <c r="F96" s="122"/>
      <c r="G96" s="125">
        <v>0.0</v>
      </c>
      <c r="H96" s="126" t="s">
        <v>1167</v>
      </c>
      <c r="I96" s="127" t="str">
        <f t="shared" si="3"/>
        <v>Love of My Life.1.mid</v>
      </c>
      <c r="J96" s="128" t="str">
        <f t="shared" si="4"/>
        <v>Love of My Life.1</v>
      </c>
      <c r="K96" s="122"/>
      <c r="L96" s="125">
        <v>0.0</v>
      </c>
      <c r="M96" s="126" t="s">
        <v>1095</v>
      </c>
      <c r="N96" s="127" t="str">
        <f t="shared" si="5"/>
        <v>Love of My Life.2.mid</v>
      </c>
      <c r="O96" s="128" t="str">
        <f t="shared" si="6"/>
        <v>Love of My Life.2</v>
      </c>
      <c r="P96" s="122"/>
      <c r="Q96" s="125">
        <v>0.0</v>
      </c>
      <c r="R96" s="126" t="s">
        <v>1171</v>
      </c>
      <c r="S96" s="127" t="str">
        <f t="shared" si="7"/>
        <v>Mother Love.mid</v>
      </c>
      <c r="T96" s="128" t="str">
        <f t="shared" si="8"/>
        <v>Mother Love</v>
      </c>
      <c r="U96" s="122"/>
      <c r="V96" s="125">
        <v>0.0</v>
      </c>
      <c r="W96" s="126" t="s">
        <v>1095</v>
      </c>
      <c r="X96" s="127" t="str">
        <f t="shared" si="9"/>
        <v>Love of My Life.2.mid</v>
      </c>
      <c r="Y96" s="128" t="str">
        <f t="shared" si="10"/>
        <v>Love of My Life.2</v>
      </c>
      <c r="Z96" s="122"/>
      <c r="AA96" s="125">
        <v>1.0</v>
      </c>
      <c r="AB96" s="126" t="s">
        <v>1176</v>
      </c>
      <c r="AC96" s="127" t="str">
        <f t="shared" si="11"/>
        <v>Never More.mid</v>
      </c>
      <c r="AD96" s="128" t="str">
        <f t="shared" si="12"/>
        <v>Never More</v>
      </c>
      <c r="AE96" s="122"/>
      <c r="AF96" s="125">
        <v>9.0</v>
      </c>
      <c r="AG96" s="126" t="s">
        <v>1162</v>
      </c>
      <c r="AH96" s="127" t="str">
        <f t="shared" si="13"/>
        <v>Killer Queen.5.mid</v>
      </c>
      <c r="AI96" s="128" t="str">
        <f t="shared" si="14"/>
        <v>Killer Queen.5</v>
      </c>
      <c r="AJ96" s="122"/>
      <c r="AK96" s="125">
        <v>9.0</v>
      </c>
      <c r="AL96" s="126" t="s">
        <v>1162</v>
      </c>
      <c r="AM96" s="127" t="str">
        <f t="shared" si="15"/>
        <v>Killer Queen.5.mid</v>
      </c>
      <c r="AN96" s="128" t="str">
        <f t="shared" si="16"/>
        <v>Killer Queen.5</v>
      </c>
      <c r="AO96" s="122"/>
      <c r="AP96" s="125">
        <v>31.0</v>
      </c>
      <c r="AQ96" s="126" t="s">
        <v>1124</v>
      </c>
      <c r="AR96" s="127" t="str">
        <f t="shared" si="17"/>
        <v>Procession.mid</v>
      </c>
      <c r="AS96" s="128" t="str">
        <f t="shared" si="18"/>
        <v>Procession</v>
      </c>
      <c r="AT96" s="122"/>
      <c r="AU96" s="125">
        <v>14.0</v>
      </c>
      <c r="AV96" s="126" t="s">
        <v>1152</v>
      </c>
      <c r="AW96" s="127" t="str">
        <f t="shared" si="19"/>
        <v>In Only Seven Days.mid</v>
      </c>
      <c r="AX96" s="128" t="str">
        <f t="shared" si="20"/>
        <v>In Only Seven Days</v>
      </c>
      <c r="AY96" s="122"/>
    </row>
    <row r="97" ht="15.75" customHeight="1">
      <c r="A97" s="124"/>
      <c r="B97" s="125">
        <v>0.0</v>
      </c>
      <c r="C97" s="126" t="s">
        <v>1093</v>
      </c>
      <c r="D97" s="127" t="str">
        <f t="shared" si="1"/>
        <v>Living on My Own.mid</v>
      </c>
      <c r="E97" s="128" t="str">
        <f t="shared" si="2"/>
        <v>Living on My Own</v>
      </c>
      <c r="F97" s="122"/>
      <c r="G97" s="125">
        <v>0.0</v>
      </c>
      <c r="H97" s="126" t="s">
        <v>1095</v>
      </c>
      <c r="I97" s="127" t="str">
        <f t="shared" si="3"/>
        <v>Love of My Life.2.mid</v>
      </c>
      <c r="J97" s="128" t="str">
        <f t="shared" si="4"/>
        <v>Love of My Life.2</v>
      </c>
      <c r="K97" s="122"/>
      <c r="L97" s="125">
        <v>0.0</v>
      </c>
      <c r="M97" s="126" t="s">
        <v>1122</v>
      </c>
      <c r="N97" s="127" t="str">
        <f t="shared" si="5"/>
        <v>Love of My Life.3.mid</v>
      </c>
      <c r="O97" s="128" t="str">
        <f t="shared" si="6"/>
        <v>Love of My Life.3</v>
      </c>
      <c r="P97" s="122"/>
      <c r="Q97" s="125">
        <v>0.0</v>
      </c>
      <c r="R97" s="126" t="s">
        <v>1168</v>
      </c>
      <c r="S97" s="127" t="str">
        <f t="shared" si="7"/>
        <v>My Life Has Been Saved.1.mid</v>
      </c>
      <c r="T97" s="128" t="str">
        <f t="shared" si="8"/>
        <v>My Life Has Been Saved.1</v>
      </c>
      <c r="U97" s="122"/>
      <c r="V97" s="125">
        <v>0.0</v>
      </c>
      <c r="W97" s="126" t="s">
        <v>1098</v>
      </c>
      <c r="X97" s="127" t="str">
        <f t="shared" si="9"/>
        <v>Love of My Life.mid</v>
      </c>
      <c r="Y97" s="128" t="str">
        <f t="shared" si="10"/>
        <v>Love of My Life</v>
      </c>
      <c r="Z97" s="122"/>
      <c r="AA97" s="125">
        <v>1.0</v>
      </c>
      <c r="AB97" s="126" t="s">
        <v>1177</v>
      </c>
      <c r="AC97" s="127" t="str">
        <f t="shared" si="11"/>
        <v>Now I'm Here.1.mid</v>
      </c>
      <c r="AD97" s="128" t="str">
        <f t="shared" si="12"/>
        <v>Now I'm Here.1</v>
      </c>
      <c r="AE97" s="122"/>
      <c r="AF97" s="125">
        <v>9.0</v>
      </c>
      <c r="AG97" s="126" t="s">
        <v>1165</v>
      </c>
      <c r="AH97" s="127" t="str">
        <f t="shared" si="13"/>
        <v>Killer Queen.mid</v>
      </c>
      <c r="AI97" s="128" t="str">
        <f t="shared" si="14"/>
        <v>Killer Queen</v>
      </c>
      <c r="AJ97" s="122"/>
      <c r="AK97" s="125">
        <v>9.0</v>
      </c>
      <c r="AL97" s="126" t="s">
        <v>1165</v>
      </c>
      <c r="AM97" s="127" t="str">
        <f t="shared" si="15"/>
        <v>Killer Queen.mid</v>
      </c>
      <c r="AN97" s="128" t="str">
        <f t="shared" si="16"/>
        <v>Killer Queen</v>
      </c>
      <c r="AO97" s="122"/>
      <c r="AP97" s="125">
        <v>32.0</v>
      </c>
      <c r="AQ97" s="126" t="s">
        <v>1178</v>
      </c>
      <c r="AR97" s="127" t="str">
        <f t="shared" si="17"/>
        <v>Radio Ga Ga.4.mid</v>
      </c>
      <c r="AS97" s="128" t="str">
        <f t="shared" si="18"/>
        <v>Radio Ga Ga.4</v>
      </c>
      <c r="AT97" s="122"/>
      <c r="AU97" s="125">
        <v>14.0</v>
      </c>
      <c r="AV97" s="126" t="s">
        <v>1128</v>
      </c>
      <c r="AW97" s="127" t="str">
        <f t="shared" si="19"/>
        <v>Innuendo.1.mid</v>
      </c>
      <c r="AX97" s="128" t="str">
        <f t="shared" si="20"/>
        <v>Innuendo.1</v>
      </c>
      <c r="AY97" s="122"/>
    </row>
    <row r="98" ht="15.75" customHeight="1">
      <c r="A98" s="124"/>
      <c r="B98" s="125">
        <v>0.0</v>
      </c>
      <c r="C98" s="126" t="s">
        <v>1167</v>
      </c>
      <c r="D98" s="127" t="str">
        <f t="shared" si="1"/>
        <v>Love of My Life.1.mid</v>
      </c>
      <c r="E98" s="128" t="str">
        <f t="shared" si="2"/>
        <v>Love of My Life.1</v>
      </c>
      <c r="F98" s="122"/>
      <c r="G98" s="125">
        <v>0.0</v>
      </c>
      <c r="H98" s="126" t="s">
        <v>1098</v>
      </c>
      <c r="I98" s="127" t="str">
        <f t="shared" si="3"/>
        <v>Love of My Life.mid</v>
      </c>
      <c r="J98" s="128" t="str">
        <f t="shared" si="4"/>
        <v>Love of My Life</v>
      </c>
      <c r="K98" s="122"/>
      <c r="L98" s="125">
        <v>0.0</v>
      </c>
      <c r="M98" s="126" t="s">
        <v>1098</v>
      </c>
      <c r="N98" s="127" t="str">
        <f t="shared" si="5"/>
        <v>Love of My Life.mid</v>
      </c>
      <c r="O98" s="128" t="str">
        <f t="shared" si="6"/>
        <v>Love of My Life</v>
      </c>
      <c r="P98" s="122"/>
      <c r="Q98" s="125">
        <v>0.0</v>
      </c>
      <c r="R98" s="126" t="s">
        <v>1173</v>
      </c>
      <c r="S98" s="127" t="str">
        <f t="shared" si="7"/>
        <v>My Life Has Been Saved.mid</v>
      </c>
      <c r="T98" s="128" t="str">
        <f t="shared" si="8"/>
        <v>My Life Has Been Saved</v>
      </c>
      <c r="U98" s="122"/>
      <c r="V98" s="125">
        <v>0.0</v>
      </c>
      <c r="W98" s="126" t="s">
        <v>1169</v>
      </c>
      <c r="X98" s="127" t="str">
        <f t="shared" si="9"/>
        <v>Made in Heaven.mid</v>
      </c>
      <c r="Y98" s="128" t="str">
        <f t="shared" si="10"/>
        <v>Made in Heaven</v>
      </c>
      <c r="Z98" s="122"/>
      <c r="AA98" s="125">
        <v>1.0</v>
      </c>
      <c r="AB98" s="126" t="s">
        <v>1179</v>
      </c>
      <c r="AC98" s="127" t="str">
        <f t="shared" si="11"/>
        <v>Now I'm Here.2.mid</v>
      </c>
      <c r="AD98" s="128" t="str">
        <f t="shared" si="12"/>
        <v>Now I'm Here.2</v>
      </c>
      <c r="AE98" s="122"/>
      <c r="AF98" s="125">
        <v>9.0</v>
      </c>
      <c r="AG98" s="126" t="s">
        <v>1091</v>
      </c>
      <c r="AH98" s="127" t="str">
        <f t="shared" si="13"/>
        <v>Lily of the Valley.mid</v>
      </c>
      <c r="AI98" s="128" t="str">
        <f t="shared" si="14"/>
        <v>Lily of the Valley</v>
      </c>
      <c r="AJ98" s="122"/>
      <c r="AK98" s="125">
        <v>9.0</v>
      </c>
      <c r="AL98" s="126" t="s">
        <v>1091</v>
      </c>
      <c r="AM98" s="127" t="str">
        <f t="shared" si="15"/>
        <v>Lily of the Valley.mid</v>
      </c>
      <c r="AN98" s="128" t="str">
        <f t="shared" si="16"/>
        <v>Lily of the Valley</v>
      </c>
      <c r="AO98" s="122"/>
      <c r="AP98" s="125">
        <v>32.0</v>
      </c>
      <c r="AQ98" s="126" t="s">
        <v>1180</v>
      </c>
      <c r="AR98" s="127" t="str">
        <f t="shared" si="17"/>
        <v>Radio Ga Ga.mid</v>
      </c>
      <c r="AS98" s="128" t="str">
        <f t="shared" si="18"/>
        <v>Radio Ga Ga</v>
      </c>
      <c r="AT98" s="122"/>
      <c r="AU98" s="125">
        <v>14.0</v>
      </c>
      <c r="AV98" s="126" t="s">
        <v>1064</v>
      </c>
      <c r="AW98" s="127" t="str">
        <f t="shared" si="19"/>
        <v>Innuendo.mid</v>
      </c>
      <c r="AX98" s="128" t="str">
        <f t="shared" si="20"/>
        <v>Innuendo</v>
      </c>
      <c r="AY98" s="122"/>
    </row>
    <row r="99" ht="15.75" customHeight="1">
      <c r="A99" s="124"/>
      <c r="B99" s="125">
        <v>0.0</v>
      </c>
      <c r="C99" s="126" t="s">
        <v>1095</v>
      </c>
      <c r="D99" s="127" t="str">
        <f t="shared" si="1"/>
        <v>Love of My Life.2.mid</v>
      </c>
      <c r="E99" s="128" t="str">
        <f t="shared" si="2"/>
        <v>Love of My Life.2</v>
      </c>
      <c r="F99" s="122"/>
      <c r="G99" s="125">
        <v>0.0</v>
      </c>
      <c r="H99" s="126" t="s">
        <v>1169</v>
      </c>
      <c r="I99" s="127" t="str">
        <f t="shared" si="3"/>
        <v>Made in Heaven.mid</v>
      </c>
      <c r="J99" s="128" t="str">
        <f t="shared" si="4"/>
        <v>Made in Heaven</v>
      </c>
      <c r="K99" s="122"/>
      <c r="L99" s="125">
        <v>0.0</v>
      </c>
      <c r="M99" s="126" t="s">
        <v>1169</v>
      </c>
      <c r="N99" s="127" t="str">
        <f t="shared" si="5"/>
        <v>Made in Heaven.mid</v>
      </c>
      <c r="O99" s="128" t="str">
        <f t="shared" si="6"/>
        <v>Made in Heaven</v>
      </c>
      <c r="P99" s="122"/>
      <c r="Q99" s="125">
        <v>0.0</v>
      </c>
      <c r="R99" s="126" t="s">
        <v>1099</v>
      </c>
      <c r="S99" s="127" t="str">
        <f t="shared" si="7"/>
        <v>My Melancholy Blues.mid</v>
      </c>
      <c r="T99" s="128" t="str">
        <f t="shared" si="8"/>
        <v>My Melancholy Blues</v>
      </c>
      <c r="U99" s="122"/>
      <c r="V99" s="125">
        <v>0.0</v>
      </c>
      <c r="W99" s="126" t="s">
        <v>1171</v>
      </c>
      <c r="X99" s="127" t="str">
        <f t="shared" si="9"/>
        <v>Mother Love.mid</v>
      </c>
      <c r="Y99" s="128" t="str">
        <f t="shared" si="10"/>
        <v>Mother Love</v>
      </c>
      <c r="Z99" s="122"/>
      <c r="AA99" s="125">
        <v>1.0</v>
      </c>
      <c r="AB99" s="126" t="s">
        <v>1181</v>
      </c>
      <c r="AC99" s="127" t="str">
        <f t="shared" si="11"/>
        <v>Now I'm Here.3.mid</v>
      </c>
      <c r="AD99" s="128" t="str">
        <f t="shared" si="12"/>
        <v>Now I'm Here.3</v>
      </c>
      <c r="AE99" s="122"/>
      <c r="AF99" s="125">
        <v>9.0</v>
      </c>
      <c r="AG99" s="126" t="s">
        <v>1093</v>
      </c>
      <c r="AH99" s="127" t="str">
        <f t="shared" si="13"/>
        <v>Living on My Own.mid</v>
      </c>
      <c r="AI99" s="128" t="str">
        <f t="shared" si="14"/>
        <v>Living on My Own</v>
      </c>
      <c r="AJ99" s="122"/>
      <c r="AK99" s="125">
        <v>9.0</v>
      </c>
      <c r="AL99" s="126" t="s">
        <v>1093</v>
      </c>
      <c r="AM99" s="127" t="str">
        <f t="shared" si="15"/>
        <v>Living on My Own.mid</v>
      </c>
      <c r="AN99" s="128" t="str">
        <f t="shared" si="16"/>
        <v>Living on My Own</v>
      </c>
      <c r="AO99" s="122"/>
      <c r="AP99" s="125">
        <v>32.0</v>
      </c>
      <c r="AQ99" s="126" t="s">
        <v>1182</v>
      </c>
      <c r="AR99" s="127" t="str">
        <f t="shared" si="17"/>
        <v>Save Me.mid</v>
      </c>
      <c r="AS99" s="128" t="str">
        <f t="shared" si="18"/>
        <v>Save Me</v>
      </c>
      <c r="AT99" s="122"/>
      <c r="AU99" s="125">
        <v>14.0</v>
      </c>
      <c r="AV99" s="126" t="s">
        <v>1158</v>
      </c>
      <c r="AW99" s="127" t="str">
        <f t="shared" si="19"/>
        <v>It's a Hard Life.2.mid</v>
      </c>
      <c r="AX99" s="128" t="str">
        <f t="shared" si="20"/>
        <v>It's a Hard Life.2</v>
      </c>
      <c r="AY99" s="122"/>
    </row>
    <row r="100" ht="15.75" customHeight="1">
      <c r="A100" s="124"/>
      <c r="B100" s="125">
        <v>0.0</v>
      </c>
      <c r="C100" s="126" t="s">
        <v>1098</v>
      </c>
      <c r="D100" s="127" t="str">
        <f t="shared" si="1"/>
        <v>Love of My Life.mid</v>
      </c>
      <c r="E100" s="128" t="str">
        <f t="shared" si="2"/>
        <v>Love of My Life</v>
      </c>
      <c r="F100" s="122"/>
      <c r="G100" s="125">
        <v>0.0</v>
      </c>
      <c r="H100" s="126" t="s">
        <v>1171</v>
      </c>
      <c r="I100" s="127" t="str">
        <f t="shared" si="3"/>
        <v>Mother Love.mid</v>
      </c>
      <c r="J100" s="128" t="str">
        <f t="shared" si="4"/>
        <v>Mother Love</v>
      </c>
      <c r="K100" s="122"/>
      <c r="L100" s="125">
        <v>0.0</v>
      </c>
      <c r="M100" s="126" t="s">
        <v>1171</v>
      </c>
      <c r="N100" s="127" t="str">
        <f t="shared" si="5"/>
        <v>Mother Love.mid</v>
      </c>
      <c r="O100" s="128" t="str">
        <f t="shared" si="6"/>
        <v>Mother Love</v>
      </c>
      <c r="P100" s="122"/>
      <c r="Q100" s="125">
        <v>0.0</v>
      </c>
      <c r="R100" s="126" t="s">
        <v>1176</v>
      </c>
      <c r="S100" s="127" t="str">
        <f t="shared" si="7"/>
        <v>Never More.mid</v>
      </c>
      <c r="T100" s="128" t="str">
        <f t="shared" si="8"/>
        <v>Never More</v>
      </c>
      <c r="U100" s="122"/>
      <c r="V100" s="125">
        <v>0.0</v>
      </c>
      <c r="W100" s="126" t="s">
        <v>1168</v>
      </c>
      <c r="X100" s="127" t="str">
        <f t="shared" si="9"/>
        <v>My Life Has Been Saved.1.mid</v>
      </c>
      <c r="Y100" s="128" t="str">
        <f t="shared" si="10"/>
        <v>My Life Has Been Saved.1</v>
      </c>
      <c r="Z100" s="122"/>
      <c r="AA100" s="125">
        <v>1.0</v>
      </c>
      <c r="AB100" s="126" t="s">
        <v>1102</v>
      </c>
      <c r="AC100" s="127" t="str">
        <f t="shared" si="11"/>
        <v>Now I'm Here.4.mid</v>
      </c>
      <c r="AD100" s="128" t="str">
        <f t="shared" si="12"/>
        <v>Now I'm Here.4</v>
      </c>
      <c r="AE100" s="122"/>
      <c r="AF100" s="125">
        <v>9.0</v>
      </c>
      <c r="AG100" s="126" t="s">
        <v>1167</v>
      </c>
      <c r="AH100" s="127" t="str">
        <f t="shared" si="13"/>
        <v>Love of My Life.1.mid</v>
      </c>
      <c r="AI100" s="128" t="str">
        <f t="shared" si="14"/>
        <v>Love of My Life.1</v>
      </c>
      <c r="AJ100" s="122"/>
      <c r="AK100" s="125">
        <v>9.0</v>
      </c>
      <c r="AL100" s="126" t="s">
        <v>1167</v>
      </c>
      <c r="AM100" s="127" t="str">
        <f t="shared" si="15"/>
        <v>Love of My Life.1.mid</v>
      </c>
      <c r="AN100" s="128" t="str">
        <f t="shared" si="16"/>
        <v>Love of My Life.1</v>
      </c>
      <c r="AO100" s="122"/>
      <c r="AP100" s="125">
        <v>33.0</v>
      </c>
      <c r="AQ100" s="126" t="s">
        <v>1071</v>
      </c>
      <c r="AR100" s="127" t="str">
        <f t="shared" si="17"/>
        <v>Bijou.mid</v>
      </c>
      <c r="AS100" s="128" t="str">
        <f t="shared" si="18"/>
        <v>Bijou</v>
      </c>
      <c r="AT100" s="122"/>
      <c r="AU100" s="125">
        <v>14.0</v>
      </c>
      <c r="AV100" s="126" t="s">
        <v>1141</v>
      </c>
      <c r="AW100" s="127" t="str">
        <f t="shared" si="19"/>
        <v>It's a Hard Life.mid</v>
      </c>
      <c r="AX100" s="128" t="str">
        <f t="shared" si="20"/>
        <v>It's a Hard Life</v>
      </c>
      <c r="AY100" s="122"/>
    </row>
    <row r="101" ht="15.75" customHeight="1">
      <c r="A101" s="124"/>
      <c r="B101" s="125">
        <v>0.0</v>
      </c>
      <c r="C101" s="126" t="s">
        <v>1169</v>
      </c>
      <c r="D101" s="127" t="str">
        <f t="shared" si="1"/>
        <v>Made in Heaven.mid</v>
      </c>
      <c r="E101" s="128" t="str">
        <f t="shared" si="2"/>
        <v>Made in Heaven</v>
      </c>
      <c r="F101" s="122"/>
      <c r="G101" s="125">
        <v>0.0</v>
      </c>
      <c r="H101" s="126" t="s">
        <v>1168</v>
      </c>
      <c r="I101" s="127" t="str">
        <f t="shared" si="3"/>
        <v>My Life Has Been Saved.1.mid</v>
      </c>
      <c r="J101" s="128" t="str">
        <f t="shared" si="4"/>
        <v>My Life Has Been Saved.1</v>
      </c>
      <c r="K101" s="122"/>
      <c r="L101" s="125">
        <v>0.0</v>
      </c>
      <c r="M101" s="126" t="s">
        <v>1168</v>
      </c>
      <c r="N101" s="127" t="str">
        <f t="shared" si="5"/>
        <v>My Life Has Been Saved.1.mid</v>
      </c>
      <c r="O101" s="128" t="str">
        <f t="shared" si="6"/>
        <v>My Life Has Been Saved.1</v>
      </c>
      <c r="P101" s="122"/>
      <c r="Q101" s="125">
        <v>0.0</v>
      </c>
      <c r="R101" s="126" t="s">
        <v>1177</v>
      </c>
      <c r="S101" s="127" t="str">
        <f t="shared" si="7"/>
        <v>Now I'm Here.1.mid</v>
      </c>
      <c r="T101" s="128" t="str">
        <f t="shared" si="8"/>
        <v>Now I'm Here.1</v>
      </c>
      <c r="U101" s="122"/>
      <c r="V101" s="125">
        <v>0.0</v>
      </c>
      <c r="W101" s="126" t="s">
        <v>1173</v>
      </c>
      <c r="X101" s="127" t="str">
        <f t="shared" si="9"/>
        <v>My Life Has Been Saved.mid</v>
      </c>
      <c r="Y101" s="128" t="str">
        <f t="shared" si="10"/>
        <v>My Life Has Been Saved</v>
      </c>
      <c r="Z101" s="122"/>
      <c r="AA101" s="125">
        <v>1.0</v>
      </c>
      <c r="AB101" s="126" t="s">
        <v>1183</v>
      </c>
      <c r="AC101" s="127" t="str">
        <f t="shared" si="11"/>
        <v>Now I'm Here.mid</v>
      </c>
      <c r="AD101" s="128" t="str">
        <f t="shared" si="12"/>
        <v>Now I'm Here</v>
      </c>
      <c r="AE101" s="122"/>
      <c r="AF101" s="125">
        <v>9.0</v>
      </c>
      <c r="AG101" s="126" t="s">
        <v>1095</v>
      </c>
      <c r="AH101" s="127" t="str">
        <f t="shared" si="13"/>
        <v>Love of My Life.2.mid</v>
      </c>
      <c r="AI101" s="128" t="str">
        <f t="shared" si="14"/>
        <v>Love of My Life.2</v>
      </c>
      <c r="AJ101" s="122"/>
      <c r="AK101" s="125">
        <v>9.0</v>
      </c>
      <c r="AL101" s="126" t="s">
        <v>1095</v>
      </c>
      <c r="AM101" s="127" t="str">
        <f t="shared" si="15"/>
        <v>Love of My Life.2.mid</v>
      </c>
      <c r="AN101" s="128" t="str">
        <f t="shared" si="16"/>
        <v>Love of My Life.2</v>
      </c>
      <c r="AO101" s="122"/>
      <c r="AP101" s="125">
        <v>33.0</v>
      </c>
      <c r="AQ101" s="126" t="s">
        <v>1106</v>
      </c>
      <c r="AR101" s="127" t="str">
        <f t="shared" si="17"/>
        <v>Save Me.2.mid</v>
      </c>
      <c r="AS101" s="128" t="str">
        <f t="shared" si="18"/>
        <v>Save Me.2</v>
      </c>
      <c r="AT101" s="122"/>
      <c r="AU101" s="125">
        <v>14.0</v>
      </c>
      <c r="AV101" s="126" t="s">
        <v>1159</v>
      </c>
      <c r="AW101" s="127" t="str">
        <f t="shared" si="19"/>
        <v>Keep Yourself Alive.mid</v>
      </c>
      <c r="AX101" s="128" t="str">
        <f t="shared" si="20"/>
        <v>Keep Yourself Alive</v>
      </c>
      <c r="AY101" s="122"/>
    </row>
    <row r="102" ht="15.75" customHeight="1">
      <c r="A102" s="124"/>
      <c r="B102" s="125">
        <v>0.0</v>
      </c>
      <c r="C102" s="126" t="s">
        <v>1171</v>
      </c>
      <c r="D102" s="127" t="str">
        <f t="shared" si="1"/>
        <v>Mother Love.mid</v>
      </c>
      <c r="E102" s="128" t="str">
        <f t="shared" si="2"/>
        <v>Mother Love</v>
      </c>
      <c r="F102" s="122"/>
      <c r="G102" s="125">
        <v>0.0</v>
      </c>
      <c r="H102" s="126" t="s">
        <v>1173</v>
      </c>
      <c r="I102" s="127" t="str">
        <f t="shared" si="3"/>
        <v>My Life Has Been Saved.mid</v>
      </c>
      <c r="J102" s="128" t="str">
        <f t="shared" si="4"/>
        <v>My Life Has Been Saved</v>
      </c>
      <c r="K102" s="122"/>
      <c r="L102" s="125">
        <v>0.0</v>
      </c>
      <c r="M102" s="126" t="s">
        <v>1173</v>
      </c>
      <c r="N102" s="127" t="str">
        <f t="shared" si="5"/>
        <v>My Life Has Been Saved.mid</v>
      </c>
      <c r="O102" s="128" t="str">
        <f t="shared" si="6"/>
        <v>My Life Has Been Saved</v>
      </c>
      <c r="P102" s="122"/>
      <c r="Q102" s="125">
        <v>0.0</v>
      </c>
      <c r="R102" s="126" t="s">
        <v>1179</v>
      </c>
      <c r="S102" s="127" t="str">
        <f t="shared" si="7"/>
        <v>Now I'm Here.2.mid</v>
      </c>
      <c r="T102" s="128" t="str">
        <f t="shared" si="8"/>
        <v>Now I'm Here.2</v>
      </c>
      <c r="U102" s="122"/>
      <c r="V102" s="125">
        <v>0.0</v>
      </c>
      <c r="W102" s="126" t="s">
        <v>1099</v>
      </c>
      <c r="X102" s="127" t="str">
        <f t="shared" si="9"/>
        <v>My Melancholy Blues.mid</v>
      </c>
      <c r="Y102" s="128" t="str">
        <f t="shared" si="10"/>
        <v>My Melancholy Blues</v>
      </c>
      <c r="Z102" s="122"/>
      <c r="AA102" s="125">
        <v>1.0</v>
      </c>
      <c r="AB102" s="126" t="s">
        <v>1104</v>
      </c>
      <c r="AC102" s="127" t="str">
        <f t="shared" si="11"/>
        <v>One Vision.mid</v>
      </c>
      <c r="AD102" s="128" t="str">
        <f t="shared" si="12"/>
        <v>One Vision</v>
      </c>
      <c r="AE102" s="122"/>
      <c r="AF102" s="125">
        <v>9.0</v>
      </c>
      <c r="AG102" s="126" t="s">
        <v>1098</v>
      </c>
      <c r="AH102" s="127" t="str">
        <f t="shared" si="13"/>
        <v>Love of My Life.mid</v>
      </c>
      <c r="AI102" s="128" t="str">
        <f t="shared" si="14"/>
        <v>Love of My Life</v>
      </c>
      <c r="AJ102" s="122"/>
      <c r="AK102" s="125">
        <v>9.0</v>
      </c>
      <c r="AL102" s="126" t="s">
        <v>1098</v>
      </c>
      <c r="AM102" s="127" t="str">
        <f t="shared" si="15"/>
        <v>Love of My Life.mid</v>
      </c>
      <c r="AN102" s="128" t="str">
        <f t="shared" si="16"/>
        <v>Love of My Life</v>
      </c>
      <c r="AO102" s="122"/>
      <c r="AP102" s="125">
        <v>33.0</v>
      </c>
      <c r="AQ102" s="126" t="s">
        <v>1120</v>
      </c>
      <c r="AR102" s="127" t="str">
        <f t="shared" si="17"/>
        <v>Who Wants to Live Forever.7.mid</v>
      </c>
      <c r="AS102" s="128" t="str">
        <f t="shared" si="18"/>
        <v>Who Wants to Live Forever.7</v>
      </c>
      <c r="AT102" s="122"/>
      <c r="AU102" s="125">
        <v>14.0</v>
      </c>
      <c r="AV102" s="126" t="s">
        <v>1160</v>
      </c>
      <c r="AW102" s="127" t="str">
        <f t="shared" si="19"/>
        <v>Killer Queen.1.mid</v>
      </c>
      <c r="AX102" s="128" t="str">
        <f t="shared" si="20"/>
        <v>Killer Queen.1</v>
      </c>
      <c r="AY102" s="122"/>
    </row>
    <row r="103" ht="15.75" customHeight="1">
      <c r="A103" s="124"/>
      <c r="B103" s="125">
        <v>0.0</v>
      </c>
      <c r="C103" s="126" t="s">
        <v>1168</v>
      </c>
      <c r="D103" s="127" t="str">
        <f t="shared" si="1"/>
        <v>My Life Has Been Saved.1.mid</v>
      </c>
      <c r="E103" s="128" t="str">
        <f t="shared" si="2"/>
        <v>My Life Has Been Saved.1</v>
      </c>
      <c r="F103" s="122"/>
      <c r="G103" s="125">
        <v>0.0</v>
      </c>
      <c r="H103" s="126" t="s">
        <v>1099</v>
      </c>
      <c r="I103" s="127" t="str">
        <f t="shared" si="3"/>
        <v>My Melancholy Blues.mid</v>
      </c>
      <c r="J103" s="128" t="str">
        <f t="shared" si="4"/>
        <v>My Melancholy Blues</v>
      </c>
      <c r="K103" s="122"/>
      <c r="L103" s="125">
        <v>0.0</v>
      </c>
      <c r="M103" s="126" t="s">
        <v>1099</v>
      </c>
      <c r="N103" s="127" t="str">
        <f t="shared" si="5"/>
        <v>My Melancholy Blues.mid</v>
      </c>
      <c r="O103" s="128" t="str">
        <f t="shared" si="6"/>
        <v>My Melancholy Blues</v>
      </c>
      <c r="P103" s="122"/>
      <c r="Q103" s="125">
        <v>0.0</v>
      </c>
      <c r="R103" s="126" t="s">
        <v>1181</v>
      </c>
      <c r="S103" s="127" t="str">
        <f t="shared" si="7"/>
        <v>Now I'm Here.3.mid</v>
      </c>
      <c r="T103" s="128" t="str">
        <f t="shared" si="8"/>
        <v>Now I'm Here.3</v>
      </c>
      <c r="U103" s="122"/>
      <c r="V103" s="125">
        <v>0.0</v>
      </c>
      <c r="W103" s="126" t="s">
        <v>1176</v>
      </c>
      <c r="X103" s="127" t="str">
        <f t="shared" si="9"/>
        <v>Never More.mid</v>
      </c>
      <c r="Y103" s="128" t="str">
        <f t="shared" si="10"/>
        <v>Never More</v>
      </c>
      <c r="Z103" s="122"/>
      <c r="AA103" s="125">
        <v>1.0</v>
      </c>
      <c r="AB103" s="126" t="s">
        <v>1172</v>
      </c>
      <c r="AC103" s="127" t="str">
        <f t="shared" si="11"/>
        <v>One Year of Love.1.mid</v>
      </c>
      <c r="AD103" s="128" t="str">
        <f t="shared" si="12"/>
        <v>One Year of Love.1</v>
      </c>
      <c r="AE103" s="122"/>
      <c r="AF103" s="125">
        <v>9.0</v>
      </c>
      <c r="AG103" s="126" t="s">
        <v>1169</v>
      </c>
      <c r="AH103" s="127" t="str">
        <f t="shared" si="13"/>
        <v>Made in Heaven.mid</v>
      </c>
      <c r="AI103" s="128" t="str">
        <f t="shared" si="14"/>
        <v>Made in Heaven</v>
      </c>
      <c r="AJ103" s="122"/>
      <c r="AK103" s="125">
        <v>9.0</v>
      </c>
      <c r="AL103" s="126" t="s">
        <v>1169</v>
      </c>
      <c r="AM103" s="127" t="str">
        <f t="shared" si="15"/>
        <v>Made in Heaven.mid</v>
      </c>
      <c r="AN103" s="128" t="str">
        <f t="shared" si="16"/>
        <v>Made in Heaven</v>
      </c>
      <c r="AO103" s="122"/>
      <c r="AP103" s="125">
        <v>34.0</v>
      </c>
      <c r="AQ103" s="126" t="s">
        <v>1110</v>
      </c>
      <c r="AR103" s="127" t="str">
        <f t="shared" si="17"/>
        <v>Scandal.1.mid</v>
      </c>
      <c r="AS103" s="128" t="str">
        <f t="shared" si="18"/>
        <v>Scandal.1</v>
      </c>
      <c r="AT103" s="122"/>
      <c r="AU103" s="125">
        <v>14.0</v>
      </c>
      <c r="AV103" s="126" t="s">
        <v>1130</v>
      </c>
      <c r="AW103" s="127" t="str">
        <f t="shared" si="19"/>
        <v>Killer Queen.2.mid</v>
      </c>
      <c r="AX103" s="128" t="str">
        <f t="shared" si="20"/>
        <v>Killer Queen.2</v>
      </c>
      <c r="AY103" s="122"/>
    </row>
    <row r="104" ht="15.75" customHeight="1">
      <c r="A104" s="124"/>
      <c r="B104" s="125">
        <v>0.0</v>
      </c>
      <c r="C104" s="126" t="s">
        <v>1173</v>
      </c>
      <c r="D104" s="127" t="str">
        <f t="shared" si="1"/>
        <v>My Life Has Been Saved.mid</v>
      </c>
      <c r="E104" s="128" t="str">
        <f t="shared" si="2"/>
        <v>My Life Has Been Saved</v>
      </c>
      <c r="F104" s="122"/>
      <c r="G104" s="125">
        <v>0.0</v>
      </c>
      <c r="H104" s="126" t="s">
        <v>1176</v>
      </c>
      <c r="I104" s="127" t="str">
        <f t="shared" si="3"/>
        <v>Never More.mid</v>
      </c>
      <c r="J104" s="128" t="str">
        <f t="shared" si="4"/>
        <v>Never More</v>
      </c>
      <c r="K104" s="122"/>
      <c r="L104" s="125">
        <v>0.0</v>
      </c>
      <c r="M104" s="126" t="s">
        <v>1176</v>
      </c>
      <c r="N104" s="127" t="str">
        <f t="shared" si="5"/>
        <v>Never More.mid</v>
      </c>
      <c r="O104" s="128" t="str">
        <f t="shared" si="6"/>
        <v>Never More</v>
      </c>
      <c r="P104" s="122"/>
      <c r="Q104" s="125">
        <v>0.0</v>
      </c>
      <c r="R104" s="126" t="s">
        <v>1102</v>
      </c>
      <c r="S104" s="127" t="str">
        <f t="shared" si="7"/>
        <v>Now I'm Here.4.mid</v>
      </c>
      <c r="T104" s="128" t="str">
        <f t="shared" si="8"/>
        <v>Now I'm Here.4</v>
      </c>
      <c r="U104" s="122"/>
      <c r="V104" s="125">
        <v>0.0</v>
      </c>
      <c r="W104" s="126" t="s">
        <v>1177</v>
      </c>
      <c r="X104" s="127" t="str">
        <f t="shared" si="9"/>
        <v>Now I'm Here.1.mid</v>
      </c>
      <c r="Y104" s="128" t="str">
        <f t="shared" si="10"/>
        <v>Now I'm Here.1</v>
      </c>
      <c r="Z104" s="122"/>
      <c r="AA104" s="125">
        <v>1.0</v>
      </c>
      <c r="AB104" s="126" t="s">
        <v>1184</v>
      </c>
      <c r="AC104" s="127" t="str">
        <f t="shared" si="11"/>
        <v>One Year of Love.mid</v>
      </c>
      <c r="AD104" s="128" t="str">
        <f t="shared" si="12"/>
        <v>One Year of Love</v>
      </c>
      <c r="AE104" s="122"/>
      <c r="AF104" s="125">
        <v>9.0</v>
      </c>
      <c r="AG104" s="126" t="s">
        <v>1171</v>
      </c>
      <c r="AH104" s="127" t="str">
        <f t="shared" si="13"/>
        <v>Mother Love.mid</v>
      </c>
      <c r="AI104" s="128" t="str">
        <f t="shared" si="14"/>
        <v>Mother Love</v>
      </c>
      <c r="AJ104" s="122"/>
      <c r="AK104" s="125">
        <v>9.0</v>
      </c>
      <c r="AL104" s="126" t="s">
        <v>1171</v>
      </c>
      <c r="AM104" s="127" t="str">
        <f t="shared" si="15"/>
        <v>Mother Love.mid</v>
      </c>
      <c r="AN104" s="128" t="str">
        <f t="shared" si="16"/>
        <v>Mother Love</v>
      </c>
      <c r="AO104" s="122"/>
      <c r="AP104" s="125">
        <v>34.0</v>
      </c>
      <c r="AQ104" s="126" t="s">
        <v>1117</v>
      </c>
      <c r="AR104" s="127" t="str">
        <f t="shared" si="17"/>
        <v>Under Pressure.mid</v>
      </c>
      <c r="AS104" s="128" t="str">
        <f t="shared" si="18"/>
        <v>Under Pressure</v>
      </c>
      <c r="AT104" s="122"/>
      <c r="AU104" s="125">
        <v>14.0</v>
      </c>
      <c r="AV104" s="126" t="s">
        <v>1161</v>
      </c>
      <c r="AW104" s="127" t="str">
        <f t="shared" si="19"/>
        <v>Killer Queen.3.mid</v>
      </c>
      <c r="AX104" s="128" t="str">
        <f t="shared" si="20"/>
        <v>Killer Queen.3</v>
      </c>
      <c r="AY104" s="122"/>
    </row>
    <row r="105" ht="15.75" customHeight="1">
      <c r="A105" s="124"/>
      <c r="B105" s="125">
        <v>0.0</v>
      </c>
      <c r="C105" s="126" t="s">
        <v>1099</v>
      </c>
      <c r="D105" s="127" t="str">
        <f t="shared" si="1"/>
        <v>My Melancholy Blues.mid</v>
      </c>
      <c r="E105" s="128" t="str">
        <f t="shared" si="2"/>
        <v>My Melancholy Blues</v>
      </c>
      <c r="F105" s="122"/>
      <c r="G105" s="125">
        <v>0.0</v>
      </c>
      <c r="H105" s="126" t="s">
        <v>1177</v>
      </c>
      <c r="I105" s="127" t="str">
        <f t="shared" si="3"/>
        <v>Now I'm Here.1.mid</v>
      </c>
      <c r="J105" s="128" t="str">
        <f t="shared" si="4"/>
        <v>Now I'm Here.1</v>
      </c>
      <c r="K105" s="122"/>
      <c r="L105" s="125">
        <v>0.0</v>
      </c>
      <c r="M105" s="126" t="s">
        <v>1177</v>
      </c>
      <c r="N105" s="127" t="str">
        <f t="shared" si="5"/>
        <v>Now I'm Here.1.mid</v>
      </c>
      <c r="O105" s="128" t="str">
        <f t="shared" si="6"/>
        <v>Now I'm Here.1</v>
      </c>
      <c r="P105" s="122"/>
      <c r="Q105" s="125">
        <v>0.0</v>
      </c>
      <c r="R105" s="126" t="s">
        <v>1183</v>
      </c>
      <c r="S105" s="127" t="str">
        <f t="shared" si="7"/>
        <v>Now I'm Here.mid</v>
      </c>
      <c r="T105" s="128" t="str">
        <f t="shared" si="8"/>
        <v>Now I'm Here</v>
      </c>
      <c r="U105" s="122"/>
      <c r="V105" s="125">
        <v>0.0</v>
      </c>
      <c r="W105" s="126" t="s">
        <v>1179</v>
      </c>
      <c r="X105" s="127" t="str">
        <f t="shared" si="9"/>
        <v>Now I'm Here.2.mid</v>
      </c>
      <c r="Y105" s="128" t="str">
        <f t="shared" si="10"/>
        <v>Now I'm Here.2</v>
      </c>
      <c r="Z105" s="122"/>
      <c r="AA105" s="125">
        <v>1.0</v>
      </c>
      <c r="AB105" s="126" t="s">
        <v>1185</v>
      </c>
      <c r="AC105" s="127" t="str">
        <f t="shared" si="11"/>
        <v>Play the Game.1.mid</v>
      </c>
      <c r="AD105" s="128" t="str">
        <f t="shared" si="12"/>
        <v>Play the Game.1</v>
      </c>
      <c r="AE105" s="122"/>
      <c r="AF105" s="125">
        <v>9.0</v>
      </c>
      <c r="AG105" s="126" t="s">
        <v>1168</v>
      </c>
      <c r="AH105" s="127" t="str">
        <f t="shared" si="13"/>
        <v>My Life Has Been Saved.1.mid</v>
      </c>
      <c r="AI105" s="128" t="str">
        <f t="shared" si="14"/>
        <v>My Life Has Been Saved.1</v>
      </c>
      <c r="AJ105" s="122"/>
      <c r="AK105" s="125">
        <v>9.0</v>
      </c>
      <c r="AL105" s="126" t="s">
        <v>1168</v>
      </c>
      <c r="AM105" s="127" t="str">
        <f t="shared" si="15"/>
        <v>My Life Has Been Saved.1.mid</v>
      </c>
      <c r="AN105" s="128" t="str">
        <f t="shared" si="16"/>
        <v>My Life Has Been Saved.1</v>
      </c>
      <c r="AO105" s="122"/>
      <c r="AP105" s="125">
        <v>35.0</v>
      </c>
      <c r="AQ105" s="126" t="s">
        <v>1127</v>
      </c>
      <c r="AR105" s="127" t="str">
        <f t="shared" si="17"/>
        <v>Scandal.mid</v>
      </c>
      <c r="AS105" s="128" t="str">
        <f t="shared" si="18"/>
        <v>Scandal</v>
      </c>
      <c r="AT105" s="122"/>
      <c r="AU105" s="125">
        <v>14.0</v>
      </c>
      <c r="AV105" s="126" t="s">
        <v>1163</v>
      </c>
      <c r="AW105" s="127" t="str">
        <f t="shared" si="19"/>
        <v>Killer Queen.4.mid</v>
      </c>
      <c r="AX105" s="128" t="str">
        <f t="shared" si="20"/>
        <v>Killer Queen.4</v>
      </c>
      <c r="AY105" s="122"/>
    </row>
    <row r="106" ht="15.75" customHeight="1">
      <c r="A106" s="124"/>
      <c r="B106" s="125">
        <v>0.0</v>
      </c>
      <c r="C106" s="126" t="s">
        <v>1176</v>
      </c>
      <c r="D106" s="127" t="str">
        <f t="shared" si="1"/>
        <v>Never More.mid</v>
      </c>
      <c r="E106" s="128" t="str">
        <f t="shared" si="2"/>
        <v>Never More</v>
      </c>
      <c r="F106" s="122"/>
      <c r="G106" s="125">
        <v>0.0</v>
      </c>
      <c r="H106" s="126" t="s">
        <v>1179</v>
      </c>
      <c r="I106" s="127" t="str">
        <f t="shared" si="3"/>
        <v>Now I'm Here.2.mid</v>
      </c>
      <c r="J106" s="128" t="str">
        <f t="shared" si="4"/>
        <v>Now I'm Here.2</v>
      </c>
      <c r="K106" s="122"/>
      <c r="L106" s="125">
        <v>0.0</v>
      </c>
      <c r="M106" s="126" t="s">
        <v>1179</v>
      </c>
      <c r="N106" s="127" t="str">
        <f t="shared" si="5"/>
        <v>Now I'm Here.2.mid</v>
      </c>
      <c r="O106" s="128" t="str">
        <f t="shared" si="6"/>
        <v>Now I'm Here.2</v>
      </c>
      <c r="P106" s="122"/>
      <c r="Q106" s="125">
        <v>0.0</v>
      </c>
      <c r="R106" s="126" t="s">
        <v>1104</v>
      </c>
      <c r="S106" s="127" t="str">
        <f t="shared" si="7"/>
        <v>One Vision.mid</v>
      </c>
      <c r="T106" s="128" t="str">
        <f t="shared" si="8"/>
        <v>One Vision</v>
      </c>
      <c r="U106" s="122"/>
      <c r="V106" s="125">
        <v>0.0</v>
      </c>
      <c r="W106" s="126" t="s">
        <v>1181</v>
      </c>
      <c r="X106" s="127" t="str">
        <f t="shared" si="9"/>
        <v>Now I'm Here.3.mid</v>
      </c>
      <c r="Y106" s="128" t="str">
        <f t="shared" si="10"/>
        <v>Now I'm Here.3</v>
      </c>
      <c r="Z106" s="122"/>
      <c r="AA106" s="125">
        <v>1.0</v>
      </c>
      <c r="AB106" s="126" t="s">
        <v>1186</v>
      </c>
      <c r="AC106" s="127" t="str">
        <f t="shared" si="11"/>
        <v>Play the Game.mid</v>
      </c>
      <c r="AD106" s="128" t="str">
        <f t="shared" si="12"/>
        <v>Play the Game</v>
      </c>
      <c r="AE106" s="122"/>
      <c r="AF106" s="125">
        <v>9.0</v>
      </c>
      <c r="AG106" s="126" t="s">
        <v>1173</v>
      </c>
      <c r="AH106" s="127" t="str">
        <f t="shared" si="13"/>
        <v>My Life Has Been Saved.mid</v>
      </c>
      <c r="AI106" s="128" t="str">
        <f t="shared" si="14"/>
        <v>My Life Has Been Saved</v>
      </c>
      <c r="AJ106" s="122"/>
      <c r="AK106" s="125">
        <v>9.0</v>
      </c>
      <c r="AL106" s="126" t="s">
        <v>1173</v>
      </c>
      <c r="AM106" s="127" t="str">
        <f t="shared" si="15"/>
        <v>My Life Has Been Saved.mid</v>
      </c>
      <c r="AN106" s="128" t="str">
        <f t="shared" si="16"/>
        <v>My Life Has Been Saved</v>
      </c>
      <c r="AO106" s="122"/>
      <c r="AP106" s="125">
        <v>35.0</v>
      </c>
      <c r="AQ106" s="126" t="s">
        <v>1129</v>
      </c>
      <c r="AR106" s="127" t="str">
        <f t="shared" si="17"/>
        <v>We Are The Champions.10.mid</v>
      </c>
      <c r="AS106" s="128" t="str">
        <f t="shared" si="18"/>
        <v>We Are The Champions.10</v>
      </c>
      <c r="AT106" s="122"/>
      <c r="AU106" s="125">
        <v>14.0</v>
      </c>
      <c r="AV106" s="126" t="s">
        <v>1162</v>
      </c>
      <c r="AW106" s="127" t="str">
        <f t="shared" si="19"/>
        <v>Killer Queen.5.mid</v>
      </c>
      <c r="AX106" s="128" t="str">
        <f t="shared" si="20"/>
        <v>Killer Queen.5</v>
      </c>
      <c r="AY106" s="122"/>
    </row>
    <row r="107" ht="15.75" customHeight="1">
      <c r="A107" s="124"/>
      <c r="B107" s="125">
        <v>0.0</v>
      </c>
      <c r="C107" s="126" t="s">
        <v>1177</v>
      </c>
      <c r="D107" s="127" t="str">
        <f t="shared" si="1"/>
        <v>Now I'm Here.1.mid</v>
      </c>
      <c r="E107" s="128" t="str">
        <f t="shared" si="2"/>
        <v>Now I'm Here.1</v>
      </c>
      <c r="F107" s="122"/>
      <c r="G107" s="125">
        <v>0.0</v>
      </c>
      <c r="H107" s="126" t="s">
        <v>1181</v>
      </c>
      <c r="I107" s="127" t="str">
        <f t="shared" si="3"/>
        <v>Now I'm Here.3.mid</v>
      </c>
      <c r="J107" s="128" t="str">
        <f t="shared" si="4"/>
        <v>Now I'm Here.3</v>
      </c>
      <c r="K107" s="122"/>
      <c r="L107" s="125">
        <v>0.0</v>
      </c>
      <c r="M107" s="126" t="s">
        <v>1181</v>
      </c>
      <c r="N107" s="127" t="str">
        <f t="shared" si="5"/>
        <v>Now I'm Here.3.mid</v>
      </c>
      <c r="O107" s="128" t="str">
        <f t="shared" si="6"/>
        <v>Now I'm Here.3</v>
      </c>
      <c r="P107" s="122"/>
      <c r="Q107" s="125">
        <v>0.0</v>
      </c>
      <c r="R107" s="126" t="s">
        <v>1172</v>
      </c>
      <c r="S107" s="127" t="str">
        <f t="shared" si="7"/>
        <v>One Year of Love.1.mid</v>
      </c>
      <c r="T107" s="128" t="str">
        <f t="shared" si="8"/>
        <v>One Year of Love.1</v>
      </c>
      <c r="U107" s="122"/>
      <c r="V107" s="125">
        <v>0.0</v>
      </c>
      <c r="W107" s="126" t="s">
        <v>1102</v>
      </c>
      <c r="X107" s="127" t="str">
        <f t="shared" si="9"/>
        <v>Now I'm Here.4.mid</v>
      </c>
      <c r="Y107" s="128" t="str">
        <f t="shared" si="10"/>
        <v>Now I'm Here.4</v>
      </c>
      <c r="Z107" s="122"/>
      <c r="AA107" s="125">
        <v>1.0</v>
      </c>
      <c r="AB107" s="126" t="s">
        <v>1075</v>
      </c>
      <c r="AC107" s="127" t="str">
        <f t="shared" si="11"/>
        <v>Princes of the Universe.1.mid</v>
      </c>
      <c r="AD107" s="128" t="str">
        <f t="shared" si="12"/>
        <v>Princes of the Universe.1</v>
      </c>
      <c r="AE107" s="122"/>
      <c r="AF107" s="125">
        <v>9.0</v>
      </c>
      <c r="AG107" s="126" t="s">
        <v>1099</v>
      </c>
      <c r="AH107" s="127" t="str">
        <f t="shared" si="13"/>
        <v>My Melancholy Blues.mid</v>
      </c>
      <c r="AI107" s="128" t="str">
        <f t="shared" si="14"/>
        <v>My Melancholy Blues</v>
      </c>
      <c r="AJ107" s="122"/>
      <c r="AK107" s="125">
        <v>9.0</v>
      </c>
      <c r="AL107" s="126" t="s">
        <v>1099</v>
      </c>
      <c r="AM107" s="127" t="str">
        <f t="shared" si="15"/>
        <v>My Melancholy Blues.mid</v>
      </c>
      <c r="AN107" s="128" t="str">
        <f t="shared" si="16"/>
        <v>My Melancholy Blues</v>
      </c>
      <c r="AO107" s="122"/>
      <c r="AP107" s="125">
        <v>36.0</v>
      </c>
      <c r="AQ107" s="126" t="s">
        <v>1107</v>
      </c>
      <c r="AR107" s="127" t="str">
        <f t="shared" si="17"/>
        <v>Doing All Right.1.mid</v>
      </c>
      <c r="AS107" s="128" t="str">
        <f t="shared" si="18"/>
        <v>Doing All Right.1</v>
      </c>
      <c r="AT107" s="122"/>
      <c r="AU107" s="125">
        <v>14.0</v>
      </c>
      <c r="AV107" s="126" t="s">
        <v>1165</v>
      </c>
      <c r="AW107" s="127" t="str">
        <f t="shared" si="19"/>
        <v>Killer Queen.mid</v>
      </c>
      <c r="AX107" s="128" t="str">
        <f t="shared" si="20"/>
        <v>Killer Queen</v>
      </c>
      <c r="AY107" s="122"/>
    </row>
    <row r="108" ht="15.75" customHeight="1">
      <c r="A108" s="124"/>
      <c r="B108" s="125">
        <v>0.0</v>
      </c>
      <c r="C108" s="126" t="s">
        <v>1179</v>
      </c>
      <c r="D108" s="127" t="str">
        <f t="shared" si="1"/>
        <v>Now I'm Here.2.mid</v>
      </c>
      <c r="E108" s="128" t="str">
        <f t="shared" si="2"/>
        <v>Now I'm Here.2</v>
      </c>
      <c r="F108" s="122"/>
      <c r="G108" s="125">
        <v>0.0</v>
      </c>
      <c r="H108" s="126" t="s">
        <v>1102</v>
      </c>
      <c r="I108" s="127" t="str">
        <f t="shared" si="3"/>
        <v>Now I'm Here.4.mid</v>
      </c>
      <c r="J108" s="128" t="str">
        <f t="shared" si="4"/>
        <v>Now I'm Here.4</v>
      </c>
      <c r="K108" s="122"/>
      <c r="L108" s="125">
        <v>0.0</v>
      </c>
      <c r="M108" s="126" t="s">
        <v>1102</v>
      </c>
      <c r="N108" s="127" t="str">
        <f t="shared" si="5"/>
        <v>Now I'm Here.4.mid</v>
      </c>
      <c r="O108" s="128" t="str">
        <f t="shared" si="6"/>
        <v>Now I'm Here.4</v>
      </c>
      <c r="P108" s="122"/>
      <c r="Q108" s="125">
        <v>0.0</v>
      </c>
      <c r="R108" s="126" t="s">
        <v>1184</v>
      </c>
      <c r="S108" s="127" t="str">
        <f t="shared" si="7"/>
        <v>One Year of Love.mid</v>
      </c>
      <c r="T108" s="128" t="str">
        <f t="shared" si="8"/>
        <v>One Year of Love</v>
      </c>
      <c r="U108" s="122"/>
      <c r="V108" s="125">
        <v>0.0</v>
      </c>
      <c r="W108" s="126" t="s">
        <v>1183</v>
      </c>
      <c r="X108" s="127" t="str">
        <f t="shared" si="9"/>
        <v>Now I'm Here.mid</v>
      </c>
      <c r="Y108" s="128" t="str">
        <f t="shared" si="10"/>
        <v>Now I'm Here</v>
      </c>
      <c r="Z108" s="122"/>
      <c r="AA108" s="125">
        <v>1.0</v>
      </c>
      <c r="AB108" s="126" t="s">
        <v>1187</v>
      </c>
      <c r="AC108" s="127" t="str">
        <f t="shared" si="11"/>
        <v>Princes of the Universe.mid</v>
      </c>
      <c r="AD108" s="128" t="str">
        <f t="shared" si="12"/>
        <v>Princes of the Universe</v>
      </c>
      <c r="AE108" s="122"/>
      <c r="AF108" s="125">
        <v>9.0</v>
      </c>
      <c r="AG108" s="126" t="s">
        <v>1176</v>
      </c>
      <c r="AH108" s="127" t="str">
        <f t="shared" si="13"/>
        <v>Never More.mid</v>
      </c>
      <c r="AI108" s="128" t="str">
        <f t="shared" si="14"/>
        <v>Never More</v>
      </c>
      <c r="AJ108" s="122"/>
      <c r="AK108" s="125">
        <v>9.0</v>
      </c>
      <c r="AL108" s="126" t="s">
        <v>1176</v>
      </c>
      <c r="AM108" s="127" t="str">
        <f t="shared" si="15"/>
        <v>Never More.mid</v>
      </c>
      <c r="AN108" s="128" t="str">
        <f t="shared" si="16"/>
        <v>Never More</v>
      </c>
      <c r="AO108" s="122"/>
      <c r="AP108" s="125">
        <v>36.0</v>
      </c>
      <c r="AQ108" s="126" t="s">
        <v>1079</v>
      </c>
      <c r="AR108" s="127" t="str">
        <f t="shared" si="17"/>
        <v>Don't Try So Hard.mid</v>
      </c>
      <c r="AS108" s="128" t="str">
        <f t="shared" si="18"/>
        <v>Don't Try So Hard</v>
      </c>
      <c r="AT108" s="122"/>
      <c r="AU108" s="125">
        <v>14.0</v>
      </c>
      <c r="AV108" s="126" t="s">
        <v>1167</v>
      </c>
      <c r="AW108" s="127" t="str">
        <f t="shared" si="19"/>
        <v>Love of My Life.1.mid</v>
      </c>
      <c r="AX108" s="128" t="str">
        <f t="shared" si="20"/>
        <v>Love of My Life.1</v>
      </c>
      <c r="AY108" s="122"/>
    </row>
    <row r="109" ht="15.75" customHeight="1">
      <c r="A109" s="124"/>
      <c r="B109" s="125">
        <v>0.0</v>
      </c>
      <c r="C109" s="126" t="s">
        <v>1181</v>
      </c>
      <c r="D109" s="127" t="str">
        <f t="shared" si="1"/>
        <v>Now I'm Here.3.mid</v>
      </c>
      <c r="E109" s="128" t="str">
        <f t="shared" si="2"/>
        <v>Now I'm Here.3</v>
      </c>
      <c r="F109" s="122"/>
      <c r="G109" s="125">
        <v>0.0</v>
      </c>
      <c r="H109" s="126" t="s">
        <v>1183</v>
      </c>
      <c r="I109" s="127" t="str">
        <f t="shared" si="3"/>
        <v>Now I'm Here.mid</v>
      </c>
      <c r="J109" s="128" t="str">
        <f t="shared" si="4"/>
        <v>Now I'm Here</v>
      </c>
      <c r="K109" s="122"/>
      <c r="L109" s="125">
        <v>0.0</v>
      </c>
      <c r="M109" s="126" t="s">
        <v>1183</v>
      </c>
      <c r="N109" s="127" t="str">
        <f t="shared" si="5"/>
        <v>Now I'm Here.mid</v>
      </c>
      <c r="O109" s="128" t="str">
        <f t="shared" si="6"/>
        <v>Now I'm Here</v>
      </c>
      <c r="P109" s="122"/>
      <c r="Q109" s="125">
        <v>0.0</v>
      </c>
      <c r="R109" s="126" t="s">
        <v>1185</v>
      </c>
      <c r="S109" s="127" t="str">
        <f t="shared" si="7"/>
        <v>Play the Game.1.mid</v>
      </c>
      <c r="T109" s="128" t="str">
        <f t="shared" si="8"/>
        <v>Play the Game.1</v>
      </c>
      <c r="U109" s="122"/>
      <c r="V109" s="125">
        <v>0.0</v>
      </c>
      <c r="W109" s="126" t="s">
        <v>1104</v>
      </c>
      <c r="X109" s="127" t="str">
        <f t="shared" si="9"/>
        <v>One Vision.mid</v>
      </c>
      <c r="Y109" s="128" t="str">
        <f t="shared" si="10"/>
        <v>One Vision</v>
      </c>
      <c r="Z109" s="122"/>
      <c r="AA109" s="125">
        <v>1.0</v>
      </c>
      <c r="AB109" s="126" t="s">
        <v>1188</v>
      </c>
      <c r="AC109" s="127" t="str">
        <f t="shared" si="11"/>
        <v>Radio Ga Ga.1.mid</v>
      </c>
      <c r="AD109" s="128" t="str">
        <f t="shared" si="12"/>
        <v>Radio Ga Ga.1</v>
      </c>
      <c r="AE109" s="122"/>
      <c r="AF109" s="125">
        <v>9.0</v>
      </c>
      <c r="AG109" s="126" t="s">
        <v>1177</v>
      </c>
      <c r="AH109" s="127" t="str">
        <f t="shared" si="13"/>
        <v>Now I'm Here.1.mid</v>
      </c>
      <c r="AI109" s="128" t="str">
        <f t="shared" si="14"/>
        <v>Now I'm Here.1</v>
      </c>
      <c r="AJ109" s="122"/>
      <c r="AK109" s="125">
        <v>9.0</v>
      </c>
      <c r="AL109" s="126" t="s">
        <v>1177</v>
      </c>
      <c r="AM109" s="127" t="str">
        <f t="shared" si="15"/>
        <v>Now I'm Here.1.mid</v>
      </c>
      <c r="AN109" s="128" t="str">
        <f t="shared" si="16"/>
        <v>Now I'm Here.1</v>
      </c>
      <c r="AO109" s="122"/>
      <c r="AP109" s="125">
        <v>36.0</v>
      </c>
      <c r="AQ109" s="126" t="s">
        <v>1083</v>
      </c>
      <c r="AR109" s="127" t="str">
        <f t="shared" si="17"/>
        <v>Friends Will Be Friends.4.mid</v>
      </c>
      <c r="AS109" s="128" t="str">
        <f t="shared" si="18"/>
        <v>Friends Will Be Friends.4</v>
      </c>
      <c r="AT109" s="122"/>
      <c r="AU109" s="125">
        <v>14.0</v>
      </c>
      <c r="AV109" s="126" t="s">
        <v>1169</v>
      </c>
      <c r="AW109" s="127" t="str">
        <f t="shared" si="19"/>
        <v>Made in Heaven.mid</v>
      </c>
      <c r="AX109" s="128" t="str">
        <f t="shared" si="20"/>
        <v>Made in Heaven</v>
      </c>
      <c r="AY109" s="122"/>
    </row>
    <row r="110" ht="15.75" customHeight="1">
      <c r="A110" s="124"/>
      <c r="B110" s="125">
        <v>0.0</v>
      </c>
      <c r="C110" s="126" t="s">
        <v>1102</v>
      </c>
      <c r="D110" s="127" t="str">
        <f t="shared" si="1"/>
        <v>Now I'm Here.4.mid</v>
      </c>
      <c r="E110" s="128" t="str">
        <f t="shared" si="2"/>
        <v>Now I'm Here.4</v>
      </c>
      <c r="F110" s="122"/>
      <c r="G110" s="125">
        <v>0.0</v>
      </c>
      <c r="H110" s="126" t="s">
        <v>1104</v>
      </c>
      <c r="I110" s="127" t="str">
        <f t="shared" si="3"/>
        <v>One Vision.mid</v>
      </c>
      <c r="J110" s="128" t="str">
        <f t="shared" si="4"/>
        <v>One Vision</v>
      </c>
      <c r="K110" s="122"/>
      <c r="L110" s="125">
        <v>0.0</v>
      </c>
      <c r="M110" s="126" t="s">
        <v>1104</v>
      </c>
      <c r="N110" s="127" t="str">
        <f t="shared" si="5"/>
        <v>One Vision.mid</v>
      </c>
      <c r="O110" s="128" t="str">
        <f t="shared" si="6"/>
        <v>One Vision</v>
      </c>
      <c r="P110" s="122"/>
      <c r="Q110" s="125">
        <v>0.0</v>
      </c>
      <c r="R110" s="126" t="s">
        <v>1186</v>
      </c>
      <c r="S110" s="127" t="str">
        <f t="shared" si="7"/>
        <v>Play the Game.mid</v>
      </c>
      <c r="T110" s="128" t="str">
        <f t="shared" si="8"/>
        <v>Play the Game</v>
      </c>
      <c r="U110" s="122"/>
      <c r="V110" s="125">
        <v>0.0</v>
      </c>
      <c r="W110" s="126" t="s">
        <v>1172</v>
      </c>
      <c r="X110" s="127" t="str">
        <f t="shared" si="9"/>
        <v>One Year of Love.1.mid</v>
      </c>
      <c r="Y110" s="128" t="str">
        <f t="shared" si="10"/>
        <v>One Year of Love.1</v>
      </c>
      <c r="Z110" s="122"/>
      <c r="AA110" s="125">
        <v>1.0</v>
      </c>
      <c r="AB110" s="126" t="s">
        <v>1189</v>
      </c>
      <c r="AC110" s="127" t="str">
        <f t="shared" si="11"/>
        <v>Radio Ga Ga.2.mid</v>
      </c>
      <c r="AD110" s="128" t="str">
        <f t="shared" si="12"/>
        <v>Radio Ga Ga.2</v>
      </c>
      <c r="AE110" s="122"/>
      <c r="AF110" s="125">
        <v>9.0</v>
      </c>
      <c r="AG110" s="126" t="s">
        <v>1179</v>
      </c>
      <c r="AH110" s="127" t="str">
        <f t="shared" si="13"/>
        <v>Now I'm Here.2.mid</v>
      </c>
      <c r="AI110" s="128" t="str">
        <f t="shared" si="14"/>
        <v>Now I'm Here.2</v>
      </c>
      <c r="AJ110" s="122"/>
      <c r="AK110" s="125">
        <v>9.0</v>
      </c>
      <c r="AL110" s="126" t="s">
        <v>1179</v>
      </c>
      <c r="AM110" s="127" t="str">
        <f t="shared" si="15"/>
        <v>Now I'm Here.2.mid</v>
      </c>
      <c r="AN110" s="128" t="str">
        <f t="shared" si="16"/>
        <v>Now I'm Here.2</v>
      </c>
      <c r="AO110" s="122"/>
      <c r="AP110" s="125">
        <v>36.0</v>
      </c>
      <c r="AQ110" s="126" t="s">
        <v>1089</v>
      </c>
      <c r="AR110" s="127" t="str">
        <f t="shared" si="17"/>
        <v>Innuendo.2.mid</v>
      </c>
      <c r="AS110" s="128" t="str">
        <f t="shared" si="18"/>
        <v>Innuendo.2</v>
      </c>
      <c r="AT110" s="122"/>
      <c r="AU110" s="125">
        <v>14.0</v>
      </c>
      <c r="AV110" s="126" t="s">
        <v>1171</v>
      </c>
      <c r="AW110" s="127" t="str">
        <f t="shared" si="19"/>
        <v>Mother Love.mid</v>
      </c>
      <c r="AX110" s="128" t="str">
        <f t="shared" si="20"/>
        <v>Mother Love</v>
      </c>
      <c r="AY110" s="122"/>
    </row>
    <row r="111" ht="15.75" customHeight="1">
      <c r="A111" s="124"/>
      <c r="B111" s="125">
        <v>0.0</v>
      </c>
      <c r="C111" s="126" t="s">
        <v>1183</v>
      </c>
      <c r="D111" s="127" t="str">
        <f t="shared" si="1"/>
        <v>Now I'm Here.mid</v>
      </c>
      <c r="E111" s="128" t="str">
        <f t="shared" si="2"/>
        <v>Now I'm Here</v>
      </c>
      <c r="F111" s="122"/>
      <c r="G111" s="125">
        <v>0.0</v>
      </c>
      <c r="H111" s="126" t="s">
        <v>1172</v>
      </c>
      <c r="I111" s="127" t="str">
        <f t="shared" si="3"/>
        <v>One Year of Love.1.mid</v>
      </c>
      <c r="J111" s="128" t="str">
        <f t="shared" si="4"/>
        <v>One Year of Love.1</v>
      </c>
      <c r="K111" s="122"/>
      <c r="L111" s="125">
        <v>0.0</v>
      </c>
      <c r="M111" s="126" t="s">
        <v>1172</v>
      </c>
      <c r="N111" s="127" t="str">
        <f t="shared" si="5"/>
        <v>One Year of Love.1.mid</v>
      </c>
      <c r="O111" s="128" t="str">
        <f t="shared" si="6"/>
        <v>One Year of Love.1</v>
      </c>
      <c r="P111" s="122"/>
      <c r="Q111" s="125">
        <v>0.0</v>
      </c>
      <c r="R111" s="126" t="s">
        <v>1075</v>
      </c>
      <c r="S111" s="127" t="str">
        <f t="shared" si="7"/>
        <v>Princes of the Universe.1.mid</v>
      </c>
      <c r="T111" s="128" t="str">
        <f t="shared" si="8"/>
        <v>Princes of the Universe.1</v>
      </c>
      <c r="U111" s="122"/>
      <c r="V111" s="125">
        <v>0.0</v>
      </c>
      <c r="W111" s="126" t="s">
        <v>1184</v>
      </c>
      <c r="X111" s="127" t="str">
        <f t="shared" si="9"/>
        <v>One Year of Love.mid</v>
      </c>
      <c r="Y111" s="128" t="str">
        <f t="shared" si="10"/>
        <v>One Year of Love</v>
      </c>
      <c r="Z111" s="122"/>
      <c r="AA111" s="125">
        <v>1.0</v>
      </c>
      <c r="AB111" s="126" t="s">
        <v>1067</v>
      </c>
      <c r="AC111" s="127" t="str">
        <f t="shared" si="11"/>
        <v>Radio Ga Ga.3.mid</v>
      </c>
      <c r="AD111" s="128" t="str">
        <f t="shared" si="12"/>
        <v>Radio Ga Ga.3</v>
      </c>
      <c r="AE111" s="122"/>
      <c r="AF111" s="125">
        <v>9.0</v>
      </c>
      <c r="AG111" s="126" t="s">
        <v>1181</v>
      </c>
      <c r="AH111" s="127" t="str">
        <f t="shared" si="13"/>
        <v>Now I'm Here.3.mid</v>
      </c>
      <c r="AI111" s="128" t="str">
        <f t="shared" si="14"/>
        <v>Now I'm Here.3</v>
      </c>
      <c r="AJ111" s="122"/>
      <c r="AK111" s="125">
        <v>9.0</v>
      </c>
      <c r="AL111" s="126" t="s">
        <v>1181</v>
      </c>
      <c r="AM111" s="127" t="str">
        <f t="shared" si="15"/>
        <v>Now I'm Here.3.mid</v>
      </c>
      <c r="AN111" s="128" t="str">
        <f t="shared" si="16"/>
        <v>Now I'm Here.3</v>
      </c>
      <c r="AO111" s="122"/>
      <c r="AP111" s="125">
        <v>36.0</v>
      </c>
      <c r="AQ111" s="126" t="s">
        <v>1165</v>
      </c>
      <c r="AR111" s="127" t="str">
        <f t="shared" si="17"/>
        <v>Killer Queen.mid</v>
      </c>
      <c r="AS111" s="128" t="str">
        <f t="shared" si="18"/>
        <v>Killer Queen</v>
      </c>
      <c r="AT111" s="122"/>
      <c r="AU111" s="125">
        <v>14.0</v>
      </c>
      <c r="AV111" s="126" t="s">
        <v>1168</v>
      </c>
      <c r="AW111" s="127" t="str">
        <f t="shared" si="19"/>
        <v>My Life Has Been Saved.1.mid</v>
      </c>
      <c r="AX111" s="128" t="str">
        <f t="shared" si="20"/>
        <v>My Life Has Been Saved.1</v>
      </c>
      <c r="AY111" s="122"/>
    </row>
    <row r="112" ht="15.75" customHeight="1">
      <c r="A112" s="124"/>
      <c r="B112" s="125">
        <v>0.0</v>
      </c>
      <c r="C112" s="126" t="s">
        <v>1104</v>
      </c>
      <c r="D112" s="127" t="str">
        <f t="shared" si="1"/>
        <v>One Vision.mid</v>
      </c>
      <c r="E112" s="128" t="str">
        <f t="shared" si="2"/>
        <v>One Vision</v>
      </c>
      <c r="F112" s="122"/>
      <c r="G112" s="125">
        <v>0.0</v>
      </c>
      <c r="H112" s="126" t="s">
        <v>1184</v>
      </c>
      <c r="I112" s="127" t="str">
        <f t="shared" si="3"/>
        <v>One Year of Love.mid</v>
      </c>
      <c r="J112" s="128" t="str">
        <f t="shared" si="4"/>
        <v>One Year of Love</v>
      </c>
      <c r="K112" s="122"/>
      <c r="L112" s="125">
        <v>0.0</v>
      </c>
      <c r="M112" s="126" t="s">
        <v>1184</v>
      </c>
      <c r="N112" s="127" t="str">
        <f t="shared" si="5"/>
        <v>One Year of Love.mid</v>
      </c>
      <c r="O112" s="128" t="str">
        <f t="shared" si="6"/>
        <v>One Year of Love</v>
      </c>
      <c r="P112" s="122"/>
      <c r="Q112" s="125">
        <v>0.0</v>
      </c>
      <c r="R112" s="126" t="s">
        <v>1187</v>
      </c>
      <c r="S112" s="127" t="str">
        <f t="shared" si="7"/>
        <v>Princes of the Universe.mid</v>
      </c>
      <c r="T112" s="128" t="str">
        <f t="shared" si="8"/>
        <v>Princes of the Universe</v>
      </c>
      <c r="U112" s="122"/>
      <c r="V112" s="125">
        <v>0.0</v>
      </c>
      <c r="W112" s="126" t="s">
        <v>1185</v>
      </c>
      <c r="X112" s="127" t="str">
        <f t="shared" si="9"/>
        <v>Play the Game.1.mid</v>
      </c>
      <c r="Y112" s="128" t="str">
        <f t="shared" si="10"/>
        <v>Play the Game.1</v>
      </c>
      <c r="Z112" s="122"/>
      <c r="AA112" s="125">
        <v>1.0</v>
      </c>
      <c r="AB112" s="126" t="s">
        <v>1178</v>
      </c>
      <c r="AC112" s="127" t="str">
        <f t="shared" si="11"/>
        <v>Radio Ga Ga.4.mid</v>
      </c>
      <c r="AD112" s="128" t="str">
        <f t="shared" si="12"/>
        <v>Radio Ga Ga.4</v>
      </c>
      <c r="AE112" s="122"/>
      <c r="AF112" s="125">
        <v>9.0</v>
      </c>
      <c r="AG112" s="126" t="s">
        <v>1102</v>
      </c>
      <c r="AH112" s="127" t="str">
        <f t="shared" si="13"/>
        <v>Now I'm Here.4.mid</v>
      </c>
      <c r="AI112" s="128" t="str">
        <f t="shared" si="14"/>
        <v>Now I'm Here.4</v>
      </c>
      <c r="AJ112" s="122"/>
      <c r="AK112" s="125">
        <v>9.0</v>
      </c>
      <c r="AL112" s="126" t="s">
        <v>1102</v>
      </c>
      <c r="AM112" s="127" t="str">
        <f t="shared" si="15"/>
        <v>Now I'm Here.4.mid</v>
      </c>
      <c r="AN112" s="128" t="str">
        <f t="shared" si="16"/>
        <v>Now I'm Here.4</v>
      </c>
      <c r="AO112" s="122"/>
      <c r="AP112" s="125">
        <v>36.0</v>
      </c>
      <c r="AQ112" s="126" t="s">
        <v>1173</v>
      </c>
      <c r="AR112" s="127" t="str">
        <f t="shared" si="17"/>
        <v>My Life Has Been Saved.mid</v>
      </c>
      <c r="AS112" s="128" t="str">
        <f t="shared" si="18"/>
        <v>My Life Has Been Saved</v>
      </c>
      <c r="AT112" s="122"/>
      <c r="AU112" s="125">
        <v>14.0</v>
      </c>
      <c r="AV112" s="126" t="s">
        <v>1173</v>
      </c>
      <c r="AW112" s="127" t="str">
        <f t="shared" si="19"/>
        <v>My Life Has Been Saved.mid</v>
      </c>
      <c r="AX112" s="128" t="str">
        <f t="shared" si="20"/>
        <v>My Life Has Been Saved</v>
      </c>
      <c r="AY112" s="122"/>
    </row>
    <row r="113" ht="15.75" customHeight="1">
      <c r="A113" s="124"/>
      <c r="B113" s="125">
        <v>0.0</v>
      </c>
      <c r="C113" s="126" t="s">
        <v>1172</v>
      </c>
      <c r="D113" s="127" t="str">
        <f t="shared" si="1"/>
        <v>One Year of Love.1.mid</v>
      </c>
      <c r="E113" s="128" t="str">
        <f t="shared" si="2"/>
        <v>One Year of Love.1</v>
      </c>
      <c r="F113" s="122"/>
      <c r="G113" s="125">
        <v>0.0</v>
      </c>
      <c r="H113" s="126" t="s">
        <v>1185</v>
      </c>
      <c r="I113" s="127" t="str">
        <f t="shared" si="3"/>
        <v>Play the Game.1.mid</v>
      </c>
      <c r="J113" s="128" t="str">
        <f t="shared" si="4"/>
        <v>Play the Game.1</v>
      </c>
      <c r="K113" s="122"/>
      <c r="L113" s="125">
        <v>0.0</v>
      </c>
      <c r="M113" s="126" t="s">
        <v>1185</v>
      </c>
      <c r="N113" s="127" t="str">
        <f t="shared" si="5"/>
        <v>Play the Game.1.mid</v>
      </c>
      <c r="O113" s="128" t="str">
        <f t="shared" si="6"/>
        <v>Play the Game.1</v>
      </c>
      <c r="P113" s="122"/>
      <c r="Q113" s="125">
        <v>0.0</v>
      </c>
      <c r="R113" s="126" t="s">
        <v>1124</v>
      </c>
      <c r="S113" s="127" t="str">
        <f t="shared" si="7"/>
        <v>Procession.mid</v>
      </c>
      <c r="T113" s="128" t="str">
        <f t="shared" si="8"/>
        <v>Procession</v>
      </c>
      <c r="U113" s="122"/>
      <c r="V113" s="125">
        <v>0.0</v>
      </c>
      <c r="W113" s="126" t="s">
        <v>1186</v>
      </c>
      <c r="X113" s="127" t="str">
        <f t="shared" si="9"/>
        <v>Play the Game.mid</v>
      </c>
      <c r="Y113" s="128" t="str">
        <f t="shared" si="10"/>
        <v>Play the Game</v>
      </c>
      <c r="Z113" s="122"/>
      <c r="AA113" s="125">
        <v>1.0</v>
      </c>
      <c r="AB113" s="126" t="s">
        <v>1078</v>
      </c>
      <c r="AC113" s="127" t="str">
        <f t="shared" si="11"/>
        <v>Radio Ga Ga.5.mid</v>
      </c>
      <c r="AD113" s="128" t="str">
        <f t="shared" si="12"/>
        <v>Radio Ga Ga.5</v>
      </c>
      <c r="AE113" s="122"/>
      <c r="AF113" s="125">
        <v>9.0</v>
      </c>
      <c r="AG113" s="126" t="s">
        <v>1183</v>
      </c>
      <c r="AH113" s="127" t="str">
        <f t="shared" si="13"/>
        <v>Now I'm Here.mid</v>
      </c>
      <c r="AI113" s="128" t="str">
        <f t="shared" si="14"/>
        <v>Now I'm Here</v>
      </c>
      <c r="AJ113" s="122"/>
      <c r="AK113" s="125">
        <v>9.0</v>
      </c>
      <c r="AL113" s="126" t="s">
        <v>1183</v>
      </c>
      <c r="AM113" s="127" t="str">
        <f t="shared" si="15"/>
        <v>Now I'm Here.mid</v>
      </c>
      <c r="AN113" s="128" t="str">
        <f t="shared" si="16"/>
        <v>Now I'm Here</v>
      </c>
      <c r="AO113" s="122"/>
      <c r="AP113" s="125">
        <v>36.0</v>
      </c>
      <c r="AQ113" s="126" t="s">
        <v>1102</v>
      </c>
      <c r="AR113" s="127" t="str">
        <f t="shared" si="17"/>
        <v>Now I'm Here.4.mid</v>
      </c>
      <c r="AS113" s="128" t="str">
        <f t="shared" si="18"/>
        <v>Now I'm Here.4</v>
      </c>
      <c r="AT113" s="122"/>
      <c r="AU113" s="125">
        <v>14.0</v>
      </c>
      <c r="AV113" s="126" t="s">
        <v>1176</v>
      </c>
      <c r="AW113" s="127" t="str">
        <f t="shared" si="19"/>
        <v>Never More.mid</v>
      </c>
      <c r="AX113" s="128" t="str">
        <f t="shared" si="20"/>
        <v>Never More</v>
      </c>
      <c r="AY113" s="122"/>
    </row>
    <row r="114" ht="15.75" customHeight="1">
      <c r="A114" s="124"/>
      <c r="B114" s="125">
        <v>0.0</v>
      </c>
      <c r="C114" s="126" t="s">
        <v>1184</v>
      </c>
      <c r="D114" s="127" t="str">
        <f t="shared" si="1"/>
        <v>One Year of Love.mid</v>
      </c>
      <c r="E114" s="128" t="str">
        <f t="shared" si="2"/>
        <v>One Year of Love</v>
      </c>
      <c r="F114" s="122"/>
      <c r="G114" s="125">
        <v>0.0</v>
      </c>
      <c r="H114" s="126" t="s">
        <v>1186</v>
      </c>
      <c r="I114" s="127" t="str">
        <f t="shared" si="3"/>
        <v>Play the Game.mid</v>
      </c>
      <c r="J114" s="128" t="str">
        <f t="shared" si="4"/>
        <v>Play the Game</v>
      </c>
      <c r="K114" s="122"/>
      <c r="L114" s="125">
        <v>0.0</v>
      </c>
      <c r="M114" s="126" t="s">
        <v>1186</v>
      </c>
      <c r="N114" s="127" t="str">
        <f t="shared" si="5"/>
        <v>Play the Game.mid</v>
      </c>
      <c r="O114" s="128" t="str">
        <f t="shared" si="6"/>
        <v>Play the Game</v>
      </c>
      <c r="P114" s="122"/>
      <c r="Q114" s="125">
        <v>0.0</v>
      </c>
      <c r="R114" s="126" t="s">
        <v>1188</v>
      </c>
      <c r="S114" s="127" t="str">
        <f t="shared" si="7"/>
        <v>Radio Ga Ga.1.mid</v>
      </c>
      <c r="T114" s="128" t="str">
        <f t="shared" si="8"/>
        <v>Radio Ga Ga.1</v>
      </c>
      <c r="U114" s="122"/>
      <c r="V114" s="125">
        <v>0.0</v>
      </c>
      <c r="W114" s="126" t="s">
        <v>1075</v>
      </c>
      <c r="X114" s="127" t="str">
        <f t="shared" si="9"/>
        <v>Princes of the Universe.1.mid</v>
      </c>
      <c r="Y114" s="128" t="str">
        <f t="shared" si="10"/>
        <v>Princes of the Universe.1</v>
      </c>
      <c r="Z114" s="122"/>
      <c r="AA114" s="125">
        <v>1.0</v>
      </c>
      <c r="AB114" s="126" t="s">
        <v>1174</v>
      </c>
      <c r="AC114" s="127" t="str">
        <f t="shared" si="11"/>
        <v>Radio Ga Ga.6.mid</v>
      </c>
      <c r="AD114" s="128" t="str">
        <f t="shared" si="12"/>
        <v>Radio Ga Ga.6</v>
      </c>
      <c r="AE114" s="122"/>
      <c r="AF114" s="125">
        <v>9.0</v>
      </c>
      <c r="AG114" s="126" t="s">
        <v>1104</v>
      </c>
      <c r="AH114" s="127" t="str">
        <f t="shared" si="13"/>
        <v>One Vision.mid</v>
      </c>
      <c r="AI114" s="128" t="str">
        <f t="shared" si="14"/>
        <v>One Vision</v>
      </c>
      <c r="AJ114" s="122"/>
      <c r="AK114" s="125">
        <v>9.0</v>
      </c>
      <c r="AL114" s="126" t="s">
        <v>1104</v>
      </c>
      <c r="AM114" s="127" t="str">
        <f t="shared" si="15"/>
        <v>One Vision.mid</v>
      </c>
      <c r="AN114" s="128" t="str">
        <f t="shared" si="16"/>
        <v>One Vision</v>
      </c>
      <c r="AO114" s="122"/>
      <c r="AP114" s="125">
        <v>36.0</v>
      </c>
      <c r="AQ114" s="126" t="s">
        <v>1186</v>
      </c>
      <c r="AR114" s="127" t="str">
        <f t="shared" si="17"/>
        <v>Play the Game.mid</v>
      </c>
      <c r="AS114" s="128" t="str">
        <f t="shared" si="18"/>
        <v>Play the Game</v>
      </c>
      <c r="AT114" s="122"/>
      <c r="AU114" s="125">
        <v>14.0</v>
      </c>
      <c r="AV114" s="126" t="s">
        <v>1179</v>
      </c>
      <c r="AW114" s="127" t="str">
        <f t="shared" si="19"/>
        <v>Now I'm Here.2.mid</v>
      </c>
      <c r="AX114" s="128" t="str">
        <f t="shared" si="20"/>
        <v>Now I'm Here.2</v>
      </c>
      <c r="AY114" s="122"/>
    </row>
    <row r="115" ht="15.75" customHeight="1">
      <c r="A115" s="124"/>
      <c r="B115" s="125">
        <v>0.0</v>
      </c>
      <c r="C115" s="126" t="s">
        <v>1185</v>
      </c>
      <c r="D115" s="127" t="str">
        <f t="shared" si="1"/>
        <v>Play the Game.1.mid</v>
      </c>
      <c r="E115" s="128" t="str">
        <f t="shared" si="2"/>
        <v>Play the Game.1</v>
      </c>
      <c r="F115" s="122"/>
      <c r="G115" s="125">
        <v>0.0</v>
      </c>
      <c r="H115" s="126" t="s">
        <v>1075</v>
      </c>
      <c r="I115" s="127" t="str">
        <f t="shared" si="3"/>
        <v>Princes of the Universe.1.mid</v>
      </c>
      <c r="J115" s="128" t="str">
        <f t="shared" si="4"/>
        <v>Princes of the Universe.1</v>
      </c>
      <c r="K115" s="122"/>
      <c r="L115" s="125">
        <v>0.0</v>
      </c>
      <c r="M115" s="126" t="s">
        <v>1075</v>
      </c>
      <c r="N115" s="127" t="str">
        <f t="shared" si="5"/>
        <v>Princes of the Universe.1.mid</v>
      </c>
      <c r="O115" s="128" t="str">
        <f t="shared" si="6"/>
        <v>Princes of the Universe.1</v>
      </c>
      <c r="P115" s="122"/>
      <c r="Q115" s="125">
        <v>0.0</v>
      </c>
      <c r="R115" s="126" t="s">
        <v>1189</v>
      </c>
      <c r="S115" s="127" t="str">
        <f t="shared" si="7"/>
        <v>Radio Ga Ga.2.mid</v>
      </c>
      <c r="T115" s="128" t="str">
        <f t="shared" si="8"/>
        <v>Radio Ga Ga.2</v>
      </c>
      <c r="U115" s="122"/>
      <c r="V115" s="125">
        <v>0.0</v>
      </c>
      <c r="W115" s="126" t="s">
        <v>1187</v>
      </c>
      <c r="X115" s="127" t="str">
        <f t="shared" si="9"/>
        <v>Princes of the Universe.mid</v>
      </c>
      <c r="Y115" s="128" t="str">
        <f t="shared" si="10"/>
        <v>Princes of the Universe</v>
      </c>
      <c r="Z115" s="122"/>
      <c r="AA115" s="125">
        <v>1.0</v>
      </c>
      <c r="AB115" s="126" t="s">
        <v>1190</v>
      </c>
      <c r="AC115" s="127" t="str">
        <f t="shared" si="11"/>
        <v>Radio Ga Ga.7.mid</v>
      </c>
      <c r="AD115" s="128" t="str">
        <f t="shared" si="12"/>
        <v>Radio Ga Ga.7</v>
      </c>
      <c r="AE115" s="122"/>
      <c r="AF115" s="125">
        <v>9.0</v>
      </c>
      <c r="AG115" s="126" t="s">
        <v>1172</v>
      </c>
      <c r="AH115" s="127" t="str">
        <f t="shared" si="13"/>
        <v>One Year of Love.1.mid</v>
      </c>
      <c r="AI115" s="128" t="str">
        <f t="shared" si="14"/>
        <v>One Year of Love.1</v>
      </c>
      <c r="AJ115" s="122"/>
      <c r="AK115" s="125">
        <v>9.0</v>
      </c>
      <c r="AL115" s="126" t="s">
        <v>1172</v>
      </c>
      <c r="AM115" s="127" t="str">
        <f t="shared" si="15"/>
        <v>One Year of Love.1.mid</v>
      </c>
      <c r="AN115" s="128" t="str">
        <f t="shared" si="16"/>
        <v>One Year of Love.1</v>
      </c>
      <c r="AO115" s="122"/>
      <c r="AP115" s="125">
        <v>36.0</v>
      </c>
      <c r="AQ115" s="126" t="s">
        <v>1190</v>
      </c>
      <c r="AR115" s="127" t="str">
        <f t="shared" si="17"/>
        <v>Radio Ga Ga.7.mid</v>
      </c>
      <c r="AS115" s="128" t="str">
        <f t="shared" si="18"/>
        <v>Radio Ga Ga.7</v>
      </c>
      <c r="AT115" s="122"/>
      <c r="AU115" s="125">
        <v>14.0</v>
      </c>
      <c r="AV115" s="126" t="s">
        <v>1181</v>
      </c>
      <c r="AW115" s="127" t="str">
        <f t="shared" si="19"/>
        <v>Now I'm Here.3.mid</v>
      </c>
      <c r="AX115" s="128" t="str">
        <f t="shared" si="20"/>
        <v>Now I'm Here.3</v>
      </c>
      <c r="AY115" s="122"/>
    </row>
    <row r="116" ht="15.75" customHeight="1">
      <c r="A116" s="124"/>
      <c r="B116" s="125">
        <v>0.0</v>
      </c>
      <c r="C116" s="126" t="s">
        <v>1186</v>
      </c>
      <c r="D116" s="127" t="str">
        <f t="shared" si="1"/>
        <v>Play the Game.mid</v>
      </c>
      <c r="E116" s="128" t="str">
        <f t="shared" si="2"/>
        <v>Play the Game</v>
      </c>
      <c r="F116" s="122"/>
      <c r="G116" s="125">
        <v>0.0</v>
      </c>
      <c r="H116" s="126" t="s">
        <v>1187</v>
      </c>
      <c r="I116" s="127" t="str">
        <f t="shared" si="3"/>
        <v>Princes of the Universe.mid</v>
      </c>
      <c r="J116" s="128" t="str">
        <f t="shared" si="4"/>
        <v>Princes of the Universe</v>
      </c>
      <c r="K116" s="122"/>
      <c r="L116" s="125">
        <v>0.0</v>
      </c>
      <c r="M116" s="126" t="s">
        <v>1187</v>
      </c>
      <c r="N116" s="127" t="str">
        <f t="shared" si="5"/>
        <v>Princes of the Universe.mid</v>
      </c>
      <c r="O116" s="128" t="str">
        <f t="shared" si="6"/>
        <v>Princes of the Universe</v>
      </c>
      <c r="P116" s="122"/>
      <c r="Q116" s="125">
        <v>0.0</v>
      </c>
      <c r="R116" s="126" t="s">
        <v>1067</v>
      </c>
      <c r="S116" s="127" t="str">
        <f t="shared" si="7"/>
        <v>Radio Ga Ga.3.mid</v>
      </c>
      <c r="T116" s="128" t="str">
        <f t="shared" si="8"/>
        <v>Radio Ga Ga.3</v>
      </c>
      <c r="U116" s="122"/>
      <c r="V116" s="125">
        <v>0.0</v>
      </c>
      <c r="W116" s="126" t="s">
        <v>1124</v>
      </c>
      <c r="X116" s="127" t="str">
        <f t="shared" si="9"/>
        <v>Procession.mid</v>
      </c>
      <c r="Y116" s="128" t="str">
        <f t="shared" si="10"/>
        <v>Procession</v>
      </c>
      <c r="Z116" s="122"/>
      <c r="AA116" s="125">
        <v>1.0</v>
      </c>
      <c r="AB116" s="126" t="s">
        <v>1191</v>
      </c>
      <c r="AC116" s="127" t="str">
        <f t="shared" si="11"/>
        <v>Radio Ga Ga.8.mid</v>
      </c>
      <c r="AD116" s="128" t="str">
        <f t="shared" si="12"/>
        <v>Radio Ga Ga.8</v>
      </c>
      <c r="AE116" s="122"/>
      <c r="AF116" s="125">
        <v>9.0</v>
      </c>
      <c r="AG116" s="126" t="s">
        <v>1184</v>
      </c>
      <c r="AH116" s="127" t="str">
        <f t="shared" si="13"/>
        <v>One Year of Love.mid</v>
      </c>
      <c r="AI116" s="128" t="str">
        <f t="shared" si="14"/>
        <v>One Year of Love</v>
      </c>
      <c r="AJ116" s="122"/>
      <c r="AK116" s="125">
        <v>9.0</v>
      </c>
      <c r="AL116" s="126" t="s">
        <v>1184</v>
      </c>
      <c r="AM116" s="127" t="str">
        <f t="shared" si="15"/>
        <v>One Year of Love.mid</v>
      </c>
      <c r="AN116" s="128" t="str">
        <f t="shared" si="16"/>
        <v>One Year of Love</v>
      </c>
      <c r="AO116" s="122"/>
      <c r="AP116" s="125">
        <v>36.0</v>
      </c>
      <c r="AQ116" s="126" t="s">
        <v>1108</v>
      </c>
      <c r="AR116" s="127" t="str">
        <f t="shared" si="17"/>
        <v>Save Me.3.mid</v>
      </c>
      <c r="AS116" s="128" t="str">
        <f t="shared" si="18"/>
        <v>Save Me.3</v>
      </c>
      <c r="AT116" s="122"/>
      <c r="AU116" s="125">
        <v>14.0</v>
      </c>
      <c r="AV116" s="126" t="s">
        <v>1183</v>
      </c>
      <c r="AW116" s="127" t="str">
        <f t="shared" si="19"/>
        <v>Now I'm Here.mid</v>
      </c>
      <c r="AX116" s="128" t="str">
        <f t="shared" si="20"/>
        <v>Now I'm Here</v>
      </c>
      <c r="AY116" s="122"/>
    </row>
    <row r="117" ht="15.75" customHeight="1">
      <c r="A117" s="124"/>
      <c r="B117" s="125">
        <v>0.0</v>
      </c>
      <c r="C117" s="126" t="s">
        <v>1075</v>
      </c>
      <c r="D117" s="127" t="str">
        <f t="shared" si="1"/>
        <v>Princes of the Universe.1.mid</v>
      </c>
      <c r="E117" s="128" t="str">
        <f t="shared" si="2"/>
        <v>Princes of the Universe.1</v>
      </c>
      <c r="F117" s="122"/>
      <c r="G117" s="125">
        <v>0.0</v>
      </c>
      <c r="H117" s="126" t="s">
        <v>1124</v>
      </c>
      <c r="I117" s="127" t="str">
        <f t="shared" si="3"/>
        <v>Procession.mid</v>
      </c>
      <c r="J117" s="128" t="str">
        <f t="shared" si="4"/>
        <v>Procession</v>
      </c>
      <c r="K117" s="122"/>
      <c r="L117" s="125">
        <v>0.0</v>
      </c>
      <c r="M117" s="126" t="s">
        <v>1124</v>
      </c>
      <c r="N117" s="127" t="str">
        <f t="shared" si="5"/>
        <v>Procession.mid</v>
      </c>
      <c r="O117" s="128" t="str">
        <f t="shared" si="6"/>
        <v>Procession</v>
      </c>
      <c r="P117" s="122"/>
      <c r="Q117" s="125">
        <v>0.0</v>
      </c>
      <c r="R117" s="126" t="s">
        <v>1178</v>
      </c>
      <c r="S117" s="127" t="str">
        <f t="shared" si="7"/>
        <v>Radio Ga Ga.4.mid</v>
      </c>
      <c r="T117" s="128" t="str">
        <f t="shared" si="8"/>
        <v>Radio Ga Ga.4</v>
      </c>
      <c r="U117" s="122"/>
      <c r="V117" s="125">
        <v>0.0</v>
      </c>
      <c r="W117" s="126" t="s">
        <v>1188</v>
      </c>
      <c r="X117" s="127" t="str">
        <f t="shared" si="9"/>
        <v>Radio Ga Ga.1.mid</v>
      </c>
      <c r="Y117" s="128" t="str">
        <f t="shared" si="10"/>
        <v>Radio Ga Ga.1</v>
      </c>
      <c r="Z117" s="122"/>
      <c r="AA117" s="125">
        <v>1.0</v>
      </c>
      <c r="AB117" s="126" t="s">
        <v>1180</v>
      </c>
      <c r="AC117" s="127" t="str">
        <f t="shared" si="11"/>
        <v>Radio Ga Ga.mid</v>
      </c>
      <c r="AD117" s="128" t="str">
        <f t="shared" si="12"/>
        <v>Radio Ga Ga</v>
      </c>
      <c r="AE117" s="122"/>
      <c r="AF117" s="125">
        <v>9.0</v>
      </c>
      <c r="AG117" s="126" t="s">
        <v>1185</v>
      </c>
      <c r="AH117" s="127" t="str">
        <f t="shared" si="13"/>
        <v>Play the Game.1.mid</v>
      </c>
      <c r="AI117" s="128" t="str">
        <f t="shared" si="14"/>
        <v>Play the Game.1</v>
      </c>
      <c r="AJ117" s="122"/>
      <c r="AK117" s="125">
        <v>9.0</v>
      </c>
      <c r="AL117" s="126" t="s">
        <v>1185</v>
      </c>
      <c r="AM117" s="127" t="str">
        <f t="shared" si="15"/>
        <v>Play the Game.1.mid</v>
      </c>
      <c r="AN117" s="128" t="str">
        <f t="shared" si="16"/>
        <v>Play the Game.1</v>
      </c>
      <c r="AO117" s="122"/>
      <c r="AP117" s="125">
        <v>36.0</v>
      </c>
      <c r="AQ117" s="126" t="s">
        <v>1192</v>
      </c>
      <c r="AR117" s="127" t="str">
        <f t="shared" si="17"/>
        <v>Seven Seas of Rhye.mid</v>
      </c>
      <c r="AS117" s="128" t="str">
        <f t="shared" si="18"/>
        <v>Seven Seas of Rhye</v>
      </c>
      <c r="AT117" s="122"/>
      <c r="AU117" s="125">
        <v>14.0</v>
      </c>
      <c r="AV117" s="126" t="s">
        <v>1172</v>
      </c>
      <c r="AW117" s="127" t="str">
        <f t="shared" si="19"/>
        <v>One Year of Love.1.mid</v>
      </c>
      <c r="AX117" s="128" t="str">
        <f t="shared" si="20"/>
        <v>One Year of Love.1</v>
      </c>
      <c r="AY117" s="122"/>
    </row>
    <row r="118" ht="15.75" customHeight="1">
      <c r="A118" s="124"/>
      <c r="B118" s="125">
        <v>0.0</v>
      </c>
      <c r="C118" s="126" t="s">
        <v>1187</v>
      </c>
      <c r="D118" s="127" t="str">
        <f t="shared" si="1"/>
        <v>Princes of the Universe.mid</v>
      </c>
      <c r="E118" s="128" t="str">
        <f t="shared" si="2"/>
        <v>Princes of the Universe</v>
      </c>
      <c r="F118" s="122"/>
      <c r="G118" s="125">
        <v>0.0</v>
      </c>
      <c r="H118" s="126" t="s">
        <v>1188</v>
      </c>
      <c r="I118" s="127" t="str">
        <f t="shared" si="3"/>
        <v>Radio Ga Ga.1.mid</v>
      </c>
      <c r="J118" s="128" t="str">
        <f t="shared" si="4"/>
        <v>Radio Ga Ga.1</v>
      </c>
      <c r="K118" s="122"/>
      <c r="L118" s="125">
        <v>0.0</v>
      </c>
      <c r="M118" s="126" t="s">
        <v>1188</v>
      </c>
      <c r="N118" s="127" t="str">
        <f t="shared" si="5"/>
        <v>Radio Ga Ga.1.mid</v>
      </c>
      <c r="O118" s="128" t="str">
        <f t="shared" si="6"/>
        <v>Radio Ga Ga.1</v>
      </c>
      <c r="P118" s="122"/>
      <c r="Q118" s="125">
        <v>0.0</v>
      </c>
      <c r="R118" s="126" t="s">
        <v>1078</v>
      </c>
      <c r="S118" s="127" t="str">
        <f t="shared" si="7"/>
        <v>Radio Ga Ga.5.mid</v>
      </c>
      <c r="T118" s="128" t="str">
        <f t="shared" si="8"/>
        <v>Radio Ga Ga.5</v>
      </c>
      <c r="U118" s="122"/>
      <c r="V118" s="125">
        <v>0.0</v>
      </c>
      <c r="W118" s="126" t="s">
        <v>1189</v>
      </c>
      <c r="X118" s="127" t="str">
        <f t="shared" si="9"/>
        <v>Radio Ga Ga.2.mid</v>
      </c>
      <c r="Y118" s="128" t="str">
        <f t="shared" si="10"/>
        <v>Radio Ga Ga.2</v>
      </c>
      <c r="Z118" s="122"/>
      <c r="AA118" s="125">
        <v>1.0</v>
      </c>
      <c r="AB118" s="126" t="s">
        <v>1193</v>
      </c>
      <c r="AC118" s="127" t="str">
        <f t="shared" si="11"/>
        <v>Rain Must Fall.mid</v>
      </c>
      <c r="AD118" s="128" t="str">
        <f t="shared" si="12"/>
        <v>Rain Must Fall</v>
      </c>
      <c r="AE118" s="122"/>
      <c r="AF118" s="125">
        <v>9.0</v>
      </c>
      <c r="AG118" s="126" t="s">
        <v>1186</v>
      </c>
      <c r="AH118" s="127" t="str">
        <f t="shared" si="13"/>
        <v>Play the Game.mid</v>
      </c>
      <c r="AI118" s="128" t="str">
        <f t="shared" si="14"/>
        <v>Play the Game</v>
      </c>
      <c r="AJ118" s="122"/>
      <c r="AK118" s="125">
        <v>9.0</v>
      </c>
      <c r="AL118" s="126" t="s">
        <v>1186</v>
      </c>
      <c r="AM118" s="127" t="str">
        <f t="shared" si="15"/>
        <v>Play the Game.mid</v>
      </c>
      <c r="AN118" s="128" t="str">
        <f t="shared" si="16"/>
        <v>Play the Game</v>
      </c>
      <c r="AO118" s="122"/>
      <c r="AP118" s="125">
        <v>36.0</v>
      </c>
      <c r="AQ118" s="126" t="s">
        <v>1194</v>
      </c>
      <c r="AR118" s="127" t="str">
        <f t="shared" si="17"/>
        <v>The Miracle.4.mid</v>
      </c>
      <c r="AS118" s="128" t="str">
        <f t="shared" si="18"/>
        <v>The Miracle.4</v>
      </c>
      <c r="AT118" s="122"/>
      <c r="AU118" s="125">
        <v>14.0</v>
      </c>
      <c r="AV118" s="126" t="s">
        <v>1184</v>
      </c>
      <c r="AW118" s="127" t="str">
        <f t="shared" si="19"/>
        <v>One Year of Love.mid</v>
      </c>
      <c r="AX118" s="128" t="str">
        <f t="shared" si="20"/>
        <v>One Year of Love</v>
      </c>
      <c r="AY118" s="122"/>
    </row>
    <row r="119" ht="15.75" customHeight="1">
      <c r="A119" s="124"/>
      <c r="B119" s="125">
        <v>0.0</v>
      </c>
      <c r="C119" s="126" t="s">
        <v>1124</v>
      </c>
      <c r="D119" s="127" t="str">
        <f t="shared" si="1"/>
        <v>Procession.mid</v>
      </c>
      <c r="E119" s="128" t="str">
        <f t="shared" si="2"/>
        <v>Procession</v>
      </c>
      <c r="F119" s="122"/>
      <c r="G119" s="125">
        <v>0.0</v>
      </c>
      <c r="H119" s="126" t="s">
        <v>1189</v>
      </c>
      <c r="I119" s="127" t="str">
        <f t="shared" si="3"/>
        <v>Radio Ga Ga.2.mid</v>
      </c>
      <c r="J119" s="128" t="str">
        <f t="shared" si="4"/>
        <v>Radio Ga Ga.2</v>
      </c>
      <c r="K119" s="122"/>
      <c r="L119" s="125">
        <v>0.0</v>
      </c>
      <c r="M119" s="126" t="s">
        <v>1189</v>
      </c>
      <c r="N119" s="127" t="str">
        <f t="shared" si="5"/>
        <v>Radio Ga Ga.2.mid</v>
      </c>
      <c r="O119" s="128" t="str">
        <f t="shared" si="6"/>
        <v>Radio Ga Ga.2</v>
      </c>
      <c r="P119" s="122"/>
      <c r="Q119" s="125">
        <v>0.0</v>
      </c>
      <c r="R119" s="126" t="s">
        <v>1174</v>
      </c>
      <c r="S119" s="127" t="str">
        <f t="shared" si="7"/>
        <v>Radio Ga Ga.6.mid</v>
      </c>
      <c r="T119" s="128" t="str">
        <f t="shared" si="8"/>
        <v>Radio Ga Ga.6</v>
      </c>
      <c r="U119" s="122"/>
      <c r="V119" s="125">
        <v>0.0</v>
      </c>
      <c r="W119" s="126" t="s">
        <v>1067</v>
      </c>
      <c r="X119" s="127" t="str">
        <f t="shared" si="9"/>
        <v>Radio Ga Ga.3.mid</v>
      </c>
      <c r="Y119" s="128" t="str">
        <f t="shared" si="10"/>
        <v>Radio Ga Ga.3</v>
      </c>
      <c r="Z119" s="122"/>
      <c r="AA119" s="125">
        <v>1.0</v>
      </c>
      <c r="AB119" s="126" t="s">
        <v>1195</v>
      </c>
      <c r="AC119" s="127" t="str">
        <f t="shared" si="11"/>
        <v>Save Me.1.mid</v>
      </c>
      <c r="AD119" s="128" t="str">
        <f t="shared" si="12"/>
        <v>Save Me.1</v>
      </c>
      <c r="AE119" s="122"/>
      <c r="AF119" s="125">
        <v>9.0</v>
      </c>
      <c r="AG119" s="126" t="s">
        <v>1075</v>
      </c>
      <c r="AH119" s="127" t="str">
        <f t="shared" si="13"/>
        <v>Princes of the Universe.1.mid</v>
      </c>
      <c r="AI119" s="128" t="str">
        <f t="shared" si="14"/>
        <v>Princes of the Universe.1</v>
      </c>
      <c r="AJ119" s="122"/>
      <c r="AK119" s="125">
        <v>9.0</v>
      </c>
      <c r="AL119" s="126" t="s">
        <v>1075</v>
      </c>
      <c r="AM119" s="127" t="str">
        <f t="shared" si="15"/>
        <v>Princes of the Universe.1.mid</v>
      </c>
      <c r="AN119" s="128" t="str">
        <f t="shared" si="16"/>
        <v>Princes of the Universe.1</v>
      </c>
      <c r="AO119" s="122"/>
      <c r="AP119" s="125">
        <v>36.0</v>
      </c>
      <c r="AQ119" s="126" t="s">
        <v>1196</v>
      </c>
      <c r="AR119" s="127" t="str">
        <f t="shared" si="17"/>
        <v>These Are the Days of Our Lives.mid</v>
      </c>
      <c r="AS119" s="128" t="str">
        <f t="shared" si="18"/>
        <v>These Are the Days of Our Lives</v>
      </c>
      <c r="AT119" s="122"/>
      <c r="AU119" s="125">
        <v>14.0</v>
      </c>
      <c r="AV119" s="126" t="s">
        <v>1185</v>
      </c>
      <c r="AW119" s="127" t="str">
        <f t="shared" si="19"/>
        <v>Play the Game.1.mid</v>
      </c>
      <c r="AX119" s="128" t="str">
        <f t="shared" si="20"/>
        <v>Play the Game.1</v>
      </c>
      <c r="AY119" s="122"/>
    </row>
    <row r="120" ht="15.75" customHeight="1">
      <c r="A120" s="124"/>
      <c r="B120" s="125">
        <v>0.0</v>
      </c>
      <c r="C120" s="126" t="s">
        <v>1188</v>
      </c>
      <c r="D120" s="127" t="str">
        <f t="shared" si="1"/>
        <v>Radio Ga Ga.1.mid</v>
      </c>
      <c r="E120" s="128" t="str">
        <f t="shared" si="2"/>
        <v>Radio Ga Ga.1</v>
      </c>
      <c r="F120" s="122"/>
      <c r="G120" s="125">
        <v>0.0</v>
      </c>
      <c r="H120" s="126" t="s">
        <v>1067</v>
      </c>
      <c r="I120" s="127" t="str">
        <f t="shared" si="3"/>
        <v>Radio Ga Ga.3.mid</v>
      </c>
      <c r="J120" s="128" t="str">
        <f t="shared" si="4"/>
        <v>Radio Ga Ga.3</v>
      </c>
      <c r="K120" s="122"/>
      <c r="L120" s="125">
        <v>0.0</v>
      </c>
      <c r="M120" s="126" t="s">
        <v>1067</v>
      </c>
      <c r="N120" s="127" t="str">
        <f t="shared" si="5"/>
        <v>Radio Ga Ga.3.mid</v>
      </c>
      <c r="O120" s="128" t="str">
        <f t="shared" si="6"/>
        <v>Radio Ga Ga.3</v>
      </c>
      <c r="P120" s="122"/>
      <c r="Q120" s="125">
        <v>0.0</v>
      </c>
      <c r="R120" s="126" t="s">
        <v>1190</v>
      </c>
      <c r="S120" s="127" t="str">
        <f t="shared" si="7"/>
        <v>Radio Ga Ga.7.mid</v>
      </c>
      <c r="T120" s="128" t="str">
        <f t="shared" si="8"/>
        <v>Radio Ga Ga.7</v>
      </c>
      <c r="U120" s="122"/>
      <c r="V120" s="125">
        <v>0.0</v>
      </c>
      <c r="W120" s="126" t="s">
        <v>1178</v>
      </c>
      <c r="X120" s="127" t="str">
        <f t="shared" si="9"/>
        <v>Radio Ga Ga.4.mid</v>
      </c>
      <c r="Y120" s="128" t="str">
        <f t="shared" si="10"/>
        <v>Radio Ga Ga.4</v>
      </c>
      <c r="Z120" s="122"/>
      <c r="AA120" s="125">
        <v>1.0</v>
      </c>
      <c r="AB120" s="126" t="s">
        <v>1106</v>
      </c>
      <c r="AC120" s="127" t="str">
        <f t="shared" si="11"/>
        <v>Save Me.2.mid</v>
      </c>
      <c r="AD120" s="128" t="str">
        <f t="shared" si="12"/>
        <v>Save Me.2</v>
      </c>
      <c r="AE120" s="122"/>
      <c r="AF120" s="125">
        <v>9.0</v>
      </c>
      <c r="AG120" s="126" t="s">
        <v>1187</v>
      </c>
      <c r="AH120" s="127" t="str">
        <f t="shared" si="13"/>
        <v>Princes of the Universe.mid</v>
      </c>
      <c r="AI120" s="128" t="str">
        <f t="shared" si="14"/>
        <v>Princes of the Universe</v>
      </c>
      <c r="AJ120" s="122"/>
      <c r="AK120" s="125">
        <v>9.0</v>
      </c>
      <c r="AL120" s="126" t="s">
        <v>1187</v>
      </c>
      <c r="AM120" s="127" t="str">
        <f t="shared" si="15"/>
        <v>Princes of the Universe.mid</v>
      </c>
      <c r="AN120" s="128" t="str">
        <f t="shared" si="16"/>
        <v>Princes of the Universe</v>
      </c>
      <c r="AO120" s="122"/>
      <c r="AP120" s="125">
        <v>36.0</v>
      </c>
      <c r="AQ120" s="126" t="s">
        <v>1197</v>
      </c>
      <c r="AR120" s="127" t="str">
        <f t="shared" si="17"/>
        <v>Too Much Love Will Kill You.1.mid</v>
      </c>
      <c r="AS120" s="128" t="str">
        <f t="shared" si="18"/>
        <v>Too Much Love Will Kill You.1</v>
      </c>
      <c r="AT120" s="122"/>
      <c r="AU120" s="125">
        <v>14.0</v>
      </c>
      <c r="AV120" s="126" t="s">
        <v>1186</v>
      </c>
      <c r="AW120" s="127" t="str">
        <f t="shared" si="19"/>
        <v>Play the Game.mid</v>
      </c>
      <c r="AX120" s="128" t="str">
        <f t="shared" si="20"/>
        <v>Play the Game</v>
      </c>
      <c r="AY120" s="122"/>
    </row>
    <row r="121" ht="15.75" customHeight="1">
      <c r="A121" s="124"/>
      <c r="B121" s="125">
        <v>0.0</v>
      </c>
      <c r="C121" s="126" t="s">
        <v>1189</v>
      </c>
      <c r="D121" s="127" t="str">
        <f t="shared" si="1"/>
        <v>Radio Ga Ga.2.mid</v>
      </c>
      <c r="E121" s="128" t="str">
        <f t="shared" si="2"/>
        <v>Radio Ga Ga.2</v>
      </c>
      <c r="F121" s="122"/>
      <c r="G121" s="125">
        <v>0.0</v>
      </c>
      <c r="H121" s="126" t="s">
        <v>1178</v>
      </c>
      <c r="I121" s="127" t="str">
        <f t="shared" si="3"/>
        <v>Radio Ga Ga.4.mid</v>
      </c>
      <c r="J121" s="128" t="str">
        <f t="shared" si="4"/>
        <v>Radio Ga Ga.4</v>
      </c>
      <c r="K121" s="122"/>
      <c r="L121" s="125">
        <v>0.0</v>
      </c>
      <c r="M121" s="126" t="s">
        <v>1178</v>
      </c>
      <c r="N121" s="127" t="str">
        <f t="shared" si="5"/>
        <v>Radio Ga Ga.4.mid</v>
      </c>
      <c r="O121" s="128" t="str">
        <f t="shared" si="6"/>
        <v>Radio Ga Ga.4</v>
      </c>
      <c r="P121" s="122"/>
      <c r="Q121" s="125">
        <v>0.0</v>
      </c>
      <c r="R121" s="126" t="s">
        <v>1191</v>
      </c>
      <c r="S121" s="127" t="str">
        <f t="shared" si="7"/>
        <v>Radio Ga Ga.8.mid</v>
      </c>
      <c r="T121" s="128" t="str">
        <f t="shared" si="8"/>
        <v>Radio Ga Ga.8</v>
      </c>
      <c r="U121" s="122"/>
      <c r="V121" s="125">
        <v>0.0</v>
      </c>
      <c r="W121" s="126" t="s">
        <v>1078</v>
      </c>
      <c r="X121" s="127" t="str">
        <f t="shared" si="9"/>
        <v>Radio Ga Ga.5.mid</v>
      </c>
      <c r="Y121" s="128" t="str">
        <f t="shared" si="10"/>
        <v>Radio Ga Ga.5</v>
      </c>
      <c r="Z121" s="122"/>
      <c r="AA121" s="125">
        <v>1.0</v>
      </c>
      <c r="AB121" s="126" t="s">
        <v>1108</v>
      </c>
      <c r="AC121" s="127" t="str">
        <f t="shared" si="11"/>
        <v>Save Me.3.mid</v>
      </c>
      <c r="AD121" s="128" t="str">
        <f t="shared" si="12"/>
        <v>Save Me.3</v>
      </c>
      <c r="AE121" s="122"/>
      <c r="AF121" s="125">
        <v>9.0</v>
      </c>
      <c r="AG121" s="126" t="s">
        <v>1188</v>
      </c>
      <c r="AH121" s="127" t="str">
        <f t="shared" si="13"/>
        <v>Radio Ga Ga.1.mid</v>
      </c>
      <c r="AI121" s="128" t="str">
        <f t="shared" si="14"/>
        <v>Radio Ga Ga.1</v>
      </c>
      <c r="AJ121" s="122"/>
      <c r="AK121" s="125">
        <v>9.0</v>
      </c>
      <c r="AL121" s="126" t="s">
        <v>1188</v>
      </c>
      <c r="AM121" s="127" t="str">
        <f t="shared" si="15"/>
        <v>Radio Ga Ga.1.mid</v>
      </c>
      <c r="AN121" s="128" t="str">
        <f t="shared" si="16"/>
        <v>Radio Ga Ga.1</v>
      </c>
      <c r="AO121" s="122"/>
      <c r="AP121" s="125">
        <v>36.0</v>
      </c>
      <c r="AQ121" s="126" t="s">
        <v>1198</v>
      </c>
      <c r="AR121" s="127" t="str">
        <f t="shared" si="17"/>
        <v>We Are The Champions.3.mid</v>
      </c>
      <c r="AS121" s="128" t="str">
        <f t="shared" si="18"/>
        <v>We Are The Champions.3</v>
      </c>
      <c r="AT121" s="122"/>
      <c r="AU121" s="125">
        <v>14.0</v>
      </c>
      <c r="AV121" s="126" t="s">
        <v>1075</v>
      </c>
      <c r="AW121" s="127" t="str">
        <f t="shared" si="19"/>
        <v>Princes of the Universe.1.mid</v>
      </c>
      <c r="AX121" s="128" t="str">
        <f t="shared" si="20"/>
        <v>Princes of the Universe.1</v>
      </c>
      <c r="AY121" s="122"/>
    </row>
    <row r="122" ht="15.75" customHeight="1">
      <c r="A122" s="124"/>
      <c r="B122" s="125">
        <v>0.0</v>
      </c>
      <c r="C122" s="126" t="s">
        <v>1067</v>
      </c>
      <c r="D122" s="127" t="str">
        <f t="shared" si="1"/>
        <v>Radio Ga Ga.3.mid</v>
      </c>
      <c r="E122" s="128" t="str">
        <f t="shared" si="2"/>
        <v>Radio Ga Ga.3</v>
      </c>
      <c r="F122" s="122"/>
      <c r="G122" s="125">
        <v>0.0</v>
      </c>
      <c r="H122" s="126" t="s">
        <v>1078</v>
      </c>
      <c r="I122" s="127" t="str">
        <f t="shared" si="3"/>
        <v>Radio Ga Ga.5.mid</v>
      </c>
      <c r="J122" s="128" t="str">
        <f t="shared" si="4"/>
        <v>Radio Ga Ga.5</v>
      </c>
      <c r="K122" s="122"/>
      <c r="L122" s="125">
        <v>0.0</v>
      </c>
      <c r="M122" s="126" t="s">
        <v>1078</v>
      </c>
      <c r="N122" s="127" t="str">
        <f t="shared" si="5"/>
        <v>Radio Ga Ga.5.mid</v>
      </c>
      <c r="O122" s="128" t="str">
        <f t="shared" si="6"/>
        <v>Radio Ga Ga.5</v>
      </c>
      <c r="P122" s="122"/>
      <c r="Q122" s="125">
        <v>0.0</v>
      </c>
      <c r="R122" s="126" t="s">
        <v>1180</v>
      </c>
      <c r="S122" s="127" t="str">
        <f t="shared" si="7"/>
        <v>Radio Ga Ga.mid</v>
      </c>
      <c r="T122" s="128" t="str">
        <f t="shared" si="8"/>
        <v>Radio Ga Ga</v>
      </c>
      <c r="U122" s="122"/>
      <c r="V122" s="125">
        <v>0.0</v>
      </c>
      <c r="W122" s="126" t="s">
        <v>1174</v>
      </c>
      <c r="X122" s="127" t="str">
        <f t="shared" si="9"/>
        <v>Radio Ga Ga.6.mid</v>
      </c>
      <c r="Y122" s="128" t="str">
        <f t="shared" si="10"/>
        <v>Radio Ga Ga.6</v>
      </c>
      <c r="Z122" s="122"/>
      <c r="AA122" s="125">
        <v>1.0</v>
      </c>
      <c r="AB122" s="126" t="s">
        <v>1182</v>
      </c>
      <c r="AC122" s="127" t="str">
        <f t="shared" si="11"/>
        <v>Save Me.mid</v>
      </c>
      <c r="AD122" s="128" t="str">
        <f t="shared" si="12"/>
        <v>Save Me</v>
      </c>
      <c r="AE122" s="122"/>
      <c r="AF122" s="125">
        <v>9.0</v>
      </c>
      <c r="AG122" s="126" t="s">
        <v>1189</v>
      </c>
      <c r="AH122" s="127" t="str">
        <f t="shared" si="13"/>
        <v>Radio Ga Ga.2.mid</v>
      </c>
      <c r="AI122" s="128" t="str">
        <f t="shared" si="14"/>
        <v>Radio Ga Ga.2</v>
      </c>
      <c r="AJ122" s="122"/>
      <c r="AK122" s="125">
        <v>9.0</v>
      </c>
      <c r="AL122" s="126" t="s">
        <v>1189</v>
      </c>
      <c r="AM122" s="127" t="str">
        <f t="shared" si="15"/>
        <v>Radio Ga Ga.2.mid</v>
      </c>
      <c r="AN122" s="128" t="str">
        <f t="shared" si="16"/>
        <v>Radio Ga Ga.2</v>
      </c>
      <c r="AO122" s="122"/>
      <c r="AP122" s="125">
        <v>36.0</v>
      </c>
      <c r="AQ122" s="126" t="s">
        <v>1199</v>
      </c>
      <c r="AR122" s="127" t="str">
        <f t="shared" si="17"/>
        <v>We Will Rock You.3.mid</v>
      </c>
      <c r="AS122" s="128" t="str">
        <f t="shared" si="18"/>
        <v>We Will Rock You.3</v>
      </c>
      <c r="AT122" s="122"/>
      <c r="AU122" s="125">
        <v>14.0</v>
      </c>
      <c r="AV122" s="126" t="s">
        <v>1187</v>
      </c>
      <c r="AW122" s="127" t="str">
        <f t="shared" si="19"/>
        <v>Princes of the Universe.mid</v>
      </c>
      <c r="AX122" s="128" t="str">
        <f t="shared" si="20"/>
        <v>Princes of the Universe</v>
      </c>
      <c r="AY122" s="122"/>
    </row>
    <row r="123" ht="15.75" customHeight="1">
      <c r="A123" s="124"/>
      <c r="B123" s="125">
        <v>0.0</v>
      </c>
      <c r="C123" s="126" t="s">
        <v>1178</v>
      </c>
      <c r="D123" s="127" t="str">
        <f t="shared" si="1"/>
        <v>Radio Ga Ga.4.mid</v>
      </c>
      <c r="E123" s="128" t="str">
        <f t="shared" si="2"/>
        <v>Radio Ga Ga.4</v>
      </c>
      <c r="F123" s="122"/>
      <c r="G123" s="125">
        <v>0.0</v>
      </c>
      <c r="H123" s="126" t="s">
        <v>1174</v>
      </c>
      <c r="I123" s="127" t="str">
        <f t="shared" si="3"/>
        <v>Radio Ga Ga.6.mid</v>
      </c>
      <c r="J123" s="128" t="str">
        <f t="shared" si="4"/>
        <v>Radio Ga Ga.6</v>
      </c>
      <c r="K123" s="122"/>
      <c r="L123" s="125">
        <v>0.0</v>
      </c>
      <c r="M123" s="126" t="s">
        <v>1174</v>
      </c>
      <c r="N123" s="127" t="str">
        <f t="shared" si="5"/>
        <v>Radio Ga Ga.6.mid</v>
      </c>
      <c r="O123" s="128" t="str">
        <f t="shared" si="6"/>
        <v>Radio Ga Ga.6</v>
      </c>
      <c r="P123" s="122"/>
      <c r="Q123" s="125">
        <v>0.0</v>
      </c>
      <c r="R123" s="126" t="s">
        <v>1193</v>
      </c>
      <c r="S123" s="127" t="str">
        <f t="shared" si="7"/>
        <v>Rain Must Fall.mid</v>
      </c>
      <c r="T123" s="128" t="str">
        <f t="shared" si="8"/>
        <v>Rain Must Fall</v>
      </c>
      <c r="U123" s="122"/>
      <c r="V123" s="125">
        <v>0.0</v>
      </c>
      <c r="W123" s="126" t="s">
        <v>1190</v>
      </c>
      <c r="X123" s="127" t="str">
        <f t="shared" si="9"/>
        <v>Radio Ga Ga.7.mid</v>
      </c>
      <c r="Y123" s="128" t="str">
        <f t="shared" si="10"/>
        <v>Radio Ga Ga.7</v>
      </c>
      <c r="Z123" s="122"/>
      <c r="AA123" s="125">
        <v>1.0</v>
      </c>
      <c r="AB123" s="126" t="s">
        <v>1110</v>
      </c>
      <c r="AC123" s="127" t="str">
        <f t="shared" si="11"/>
        <v>Scandal.1.mid</v>
      </c>
      <c r="AD123" s="128" t="str">
        <f t="shared" si="12"/>
        <v>Scandal.1</v>
      </c>
      <c r="AE123" s="122"/>
      <c r="AF123" s="125">
        <v>9.0</v>
      </c>
      <c r="AG123" s="126" t="s">
        <v>1178</v>
      </c>
      <c r="AH123" s="127" t="str">
        <f t="shared" si="13"/>
        <v>Radio Ga Ga.4.mid</v>
      </c>
      <c r="AI123" s="128" t="str">
        <f t="shared" si="14"/>
        <v>Radio Ga Ga.4</v>
      </c>
      <c r="AJ123" s="122"/>
      <c r="AK123" s="125">
        <v>9.0</v>
      </c>
      <c r="AL123" s="126" t="s">
        <v>1178</v>
      </c>
      <c r="AM123" s="127" t="str">
        <f t="shared" si="15"/>
        <v>Radio Ga Ga.4.mid</v>
      </c>
      <c r="AN123" s="128" t="str">
        <f t="shared" si="16"/>
        <v>Radio Ga Ga.4</v>
      </c>
      <c r="AO123" s="122"/>
      <c r="AP123" s="125">
        <v>37.0</v>
      </c>
      <c r="AQ123" s="126" t="s">
        <v>1028</v>
      </c>
      <c r="AR123" s="127" t="str">
        <f t="shared" si="17"/>
        <v>'39.mid</v>
      </c>
      <c r="AS123" s="128" t="str">
        <f t="shared" si="18"/>
        <v>'39</v>
      </c>
      <c r="AT123" s="122"/>
      <c r="AU123" s="125">
        <v>14.0</v>
      </c>
      <c r="AV123" s="126" t="s">
        <v>1188</v>
      </c>
      <c r="AW123" s="127" t="str">
        <f t="shared" si="19"/>
        <v>Radio Ga Ga.1.mid</v>
      </c>
      <c r="AX123" s="128" t="str">
        <f t="shared" si="20"/>
        <v>Radio Ga Ga.1</v>
      </c>
      <c r="AY123" s="122"/>
    </row>
    <row r="124" ht="15.75" customHeight="1">
      <c r="A124" s="124"/>
      <c r="B124" s="125">
        <v>0.0</v>
      </c>
      <c r="C124" s="126" t="s">
        <v>1078</v>
      </c>
      <c r="D124" s="127" t="str">
        <f t="shared" si="1"/>
        <v>Radio Ga Ga.5.mid</v>
      </c>
      <c r="E124" s="128" t="str">
        <f t="shared" si="2"/>
        <v>Radio Ga Ga.5</v>
      </c>
      <c r="F124" s="122"/>
      <c r="G124" s="125">
        <v>0.0</v>
      </c>
      <c r="H124" s="126" t="s">
        <v>1190</v>
      </c>
      <c r="I124" s="127" t="str">
        <f t="shared" si="3"/>
        <v>Radio Ga Ga.7.mid</v>
      </c>
      <c r="J124" s="128" t="str">
        <f t="shared" si="4"/>
        <v>Radio Ga Ga.7</v>
      </c>
      <c r="K124" s="122"/>
      <c r="L124" s="125">
        <v>0.0</v>
      </c>
      <c r="M124" s="126" t="s">
        <v>1190</v>
      </c>
      <c r="N124" s="127" t="str">
        <f t="shared" si="5"/>
        <v>Radio Ga Ga.7.mid</v>
      </c>
      <c r="O124" s="128" t="str">
        <f t="shared" si="6"/>
        <v>Radio Ga Ga.7</v>
      </c>
      <c r="P124" s="122"/>
      <c r="Q124" s="125">
        <v>0.0</v>
      </c>
      <c r="R124" s="126" t="s">
        <v>1195</v>
      </c>
      <c r="S124" s="127" t="str">
        <f t="shared" si="7"/>
        <v>Save Me.1.mid</v>
      </c>
      <c r="T124" s="128" t="str">
        <f t="shared" si="8"/>
        <v>Save Me.1</v>
      </c>
      <c r="U124" s="122"/>
      <c r="V124" s="125">
        <v>0.0</v>
      </c>
      <c r="W124" s="126" t="s">
        <v>1191</v>
      </c>
      <c r="X124" s="127" t="str">
        <f t="shared" si="9"/>
        <v>Radio Ga Ga.8.mid</v>
      </c>
      <c r="Y124" s="128" t="str">
        <f t="shared" si="10"/>
        <v>Radio Ga Ga.8</v>
      </c>
      <c r="Z124" s="122"/>
      <c r="AA124" s="125">
        <v>1.0</v>
      </c>
      <c r="AB124" s="126" t="s">
        <v>1200</v>
      </c>
      <c r="AC124" s="127" t="str">
        <f t="shared" si="11"/>
        <v>Seven Seas of Rhye.1.mid</v>
      </c>
      <c r="AD124" s="128" t="str">
        <f t="shared" si="12"/>
        <v>Seven Seas of Rhye.1</v>
      </c>
      <c r="AE124" s="122"/>
      <c r="AF124" s="125">
        <v>9.0</v>
      </c>
      <c r="AG124" s="126" t="s">
        <v>1078</v>
      </c>
      <c r="AH124" s="127" t="str">
        <f t="shared" si="13"/>
        <v>Radio Ga Ga.5.mid</v>
      </c>
      <c r="AI124" s="128" t="str">
        <f t="shared" si="14"/>
        <v>Radio Ga Ga.5</v>
      </c>
      <c r="AJ124" s="122"/>
      <c r="AK124" s="125">
        <v>9.0</v>
      </c>
      <c r="AL124" s="126" t="s">
        <v>1078</v>
      </c>
      <c r="AM124" s="127" t="str">
        <f t="shared" si="15"/>
        <v>Radio Ga Ga.5.mid</v>
      </c>
      <c r="AN124" s="128" t="str">
        <f t="shared" si="16"/>
        <v>Radio Ga Ga.5</v>
      </c>
      <c r="AO124" s="122"/>
      <c r="AP124" s="125">
        <v>37.0</v>
      </c>
      <c r="AQ124" s="126" t="s">
        <v>1033</v>
      </c>
      <c r="AR124" s="127" t="str">
        <f t="shared" si="17"/>
        <v>A Kind of Magic.3.mid</v>
      </c>
      <c r="AS124" s="128" t="str">
        <f t="shared" si="18"/>
        <v>A Kind of Magic.3</v>
      </c>
      <c r="AT124" s="122"/>
      <c r="AU124" s="125">
        <v>14.0</v>
      </c>
      <c r="AV124" s="126" t="s">
        <v>1189</v>
      </c>
      <c r="AW124" s="127" t="str">
        <f t="shared" si="19"/>
        <v>Radio Ga Ga.2.mid</v>
      </c>
      <c r="AX124" s="128" t="str">
        <f t="shared" si="20"/>
        <v>Radio Ga Ga.2</v>
      </c>
      <c r="AY124" s="122"/>
    </row>
    <row r="125" ht="15.75" customHeight="1">
      <c r="A125" s="124"/>
      <c r="B125" s="125">
        <v>0.0</v>
      </c>
      <c r="C125" s="126" t="s">
        <v>1174</v>
      </c>
      <c r="D125" s="127" t="str">
        <f t="shared" si="1"/>
        <v>Radio Ga Ga.6.mid</v>
      </c>
      <c r="E125" s="128" t="str">
        <f t="shared" si="2"/>
        <v>Radio Ga Ga.6</v>
      </c>
      <c r="F125" s="122"/>
      <c r="G125" s="125">
        <v>0.0</v>
      </c>
      <c r="H125" s="126" t="s">
        <v>1191</v>
      </c>
      <c r="I125" s="127" t="str">
        <f t="shared" si="3"/>
        <v>Radio Ga Ga.8.mid</v>
      </c>
      <c r="J125" s="128" t="str">
        <f t="shared" si="4"/>
        <v>Radio Ga Ga.8</v>
      </c>
      <c r="K125" s="122"/>
      <c r="L125" s="125">
        <v>0.0</v>
      </c>
      <c r="M125" s="126" t="s">
        <v>1191</v>
      </c>
      <c r="N125" s="127" t="str">
        <f t="shared" si="5"/>
        <v>Radio Ga Ga.8.mid</v>
      </c>
      <c r="O125" s="128" t="str">
        <f t="shared" si="6"/>
        <v>Radio Ga Ga.8</v>
      </c>
      <c r="P125" s="122"/>
      <c r="Q125" s="125">
        <v>0.0</v>
      </c>
      <c r="R125" s="126" t="s">
        <v>1106</v>
      </c>
      <c r="S125" s="127" t="str">
        <f t="shared" si="7"/>
        <v>Save Me.2.mid</v>
      </c>
      <c r="T125" s="128" t="str">
        <f t="shared" si="8"/>
        <v>Save Me.2</v>
      </c>
      <c r="U125" s="122"/>
      <c r="V125" s="125">
        <v>0.0</v>
      </c>
      <c r="W125" s="126" t="s">
        <v>1180</v>
      </c>
      <c r="X125" s="127" t="str">
        <f t="shared" si="9"/>
        <v>Radio Ga Ga.mid</v>
      </c>
      <c r="Y125" s="128" t="str">
        <f t="shared" si="10"/>
        <v>Radio Ga Ga</v>
      </c>
      <c r="Z125" s="122"/>
      <c r="AA125" s="125">
        <v>1.0</v>
      </c>
      <c r="AB125" s="126" t="s">
        <v>1192</v>
      </c>
      <c r="AC125" s="127" t="str">
        <f t="shared" si="11"/>
        <v>Seven Seas of Rhye.mid</v>
      </c>
      <c r="AD125" s="128" t="str">
        <f t="shared" si="12"/>
        <v>Seven Seas of Rhye</v>
      </c>
      <c r="AE125" s="122"/>
      <c r="AF125" s="125">
        <v>9.0</v>
      </c>
      <c r="AG125" s="126" t="s">
        <v>1174</v>
      </c>
      <c r="AH125" s="127" t="str">
        <f t="shared" si="13"/>
        <v>Radio Ga Ga.6.mid</v>
      </c>
      <c r="AI125" s="128" t="str">
        <f t="shared" si="14"/>
        <v>Radio Ga Ga.6</v>
      </c>
      <c r="AJ125" s="122"/>
      <c r="AK125" s="125">
        <v>9.0</v>
      </c>
      <c r="AL125" s="126" t="s">
        <v>1174</v>
      </c>
      <c r="AM125" s="127" t="str">
        <f t="shared" si="15"/>
        <v>Radio Ga Ga.6.mid</v>
      </c>
      <c r="AN125" s="128" t="str">
        <f t="shared" si="16"/>
        <v>Radio Ga Ga.6</v>
      </c>
      <c r="AO125" s="122"/>
      <c r="AP125" s="125">
        <v>37.0</v>
      </c>
      <c r="AQ125" s="126" t="s">
        <v>1052</v>
      </c>
      <c r="AR125" s="127" t="str">
        <f t="shared" si="17"/>
        <v>Another One Bites The Dust.4.mid</v>
      </c>
      <c r="AS125" s="128" t="str">
        <f t="shared" si="18"/>
        <v>Another One Bites The Dust.4</v>
      </c>
      <c r="AT125" s="122"/>
      <c r="AU125" s="125">
        <v>14.0</v>
      </c>
      <c r="AV125" s="126" t="s">
        <v>1067</v>
      </c>
      <c r="AW125" s="127" t="str">
        <f t="shared" si="19"/>
        <v>Radio Ga Ga.3.mid</v>
      </c>
      <c r="AX125" s="128" t="str">
        <f t="shared" si="20"/>
        <v>Radio Ga Ga.3</v>
      </c>
      <c r="AY125" s="122"/>
    </row>
    <row r="126" ht="15.75" customHeight="1">
      <c r="A126" s="124"/>
      <c r="B126" s="125">
        <v>0.0</v>
      </c>
      <c r="C126" s="126" t="s">
        <v>1190</v>
      </c>
      <c r="D126" s="127" t="str">
        <f t="shared" si="1"/>
        <v>Radio Ga Ga.7.mid</v>
      </c>
      <c r="E126" s="128" t="str">
        <f t="shared" si="2"/>
        <v>Radio Ga Ga.7</v>
      </c>
      <c r="F126" s="122"/>
      <c r="G126" s="125">
        <v>0.0</v>
      </c>
      <c r="H126" s="126" t="s">
        <v>1180</v>
      </c>
      <c r="I126" s="127" t="str">
        <f t="shared" si="3"/>
        <v>Radio Ga Ga.mid</v>
      </c>
      <c r="J126" s="128" t="str">
        <f t="shared" si="4"/>
        <v>Radio Ga Ga</v>
      </c>
      <c r="K126" s="122"/>
      <c r="L126" s="125">
        <v>0.0</v>
      </c>
      <c r="M126" s="126" t="s">
        <v>1180</v>
      </c>
      <c r="N126" s="127" t="str">
        <f t="shared" si="5"/>
        <v>Radio Ga Ga.mid</v>
      </c>
      <c r="O126" s="128" t="str">
        <f t="shared" si="6"/>
        <v>Radio Ga Ga</v>
      </c>
      <c r="P126" s="122"/>
      <c r="Q126" s="125">
        <v>0.0</v>
      </c>
      <c r="R126" s="126" t="s">
        <v>1108</v>
      </c>
      <c r="S126" s="127" t="str">
        <f t="shared" si="7"/>
        <v>Save Me.3.mid</v>
      </c>
      <c r="T126" s="128" t="str">
        <f t="shared" si="8"/>
        <v>Save Me.3</v>
      </c>
      <c r="U126" s="122"/>
      <c r="V126" s="125">
        <v>0.0</v>
      </c>
      <c r="W126" s="126" t="s">
        <v>1193</v>
      </c>
      <c r="X126" s="127" t="str">
        <f t="shared" si="9"/>
        <v>Rain Must Fall.mid</v>
      </c>
      <c r="Y126" s="128" t="str">
        <f t="shared" si="10"/>
        <v>Rain Must Fall</v>
      </c>
      <c r="Z126" s="122"/>
      <c r="AA126" s="125">
        <v>1.0</v>
      </c>
      <c r="AB126" s="126" t="s">
        <v>1080</v>
      </c>
      <c r="AC126" s="127" t="str">
        <f t="shared" si="11"/>
        <v>Somebody to Love.1.mid</v>
      </c>
      <c r="AD126" s="128" t="str">
        <f t="shared" si="12"/>
        <v>Somebody to Love.1</v>
      </c>
      <c r="AE126" s="122"/>
      <c r="AF126" s="125">
        <v>9.0</v>
      </c>
      <c r="AG126" s="126" t="s">
        <v>1190</v>
      </c>
      <c r="AH126" s="127" t="str">
        <f t="shared" si="13"/>
        <v>Radio Ga Ga.7.mid</v>
      </c>
      <c r="AI126" s="128" t="str">
        <f t="shared" si="14"/>
        <v>Radio Ga Ga.7</v>
      </c>
      <c r="AJ126" s="122"/>
      <c r="AK126" s="125">
        <v>9.0</v>
      </c>
      <c r="AL126" s="126" t="s">
        <v>1190</v>
      </c>
      <c r="AM126" s="127" t="str">
        <f t="shared" si="15"/>
        <v>Radio Ga Ga.7.mid</v>
      </c>
      <c r="AN126" s="128" t="str">
        <f t="shared" si="16"/>
        <v>Radio Ga Ga.7</v>
      </c>
      <c r="AO126" s="122"/>
      <c r="AP126" s="125">
        <v>37.0</v>
      </c>
      <c r="AQ126" s="126" t="s">
        <v>1054</v>
      </c>
      <c r="AR126" s="127" t="str">
        <f t="shared" si="17"/>
        <v>Another One Bites The Dust.5.mid</v>
      </c>
      <c r="AS126" s="128" t="str">
        <f t="shared" si="18"/>
        <v>Another One Bites The Dust.5</v>
      </c>
      <c r="AT126" s="122"/>
      <c r="AU126" s="125">
        <v>14.0</v>
      </c>
      <c r="AV126" s="126" t="s">
        <v>1078</v>
      </c>
      <c r="AW126" s="127" t="str">
        <f t="shared" si="19"/>
        <v>Radio Ga Ga.5.mid</v>
      </c>
      <c r="AX126" s="128" t="str">
        <f t="shared" si="20"/>
        <v>Radio Ga Ga.5</v>
      </c>
      <c r="AY126" s="122"/>
    </row>
    <row r="127" ht="15.75" customHeight="1">
      <c r="A127" s="124"/>
      <c r="B127" s="125">
        <v>0.0</v>
      </c>
      <c r="C127" s="126" t="s">
        <v>1191</v>
      </c>
      <c r="D127" s="127" t="str">
        <f t="shared" si="1"/>
        <v>Radio Ga Ga.8.mid</v>
      </c>
      <c r="E127" s="128" t="str">
        <f t="shared" si="2"/>
        <v>Radio Ga Ga.8</v>
      </c>
      <c r="F127" s="122"/>
      <c r="G127" s="125">
        <v>0.0</v>
      </c>
      <c r="H127" s="126" t="s">
        <v>1193</v>
      </c>
      <c r="I127" s="127" t="str">
        <f t="shared" si="3"/>
        <v>Rain Must Fall.mid</v>
      </c>
      <c r="J127" s="128" t="str">
        <f t="shared" si="4"/>
        <v>Rain Must Fall</v>
      </c>
      <c r="K127" s="122"/>
      <c r="L127" s="125">
        <v>0.0</v>
      </c>
      <c r="M127" s="126" t="s">
        <v>1193</v>
      </c>
      <c r="N127" s="127" t="str">
        <f t="shared" si="5"/>
        <v>Rain Must Fall.mid</v>
      </c>
      <c r="O127" s="128" t="str">
        <f t="shared" si="6"/>
        <v>Rain Must Fall</v>
      </c>
      <c r="P127" s="122"/>
      <c r="Q127" s="125">
        <v>0.0</v>
      </c>
      <c r="R127" s="126" t="s">
        <v>1182</v>
      </c>
      <c r="S127" s="127" t="str">
        <f t="shared" si="7"/>
        <v>Save Me.mid</v>
      </c>
      <c r="T127" s="128" t="str">
        <f t="shared" si="8"/>
        <v>Save Me</v>
      </c>
      <c r="U127" s="122"/>
      <c r="V127" s="125">
        <v>0.0</v>
      </c>
      <c r="W127" s="126" t="s">
        <v>1195</v>
      </c>
      <c r="X127" s="127" t="str">
        <f t="shared" si="9"/>
        <v>Save Me.1.mid</v>
      </c>
      <c r="Y127" s="128" t="str">
        <f t="shared" si="10"/>
        <v>Save Me.1</v>
      </c>
      <c r="Z127" s="122"/>
      <c r="AA127" s="125">
        <v>1.0</v>
      </c>
      <c r="AB127" s="126" t="s">
        <v>1201</v>
      </c>
      <c r="AC127" s="127" t="str">
        <f t="shared" si="11"/>
        <v>Somebody to Love.2.mid</v>
      </c>
      <c r="AD127" s="128" t="str">
        <f t="shared" si="12"/>
        <v>Somebody to Love.2</v>
      </c>
      <c r="AE127" s="122"/>
      <c r="AF127" s="125">
        <v>9.0</v>
      </c>
      <c r="AG127" s="126" t="s">
        <v>1191</v>
      </c>
      <c r="AH127" s="127" t="str">
        <f t="shared" si="13"/>
        <v>Radio Ga Ga.8.mid</v>
      </c>
      <c r="AI127" s="128" t="str">
        <f t="shared" si="14"/>
        <v>Radio Ga Ga.8</v>
      </c>
      <c r="AJ127" s="122"/>
      <c r="AK127" s="125">
        <v>9.0</v>
      </c>
      <c r="AL127" s="126" t="s">
        <v>1191</v>
      </c>
      <c r="AM127" s="127" t="str">
        <f t="shared" si="15"/>
        <v>Radio Ga Ga.8.mid</v>
      </c>
      <c r="AN127" s="128" t="str">
        <f t="shared" si="16"/>
        <v>Radio Ga Ga.8</v>
      </c>
      <c r="AO127" s="122"/>
      <c r="AP127" s="125">
        <v>37.0</v>
      </c>
      <c r="AQ127" s="126" t="s">
        <v>1060</v>
      </c>
      <c r="AR127" s="127" t="str">
        <f t="shared" si="17"/>
        <v>Another One Bites The Dust.mid</v>
      </c>
      <c r="AS127" s="128" t="str">
        <f t="shared" si="18"/>
        <v>Another One Bites The Dust</v>
      </c>
      <c r="AT127" s="122"/>
      <c r="AU127" s="125">
        <v>14.0</v>
      </c>
      <c r="AV127" s="126" t="s">
        <v>1174</v>
      </c>
      <c r="AW127" s="127" t="str">
        <f t="shared" si="19"/>
        <v>Radio Ga Ga.6.mid</v>
      </c>
      <c r="AX127" s="128" t="str">
        <f t="shared" si="20"/>
        <v>Radio Ga Ga.6</v>
      </c>
      <c r="AY127" s="122"/>
    </row>
    <row r="128" ht="15.75" customHeight="1">
      <c r="A128" s="124"/>
      <c r="B128" s="125">
        <v>0.0</v>
      </c>
      <c r="C128" s="126" t="s">
        <v>1180</v>
      </c>
      <c r="D128" s="127" t="str">
        <f t="shared" si="1"/>
        <v>Radio Ga Ga.mid</v>
      </c>
      <c r="E128" s="128" t="str">
        <f t="shared" si="2"/>
        <v>Radio Ga Ga</v>
      </c>
      <c r="F128" s="122"/>
      <c r="G128" s="125">
        <v>0.0</v>
      </c>
      <c r="H128" s="126" t="s">
        <v>1195</v>
      </c>
      <c r="I128" s="127" t="str">
        <f t="shared" si="3"/>
        <v>Save Me.1.mid</v>
      </c>
      <c r="J128" s="128" t="str">
        <f t="shared" si="4"/>
        <v>Save Me.1</v>
      </c>
      <c r="K128" s="122"/>
      <c r="L128" s="125">
        <v>0.0</v>
      </c>
      <c r="M128" s="126" t="s">
        <v>1195</v>
      </c>
      <c r="N128" s="127" t="str">
        <f t="shared" si="5"/>
        <v>Save Me.1.mid</v>
      </c>
      <c r="O128" s="128" t="str">
        <f t="shared" si="6"/>
        <v>Save Me.1</v>
      </c>
      <c r="P128" s="122"/>
      <c r="Q128" s="125">
        <v>0.0</v>
      </c>
      <c r="R128" s="126" t="s">
        <v>1110</v>
      </c>
      <c r="S128" s="127" t="str">
        <f t="shared" si="7"/>
        <v>Scandal.1.mid</v>
      </c>
      <c r="T128" s="128" t="str">
        <f t="shared" si="8"/>
        <v>Scandal.1</v>
      </c>
      <c r="U128" s="122"/>
      <c r="V128" s="125">
        <v>0.0</v>
      </c>
      <c r="W128" s="126" t="s">
        <v>1106</v>
      </c>
      <c r="X128" s="127" t="str">
        <f t="shared" si="9"/>
        <v>Save Me.2.mid</v>
      </c>
      <c r="Y128" s="128" t="str">
        <f t="shared" si="10"/>
        <v>Save Me.2</v>
      </c>
      <c r="Z128" s="122"/>
      <c r="AA128" s="125">
        <v>1.0</v>
      </c>
      <c r="AB128" s="126" t="s">
        <v>1202</v>
      </c>
      <c r="AC128" s="127" t="str">
        <f t="shared" si="11"/>
        <v>Somebody to Love.3.mid</v>
      </c>
      <c r="AD128" s="128" t="str">
        <f t="shared" si="12"/>
        <v>Somebody to Love.3</v>
      </c>
      <c r="AE128" s="122"/>
      <c r="AF128" s="125">
        <v>9.0</v>
      </c>
      <c r="AG128" s="126" t="s">
        <v>1180</v>
      </c>
      <c r="AH128" s="127" t="str">
        <f t="shared" si="13"/>
        <v>Radio Ga Ga.mid</v>
      </c>
      <c r="AI128" s="128" t="str">
        <f t="shared" si="14"/>
        <v>Radio Ga Ga</v>
      </c>
      <c r="AJ128" s="122"/>
      <c r="AK128" s="125">
        <v>9.0</v>
      </c>
      <c r="AL128" s="126" t="s">
        <v>1180</v>
      </c>
      <c r="AM128" s="127" t="str">
        <f t="shared" si="15"/>
        <v>Radio Ga Ga.mid</v>
      </c>
      <c r="AN128" s="128" t="str">
        <f t="shared" si="16"/>
        <v>Radio Ga Ga</v>
      </c>
      <c r="AO128" s="122"/>
      <c r="AP128" s="125">
        <v>37.0</v>
      </c>
      <c r="AQ128" s="126" t="s">
        <v>1077</v>
      </c>
      <c r="AR128" s="127" t="str">
        <f t="shared" si="17"/>
        <v>Bohemian Rhapsody.2.mid</v>
      </c>
      <c r="AS128" s="128" t="str">
        <f t="shared" si="18"/>
        <v>Bohemian Rhapsody.2</v>
      </c>
      <c r="AT128" s="122"/>
      <c r="AU128" s="125">
        <v>14.0</v>
      </c>
      <c r="AV128" s="126" t="s">
        <v>1190</v>
      </c>
      <c r="AW128" s="127" t="str">
        <f t="shared" si="19"/>
        <v>Radio Ga Ga.7.mid</v>
      </c>
      <c r="AX128" s="128" t="str">
        <f t="shared" si="20"/>
        <v>Radio Ga Ga.7</v>
      </c>
      <c r="AY128" s="122"/>
    </row>
    <row r="129" ht="15.75" customHeight="1">
      <c r="A129" s="124"/>
      <c r="B129" s="125">
        <v>0.0</v>
      </c>
      <c r="C129" s="126" t="s">
        <v>1193</v>
      </c>
      <c r="D129" s="127" t="str">
        <f t="shared" si="1"/>
        <v>Rain Must Fall.mid</v>
      </c>
      <c r="E129" s="128" t="str">
        <f t="shared" si="2"/>
        <v>Rain Must Fall</v>
      </c>
      <c r="F129" s="122"/>
      <c r="G129" s="125">
        <v>0.0</v>
      </c>
      <c r="H129" s="126" t="s">
        <v>1106</v>
      </c>
      <c r="I129" s="127" t="str">
        <f t="shared" si="3"/>
        <v>Save Me.2.mid</v>
      </c>
      <c r="J129" s="128" t="str">
        <f t="shared" si="4"/>
        <v>Save Me.2</v>
      </c>
      <c r="K129" s="122"/>
      <c r="L129" s="125">
        <v>0.0</v>
      </c>
      <c r="M129" s="126" t="s">
        <v>1106</v>
      </c>
      <c r="N129" s="127" t="str">
        <f t="shared" si="5"/>
        <v>Save Me.2.mid</v>
      </c>
      <c r="O129" s="128" t="str">
        <f t="shared" si="6"/>
        <v>Save Me.2</v>
      </c>
      <c r="P129" s="122"/>
      <c r="Q129" s="125">
        <v>0.0</v>
      </c>
      <c r="R129" s="126" t="s">
        <v>1127</v>
      </c>
      <c r="S129" s="127" t="str">
        <f t="shared" si="7"/>
        <v>Scandal.mid</v>
      </c>
      <c r="T129" s="128" t="str">
        <f t="shared" si="8"/>
        <v>Scandal</v>
      </c>
      <c r="U129" s="122"/>
      <c r="V129" s="125">
        <v>0.0</v>
      </c>
      <c r="W129" s="126" t="s">
        <v>1108</v>
      </c>
      <c r="X129" s="127" t="str">
        <f t="shared" si="9"/>
        <v>Save Me.3.mid</v>
      </c>
      <c r="Y129" s="128" t="str">
        <f t="shared" si="10"/>
        <v>Save Me.3</v>
      </c>
      <c r="Z129" s="122"/>
      <c r="AA129" s="125">
        <v>1.0</v>
      </c>
      <c r="AB129" s="126" t="s">
        <v>1203</v>
      </c>
      <c r="AC129" s="127" t="str">
        <f t="shared" si="11"/>
        <v>Somebody to Love.4.mid</v>
      </c>
      <c r="AD129" s="128" t="str">
        <f t="shared" si="12"/>
        <v>Somebody to Love.4</v>
      </c>
      <c r="AE129" s="122"/>
      <c r="AF129" s="125">
        <v>9.0</v>
      </c>
      <c r="AG129" s="126" t="s">
        <v>1193</v>
      </c>
      <c r="AH129" s="127" t="str">
        <f t="shared" si="13"/>
        <v>Rain Must Fall.mid</v>
      </c>
      <c r="AI129" s="128" t="str">
        <f t="shared" si="14"/>
        <v>Rain Must Fall</v>
      </c>
      <c r="AJ129" s="122"/>
      <c r="AK129" s="125">
        <v>9.0</v>
      </c>
      <c r="AL129" s="126" t="s">
        <v>1193</v>
      </c>
      <c r="AM129" s="127" t="str">
        <f t="shared" si="15"/>
        <v>Rain Must Fall.mid</v>
      </c>
      <c r="AN129" s="128" t="str">
        <f t="shared" si="16"/>
        <v>Rain Must Fall</v>
      </c>
      <c r="AO129" s="122"/>
      <c r="AP129" s="125">
        <v>37.0</v>
      </c>
      <c r="AQ129" s="126" t="s">
        <v>1082</v>
      </c>
      <c r="AR129" s="127" t="str">
        <f t="shared" si="17"/>
        <v>Bohemian Rhapsody.5.mid</v>
      </c>
      <c r="AS129" s="128" t="str">
        <f t="shared" si="18"/>
        <v>Bohemian Rhapsody.5</v>
      </c>
      <c r="AT129" s="122"/>
      <c r="AU129" s="125">
        <v>14.0</v>
      </c>
      <c r="AV129" s="126" t="s">
        <v>1191</v>
      </c>
      <c r="AW129" s="127" t="str">
        <f t="shared" si="19"/>
        <v>Radio Ga Ga.8.mid</v>
      </c>
      <c r="AX129" s="128" t="str">
        <f t="shared" si="20"/>
        <v>Radio Ga Ga.8</v>
      </c>
      <c r="AY129" s="122"/>
    </row>
    <row r="130" ht="15.75" customHeight="1">
      <c r="A130" s="124"/>
      <c r="B130" s="125">
        <v>0.0</v>
      </c>
      <c r="C130" s="126" t="s">
        <v>1195</v>
      </c>
      <c r="D130" s="127" t="str">
        <f t="shared" si="1"/>
        <v>Save Me.1.mid</v>
      </c>
      <c r="E130" s="128" t="str">
        <f t="shared" si="2"/>
        <v>Save Me.1</v>
      </c>
      <c r="F130" s="122"/>
      <c r="G130" s="125">
        <v>0.0</v>
      </c>
      <c r="H130" s="126" t="s">
        <v>1108</v>
      </c>
      <c r="I130" s="127" t="str">
        <f t="shared" si="3"/>
        <v>Save Me.3.mid</v>
      </c>
      <c r="J130" s="128" t="str">
        <f t="shared" si="4"/>
        <v>Save Me.3</v>
      </c>
      <c r="K130" s="122"/>
      <c r="L130" s="125">
        <v>0.0</v>
      </c>
      <c r="M130" s="126" t="s">
        <v>1108</v>
      </c>
      <c r="N130" s="127" t="str">
        <f t="shared" si="5"/>
        <v>Save Me.3.mid</v>
      </c>
      <c r="O130" s="128" t="str">
        <f t="shared" si="6"/>
        <v>Save Me.3</v>
      </c>
      <c r="P130" s="122"/>
      <c r="Q130" s="125">
        <v>0.0</v>
      </c>
      <c r="R130" s="126" t="s">
        <v>1200</v>
      </c>
      <c r="S130" s="127" t="str">
        <f t="shared" si="7"/>
        <v>Seven Seas of Rhye.1.mid</v>
      </c>
      <c r="T130" s="128" t="str">
        <f t="shared" si="8"/>
        <v>Seven Seas of Rhye.1</v>
      </c>
      <c r="U130" s="122"/>
      <c r="V130" s="125">
        <v>0.0</v>
      </c>
      <c r="W130" s="126" t="s">
        <v>1182</v>
      </c>
      <c r="X130" s="127" t="str">
        <f t="shared" si="9"/>
        <v>Save Me.mid</v>
      </c>
      <c r="Y130" s="128" t="str">
        <f t="shared" si="10"/>
        <v>Save Me</v>
      </c>
      <c r="Z130" s="122"/>
      <c r="AA130" s="125">
        <v>1.0</v>
      </c>
      <c r="AB130" s="126" t="s">
        <v>1204</v>
      </c>
      <c r="AC130" s="127" t="str">
        <f t="shared" si="11"/>
        <v>Somebody to Love.5.mid</v>
      </c>
      <c r="AD130" s="128" t="str">
        <f t="shared" si="12"/>
        <v>Somebody to Love.5</v>
      </c>
      <c r="AE130" s="122"/>
      <c r="AF130" s="125">
        <v>9.0</v>
      </c>
      <c r="AG130" s="126" t="s">
        <v>1195</v>
      </c>
      <c r="AH130" s="127" t="str">
        <f t="shared" si="13"/>
        <v>Save Me.1.mid</v>
      </c>
      <c r="AI130" s="128" t="str">
        <f t="shared" si="14"/>
        <v>Save Me.1</v>
      </c>
      <c r="AJ130" s="122"/>
      <c r="AK130" s="125">
        <v>9.0</v>
      </c>
      <c r="AL130" s="126" t="s">
        <v>1195</v>
      </c>
      <c r="AM130" s="127" t="str">
        <f t="shared" si="15"/>
        <v>Save Me.1.mid</v>
      </c>
      <c r="AN130" s="128" t="str">
        <f t="shared" si="16"/>
        <v>Save Me.1</v>
      </c>
      <c r="AO130" s="122"/>
      <c r="AP130" s="125">
        <v>37.0</v>
      </c>
      <c r="AQ130" s="126" t="s">
        <v>1105</v>
      </c>
      <c r="AR130" s="127" t="str">
        <f t="shared" si="17"/>
        <v>Death on Two Legs (Dedicated To...).mid</v>
      </c>
      <c r="AS130" s="128" t="str">
        <f t="shared" si="18"/>
        <v>Death on Two Legs (Dedicated To...)</v>
      </c>
      <c r="AT130" s="122"/>
      <c r="AU130" s="125">
        <v>14.0</v>
      </c>
      <c r="AV130" s="126" t="s">
        <v>1193</v>
      </c>
      <c r="AW130" s="127" t="str">
        <f t="shared" si="19"/>
        <v>Rain Must Fall.mid</v>
      </c>
      <c r="AX130" s="128" t="str">
        <f t="shared" si="20"/>
        <v>Rain Must Fall</v>
      </c>
      <c r="AY130" s="122"/>
    </row>
    <row r="131" ht="15.75" customHeight="1">
      <c r="A131" s="124"/>
      <c r="B131" s="125">
        <v>0.0</v>
      </c>
      <c r="C131" s="126" t="s">
        <v>1106</v>
      </c>
      <c r="D131" s="127" t="str">
        <f t="shared" si="1"/>
        <v>Save Me.2.mid</v>
      </c>
      <c r="E131" s="128" t="str">
        <f t="shared" si="2"/>
        <v>Save Me.2</v>
      </c>
      <c r="F131" s="122"/>
      <c r="G131" s="125">
        <v>0.0</v>
      </c>
      <c r="H131" s="126" t="s">
        <v>1182</v>
      </c>
      <c r="I131" s="127" t="str">
        <f t="shared" si="3"/>
        <v>Save Me.mid</v>
      </c>
      <c r="J131" s="128" t="str">
        <f t="shared" si="4"/>
        <v>Save Me</v>
      </c>
      <c r="K131" s="122"/>
      <c r="L131" s="125">
        <v>0.0</v>
      </c>
      <c r="M131" s="126" t="s">
        <v>1182</v>
      </c>
      <c r="N131" s="127" t="str">
        <f t="shared" si="5"/>
        <v>Save Me.mid</v>
      </c>
      <c r="O131" s="128" t="str">
        <f t="shared" si="6"/>
        <v>Save Me</v>
      </c>
      <c r="P131" s="122"/>
      <c r="Q131" s="125">
        <v>0.0</v>
      </c>
      <c r="R131" s="126" t="s">
        <v>1192</v>
      </c>
      <c r="S131" s="127" t="str">
        <f t="shared" si="7"/>
        <v>Seven Seas of Rhye.mid</v>
      </c>
      <c r="T131" s="128" t="str">
        <f t="shared" si="8"/>
        <v>Seven Seas of Rhye</v>
      </c>
      <c r="U131" s="122"/>
      <c r="V131" s="125">
        <v>0.0</v>
      </c>
      <c r="W131" s="126" t="s">
        <v>1110</v>
      </c>
      <c r="X131" s="127" t="str">
        <f t="shared" si="9"/>
        <v>Scandal.1.mid</v>
      </c>
      <c r="Y131" s="128" t="str">
        <f t="shared" si="10"/>
        <v>Scandal.1</v>
      </c>
      <c r="Z131" s="122"/>
      <c r="AA131" s="125">
        <v>1.0</v>
      </c>
      <c r="AB131" s="126" t="s">
        <v>1164</v>
      </c>
      <c r="AC131" s="127" t="str">
        <f t="shared" si="11"/>
        <v>Somebody to Love.6.mid</v>
      </c>
      <c r="AD131" s="128" t="str">
        <f t="shared" si="12"/>
        <v>Somebody to Love.6</v>
      </c>
      <c r="AE131" s="122"/>
      <c r="AF131" s="125">
        <v>9.0</v>
      </c>
      <c r="AG131" s="126" t="s">
        <v>1106</v>
      </c>
      <c r="AH131" s="127" t="str">
        <f t="shared" si="13"/>
        <v>Save Me.2.mid</v>
      </c>
      <c r="AI131" s="128" t="str">
        <f t="shared" si="14"/>
        <v>Save Me.2</v>
      </c>
      <c r="AJ131" s="122"/>
      <c r="AK131" s="125">
        <v>9.0</v>
      </c>
      <c r="AL131" s="126" t="s">
        <v>1106</v>
      </c>
      <c r="AM131" s="127" t="str">
        <f t="shared" si="15"/>
        <v>Save Me.2.mid</v>
      </c>
      <c r="AN131" s="128" t="str">
        <f t="shared" si="16"/>
        <v>Save Me.2</v>
      </c>
      <c r="AO131" s="122"/>
      <c r="AP131" s="125">
        <v>37.0</v>
      </c>
      <c r="AQ131" s="126" t="s">
        <v>1109</v>
      </c>
      <c r="AR131" s="127" t="str">
        <f t="shared" si="17"/>
        <v>Doing All Right.mid</v>
      </c>
      <c r="AS131" s="128" t="str">
        <f t="shared" si="18"/>
        <v>Doing All Right</v>
      </c>
      <c r="AT131" s="122"/>
      <c r="AU131" s="125">
        <v>14.0</v>
      </c>
      <c r="AV131" s="126" t="s">
        <v>1182</v>
      </c>
      <c r="AW131" s="127" t="str">
        <f t="shared" si="19"/>
        <v>Save Me.mid</v>
      </c>
      <c r="AX131" s="128" t="str">
        <f t="shared" si="20"/>
        <v>Save Me</v>
      </c>
      <c r="AY131" s="122"/>
    </row>
    <row r="132" ht="15.75" customHeight="1">
      <c r="A132" s="124"/>
      <c r="B132" s="125">
        <v>0.0</v>
      </c>
      <c r="C132" s="126" t="s">
        <v>1108</v>
      </c>
      <c r="D132" s="127" t="str">
        <f t="shared" si="1"/>
        <v>Save Me.3.mid</v>
      </c>
      <c r="E132" s="128" t="str">
        <f t="shared" si="2"/>
        <v>Save Me.3</v>
      </c>
      <c r="F132" s="122"/>
      <c r="G132" s="125">
        <v>0.0</v>
      </c>
      <c r="H132" s="126" t="s">
        <v>1110</v>
      </c>
      <c r="I132" s="127" t="str">
        <f t="shared" si="3"/>
        <v>Scandal.1.mid</v>
      </c>
      <c r="J132" s="128" t="str">
        <f t="shared" si="4"/>
        <v>Scandal.1</v>
      </c>
      <c r="K132" s="122"/>
      <c r="L132" s="125">
        <v>0.0</v>
      </c>
      <c r="M132" s="126" t="s">
        <v>1110</v>
      </c>
      <c r="N132" s="127" t="str">
        <f t="shared" si="5"/>
        <v>Scandal.1.mid</v>
      </c>
      <c r="O132" s="128" t="str">
        <f t="shared" si="6"/>
        <v>Scandal.1</v>
      </c>
      <c r="P132" s="122"/>
      <c r="Q132" s="125">
        <v>0.0</v>
      </c>
      <c r="R132" s="126" t="s">
        <v>1080</v>
      </c>
      <c r="S132" s="127" t="str">
        <f t="shared" si="7"/>
        <v>Somebody to Love.1.mid</v>
      </c>
      <c r="T132" s="128" t="str">
        <f t="shared" si="8"/>
        <v>Somebody to Love.1</v>
      </c>
      <c r="U132" s="122"/>
      <c r="V132" s="125">
        <v>0.0</v>
      </c>
      <c r="W132" s="126" t="s">
        <v>1127</v>
      </c>
      <c r="X132" s="127" t="str">
        <f t="shared" si="9"/>
        <v>Scandal.mid</v>
      </c>
      <c r="Y132" s="128" t="str">
        <f t="shared" si="10"/>
        <v>Scandal</v>
      </c>
      <c r="Z132" s="122"/>
      <c r="AA132" s="125">
        <v>1.0</v>
      </c>
      <c r="AB132" s="126" t="s">
        <v>1062</v>
      </c>
      <c r="AC132" s="127" t="str">
        <f t="shared" si="11"/>
        <v>Somebody to Love.mid</v>
      </c>
      <c r="AD132" s="128" t="str">
        <f t="shared" si="12"/>
        <v>Somebody to Love</v>
      </c>
      <c r="AE132" s="122"/>
      <c r="AF132" s="125">
        <v>9.0</v>
      </c>
      <c r="AG132" s="126" t="s">
        <v>1108</v>
      </c>
      <c r="AH132" s="127" t="str">
        <f t="shared" si="13"/>
        <v>Save Me.3.mid</v>
      </c>
      <c r="AI132" s="128" t="str">
        <f t="shared" si="14"/>
        <v>Save Me.3</v>
      </c>
      <c r="AJ132" s="122"/>
      <c r="AK132" s="125">
        <v>9.0</v>
      </c>
      <c r="AL132" s="126" t="s">
        <v>1108</v>
      </c>
      <c r="AM132" s="127" t="str">
        <f t="shared" si="15"/>
        <v>Save Me.3.mid</v>
      </c>
      <c r="AN132" s="128" t="str">
        <f t="shared" si="16"/>
        <v>Save Me.3</v>
      </c>
      <c r="AO132" s="122"/>
      <c r="AP132" s="125">
        <v>37.0</v>
      </c>
      <c r="AQ132" s="126" t="s">
        <v>1115</v>
      </c>
      <c r="AR132" s="127" t="str">
        <f t="shared" si="17"/>
        <v>Father to Son.1.mid</v>
      </c>
      <c r="AS132" s="128" t="str">
        <f t="shared" si="18"/>
        <v>Father to Son.1</v>
      </c>
      <c r="AT132" s="122"/>
      <c r="AU132" s="125">
        <v>14.0</v>
      </c>
      <c r="AV132" s="126" t="s">
        <v>1200</v>
      </c>
      <c r="AW132" s="127" t="str">
        <f t="shared" si="19"/>
        <v>Seven Seas of Rhye.1.mid</v>
      </c>
      <c r="AX132" s="128" t="str">
        <f t="shared" si="20"/>
        <v>Seven Seas of Rhye.1</v>
      </c>
      <c r="AY132" s="122"/>
    </row>
    <row r="133" ht="15.75" customHeight="1">
      <c r="A133" s="124"/>
      <c r="B133" s="125">
        <v>0.0</v>
      </c>
      <c r="C133" s="126" t="s">
        <v>1182</v>
      </c>
      <c r="D133" s="127" t="str">
        <f t="shared" si="1"/>
        <v>Save Me.mid</v>
      </c>
      <c r="E133" s="128" t="str">
        <f t="shared" si="2"/>
        <v>Save Me</v>
      </c>
      <c r="F133" s="122"/>
      <c r="G133" s="125">
        <v>0.0</v>
      </c>
      <c r="H133" s="126" t="s">
        <v>1127</v>
      </c>
      <c r="I133" s="127" t="str">
        <f t="shared" si="3"/>
        <v>Scandal.mid</v>
      </c>
      <c r="J133" s="128" t="str">
        <f t="shared" si="4"/>
        <v>Scandal</v>
      </c>
      <c r="K133" s="122"/>
      <c r="L133" s="125">
        <v>0.0</v>
      </c>
      <c r="M133" s="126" t="s">
        <v>1127</v>
      </c>
      <c r="N133" s="127" t="str">
        <f t="shared" si="5"/>
        <v>Scandal.mid</v>
      </c>
      <c r="O133" s="128" t="str">
        <f t="shared" si="6"/>
        <v>Scandal</v>
      </c>
      <c r="P133" s="122"/>
      <c r="Q133" s="125">
        <v>0.0</v>
      </c>
      <c r="R133" s="126" t="s">
        <v>1201</v>
      </c>
      <c r="S133" s="127" t="str">
        <f t="shared" si="7"/>
        <v>Somebody to Love.2.mid</v>
      </c>
      <c r="T133" s="128" t="str">
        <f t="shared" si="8"/>
        <v>Somebody to Love.2</v>
      </c>
      <c r="U133" s="122"/>
      <c r="V133" s="125">
        <v>0.0</v>
      </c>
      <c r="W133" s="126" t="s">
        <v>1200</v>
      </c>
      <c r="X133" s="127" t="str">
        <f t="shared" si="9"/>
        <v>Seven Seas of Rhye.1.mid</v>
      </c>
      <c r="Y133" s="128" t="str">
        <f t="shared" si="10"/>
        <v>Seven Seas of Rhye.1</v>
      </c>
      <c r="Z133" s="122"/>
      <c r="AA133" s="125">
        <v>1.0</v>
      </c>
      <c r="AB133" s="126" t="s">
        <v>1070</v>
      </c>
      <c r="AC133" s="127" t="str">
        <f t="shared" si="11"/>
        <v>Son and Daughter.1.mid</v>
      </c>
      <c r="AD133" s="128" t="str">
        <f t="shared" si="12"/>
        <v>Son and Daughter.1</v>
      </c>
      <c r="AE133" s="122"/>
      <c r="AF133" s="125">
        <v>9.0</v>
      </c>
      <c r="AG133" s="126" t="s">
        <v>1182</v>
      </c>
      <c r="AH133" s="127" t="str">
        <f t="shared" si="13"/>
        <v>Save Me.mid</v>
      </c>
      <c r="AI133" s="128" t="str">
        <f t="shared" si="14"/>
        <v>Save Me</v>
      </c>
      <c r="AJ133" s="122"/>
      <c r="AK133" s="125">
        <v>9.0</v>
      </c>
      <c r="AL133" s="126" t="s">
        <v>1182</v>
      </c>
      <c r="AM133" s="127" t="str">
        <f t="shared" si="15"/>
        <v>Save Me.mid</v>
      </c>
      <c r="AN133" s="128" t="str">
        <f t="shared" si="16"/>
        <v>Save Me</v>
      </c>
      <c r="AO133" s="122"/>
      <c r="AP133" s="125">
        <v>37.0</v>
      </c>
      <c r="AQ133" s="126" t="s">
        <v>1119</v>
      </c>
      <c r="AR133" s="127" t="str">
        <f t="shared" si="17"/>
        <v>Friends Will Be Friends.1.mid</v>
      </c>
      <c r="AS133" s="128" t="str">
        <f t="shared" si="18"/>
        <v>Friends Will Be Friends.1</v>
      </c>
      <c r="AT133" s="122"/>
      <c r="AU133" s="125">
        <v>14.0</v>
      </c>
      <c r="AV133" s="126" t="s">
        <v>1192</v>
      </c>
      <c r="AW133" s="127" t="str">
        <f t="shared" si="19"/>
        <v>Seven Seas of Rhye.mid</v>
      </c>
      <c r="AX133" s="128" t="str">
        <f t="shared" si="20"/>
        <v>Seven Seas of Rhye</v>
      </c>
      <c r="AY133" s="122"/>
    </row>
    <row r="134" ht="15.75" customHeight="1">
      <c r="A134" s="124"/>
      <c r="B134" s="125">
        <v>0.0</v>
      </c>
      <c r="C134" s="126" t="s">
        <v>1110</v>
      </c>
      <c r="D134" s="127" t="str">
        <f t="shared" si="1"/>
        <v>Scandal.1.mid</v>
      </c>
      <c r="E134" s="128" t="str">
        <f t="shared" si="2"/>
        <v>Scandal.1</v>
      </c>
      <c r="F134" s="122"/>
      <c r="G134" s="125">
        <v>0.0</v>
      </c>
      <c r="H134" s="126" t="s">
        <v>1200</v>
      </c>
      <c r="I134" s="127" t="str">
        <f t="shared" si="3"/>
        <v>Seven Seas of Rhye.1.mid</v>
      </c>
      <c r="J134" s="128" t="str">
        <f t="shared" si="4"/>
        <v>Seven Seas of Rhye.1</v>
      </c>
      <c r="K134" s="122"/>
      <c r="L134" s="125">
        <v>0.0</v>
      </c>
      <c r="M134" s="126" t="s">
        <v>1200</v>
      </c>
      <c r="N134" s="127" t="str">
        <f t="shared" si="5"/>
        <v>Seven Seas of Rhye.1.mid</v>
      </c>
      <c r="O134" s="128" t="str">
        <f t="shared" si="6"/>
        <v>Seven Seas of Rhye.1</v>
      </c>
      <c r="P134" s="122"/>
      <c r="Q134" s="125">
        <v>0.0</v>
      </c>
      <c r="R134" s="126" t="s">
        <v>1202</v>
      </c>
      <c r="S134" s="127" t="str">
        <f t="shared" si="7"/>
        <v>Somebody to Love.3.mid</v>
      </c>
      <c r="T134" s="128" t="str">
        <f t="shared" si="8"/>
        <v>Somebody to Love.3</v>
      </c>
      <c r="U134" s="122"/>
      <c r="V134" s="125">
        <v>0.0</v>
      </c>
      <c r="W134" s="126" t="s">
        <v>1192</v>
      </c>
      <c r="X134" s="127" t="str">
        <f t="shared" si="9"/>
        <v>Seven Seas of Rhye.mid</v>
      </c>
      <c r="Y134" s="128" t="str">
        <f t="shared" si="10"/>
        <v>Seven Seas of Rhye</v>
      </c>
      <c r="Z134" s="122"/>
      <c r="AA134" s="125">
        <v>1.0</v>
      </c>
      <c r="AB134" s="126" t="s">
        <v>1205</v>
      </c>
      <c r="AC134" s="127" t="str">
        <f t="shared" si="11"/>
        <v>Son and Daughter.mid</v>
      </c>
      <c r="AD134" s="128" t="str">
        <f t="shared" si="12"/>
        <v>Son and Daughter</v>
      </c>
      <c r="AE134" s="122"/>
      <c r="AF134" s="125">
        <v>9.0</v>
      </c>
      <c r="AG134" s="126" t="s">
        <v>1110</v>
      </c>
      <c r="AH134" s="127" t="str">
        <f t="shared" si="13"/>
        <v>Scandal.1.mid</v>
      </c>
      <c r="AI134" s="128" t="str">
        <f t="shared" si="14"/>
        <v>Scandal.1</v>
      </c>
      <c r="AJ134" s="122"/>
      <c r="AK134" s="125">
        <v>9.0</v>
      </c>
      <c r="AL134" s="126" t="s">
        <v>1110</v>
      </c>
      <c r="AM134" s="127" t="str">
        <f t="shared" si="15"/>
        <v>Scandal.1.mid</v>
      </c>
      <c r="AN134" s="128" t="str">
        <f t="shared" si="16"/>
        <v>Scandal.1</v>
      </c>
      <c r="AO134" s="122"/>
      <c r="AP134" s="125">
        <v>37.0</v>
      </c>
      <c r="AQ134" s="126" t="s">
        <v>1131</v>
      </c>
      <c r="AR134" s="127" t="str">
        <f t="shared" si="17"/>
        <v>Fun It.mid</v>
      </c>
      <c r="AS134" s="128" t="str">
        <f t="shared" si="18"/>
        <v>Fun It</v>
      </c>
      <c r="AT134" s="122"/>
      <c r="AU134" s="125">
        <v>14.0</v>
      </c>
      <c r="AV134" s="126" t="s">
        <v>1080</v>
      </c>
      <c r="AW134" s="127" t="str">
        <f t="shared" si="19"/>
        <v>Somebody to Love.1.mid</v>
      </c>
      <c r="AX134" s="128" t="str">
        <f t="shared" si="20"/>
        <v>Somebody to Love.1</v>
      </c>
      <c r="AY134" s="122"/>
    </row>
    <row r="135" ht="15.75" customHeight="1">
      <c r="A135" s="124"/>
      <c r="B135" s="125">
        <v>0.0</v>
      </c>
      <c r="C135" s="126" t="s">
        <v>1127</v>
      </c>
      <c r="D135" s="127" t="str">
        <f t="shared" si="1"/>
        <v>Scandal.mid</v>
      </c>
      <c r="E135" s="128" t="str">
        <f t="shared" si="2"/>
        <v>Scandal</v>
      </c>
      <c r="F135" s="122"/>
      <c r="G135" s="125">
        <v>0.0</v>
      </c>
      <c r="H135" s="126" t="s">
        <v>1192</v>
      </c>
      <c r="I135" s="127" t="str">
        <f t="shared" si="3"/>
        <v>Seven Seas of Rhye.mid</v>
      </c>
      <c r="J135" s="128" t="str">
        <f t="shared" si="4"/>
        <v>Seven Seas of Rhye</v>
      </c>
      <c r="K135" s="122"/>
      <c r="L135" s="125">
        <v>0.0</v>
      </c>
      <c r="M135" s="126" t="s">
        <v>1192</v>
      </c>
      <c r="N135" s="127" t="str">
        <f t="shared" si="5"/>
        <v>Seven Seas of Rhye.mid</v>
      </c>
      <c r="O135" s="128" t="str">
        <f t="shared" si="6"/>
        <v>Seven Seas of Rhye</v>
      </c>
      <c r="P135" s="122"/>
      <c r="Q135" s="125">
        <v>0.0</v>
      </c>
      <c r="R135" s="126" t="s">
        <v>1203</v>
      </c>
      <c r="S135" s="127" t="str">
        <f t="shared" si="7"/>
        <v>Somebody to Love.4.mid</v>
      </c>
      <c r="T135" s="128" t="str">
        <f t="shared" si="8"/>
        <v>Somebody to Love.4</v>
      </c>
      <c r="U135" s="122"/>
      <c r="V135" s="125">
        <v>0.0</v>
      </c>
      <c r="W135" s="126" t="s">
        <v>1080</v>
      </c>
      <c r="X135" s="127" t="str">
        <f t="shared" si="9"/>
        <v>Somebody to Love.1.mid</v>
      </c>
      <c r="Y135" s="128" t="str">
        <f t="shared" si="10"/>
        <v>Somebody to Love.1</v>
      </c>
      <c r="Z135" s="122"/>
      <c r="AA135" s="125">
        <v>1.0</v>
      </c>
      <c r="AB135" s="126" t="s">
        <v>1111</v>
      </c>
      <c r="AC135" s="127" t="str">
        <f t="shared" si="11"/>
        <v>Spread Your Wings.1.mid</v>
      </c>
      <c r="AD135" s="128" t="str">
        <f t="shared" si="12"/>
        <v>Spread Your Wings.1</v>
      </c>
      <c r="AE135" s="122"/>
      <c r="AF135" s="125">
        <v>9.0</v>
      </c>
      <c r="AG135" s="126" t="s">
        <v>1200</v>
      </c>
      <c r="AH135" s="127" t="str">
        <f t="shared" si="13"/>
        <v>Seven Seas of Rhye.1.mid</v>
      </c>
      <c r="AI135" s="128" t="str">
        <f t="shared" si="14"/>
        <v>Seven Seas of Rhye.1</v>
      </c>
      <c r="AJ135" s="122"/>
      <c r="AK135" s="125">
        <v>9.0</v>
      </c>
      <c r="AL135" s="126" t="s">
        <v>1200</v>
      </c>
      <c r="AM135" s="127" t="str">
        <f t="shared" si="15"/>
        <v>Seven Seas of Rhye.1.mid</v>
      </c>
      <c r="AN135" s="128" t="str">
        <f t="shared" si="16"/>
        <v>Seven Seas of Rhye.1</v>
      </c>
      <c r="AO135" s="122"/>
      <c r="AP135" s="125">
        <v>37.0</v>
      </c>
      <c r="AQ135" s="126" t="s">
        <v>1136</v>
      </c>
      <c r="AR135" s="127" t="str">
        <f t="shared" si="17"/>
        <v>Hammer to Fall.mid</v>
      </c>
      <c r="AS135" s="128" t="str">
        <f t="shared" si="18"/>
        <v>Hammer to Fall</v>
      </c>
      <c r="AT135" s="122"/>
      <c r="AU135" s="125">
        <v>14.0</v>
      </c>
      <c r="AV135" s="126" t="s">
        <v>1201</v>
      </c>
      <c r="AW135" s="127" t="str">
        <f t="shared" si="19"/>
        <v>Somebody to Love.2.mid</v>
      </c>
      <c r="AX135" s="128" t="str">
        <f t="shared" si="20"/>
        <v>Somebody to Love.2</v>
      </c>
      <c r="AY135" s="122"/>
    </row>
    <row r="136" ht="15.75" customHeight="1">
      <c r="A136" s="124"/>
      <c r="B136" s="125">
        <v>0.0</v>
      </c>
      <c r="C136" s="126" t="s">
        <v>1200</v>
      </c>
      <c r="D136" s="127" t="str">
        <f t="shared" si="1"/>
        <v>Seven Seas of Rhye.1.mid</v>
      </c>
      <c r="E136" s="128" t="str">
        <f t="shared" si="2"/>
        <v>Seven Seas of Rhye.1</v>
      </c>
      <c r="F136" s="122"/>
      <c r="G136" s="125">
        <v>0.0</v>
      </c>
      <c r="H136" s="126" t="s">
        <v>1080</v>
      </c>
      <c r="I136" s="127" t="str">
        <f t="shared" si="3"/>
        <v>Somebody to Love.1.mid</v>
      </c>
      <c r="J136" s="128" t="str">
        <f t="shared" si="4"/>
        <v>Somebody to Love.1</v>
      </c>
      <c r="K136" s="122"/>
      <c r="L136" s="125">
        <v>0.0</v>
      </c>
      <c r="M136" s="126" t="s">
        <v>1080</v>
      </c>
      <c r="N136" s="127" t="str">
        <f t="shared" si="5"/>
        <v>Somebody to Love.1.mid</v>
      </c>
      <c r="O136" s="128" t="str">
        <f t="shared" si="6"/>
        <v>Somebody to Love.1</v>
      </c>
      <c r="P136" s="122"/>
      <c r="Q136" s="125">
        <v>0.0</v>
      </c>
      <c r="R136" s="126" t="s">
        <v>1204</v>
      </c>
      <c r="S136" s="127" t="str">
        <f t="shared" si="7"/>
        <v>Somebody to Love.5.mid</v>
      </c>
      <c r="T136" s="128" t="str">
        <f t="shared" si="8"/>
        <v>Somebody to Love.5</v>
      </c>
      <c r="U136" s="122"/>
      <c r="V136" s="125">
        <v>0.0</v>
      </c>
      <c r="W136" s="126" t="s">
        <v>1201</v>
      </c>
      <c r="X136" s="127" t="str">
        <f t="shared" si="9"/>
        <v>Somebody to Love.2.mid</v>
      </c>
      <c r="Y136" s="128" t="str">
        <f t="shared" si="10"/>
        <v>Somebody to Love.2</v>
      </c>
      <c r="Z136" s="122"/>
      <c r="AA136" s="125">
        <v>1.0</v>
      </c>
      <c r="AB136" s="126" t="s">
        <v>1206</v>
      </c>
      <c r="AC136" s="127" t="str">
        <f t="shared" si="11"/>
        <v>Spread Your Wings.mid</v>
      </c>
      <c r="AD136" s="128" t="str">
        <f t="shared" si="12"/>
        <v>Spread Your Wings</v>
      </c>
      <c r="AE136" s="122"/>
      <c r="AF136" s="125">
        <v>9.0</v>
      </c>
      <c r="AG136" s="126" t="s">
        <v>1192</v>
      </c>
      <c r="AH136" s="127" t="str">
        <f t="shared" si="13"/>
        <v>Seven Seas of Rhye.mid</v>
      </c>
      <c r="AI136" s="128" t="str">
        <f t="shared" si="14"/>
        <v>Seven Seas of Rhye</v>
      </c>
      <c r="AJ136" s="122"/>
      <c r="AK136" s="125">
        <v>9.0</v>
      </c>
      <c r="AL136" s="126" t="s">
        <v>1192</v>
      </c>
      <c r="AM136" s="127" t="str">
        <f t="shared" si="15"/>
        <v>Seven Seas of Rhye.mid</v>
      </c>
      <c r="AN136" s="128" t="str">
        <f t="shared" si="16"/>
        <v>Seven Seas of Rhye</v>
      </c>
      <c r="AO136" s="122"/>
      <c r="AP136" s="125">
        <v>37.0</v>
      </c>
      <c r="AQ136" s="126" t="s">
        <v>1143</v>
      </c>
      <c r="AR136" s="127" t="str">
        <f t="shared" si="17"/>
        <v>I Can't Live With You.mid</v>
      </c>
      <c r="AS136" s="128" t="str">
        <f t="shared" si="18"/>
        <v>I Can't Live With You</v>
      </c>
      <c r="AT136" s="122"/>
      <c r="AU136" s="125">
        <v>14.0</v>
      </c>
      <c r="AV136" s="126" t="s">
        <v>1202</v>
      </c>
      <c r="AW136" s="127" t="str">
        <f t="shared" si="19"/>
        <v>Somebody to Love.3.mid</v>
      </c>
      <c r="AX136" s="128" t="str">
        <f t="shared" si="20"/>
        <v>Somebody to Love.3</v>
      </c>
      <c r="AY136" s="122"/>
    </row>
    <row r="137" ht="15.75" customHeight="1">
      <c r="A137" s="124"/>
      <c r="B137" s="125">
        <v>0.0</v>
      </c>
      <c r="C137" s="126" t="s">
        <v>1192</v>
      </c>
      <c r="D137" s="127" t="str">
        <f t="shared" si="1"/>
        <v>Seven Seas of Rhye.mid</v>
      </c>
      <c r="E137" s="128" t="str">
        <f t="shared" si="2"/>
        <v>Seven Seas of Rhye</v>
      </c>
      <c r="F137" s="122"/>
      <c r="G137" s="125">
        <v>0.0</v>
      </c>
      <c r="H137" s="126" t="s">
        <v>1201</v>
      </c>
      <c r="I137" s="127" t="str">
        <f t="shared" si="3"/>
        <v>Somebody to Love.2.mid</v>
      </c>
      <c r="J137" s="128" t="str">
        <f t="shared" si="4"/>
        <v>Somebody to Love.2</v>
      </c>
      <c r="K137" s="122"/>
      <c r="L137" s="125">
        <v>0.0</v>
      </c>
      <c r="M137" s="126" t="s">
        <v>1201</v>
      </c>
      <c r="N137" s="127" t="str">
        <f t="shared" si="5"/>
        <v>Somebody to Love.2.mid</v>
      </c>
      <c r="O137" s="128" t="str">
        <f t="shared" si="6"/>
        <v>Somebody to Love.2</v>
      </c>
      <c r="P137" s="122"/>
      <c r="Q137" s="125">
        <v>0.0</v>
      </c>
      <c r="R137" s="126" t="s">
        <v>1164</v>
      </c>
      <c r="S137" s="127" t="str">
        <f t="shared" si="7"/>
        <v>Somebody to Love.6.mid</v>
      </c>
      <c r="T137" s="128" t="str">
        <f t="shared" si="8"/>
        <v>Somebody to Love.6</v>
      </c>
      <c r="U137" s="122"/>
      <c r="V137" s="125">
        <v>0.0</v>
      </c>
      <c r="W137" s="126" t="s">
        <v>1202</v>
      </c>
      <c r="X137" s="127" t="str">
        <f t="shared" si="9"/>
        <v>Somebody to Love.3.mid</v>
      </c>
      <c r="Y137" s="128" t="str">
        <f t="shared" si="10"/>
        <v>Somebody to Love.3</v>
      </c>
      <c r="Z137" s="122"/>
      <c r="AA137" s="125">
        <v>1.0</v>
      </c>
      <c r="AB137" s="126" t="s">
        <v>1207</v>
      </c>
      <c r="AC137" s="127" t="str">
        <f t="shared" si="11"/>
        <v>The Great Pretender.mid</v>
      </c>
      <c r="AD137" s="128" t="str">
        <f t="shared" si="12"/>
        <v>The Great Pretender</v>
      </c>
      <c r="AE137" s="122"/>
      <c r="AF137" s="125">
        <v>9.0</v>
      </c>
      <c r="AG137" s="126" t="s">
        <v>1080</v>
      </c>
      <c r="AH137" s="127" t="str">
        <f t="shared" si="13"/>
        <v>Somebody to Love.1.mid</v>
      </c>
      <c r="AI137" s="128" t="str">
        <f t="shared" si="14"/>
        <v>Somebody to Love.1</v>
      </c>
      <c r="AJ137" s="122"/>
      <c r="AK137" s="125">
        <v>9.0</v>
      </c>
      <c r="AL137" s="126" t="s">
        <v>1080</v>
      </c>
      <c r="AM137" s="127" t="str">
        <f t="shared" si="15"/>
        <v>Somebody to Love.1.mid</v>
      </c>
      <c r="AN137" s="128" t="str">
        <f t="shared" si="16"/>
        <v>Somebody to Love.1</v>
      </c>
      <c r="AO137" s="122"/>
      <c r="AP137" s="125">
        <v>37.0</v>
      </c>
      <c r="AQ137" s="126" t="s">
        <v>1145</v>
      </c>
      <c r="AR137" s="127" t="str">
        <f t="shared" si="17"/>
        <v>I Want It All.mid</v>
      </c>
      <c r="AS137" s="128" t="str">
        <f t="shared" si="18"/>
        <v>I Want It All</v>
      </c>
      <c r="AT137" s="122"/>
      <c r="AU137" s="125">
        <v>14.0</v>
      </c>
      <c r="AV137" s="126" t="s">
        <v>1203</v>
      </c>
      <c r="AW137" s="127" t="str">
        <f t="shared" si="19"/>
        <v>Somebody to Love.4.mid</v>
      </c>
      <c r="AX137" s="128" t="str">
        <f t="shared" si="20"/>
        <v>Somebody to Love.4</v>
      </c>
      <c r="AY137" s="122"/>
    </row>
    <row r="138" ht="15.75" customHeight="1">
      <c r="A138" s="124"/>
      <c r="B138" s="125">
        <v>0.0</v>
      </c>
      <c r="C138" s="126" t="s">
        <v>1080</v>
      </c>
      <c r="D138" s="127" t="str">
        <f t="shared" si="1"/>
        <v>Somebody to Love.1.mid</v>
      </c>
      <c r="E138" s="128" t="str">
        <f t="shared" si="2"/>
        <v>Somebody to Love.1</v>
      </c>
      <c r="F138" s="122"/>
      <c r="G138" s="125">
        <v>0.0</v>
      </c>
      <c r="H138" s="126" t="s">
        <v>1202</v>
      </c>
      <c r="I138" s="127" t="str">
        <f t="shared" si="3"/>
        <v>Somebody to Love.3.mid</v>
      </c>
      <c r="J138" s="128" t="str">
        <f t="shared" si="4"/>
        <v>Somebody to Love.3</v>
      </c>
      <c r="K138" s="122"/>
      <c r="L138" s="125">
        <v>0.0</v>
      </c>
      <c r="M138" s="126" t="s">
        <v>1202</v>
      </c>
      <c r="N138" s="127" t="str">
        <f t="shared" si="5"/>
        <v>Somebody to Love.3.mid</v>
      </c>
      <c r="O138" s="128" t="str">
        <f t="shared" si="6"/>
        <v>Somebody to Love.3</v>
      </c>
      <c r="P138" s="122"/>
      <c r="Q138" s="125">
        <v>0.0</v>
      </c>
      <c r="R138" s="126" t="s">
        <v>1062</v>
      </c>
      <c r="S138" s="127" t="str">
        <f t="shared" si="7"/>
        <v>Somebody to Love.mid</v>
      </c>
      <c r="T138" s="128" t="str">
        <f t="shared" si="8"/>
        <v>Somebody to Love</v>
      </c>
      <c r="U138" s="122"/>
      <c r="V138" s="125">
        <v>0.0</v>
      </c>
      <c r="W138" s="126" t="s">
        <v>1203</v>
      </c>
      <c r="X138" s="127" t="str">
        <f t="shared" si="9"/>
        <v>Somebody to Love.4.mid</v>
      </c>
      <c r="Y138" s="128" t="str">
        <f t="shared" si="10"/>
        <v>Somebody to Love.4</v>
      </c>
      <c r="Z138" s="122"/>
      <c r="AA138" s="125">
        <v>1.0</v>
      </c>
      <c r="AB138" s="126" t="s">
        <v>1208</v>
      </c>
      <c r="AC138" s="127" t="str">
        <f t="shared" si="11"/>
        <v>The Invisible Man.1.mid</v>
      </c>
      <c r="AD138" s="128" t="str">
        <f t="shared" si="12"/>
        <v>The Invisible Man.1</v>
      </c>
      <c r="AE138" s="122"/>
      <c r="AF138" s="125">
        <v>9.0</v>
      </c>
      <c r="AG138" s="126" t="s">
        <v>1201</v>
      </c>
      <c r="AH138" s="127" t="str">
        <f t="shared" si="13"/>
        <v>Somebody to Love.2.mid</v>
      </c>
      <c r="AI138" s="128" t="str">
        <f t="shared" si="14"/>
        <v>Somebody to Love.2</v>
      </c>
      <c r="AJ138" s="122"/>
      <c r="AK138" s="125">
        <v>9.0</v>
      </c>
      <c r="AL138" s="126" t="s">
        <v>1201</v>
      </c>
      <c r="AM138" s="127" t="str">
        <f t="shared" si="15"/>
        <v>Somebody to Love.2.mid</v>
      </c>
      <c r="AN138" s="128" t="str">
        <f t="shared" si="16"/>
        <v>Somebody to Love.2</v>
      </c>
      <c r="AO138" s="122"/>
      <c r="AP138" s="125">
        <v>37.0</v>
      </c>
      <c r="AQ138" s="126" t="s">
        <v>1150</v>
      </c>
      <c r="AR138" s="127" t="str">
        <f t="shared" si="17"/>
        <v>I Was Born to Love You.mid</v>
      </c>
      <c r="AS138" s="128" t="str">
        <f t="shared" si="18"/>
        <v>I Was Born to Love You</v>
      </c>
      <c r="AT138" s="122"/>
      <c r="AU138" s="125">
        <v>14.0</v>
      </c>
      <c r="AV138" s="126" t="s">
        <v>1204</v>
      </c>
      <c r="AW138" s="127" t="str">
        <f t="shared" si="19"/>
        <v>Somebody to Love.5.mid</v>
      </c>
      <c r="AX138" s="128" t="str">
        <f t="shared" si="20"/>
        <v>Somebody to Love.5</v>
      </c>
      <c r="AY138" s="122"/>
    </row>
    <row r="139" ht="15.75" customHeight="1">
      <c r="A139" s="124"/>
      <c r="B139" s="125">
        <v>0.0</v>
      </c>
      <c r="C139" s="126" t="s">
        <v>1201</v>
      </c>
      <c r="D139" s="127" t="str">
        <f t="shared" si="1"/>
        <v>Somebody to Love.2.mid</v>
      </c>
      <c r="E139" s="128" t="str">
        <f t="shared" si="2"/>
        <v>Somebody to Love.2</v>
      </c>
      <c r="F139" s="122"/>
      <c r="G139" s="125">
        <v>0.0</v>
      </c>
      <c r="H139" s="126" t="s">
        <v>1203</v>
      </c>
      <c r="I139" s="127" t="str">
        <f t="shared" si="3"/>
        <v>Somebody to Love.4.mid</v>
      </c>
      <c r="J139" s="128" t="str">
        <f t="shared" si="4"/>
        <v>Somebody to Love.4</v>
      </c>
      <c r="K139" s="122"/>
      <c r="L139" s="125">
        <v>0.0</v>
      </c>
      <c r="M139" s="126" t="s">
        <v>1203</v>
      </c>
      <c r="N139" s="127" t="str">
        <f t="shared" si="5"/>
        <v>Somebody to Love.4.mid</v>
      </c>
      <c r="O139" s="128" t="str">
        <f t="shared" si="6"/>
        <v>Somebody to Love.4</v>
      </c>
      <c r="P139" s="122"/>
      <c r="Q139" s="125">
        <v>0.0</v>
      </c>
      <c r="R139" s="126" t="s">
        <v>1070</v>
      </c>
      <c r="S139" s="127" t="str">
        <f t="shared" si="7"/>
        <v>Son and Daughter.1.mid</v>
      </c>
      <c r="T139" s="128" t="str">
        <f t="shared" si="8"/>
        <v>Son and Daughter.1</v>
      </c>
      <c r="U139" s="122"/>
      <c r="V139" s="125">
        <v>0.0</v>
      </c>
      <c r="W139" s="126" t="s">
        <v>1204</v>
      </c>
      <c r="X139" s="127" t="str">
        <f t="shared" si="9"/>
        <v>Somebody to Love.5.mid</v>
      </c>
      <c r="Y139" s="128" t="str">
        <f t="shared" si="10"/>
        <v>Somebody to Love.5</v>
      </c>
      <c r="Z139" s="122"/>
      <c r="AA139" s="125">
        <v>1.0</v>
      </c>
      <c r="AB139" s="126" t="s">
        <v>1209</v>
      </c>
      <c r="AC139" s="127" t="str">
        <f t="shared" si="11"/>
        <v>The Invisible Man.2.mid</v>
      </c>
      <c r="AD139" s="128" t="str">
        <f t="shared" si="12"/>
        <v>The Invisible Man.2</v>
      </c>
      <c r="AE139" s="122"/>
      <c r="AF139" s="125">
        <v>9.0</v>
      </c>
      <c r="AG139" s="126" t="s">
        <v>1202</v>
      </c>
      <c r="AH139" s="127" t="str">
        <f t="shared" si="13"/>
        <v>Somebody to Love.3.mid</v>
      </c>
      <c r="AI139" s="128" t="str">
        <f t="shared" si="14"/>
        <v>Somebody to Love.3</v>
      </c>
      <c r="AJ139" s="122"/>
      <c r="AK139" s="125">
        <v>9.0</v>
      </c>
      <c r="AL139" s="126" t="s">
        <v>1202</v>
      </c>
      <c r="AM139" s="127" t="str">
        <f t="shared" si="15"/>
        <v>Somebody to Love.3.mid</v>
      </c>
      <c r="AN139" s="128" t="str">
        <f t="shared" si="16"/>
        <v>Somebody to Love.3</v>
      </c>
      <c r="AO139" s="122"/>
      <c r="AP139" s="125">
        <v>37.0</v>
      </c>
      <c r="AQ139" s="126" t="s">
        <v>1163</v>
      </c>
      <c r="AR139" s="127" t="str">
        <f t="shared" si="17"/>
        <v>Killer Queen.4.mid</v>
      </c>
      <c r="AS139" s="128" t="str">
        <f t="shared" si="18"/>
        <v>Killer Queen.4</v>
      </c>
      <c r="AT139" s="122"/>
      <c r="AU139" s="125">
        <v>14.0</v>
      </c>
      <c r="AV139" s="126" t="s">
        <v>1164</v>
      </c>
      <c r="AW139" s="127" t="str">
        <f t="shared" si="19"/>
        <v>Somebody to Love.6.mid</v>
      </c>
      <c r="AX139" s="128" t="str">
        <f t="shared" si="20"/>
        <v>Somebody to Love.6</v>
      </c>
      <c r="AY139" s="122"/>
    </row>
    <row r="140" ht="15.75" customHeight="1">
      <c r="A140" s="124"/>
      <c r="B140" s="125">
        <v>0.0</v>
      </c>
      <c r="C140" s="126" t="s">
        <v>1202</v>
      </c>
      <c r="D140" s="127" t="str">
        <f t="shared" si="1"/>
        <v>Somebody to Love.3.mid</v>
      </c>
      <c r="E140" s="128" t="str">
        <f t="shared" si="2"/>
        <v>Somebody to Love.3</v>
      </c>
      <c r="F140" s="122"/>
      <c r="G140" s="125">
        <v>0.0</v>
      </c>
      <c r="H140" s="126" t="s">
        <v>1204</v>
      </c>
      <c r="I140" s="127" t="str">
        <f t="shared" si="3"/>
        <v>Somebody to Love.5.mid</v>
      </c>
      <c r="J140" s="128" t="str">
        <f t="shared" si="4"/>
        <v>Somebody to Love.5</v>
      </c>
      <c r="K140" s="122"/>
      <c r="L140" s="125">
        <v>0.0</v>
      </c>
      <c r="M140" s="126" t="s">
        <v>1204</v>
      </c>
      <c r="N140" s="127" t="str">
        <f t="shared" si="5"/>
        <v>Somebody to Love.5.mid</v>
      </c>
      <c r="O140" s="128" t="str">
        <f t="shared" si="6"/>
        <v>Somebody to Love.5</v>
      </c>
      <c r="P140" s="122"/>
      <c r="Q140" s="125">
        <v>0.0</v>
      </c>
      <c r="R140" s="126" t="s">
        <v>1205</v>
      </c>
      <c r="S140" s="127" t="str">
        <f t="shared" si="7"/>
        <v>Son and Daughter.mid</v>
      </c>
      <c r="T140" s="128" t="str">
        <f t="shared" si="8"/>
        <v>Son and Daughter</v>
      </c>
      <c r="U140" s="122"/>
      <c r="V140" s="125">
        <v>0.0</v>
      </c>
      <c r="W140" s="126" t="s">
        <v>1164</v>
      </c>
      <c r="X140" s="127" t="str">
        <f t="shared" si="9"/>
        <v>Somebody to Love.6.mid</v>
      </c>
      <c r="Y140" s="128" t="str">
        <f t="shared" si="10"/>
        <v>Somebody to Love.6</v>
      </c>
      <c r="Z140" s="122"/>
      <c r="AA140" s="125">
        <v>1.0</v>
      </c>
      <c r="AB140" s="126" t="s">
        <v>1210</v>
      </c>
      <c r="AC140" s="127" t="str">
        <f t="shared" si="11"/>
        <v>The Invisible Man.mid</v>
      </c>
      <c r="AD140" s="128" t="str">
        <f t="shared" si="12"/>
        <v>The Invisible Man</v>
      </c>
      <c r="AE140" s="122"/>
      <c r="AF140" s="125">
        <v>9.0</v>
      </c>
      <c r="AG140" s="126" t="s">
        <v>1203</v>
      </c>
      <c r="AH140" s="127" t="str">
        <f t="shared" si="13"/>
        <v>Somebody to Love.4.mid</v>
      </c>
      <c r="AI140" s="128" t="str">
        <f t="shared" si="14"/>
        <v>Somebody to Love.4</v>
      </c>
      <c r="AJ140" s="122"/>
      <c r="AK140" s="125">
        <v>9.0</v>
      </c>
      <c r="AL140" s="126" t="s">
        <v>1203</v>
      </c>
      <c r="AM140" s="127" t="str">
        <f t="shared" si="15"/>
        <v>Somebody to Love.4.mid</v>
      </c>
      <c r="AN140" s="128" t="str">
        <f t="shared" si="16"/>
        <v>Somebody to Love.4</v>
      </c>
      <c r="AO140" s="122"/>
      <c r="AP140" s="125">
        <v>37.0</v>
      </c>
      <c r="AQ140" s="126" t="s">
        <v>1171</v>
      </c>
      <c r="AR140" s="127" t="str">
        <f t="shared" si="17"/>
        <v>Mother Love.mid</v>
      </c>
      <c r="AS140" s="128" t="str">
        <f t="shared" si="18"/>
        <v>Mother Love</v>
      </c>
      <c r="AT140" s="122"/>
      <c r="AU140" s="125">
        <v>14.0</v>
      </c>
      <c r="AV140" s="126" t="s">
        <v>1070</v>
      </c>
      <c r="AW140" s="127" t="str">
        <f t="shared" si="19"/>
        <v>Son and Daughter.1.mid</v>
      </c>
      <c r="AX140" s="128" t="str">
        <f t="shared" si="20"/>
        <v>Son and Daughter.1</v>
      </c>
      <c r="AY140" s="122"/>
    </row>
    <row r="141" ht="15.75" customHeight="1">
      <c r="A141" s="124"/>
      <c r="B141" s="125">
        <v>0.0</v>
      </c>
      <c r="C141" s="126" t="s">
        <v>1203</v>
      </c>
      <c r="D141" s="127" t="str">
        <f t="shared" si="1"/>
        <v>Somebody to Love.4.mid</v>
      </c>
      <c r="E141" s="128" t="str">
        <f t="shared" si="2"/>
        <v>Somebody to Love.4</v>
      </c>
      <c r="F141" s="122"/>
      <c r="G141" s="125">
        <v>0.0</v>
      </c>
      <c r="H141" s="126" t="s">
        <v>1164</v>
      </c>
      <c r="I141" s="127" t="str">
        <f t="shared" si="3"/>
        <v>Somebody to Love.6.mid</v>
      </c>
      <c r="J141" s="128" t="str">
        <f t="shared" si="4"/>
        <v>Somebody to Love.6</v>
      </c>
      <c r="K141" s="122"/>
      <c r="L141" s="125">
        <v>0.0</v>
      </c>
      <c r="M141" s="126" t="s">
        <v>1164</v>
      </c>
      <c r="N141" s="127" t="str">
        <f t="shared" si="5"/>
        <v>Somebody to Love.6.mid</v>
      </c>
      <c r="O141" s="128" t="str">
        <f t="shared" si="6"/>
        <v>Somebody to Love.6</v>
      </c>
      <c r="P141" s="122"/>
      <c r="Q141" s="125">
        <v>0.0</v>
      </c>
      <c r="R141" s="126" t="s">
        <v>1111</v>
      </c>
      <c r="S141" s="127" t="str">
        <f t="shared" si="7"/>
        <v>Spread Your Wings.1.mid</v>
      </c>
      <c r="T141" s="128" t="str">
        <f t="shared" si="8"/>
        <v>Spread Your Wings.1</v>
      </c>
      <c r="U141" s="122"/>
      <c r="V141" s="125">
        <v>0.0</v>
      </c>
      <c r="W141" s="126" t="s">
        <v>1062</v>
      </c>
      <c r="X141" s="127" t="str">
        <f t="shared" si="9"/>
        <v>Somebody to Love.mid</v>
      </c>
      <c r="Y141" s="128" t="str">
        <f t="shared" si="10"/>
        <v>Somebody to Love</v>
      </c>
      <c r="Z141" s="122"/>
      <c r="AA141" s="125">
        <v>1.0</v>
      </c>
      <c r="AB141" s="126" t="s">
        <v>1116</v>
      </c>
      <c r="AC141" s="127" t="str">
        <f t="shared" si="11"/>
        <v>The Miracle.2.mid</v>
      </c>
      <c r="AD141" s="128" t="str">
        <f t="shared" si="12"/>
        <v>The Miracle.2</v>
      </c>
      <c r="AE141" s="122"/>
      <c r="AF141" s="125">
        <v>9.0</v>
      </c>
      <c r="AG141" s="126" t="s">
        <v>1204</v>
      </c>
      <c r="AH141" s="127" t="str">
        <f t="shared" si="13"/>
        <v>Somebody to Love.5.mid</v>
      </c>
      <c r="AI141" s="128" t="str">
        <f t="shared" si="14"/>
        <v>Somebody to Love.5</v>
      </c>
      <c r="AJ141" s="122"/>
      <c r="AK141" s="125">
        <v>9.0</v>
      </c>
      <c r="AL141" s="126" t="s">
        <v>1204</v>
      </c>
      <c r="AM141" s="127" t="str">
        <f t="shared" si="15"/>
        <v>Somebody to Love.5.mid</v>
      </c>
      <c r="AN141" s="128" t="str">
        <f t="shared" si="16"/>
        <v>Somebody to Love.5</v>
      </c>
      <c r="AO141" s="122"/>
      <c r="AP141" s="125">
        <v>37.0</v>
      </c>
      <c r="AQ141" s="126" t="s">
        <v>1181</v>
      </c>
      <c r="AR141" s="127" t="str">
        <f t="shared" si="17"/>
        <v>Now I'm Here.3.mid</v>
      </c>
      <c r="AS141" s="128" t="str">
        <f t="shared" si="18"/>
        <v>Now I'm Here.3</v>
      </c>
      <c r="AT141" s="122"/>
      <c r="AU141" s="125">
        <v>14.0</v>
      </c>
      <c r="AV141" s="126" t="s">
        <v>1205</v>
      </c>
      <c r="AW141" s="127" t="str">
        <f t="shared" si="19"/>
        <v>Son and Daughter.mid</v>
      </c>
      <c r="AX141" s="128" t="str">
        <f t="shared" si="20"/>
        <v>Son and Daughter</v>
      </c>
      <c r="AY141" s="122"/>
    </row>
    <row r="142" ht="15.75" customHeight="1">
      <c r="A142" s="124"/>
      <c r="B142" s="125">
        <v>0.0</v>
      </c>
      <c r="C142" s="126" t="s">
        <v>1204</v>
      </c>
      <c r="D142" s="127" t="str">
        <f t="shared" si="1"/>
        <v>Somebody to Love.5.mid</v>
      </c>
      <c r="E142" s="128" t="str">
        <f t="shared" si="2"/>
        <v>Somebody to Love.5</v>
      </c>
      <c r="F142" s="122"/>
      <c r="G142" s="125">
        <v>0.0</v>
      </c>
      <c r="H142" s="126" t="s">
        <v>1062</v>
      </c>
      <c r="I142" s="127" t="str">
        <f t="shared" si="3"/>
        <v>Somebody to Love.mid</v>
      </c>
      <c r="J142" s="128" t="str">
        <f t="shared" si="4"/>
        <v>Somebody to Love</v>
      </c>
      <c r="K142" s="122"/>
      <c r="L142" s="125">
        <v>0.0</v>
      </c>
      <c r="M142" s="126" t="s">
        <v>1062</v>
      </c>
      <c r="N142" s="127" t="str">
        <f t="shared" si="5"/>
        <v>Somebody to Love.mid</v>
      </c>
      <c r="O142" s="128" t="str">
        <f t="shared" si="6"/>
        <v>Somebody to Love</v>
      </c>
      <c r="P142" s="122"/>
      <c r="Q142" s="125">
        <v>0.0</v>
      </c>
      <c r="R142" s="126" t="s">
        <v>1206</v>
      </c>
      <c r="S142" s="127" t="str">
        <f t="shared" si="7"/>
        <v>Spread Your Wings.mid</v>
      </c>
      <c r="T142" s="128" t="str">
        <f t="shared" si="8"/>
        <v>Spread Your Wings</v>
      </c>
      <c r="U142" s="122"/>
      <c r="V142" s="125">
        <v>0.0</v>
      </c>
      <c r="W142" s="126" t="s">
        <v>1070</v>
      </c>
      <c r="X142" s="127" t="str">
        <f t="shared" si="9"/>
        <v>Son and Daughter.1.mid</v>
      </c>
      <c r="Y142" s="128" t="str">
        <f t="shared" si="10"/>
        <v>Son and Daughter.1</v>
      </c>
      <c r="Z142" s="122"/>
      <c r="AA142" s="125">
        <v>1.0</v>
      </c>
      <c r="AB142" s="126" t="s">
        <v>1211</v>
      </c>
      <c r="AC142" s="127" t="str">
        <f t="shared" si="11"/>
        <v>The Miracle.3.mid</v>
      </c>
      <c r="AD142" s="128" t="str">
        <f t="shared" si="12"/>
        <v>The Miracle.3</v>
      </c>
      <c r="AE142" s="122"/>
      <c r="AF142" s="125">
        <v>9.0</v>
      </c>
      <c r="AG142" s="126" t="s">
        <v>1164</v>
      </c>
      <c r="AH142" s="127" t="str">
        <f t="shared" si="13"/>
        <v>Somebody to Love.6.mid</v>
      </c>
      <c r="AI142" s="128" t="str">
        <f t="shared" si="14"/>
        <v>Somebody to Love.6</v>
      </c>
      <c r="AJ142" s="122"/>
      <c r="AK142" s="125">
        <v>9.0</v>
      </c>
      <c r="AL142" s="126" t="s">
        <v>1164</v>
      </c>
      <c r="AM142" s="127" t="str">
        <f t="shared" si="15"/>
        <v>Somebody to Love.6.mid</v>
      </c>
      <c r="AN142" s="128" t="str">
        <f t="shared" si="16"/>
        <v>Somebody to Love.6</v>
      </c>
      <c r="AO142" s="122"/>
      <c r="AP142" s="125">
        <v>37.0</v>
      </c>
      <c r="AQ142" s="126" t="s">
        <v>1189</v>
      </c>
      <c r="AR142" s="127" t="str">
        <f t="shared" si="17"/>
        <v>Radio Ga Ga.2.mid</v>
      </c>
      <c r="AS142" s="128" t="str">
        <f t="shared" si="18"/>
        <v>Radio Ga Ga.2</v>
      </c>
      <c r="AT142" s="122"/>
      <c r="AU142" s="125">
        <v>14.0</v>
      </c>
      <c r="AV142" s="126" t="s">
        <v>1207</v>
      </c>
      <c r="AW142" s="127" t="str">
        <f t="shared" si="19"/>
        <v>The Great Pretender.mid</v>
      </c>
      <c r="AX142" s="128" t="str">
        <f t="shared" si="20"/>
        <v>The Great Pretender</v>
      </c>
      <c r="AY142" s="122"/>
    </row>
    <row r="143" ht="15.75" customHeight="1">
      <c r="A143" s="124"/>
      <c r="B143" s="125">
        <v>0.0</v>
      </c>
      <c r="C143" s="126" t="s">
        <v>1164</v>
      </c>
      <c r="D143" s="127" t="str">
        <f t="shared" si="1"/>
        <v>Somebody to Love.6.mid</v>
      </c>
      <c r="E143" s="128" t="str">
        <f t="shared" si="2"/>
        <v>Somebody to Love.6</v>
      </c>
      <c r="F143" s="122"/>
      <c r="G143" s="125">
        <v>0.0</v>
      </c>
      <c r="H143" s="126" t="s">
        <v>1070</v>
      </c>
      <c r="I143" s="127" t="str">
        <f t="shared" si="3"/>
        <v>Son and Daughter.1.mid</v>
      </c>
      <c r="J143" s="128" t="str">
        <f t="shared" si="4"/>
        <v>Son and Daughter.1</v>
      </c>
      <c r="K143" s="122"/>
      <c r="L143" s="125">
        <v>0.0</v>
      </c>
      <c r="M143" s="126" t="s">
        <v>1070</v>
      </c>
      <c r="N143" s="127" t="str">
        <f t="shared" si="5"/>
        <v>Son and Daughter.1.mid</v>
      </c>
      <c r="O143" s="128" t="str">
        <f t="shared" si="6"/>
        <v>Son and Daughter.1</v>
      </c>
      <c r="P143" s="122"/>
      <c r="Q143" s="125">
        <v>0.0</v>
      </c>
      <c r="R143" s="126" t="s">
        <v>1207</v>
      </c>
      <c r="S143" s="127" t="str">
        <f t="shared" si="7"/>
        <v>The Great Pretender.mid</v>
      </c>
      <c r="T143" s="128" t="str">
        <f t="shared" si="8"/>
        <v>The Great Pretender</v>
      </c>
      <c r="U143" s="122"/>
      <c r="V143" s="125">
        <v>0.0</v>
      </c>
      <c r="W143" s="126" t="s">
        <v>1205</v>
      </c>
      <c r="X143" s="127" t="str">
        <f t="shared" si="9"/>
        <v>Son and Daughter.mid</v>
      </c>
      <c r="Y143" s="128" t="str">
        <f t="shared" si="10"/>
        <v>Son and Daughter</v>
      </c>
      <c r="Z143" s="122"/>
      <c r="AA143" s="125">
        <v>1.0</v>
      </c>
      <c r="AB143" s="126" t="s">
        <v>1194</v>
      </c>
      <c r="AC143" s="127" t="str">
        <f t="shared" si="11"/>
        <v>The Miracle.4.mid</v>
      </c>
      <c r="AD143" s="128" t="str">
        <f t="shared" si="12"/>
        <v>The Miracle.4</v>
      </c>
      <c r="AE143" s="122"/>
      <c r="AF143" s="125">
        <v>9.0</v>
      </c>
      <c r="AG143" s="126" t="s">
        <v>1062</v>
      </c>
      <c r="AH143" s="127" t="str">
        <f t="shared" si="13"/>
        <v>Somebody to Love.mid</v>
      </c>
      <c r="AI143" s="128" t="str">
        <f t="shared" si="14"/>
        <v>Somebody to Love</v>
      </c>
      <c r="AJ143" s="122"/>
      <c r="AK143" s="125">
        <v>9.0</v>
      </c>
      <c r="AL143" s="126" t="s">
        <v>1062</v>
      </c>
      <c r="AM143" s="127" t="str">
        <f t="shared" si="15"/>
        <v>Somebody to Love.mid</v>
      </c>
      <c r="AN143" s="128" t="str">
        <f t="shared" si="16"/>
        <v>Somebody to Love</v>
      </c>
      <c r="AO143" s="122"/>
      <c r="AP143" s="125">
        <v>37.0</v>
      </c>
      <c r="AQ143" s="126" t="s">
        <v>1067</v>
      </c>
      <c r="AR143" s="127" t="str">
        <f t="shared" si="17"/>
        <v>Radio Ga Ga.3.mid</v>
      </c>
      <c r="AS143" s="128" t="str">
        <f t="shared" si="18"/>
        <v>Radio Ga Ga.3</v>
      </c>
      <c r="AT143" s="122"/>
      <c r="AU143" s="125">
        <v>14.0</v>
      </c>
      <c r="AV143" s="126" t="s">
        <v>1208</v>
      </c>
      <c r="AW143" s="127" t="str">
        <f t="shared" si="19"/>
        <v>The Invisible Man.1.mid</v>
      </c>
      <c r="AX143" s="128" t="str">
        <f t="shared" si="20"/>
        <v>The Invisible Man.1</v>
      </c>
      <c r="AY143" s="122"/>
    </row>
    <row r="144" ht="15.75" customHeight="1">
      <c r="A144" s="124"/>
      <c r="B144" s="125">
        <v>0.0</v>
      </c>
      <c r="C144" s="126" t="s">
        <v>1062</v>
      </c>
      <c r="D144" s="127" t="str">
        <f t="shared" si="1"/>
        <v>Somebody to Love.mid</v>
      </c>
      <c r="E144" s="128" t="str">
        <f t="shared" si="2"/>
        <v>Somebody to Love</v>
      </c>
      <c r="F144" s="122"/>
      <c r="G144" s="125">
        <v>0.0</v>
      </c>
      <c r="H144" s="126" t="s">
        <v>1205</v>
      </c>
      <c r="I144" s="127" t="str">
        <f t="shared" si="3"/>
        <v>Son and Daughter.mid</v>
      </c>
      <c r="J144" s="128" t="str">
        <f t="shared" si="4"/>
        <v>Son and Daughter</v>
      </c>
      <c r="K144" s="122"/>
      <c r="L144" s="125">
        <v>0.0</v>
      </c>
      <c r="M144" s="126" t="s">
        <v>1205</v>
      </c>
      <c r="N144" s="127" t="str">
        <f t="shared" si="5"/>
        <v>Son and Daughter.mid</v>
      </c>
      <c r="O144" s="128" t="str">
        <f t="shared" si="6"/>
        <v>Son and Daughter</v>
      </c>
      <c r="P144" s="122"/>
      <c r="Q144" s="125">
        <v>0.0</v>
      </c>
      <c r="R144" s="126" t="s">
        <v>1208</v>
      </c>
      <c r="S144" s="127" t="str">
        <f t="shared" si="7"/>
        <v>The Invisible Man.1.mid</v>
      </c>
      <c r="T144" s="128" t="str">
        <f t="shared" si="8"/>
        <v>The Invisible Man.1</v>
      </c>
      <c r="U144" s="122"/>
      <c r="V144" s="125">
        <v>0.0</v>
      </c>
      <c r="W144" s="126" t="s">
        <v>1111</v>
      </c>
      <c r="X144" s="127" t="str">
        <f t="shared" si="9"/>
        <v>Spread Your Wings.1.mid</v>
      </c>
      <c r="Y144" s="128" t="str">
        <f t="shared" si="10"/>
        <v>Spread Your Wings.1</v>
      </c>
      <c r="Z144" s="122"/>
      <c r="AA144" s="125">
        <v>1.0</v>
      </c>
      <c r="AB144" s="126" t="s">
        <v>1047</v>
      </c>
      <c r="AC144" s="127" t="str">
        <f t="shared" si="11"/>
        <v>The Miracle.5.mid</v>
      </c>
      <c r="AD144" s="128" t="str">
        <f t="shared" si="12"/>
        <v>The Miracle.5</v>
      </c>
      <c r="AE144" s="122"/>
      <c r="AF144" s="125">
        <v>9.0</v>
      </c>
      <c r="AG144" s="126" t="s">
        <v>1205</v>
      </c>
      <c r="AH144" s="127" t="str">
        <f t="shared" si="13"/>
        <v>Son and Daughter.mid</v>
      </c>
      <c r="AI144" s="128" t="str">
        <f t="shared" si="14"/>
        <v>Son and Daughter</v>
      </c>
      <c r="AJ144" s="122"/>
      <c r="AK144" s="125">
        <v>9.0</v>
      </c>
      <c r="AL144" s="126" t="s">
        <v>1205</v>
      </c>
      <c r="AM144" s="127" t="str">
        <f t="shared" si="15"/>
        <v>Son and Daughter.mid</v>
      </c>
      <c r="AN144" s="128" t="str">
        <f t="shared" si="16"/>
        <v>Son and Daughter</v>
      </c>
      <c r="AO144" s="122"/>
      <c r="AP144" s="125">
        <v>37.0</v>
      </c>
      <c r="AQ144" s="126" t="s">
        <v>1200</v>
      </c>
      <c r="AR144" s="127" t="str">
        <f t="shared" si="17"/>
        <v>Seven Seas of Rhye.1.mid</v>
      </c>
      <c r="AS144" s="128" t="str">
        <f t="shared" si="18"/>
        <v>Seven Seas of Rhye.1</v>
      </c>
      <c r="AT144" s="122"/>
      <c r="AU144" s="125">
        <v>14.0</v>
      </c>
      <c r="AV144" s="126" t="s">
        <v>1209</v>
      </c>
      <c r="AW144" s="127" t="str">
        <f t="shared" si="19"/>
        <v>The Invisible Man.2.mid</v>
      </c>
      <c r="AX144" s="128" t="str">
        <f t="shared" si="20"/>
        <v>The Invisible Man.2</v>
      </c>
      <c r="AY144" s="122"/>
    </row>
    <row r="145" ht="15.75" customHeight="1">
      <c r="A145" s="124"/>
      <c r="B145" s="125">
        <v>0.0</v>
      </c>
      <c r="C145" s="126" t="s">
        <v>1070</v>
      </c>
      <c r="D145" s="127" t="str">
        <f t="shared" si="1"/>
        <v>Son and Daughter.1.mid</v>
      </c>
      <c r="E145" s="128" t="str">
        <f t="shared" si="2"/>
        <v>Son and Daughter.1</v>
      </c>
      <c r="F145" s="122"/>
      <c r="G145" s="125">
        <v>0.0</v>
      </c>
      <c r="H145" s="126" t="s">
        <v>1111</v>
      </c>
      <c r="I145" s="127" t="str">
        <f t="shared" si="3"/>
        <v>Spread Your Wings.1.mid</v>
      </c>
      <c r="J145" s="128" t="str">
        <f t="shared" si="4"/>
        <v>Spread Your Wings.1</v>
      </c>
      <c r="K145" s="122"/>
      <c r="L145" s="125">
        <v>0.0</v>
      </c>
      <c r="M145" s="126" t="s">
        <v>1111</v>
      </c>
      <c r="N145" s="127" t="str">
        <f t="shared" si="5"/>
        <v>Spread Your Wings.1.mid</v>
      </c>
      <c r="O145" s="128" t="str">
        <f t="shared" si="6"/>
        <v>Spread Your Wings.1</v>
      </c>
      <c r="P145" s="122"/>
      <c r="Q145" s="125">
        <v>0.0</v>
      </c>
      <c r="R145" s="126" t="s">
        <v>1209</v>
      </c>
      <c r="S145" s="127" t="str">
        <f t="shared" si="7"/>
        <v>The Invisible Man.2.mid</v>
      </c>
      <c r="T145" s="128" t="str">
        <f t="shared" si="8"/>
        <v>The Invisible Man.2</v>
      </c>
      <c r="U145" s="122"/>
      <c r="V145" s="125">
        <v>0.0</v>
      </c>
      <c r="W145" s="126" t="s">
        <v>1206</v>
      </c>
      <c r="X145" s="127" t="str">
        <f t="shared" si="9"/>
        <v>Spread Your Wings.mid</v>
      </c>
      <c r="Y145" s="128" t="str">
        <f t="shared" si="10"/>
        <v>Spread Your Wings</v>
      </c>
      <c r="Z145" s="122"/>
      <c r="AA145" s="125">
        <v>1.0</v>
      </c>
      <c r="AB145" s="126" t="s">
        <v>1212</v>
      </c>
      <c r="AC145" s="127" t="str">
        <f t="shared" si="11"/>
        <v>The Miracle.mid</v>
      </c>
      <c r="AD145" s="128" t="str">
        <f t="shared" si="12"/>
        <v>The Miracle</v>
      </c>
      <c r="AE145" s="122"/>
      <c r="AF145" s="125">
        <v>9.0</v>
      </c>
      <c r="AG145" s="126" t="s">
        <v>1111</v>
      </c>
      <c r="AH145" s="127" t="str">
        <f t="shared" si="13"/>
        <v>Spread Your Wings.1.mid</v>
      </c>
      <c r="AI145" s="128" t="str">
        <f t="shared" si="14"/>
        <v>Spread Your Wings.1</v>
      </c>
      <c r="AJ145" s="122"/>
      <c r="AK145" s="125">
        <v>9.0</v>
      </c>
      <c r="AL145" s="126" t="s">
        <v>1111</v>
      </c>
      <c r="AM145" s="127" t="str">
        <f t="shared" si="15"/>
        <v>Spread Your Wings.1.mid</v>
      </c>
      <c r="AN145" s="128" t="str">
        <f t="shared" si="16"/>
        <v>Spread Your Wings.1</v>
      </c>
      <c r="AO145" s="122"/>
      <c r="AP145" s="125">
        <v>37.0</v>
      </c>
      <c r="AQ145" s="126" t="s">
        <v>1201</v>
      </c>
      <c r="AR145" s="127" t="str">
        <f t="shared" si="17"/>
        <v>Somebody to Love.2.mid</v>
      </c>
      <c r="AS145" s="128" t="str">
        <f t="shared" si="18"/>
        <v>Somebody to Love.2</v>
      </c>
      <c r="AT145" s="122"/>
      <c r="AU145" s="125">
        <v>14.0</v>
      </c>
      <c r="AV145" s="126" t="s">
        <v>1210</v>
      </c>
      <c r="AW145" s="127" t="str">
        <f t="shared" si="19"/>
        <v>The Invisible Man.mid</v>
      </c>
      <c r="AX145" s="128" t="str">
        <f t="shared" si="20"/>
        <v>The Invisible Man</v>
      </c>
      <c r="AY145" s="122"/>
    </row>
    <row r="146" ht="15.75" customHeight="1">
      <c r="A146" s="124"/>
      <c r="B146" s="125">
        <v>0.0</v>
      </c>
      <c r="C146" s="126" t="s">
        <v>1205</v>
      </c>
      <c r="D146" s="127" t="str">
        <f t="shared" si="1"/>
        <v>Son and Daughter.mid</v>
      </c>
      <c r="E146" s="128" t="str">
        <f t="shared" si="2"/>
        <v>Son and Daughter</v>
      </c>
      <c r="F146" s="122"/>
      <c r="G146" s="125">
        <v>0.0</v>
      </c>
      <c r="H146" s="126" t="s">
        <v>1206</v>
      </c>
      <c r="I146" s="127" t="str">
        <f t="shared" si="3"/>
        <v>Spread Your Wings.mid</v>
      </c>
      <c r="J146" s="128" t="str">
        <f t="shared" si="4"/>
        <v>Spread Your Wings</v>
      </c>
      <c r="K146" s="122"/>
      <c r="L146" s="125">
        <v>0.0</v>
      </c>
      <c r="M146" s="126" t="s">
        <v>1206</v>
      </c>
      <c r="N146" s="127" t="str">
        <f t="shared" si="5"/>
        <v>Spread Your Wings.mid</v>
      </c>
      <c r="O146" s="128" t="str">
        <f t="shared" si="6"/>
        <v>Spread Your Wings</v>
      </c>
      <c r="P146" s="122"/>
      <c r="Q146" s="125">
        <v>0.0</v>
      </c>
      <c r="R146" s="126" t="s">
        <v>1210</v>
      </c>
      <c r="S146" s="127" t="str">
        <f t="shared" si="7"/>
        <v>The Invisible Man.mid</v>
      </c>
      <c r="T146" s="128" t="str">
        <f t="shared" si="8"/>
        <v>The Invisible Man</v>
      </c>
      <c r="U146" s="122"/>
      <c r="V146" s="125">
        <v>0.0</v>
      </c>
      <c r="W146" s="126" t="s">
        <v>1207</v>
      </c>
      <c r="X146" s="127" t="str">
        <f t="shared" si="9"/>
        <v>The Great Pretender.mid</v>
      </c>
      <c r="Y146" s="128" t="str">
        <f t="shared" si="10"/>
        <v>The Great Pretender</v>
      </c>
      <c r="Z146" s="122"/>
      <c r="AA146" s="125">
        <v>1.0</v>
      </c>
      <c r="AB146" s="126" t="s">
        <v>1213</v>
      </c>
      <c r="AC146" s="127" t="str">
        <f t="shared" si="11"/>
        <v>The Show Must Go On.2.mid</v>
      </c>
      <c r="AD146" s="128" t="str">
        <f t="shared" si="12"/>
        <v>The Show Must Go On.2</v>
      </c>
      <c r="AE146" s="122"/>
      <c r="AF146" s="125">
        <v>9.0</v>
      </c>
      <c r="AG146" s="126" t="s">
        <v>1206</v>
      </c>
      <c r="AH146" s="127" t="str">
        <f t="shared" si="13"/>
        <v>Spread Your Wings.mid</v>
      </c>
      <c r="AI146" s="128" t="str">
        <f t="shared" si="14"/>
        <v>Spread Your Wings</v>
      </c>
      <c r="AJ146" s="122"/>
      <c r="AK146" s="125">
        <v>9.0</v>
      </c>
      <c r="AL146" s="126" t="s">
        <v>1206</v>
      </c>
      <c r="AM146" s="127" t="str">
        <f t="shared" si="15"/>
        <v>Spread Your Wings.mid</v>
      </c>
      <c r="AN146" s="128" t="str">
        <f t="shared" si="16"/>
        <v>Spread Your Wings</v>
      </c>
      <c r="AO146" s="122"/>
      <c r="AP146" s="125">
        <v>37.0</v>
      </c>
      <c r="AQ146" s="126" t="s">
        <v>1202</v>
      </c>
      <c r="AR146" s="127" t="str">
        <f t="shared" si="17"/>
        <v>Somebody to Love.3.mid</v>
      </c>
      <c r="AS146" s="128" t="str">
        <f t="shared" si="18"/>
        <v>Somebody to Love.3</v>
      </c>
      <c r="AT146" s="122"/>
      <c r="AU146" s="125">
        <v>14.0</v>
      </c>
      <c r="AV146" s="126" t="s">
        <v>1116</v>
      </c>
      <c r="AW146" s="127" t="str">
        <f t="shared" si="19"/>
        <v>The Miracle.2.mid</v>
      </c>
      <c r="AX146" s="128" t="str">
        <f t="shared" si="20"/>
        <v>The Miracle.2</v>
      </c>
      <c r="AY146" s="122"/>
    </row>
    <row r="147" ht="15.75" customHeight="1">
      <c r="A147" s="124"/>
      <c r="B147" s="125">
        <v>0.0</v>
      </c>
      <c r="C147" s="126" t="s">
        <v>1111</v>
      </c>
      <c r="D147" s="127" t="str">
        <f t="shared" si="1"/>
        <v>Spread Your Wings.1.mid</v>
      </c>
      <c r="E147" s="128" t="str">
        <f t="shared" si="2"/>
        <v>Spread Your Wings.1</v>
      </c>
      <c r="F147" s="122"/>
      <c r="G147" s="125">
        <v>0.0</v>
      </c>
      <c r="H147" s="126" t="s">
        <v>1207</v>
      </c>
      <c r="I147" s="127" t="str">
        <f t="shared" si="3"/>
        <v>The Great Pretender.mid</v>
      </c>
      <c r="J147" s="128" t="str">
        <f t="shared" si="4"/>
        <v>The Great Pretender</v>
      </c>
      <c r="K147" s="122"/>
      <c r="L147" s="125">
        <v>0.0</v>
      </c>
      <c r="M147" s="126" t="s">
        <v>1207</v>
      </c>
      <c r="N147" s="127" t="str">
        <f t="shared" si="5"/>
        <v>The Great Pretender.mid</v>
      </c>
      <c r="O147" s="128" t="str">
        <f t="shared" si="6"/>
        <v>The Great Pretender</v>
      </c>
      <c r="P147" s="122"/>
      <c r="Q147" s="125">
        <v>0.0</v>
      </c>
      <c r="R147" s="126" t="s">
        <v>1116</v>
      </c>
      <c r="S147" s="127" t="str">
        <f t="shared" si="7"/>
        <v>The Miracle.2.mid</v>
      </c>
      <c r="T147" s="128" t="str">
        <f t="shared" si="8"/>
        <v>The Miracle.2</v>
      </c>
      <c r="U147" s="122"/>
      <c r="V147" s="125">
        <v>0.0</v>
      </c>
      <c r="W147" s="126" t="s">
        <v>1208</v>
      </c>
      <c r="X147" s="127" t="str">
        <f t="shared" si="9"/>
        <v>The Invisible Man.1.mid</v>
      </c>
      <c r="Y147" s="128" t="str">
        <f t="shared" si="10"/>
        <v>The Invisible Man.1</v>
      </c>
      <c r="Z147" s="122"/>
      <c r="AA147" s="125">
        <v>1.0</v>
      </c>
      <c r="AB147" s="126" t="s">
        <v>1214</v>
      </c>
      <c r="AC147" s="127" t="str">
        <f t="shared" si="11"/>
        <v>The Show Must Go On.4.mid</v>
      </c>
      <c r="AD147" s="128" t="str">
        <f t="shared" si="12"/>
        <v>The Show Must Go On.4</v>
      </c>
      <c r="AE147" s="122"/>
      <c r="AF147" s="125">
        <v>9.0</v>
      </c>
      <c r="AG147" s="126" t="s">
        <v>1207</v>
      </c>
      <c r="AH147" s="127" t="str">
        <f t="shared" si="13"/>
        <v>The Great Pretender.mid</v>
      </c>
      <c r="AI147" s="128" t="str">
        <f t="shared" si="14"/>
        <v>The Great Pretender</v>
      </c>
      <c r="AJ147" s="122"/>
      <c r="AK147" s="125">
        <v>9.0</v>
      </c>
      <c r="AL147" s="126" t="s">
        <v>1207</v>
      </c>
      <c r="AM147" s="127" t="str">
        <f t="shared" si="15"/>
        <v>The Great Pretender.mid</v>
      </c>
      <c r="AN147" s="128" t="str">
        <f t="shared" si="16"/>
        <v>The Great Pretender</v>
      </c>
      <c r="AO147" s="122"/>
      <c r="AP147" s="125">
        <v>37.0</v>
      </c>
      <c r="AQ147" s="126" t="s">
        <v>1206</v>
      </c>
      <c r="AR147" s="127" t="str">
        <f t="shared" si="17"/>
        <v>Spread Your Wings.mid</v>
      </c>
      <c r="AS147" s="128" t="str">
        <f t="shared" si="18"/>
        <v>Spread Your Wings</v>
      </c>
      <c r="AT147" s="122"/>
      <c r="AU147" s="125">
        <v>14.0</v>
      </c>
      <c r="AV147" s="126" t="s">
        <v>1211</v>
      </c>
      <c r="AW147" s="127" t="str">
        <f t="shared" si="19"/>
        <v>The Miracle.3.mid</v>
      </c>
      <c r="AX147" s="128" t="str">
        <f t="shared" si="20"/>
        <v>The Miracle.3</v>
      </c>
      <c r="AY147" s="122"/>
    </row>
    <row r="148" ht="15.75" customHeight="1">
      <c r="A148" s="124"/>
      <c r="B148" s="125">
        <v>0.0</v>
      </c>
      <c r="C148" s="126" t="s">
        <v>1206</v>
      </c>
      <c r="D148" s="127" t="str">
        <f t="shared" si="1"/>
        <v>Spread Your Wings.mid</v>
      </c>
      <c r="E148" s="128" t="str">
        <f t="shared" si="2"/>
        <v>Spread Your Wings</v>
      </c>
      <c r="F148" s="122"/>
      <c r="G148" s="125">
        <v>0.0</v>
      </c>
      <c r="H148" s="126" t="s">
        <v>1208</v>
      </c>
      <c r="I148" s="127" t="str">
        <f t="shared" si="3"/>
        <v>The Invisible Man.1.mid</v>
      </c>
      <c r="J148" s="128" t="str">
        <f t="shared" si="4"/>
        <v>The Invisible Man.1</v>
      </c>
      <c r="K148" s="122"/>
      <c r="L148" s="125">
        <v>0.0</v>
      </c>
      <c r="M148" s="126" t="s">
        <v>1208</v>
      </c>
      <c r="N148" s="127" t="str">
        <f t="shared" si="5"/>
        <v>The Invisible Man.1.mid</v>
      </c>
      <c r="O148" s="128" t="str">
        <f t="shared" si="6"/>
        <v>The Invisible Man.1</v>
      </c>
      <c r="P148" s="122"/>
      <c r="Q148" s="125">
        <v>0.0</v>
      </c>
      <c r="R148" s="126" t="s">
        <v>1211</v>
      </c>
      <c r="S148" s="127" t="str">
        <f t="shared" si="7"/>
        <v>The Miracle.3.mid</v>
      </c>
      <c r="T148" s="128" t="str">
        <f t="shared" si="8"/>
        <v>The Miracle.3</v>
      </c>
      <c r="U148" s="122"/>
      <c r="V148" s="125">
        <v>0.0</v>
      </c>
      <c r="W148" s="126" t="s">
        <v>1209</v>
      </c>
      <c r="X148" s="127" t="str">
        <f t="shared" si="9"/>
        <v>The Invisible Man.2.mid</v>
      </c>
      <c r="Y148" s="128" t="str">
        <f t="shared" si="10"/>
        <v>The Invisible Man.2</v>
      </c>
      <c r="Z148" s="122"/>
      <c r="AA148" s="125">
        <v>1.0</v>
      </c>
      <c r="AB148" s="126" t="s">
        <v>1041</v>
      </c>
      <c r="AC148" s="127" t="str">
        <f t="shared" si="11"/>
        <v>The Show Must Go On.mid</v>
      </c>
      <c r="AD148" s="128" t="str">
        <f t="shared" si="12"/>
        <v>The Show Must Go On</v>
      </c>
      <c r="AE148" s="122"/>
      <c r="AF148" s="125">
        <v>9.0</v>
      </c>
      <c r="AG148" s="126" t="s">
        <v>1208</v>
      </c>
      <c r="AH148" s="127" t="str">
        <f t="shared" si="13"/>
        <v>The Invisible Man.1.mid</v>
      </c>
      <c r="AI148" s="128" t="str">
        <f t="shared" si="14"/>
        <v>The Invisible Man.1</v>
      </c>
      <c r="AJ148" s="122"/>
      <c r="AK148" s="125">
        <v>9.0</v>
      </c>
      <c r="AL148" s="126" t="s">
        <v>1208</v>
      </c>
      <c r="AM148" s="127" t="str">
        <f t="shared" si="15"/>
        <v>The Invisible Man.1.mid</v>
      </c>
      <c r="AN148" s="128" t="str">
        <f t="shared" si="16"/>
        <v>The Invisible Man.1</v>
      </c>
      <c r="AO148" s="122"/>
      <c r="AP148" s="125">
        <v>37.0</v>
      </c>
      <c r="AQ148" s="126" t="s">
        <v>1208</v>
      </c>
      <c r="AR148" s="127" t="str">
        <f t="shared" si="17"/>
        <v>The Invisible Man.1.mid</v>
      </c>
      <c r="AS148" s="128" t="str">
        <f t="shared" si="18"/>
        <v>The Invisible Man.1</v>
      </c>
      <c r="AT148" s="122"/>
      <c r="AU148" s="125">
        <v>14.0</v>
      </c>
      <c r="AV148" s="126" t="s">
        <v>1194</v>
      </c>
      <c r="AW148" s="127" t="str">
        <f t="shared" si="19"/>
        <v>The Miracle.4.mid</v>
      </c>
      <c r="AX148" s="128" t="str">
        <f t="shared" si="20"/>
        <v>The Miracle.4</v>
      </c>
      <c r="AY148" s="122"/>
    </row>
    <row r="149" ht="15.75" customHeight="1">
      <c r="A149" s="124"/>
      <c r="B149" s="125">
        <v>0.0</v>
      </c>
      <c r="C149" s="126" t="s">
        <v>1207</v>
      </c>
      <c r="D149" s="127" t="str">
        <f t="shared" si="1"/>
        <v>The Great Pretender.mid</v>
      </c>
      <c r="E149" s="128" t="str">
        <f t="shared" si="2"/>
        <v>The Great Pretender</v>
      </c>
      <c r="F149" s="122"/>
      <c r="G149" s="125">
        <v>0.0</v>
      </c>
      <c r="H149" s="126" t="s">
        <v>1209</v>
      </c>
      <c r="I149" s="127" t="str">
        <f t="shared" si="3"/>
        <v>The Invisible Man.2.mid</v>
      </c>
      <c r="J149" s="128" t="str">
        <f t="shared" si="4"/>
        <v>The Invisible Man.2</v>
      </c>
      <c r="K149" s="122"/>
      <c r="L149" s="125">
        <v>0.0</v>
      </c>
      <c r="M149" s="126" t="s">
        <v>1209</v>
      </c>
      <c r="N149" s="127" t="str">
        <f t="shared" si="5"/>
        <v>The Invisible Man.2.mid</v>
      </c>
      <c r="O149" s="128" t="str">
        <f t="shared" si="6"/>
        <v>The Invisible Man.2</v>
      </c>
      <c r="P149" s="122"/>
      <c r="Q149" s="125">
        <v>0.0</v>
      </c>
      <c r="R149" s="126" t="s">
        <v>1194</v>
      </c>
      <c r="S149" s="127" t="str">
        <f t="shared" si="7"/>
        <v>The Miracle.4.mid</v>
      </c>
      <c r="T149" s="128" t="str">
        <f t="shared" si="8"/>
        <v>The Miracle.4</v>
      </c>
      <c r="U149" s="122"/>
      <c r="V149" s="125">
        <v>0.0</v>
      </c>
      <c r="W149" s="126" t="s">
        <v>1210</v>
      </c>
      <c r="X149" s="127" t="str">
        <f t="shared" si="9"/>
        <v>The Invisible Man.mid</v>
      </c>
      <c r="Y149" s="128" t="str">
        <f t="shared" si="10"/>
        <v>The Invisible Man</v>
      </c>
      <c r="Z149" s="122"/>
      <c r="AA149" s="125">
        <v>1.0</v>
      </c>
      <c r="AB149" s="126" t="s">
        <v>1103</v>
      </c>
      <c r="AC149" s="127" t="str">
        <f t="shared" si="11"/>
        <v>These Are the Days of Our Lives.2.mid</v>
      </c>
      <c r="AD149" s="128" t="str">
        <f t="shared" si="12"/>
        <v>These Are the Days of Our Lives.2</v>
      </c>
      <c r="AE149" s="122"/>
      <c r="AF149" s="125">
        <v>9.0</v>
      </c>
      <c r="AG149" s="126" t="s">
        <v>1209</v>
      </c>
      <c r="AH149" s="127" t="str">
        <f t="shared" si="13"/>
        <v>The Invisible Man.2.mid</v>
      </c>
      <c r="AI149" s="128" t="str">
        <f t="shared" si="14"/>
        <v>The Invisible Man.2</v>
      </c>
      <c r="AJ149" s="122"/>
      <c r="AK149" s="125">
        <v>9.0</v>
      </c>
      <c r="AL149" s="126" t="s">
        <v>1209</v>
      </c>
      <c r="AM149" s="127" t="str">
        <f t="shared" si="15"/>
        <v>The Invisible Man.2.mid</v>
      </c>
      <c r="AN149" s="128" t="str">
        <f t="shared" si="16"/>
        <v>The Invisible Man.2</v>
      </c>
      <c r="AO149" s="122"/>
      <c r="AP149" s="125">
        <v>37.0</v>
      </c>
      <c r="AQ149" s="126" t="s">
        <v>1210</v>
      </c>
      <c r="AR149" s="127" t="str">
        <f t="shared" si="17"/>
        <v>The Invisible Man.mid</v>
      </c>
      <c r="AS149" s="128" t="str">
        <f t="shared" si="18"/>
        <v>The Invisible Man</v>
      </c>
      <c r="AT149" s="122"/>
      <c r="AU149" s="125">
        <v>14.0</v>
      </c>
      <c r="AV149" s="126" t="s">
        <v>1047</v>
      </c>
      <c r="AW149" s="127" t="str">
        <f t="shared" si="19"/>
        <v>The Miracle.5.mid</v>
      </c>
      <c r="AX149" s="128" t="str">
        <f t="shared" si="20"/>
        <v>The Miracle.5</v>
      </c>
      <c r="AY149" s="122"/>
    </row>
    <row r="150" ht="15.75" customHeight="1">
      <c r="A150" s="124"/>
      <c r="B150" s="125">
        <v>0.0</v>
      </c>
      <c r="C150" s="126" t="s">
        <v>1208</v>
      </c>
      <c r="D150" s="127" t="str">
        <f t="shared" si="1"/>
        <v>The Invisible Man.1.mid</v>
      </c>
      <c r="E150" s="128" t="str">
        <f t="shared" si="2"/>
        <v>The Invisible Man.1</v>
      </c>
      <c r="F150" s="122"/>
      <c r="G150" s="125">
        <v>0.0</v>
      </c>
      <c r="H150" s="126" t="s">
        <v>1210</v>
      </c>
      <c r="I150" s="127" t="str">
        <f t="shared" si="3"/>
        <v>The Invisible Man.mid</v>
      </c>
      <c r="J150" s="128" t="str">
        <f t="shared" si="4"/>
        <v>The Invisible Man</v>
      </c>
      <c r="K150" s="122"/>
      <c r="L150" s="125">
        <v>0.0</v>
      </c>
      <c r="M150" s="126" t="s">
        <v>1210</v>
      </c>
      <c r="N150" s="127" t="str">
        <f t="shared" si="5"/>
        <v>The Invisible Man.mid</v>
      </c>
      <c r="O150" s="128" t="str">
        <f t="shared" si="6"/>
        <v>The Invisible Man</v>
      </c>
      <c r="P150" s="122"/>
      <c r="Q150" s="125">
        <v>0.0</v>
      </c>
      <c r="R150" s="126" t="s">
        <v>1047</v>
      </c>
      <c r="S150" s="127" t="str">
        <f t="shared" si="7"/>
        <v>The Miracle.5.mid</v>
      </c>
      <c r="T150" s="128" t="str">
        <f t="shared" si="8"/>
        <v>The Miracle.5</v>
      </c>
      <c r="U150" s="122"/>
      <c r="V150" s="125">
        <v>0.0</v>
      </c>
      <c r="W150" s="126" t="s">
        <v>1215</v>
      </c>
      <c r="X150" s="127" t="str">
        <f t="shared" si="9"/>
        <v>The Miracle.1.mid</v>
      </c>
      <c r="Y150" s="128" t="str">
        <f t="shared" si="10"/>
        <v>The Miracle.1</v>
      </c>
      <c r="Z150" s="122"/>
      <c r="AA150" s="125">
        <v>1.0</v>
      </c>
      <c r="AB150" s="126" t="s">
        <v>1216</v>
      </c>
      <c r="AC150" s="127" t="str">
        <f t="shared" si="11"/>
        <v>These Are the Days of Our Lives.3.mid</v>
      </c>
      <c r="AD150" s="128" t="str">
        <f t="shared" si="12"/>
        <v>These Are the Days of Our Lives.3</v>
      </c>
      <c r="AE150" s="122"/>
      <c r="AF150" s="125">
        <v>9.0</v>
      </c>
      <c r="AG150" s="126" t="s">
        <v>1210</v>
      </c>
      <c r="AH150" s="127" t="str">
        <f t="shared" si="13"/>
        <v>The Invisible Man.mid</v>
      </c>
      <c r="AI150" s="128" t="str">
        <f t="shared" si="14"/>
        <v>The Invisible Man</v>
      </c>
      <c r="AJ150" s="122"/>
      <c r="AK150" s="125">
        <v>9.0</v>
      </c>
      <c r="AL150" s="126" t="s">
        <v>1210</v>
      </c>
      <c r="AM150" s="127" t="str">
        <f t="shared" si="15"/>
        <v>The Invisible Man.mid</v>
      </c>
      <c r="AN150" s="128" t="str">
        <f t="shared" si="16"/>
        <v>The Invisible Man</v>
      </c>
      <c r="AO150" s="122"/>
      <c r="AP150" s="125">
        <v>37.0</v>
      </c>
      <c r="AQ150" s="126" t="s">
        <v>1217</v>
      </c>
      <c r="AR150" s="127" t="str">
        <f t="shared" si="17"/>
        <v>Who Wants to Live Forever.6.mid</v>
      </c>
      <c r="AS150" s="128" t="str">
        <f t="shared" si="18"/>
        <v>Who Wants to Live Forever.6</v>
      </c>
      <c r="AT150" s="122"/>
      <c r="AU150" s="125">
        <v>14.0</v>
      </c>
      <c r="AV150" s="126" t="s">
        <v>1213</v>
      </c>
      <c r="AW150" s="127" t="str">
        <f t="shared" si="19"/>
        <v>The Show Must Go On.2.mid</v>
      </c>
      <c r="AX150" s="128" t="str">
        <f t="shared" si="20"/>
        <v>The Show Must Go On.2</v>
      </c>
      <c r="AY150" s="122"/>
    </row>
    <row r="151" ht="15.75" customHeight="1">
      <c r="A151" s="124"/>
      <c r="B151" s="125">
        <v>0.0</v>
      </c>
      <c r="C151" s="126" t="s">
        <v>1209</v>
      </c>
      <c r="D151" s="127" t="str">
        <f t="shared" si="1"/>
        <v>The Invisible Man.2.mid</v>
      </c>
      <c r="E151" s="128" t="str">
        <f t="shared" si="2"/>
        <v>The Invisible Man.2</v>
      </c>
      <c r="F151" s="122"/>
      <c r="G151" s="125">
        <v>0.0</v>
      </c>
      <c r="H151" s="126" t="s">
        <v>1215</v>
      </c>
      <c r="I151" s="127" t="str">
        <f t="shared" si="3"/>
        <v>The Miracle.1.mid</v>
      </c>
      <c r="J151" s="128" t="str">
        <f t="shared" si="4"/>
        <v>The Miracle.1</v>
      </c>
      <c r="K151" s="122"/>
      <c r="L151" s="125">
        <v>0.0</v>
      </c>
      <c r="M151" s="126" t="s">
        <v>1215</v>
      </c>
      <c r="N151" s="127" t="str">
        <f t="shared" si="5"/>
        <v>The Miracle.1.mid</v>
      </c>
      <c r="O151" s="128" t="str">
        <f t="shared" si="6"/>
        <v>The Miracle.1</v>
      </c>
      <c r="P151" s="122"/>
      <c r="Q151" s="125">
        <v>0.0</v>
      </c>
      <c r="R151" s="126" t="s">
        <v>1212</v>
      </c>
      <c r="S151" s="127" t="str">
        <f t="shared" si="7"/>
        <v>The Miracle.mid</v>
      </c>
      <c r="T151" s="128" t="str">
        <f t="shared" si="8"/>
        <v>The Miracle</v>
      </c>
      <c r="U151" s="122"/>
      <c r="V151" s="125">
        <v>0.0</v>
      </c>
      <c r="W151" s="126" t="s">
        <v>1116</v>
      </c>
      <c r="X151" s="127" t="str">
        <f t="shared" si="9"/>
        <v>The Miracle.2.mid</v>
      </c>
      <c r="Y151" s="128" t="str">
        <f t="shared" si="10"/>
        <v>The Miracle.2</v>
      </c>
      <c r="Z151" s="122"/>
      <c r="AA151" s="125">
        <v>1.0</v>
      </c>
      <c r="AB151" s="126" t="s">
        <v>1196</v>
      </c>
      <c r="AC151" s="127" t="str">
        <f t="shared" si="11"/>
        <v>These Are the Days of Our Lives.mid</v>
      </c>
      <c r="AD151" s="128" t="str">
        <f t="shared" si="12"/>
        <v>These Are the Days of Our Lives</v>
      </c>
      <c r="AE151" s="122"/>
      <c r="AF151" s="125">
        <v>9.0</v>
      </c>
      <c r="AG151" s="126" t="s">
        <v>1116</v>
      </c>
      <c r="AH151" s="127" t="str">
        <f t="shared" si="13"/>
        <v>The Miracle.2.mid</v>
      </c>
      <c r="AI151" s="128" t="str">
        <f t="shared" si="14"/>
        <v>The Miracle.2</v>
      </c>
      <c r="AJ151" s="122"/>
      <c r="AK151" s="125">
        <v>9.0</v>
      </c>
      <c r="AL151" s="126" t="s">
        <v>1116</v>
      </c>
      <c r="AM151" s="127" t="str">
        <f t="shared" si="15"/>
        <v>The Miracle.2.mid</v>
      </c>
      <c r="AN151" s="128" t="str">
        <f t="shared" si="16"/>
        <v>The Miracle.2</v>
      </c>
      <c r="AO151" s="122"/>
      <c r="AP151" s="125">
        <v>37.0</v>
      </c>
      <c r="AQ151" s="126" t="s">
        <v>1218</v>
      </c>
      <c r="AR151" s="127" t="str">
        <f t="shared" si="17"/>
        <v>You Don't Fool Me.mid</v>
      </c>
      <c r="AS151" s="128" t="str">
        <f t="shared" si="18"/>
        <v>You Don't Fool Me</v>
      </c>
      <c r="AT151" s="122"/>
      <c r="AU151" s="125">
        <v>14.0</v>
      </c>
      <c r="AV151" s="126" t="s">
        <v>1214</v>
      </c>
      <c r="AW151" s="127" t="str">
        <f t="shared" si="19"/>
        <v>The Show Must Go On.4.mid</v>
      </c>
      <c r="AX151" s="128" t="str">
        <f t="shared" si="20"/>
        <v>The Show Must Go On.4</v>
      </c>
      <c r="AY151" s="122"/>
    </row>
    <row r="152" ht="15.75" customHeight="1">
      <c r="A152" s="124"/>
      <c r="B152" s="125">
        <v>0.0</v>
      </c>
      <c r="C152" s="126" t="s">
        <v>1210</v>
      </c>
      <c r="D152" s="127" t="str">
        <f t="shared" si="1"/>
        <v>The Invisible Man.mid</v>
      </c>
      <c r="E152" s="128" t="str">
        <f t="shared" si="2"/>
        <v>The Invisible Man</v>
      </c>
      <c r="F152" s="122"/>
      <c r="G152" s="125">
        <v>0.0</v>
      </c>
      <c r="H152" s="126" t="s">
        <v>1116</v>
      </c>
      <c r="I152" s="127" t="str">
        <f t="shared" si="3"/>
        <v>The Miracle.2.mid</v>
      </c>
      <c r="J152" s="128" t="str">
        <f t="shared" si="4"/>
        <v>The Miracle.2</v>
      </c>
      <c r="K152" s="122"/>
      <c r="L152" s="125">
        <v>0.0</v>
      </c>
      <c r="M152" s="126" t="s">
        <v>1116</v>
      </c>
      <c r="N152" s="127" t="str">
        <f t="shared" si="5"/>
        <v>The Miracle.2.mid</v>
      </c>
      <c r="O152" s="128" t="str">
        <f t="shared" si="6"/>
        <v>The Miracle.2</v>
      </c>
      <c r="P152" s="122"/>
      <c r="Q152" s="125">
        <v>0.0</v>
      </c>
      <c r="R152" s="126" t="s">
        <v>1213</v>
      </c>
      <c r="S152" s="127" t="str">
        <f t="shared" si="7"/>
        <v>The Show Must Go On.2.mid</v>
      </c>
      <c r="T152" s="128" t="str">
        <f t="shared" si="8"/>
        <v>The Show Must Go On.2</v>
      </c>
      <c r="U152" s="122"/>
      <c r="V152" s="125">
        <v>0.0</v>
      </c>
      <c r="W152" s="126" t="s">
        <v>1211</v>
      </c>
      <c r="X152" s="127" t="str">
        <f t="shared" si="9"/>
        <v>The Miracle.3.mid</v>
      </c>
      <c r="Y152" s="128" t="str">
        <f t="shared" si="10"/>
        <v>The Miracle.3</v>
      </c>
      <c r="Z152" s="122"/>
      <c r="AA152" s="125">
        <v>1.0</v>
      </c>
      <c r="AB152" s="126" t="s">
        <v>1197</v>
      </c>
      <c r="AC152" s="127" t="str">
        <f t="shared" si="11"/>
        <v>Too Much Love Will Kill You.1.mid</v>
      </c>
      <c r="AD152" s="128" t="str">
        <f t="shared" si="12"/>
        <v>Too Much Love Will Kill You.1</v>
      </c>
      <c r="AE152" s="122"/>
      <c r="AF152" s="125">
        <v>9.0</v>
      </c>
      <c r="AG152" s="126" t="s">
        <v>1211</v>
      </c>
      <c r="AH152" s="127" t="str">
        <f t="shared" si="13"/>
        <v>The Miracle.3.mid</v>
      </c>
      <c r="AI152" s="128" t="str">
        <f t="shared" si="14"/>
        <v>The Miracle.3</v>
      </c>
      <c r="AJ152" s="122"/>
      <c r="AK152" s="125">
        <v>9.0</v>
      </c>
      <c r="AL152" s="126" t="s">
        <v>1211</v>
      </c>
      <c r="AM152" s="127" t="str">
        <f t="shared" si="15"/>
        <v>The Miracle.3.mid</v>
      </c>
      <c r="AN152" s="128" t="str">
        <f t="shared" si="16"/>
        <v>The Miracle.3</v>
      </c>
      <c r="AO152" s="122"/>
      <c r="AP152" s="125">
        <v>37.0</v>
      </c>
      <c r="AQ152" s="126" t="s">
        <v>1219</v>
      </c>
      <c r="AR152" s="127" t="str">
        <f t="shared" si="17"/>
        <v>You're My Best Friend.2.mid</v>
      </c>
      <c r="AS152" s="128" t="str">
        <f t="shared" si="18"/>
        <v>You're My Best Friend.2</v>
      </c>
      <c r="AT152" s="122"/>
      <c r="AU152" s="125">
        <v>14.0</v>
      </c>
      <c r="AV152" s="126" t="s">
        <v>1196</v>
      </c>
      <c r="AW152" s="127" t="str">
        <f t="shared" si="19"/>
        <v>These Are the Days of Our Lives.mid</v>
      </c>
      <c r="AX152" s="128" t="str">
        <f t="shared" si="20"/>
        <v>These Are the Days of Our Lives</v>
      </c>
      <c r="AY152" s="122"/>
    </row>
    <row r="153" ht="15.75" customHeight="1">
      <c r="A153" s="124"/>
      <c r="B153" s="125">
        <v>0.0</v>
      </c>
      <c r="C153" s="126" t="s">
        <v>1215</v>
      </c>
      <c r="D153" s="127" t="str">
        <f t="shared" si="1"/>
        <v>The Miracle.1.mid</v>
      </c>
      <c r="E153" s="128" t="str">
        <f t="shared" si="2"/>
        <v>The Miracle.1</v>
      </c>
      <c r="F153" s="122"/>
      <c r="G153" s="125">
        <v>0.0</v>
      </c>
      <c r="H153" s="126" t="s">
        <v>1211</v>
      </c>
      <c r="I153" s="127" t="str">
        <f t="shared" si="3"/>
        <v>The Miracle.3.mid</v>
      </c>
      <c r="J153" s="128" t="str">
        <f t="shared" si="4"/>
        <v>The Miracle.3</v>
      </c>
      <c r="K153" s="122"/>
      <c r="L153" s="125">
        <v>0.0</v>
      </c>
      <c r="M153" s="126" t="s">
        <v>1211</v>
      </c>
      <c r="N153" s="127" t="str">
        <f t="shared" si="5"/>
        <v>The Miracle.3.mid</v>
      </c>
      <c r="O153" s="128" t="str">
        <f t="shared" si="6"/>
        <v>The Miracle.3</v>
      </c>
      <c r="P153" s="122"/>
      <c r="Q153" s="125">
        <v>0.0</v>
      </c>
      <c r="R153" s="126" t="s">
        <v>1220</v>
      </c>
      <c r="S153" s="127" t="str">
        <f t="shared" si="7"/>
        <v>The Show Must Go On.3.mid</v>
      </c>
      <c r="T153" s="128" t="str">
        <f t="shared" si="8"/>
        <v>The Show Must Go On.3</v>
      </c>
      <c r="U153" s="122"/>
      <c r="V153" s="125">
        <v>0.0</v>
      </c>
      <c r="W153" s="126" t="s">
        <v>1194</v>
      </c>
      <c r="X153" s="127" t="str">
        <f t="shared" si="9"/>
        <v>The Miracle.4.mid</v>
      </c>
      <c r="Y153" s="128" t="str">
        <f t="shared" si="10"/>
        <v>The Miracle.4</v>
      </c>
      <c r="Z153" s="122"/>
      <c r="AA153" s="125">
        <v>1.0</v>
      </c>
      <c r="AB153" s="126" t="s">
        <v>1221</v>
      </c>
      <c r="AC153" s="127" t="str">
        <f t="shared" si="11"/>
        <v>Too Much Love Will Kill You.2.mid</v>
      </c>
      <c r="AD153" s="128" t="str">
        <f t="shared" si="12"/>
        <v>Too Much Love Will Kill You.2</v>
      </c>
      <c r="AE153" s="122"/>
      <c r="AF153" s="125">
        <v>9.0</v>
      </c>
      <c r="AG153" s="126" t="s">
        <v>1194</v>
      </c>
      <c r="AH153" s="127" t="str">
        <f t="shared" si="13"/>
        <v>The Miracle.4.mid</v>
      </c>
      <c r="AI153" s="128" t="str">
        <f t="shared" si="14"/>
        <v>The Miracle.4</v>
      </c>
      <c r="AJ153" s="122"/>
      <c r="AK153" s="125">
        <v>9.0</v>
      </c>
      <c r="AL153" s="126" t="s">
        <v>1194</v>
      </c>
      <c r="AM153" s="127" t="str">
        <f t="shared" si="15"/>
        <v>The Miracle.4.mid</v>
      </c>
      <c r="AN153" s="128" t="str">
        <f t="shared" si="16"/>
        <v>The Miracle.4</v>
      </c>
      <c r="AO153" s="122"/>
      <c r="AP153" s="125">
        <v>38.0</v>
      </c>
      <c r="AQ153" s="126" t="s">
        <v>1203</v>
      </c>
      <c r="AR153" s="127" t="str">
        <f t="shared" si="17"/>
        <v>Somebody to Love.4.mid</v>
      </c>
      <c r="AS153" s="128" t="str">
        <f t="shared" si="18"/>
        <v>Somebody to Love.4</v>
      </c>
      <c r="AT153" s="122"/>
      <c r="AU153" s="125">
        <v>14.0</v>
      </c>
      <c r="AV153" s="126" t="s">
        <v>1197</v>
      </c>
      <c r="AW153" s="127" t="str">
        <f t="shared" si="19"/>
        <v>Too Much Love Will Kill You.1.mid</v>
      </c>
      <c r="AX153" s="128" t="str">
        <f t="shared" si="20"/>
        <v>Too Much Love Will Kill You.1</v>
      </c>
      <c r="AY153" s="122"/>
    </row>
    <row r="154" ht="15.75" customHeight="1">
      <c r="A154" s="124"/>
      <c r="B154" s="125">
        <v>0.0</v>
      </c>
      <c r="C154" s="126" t="s">
        <v>1116</v>
      </c>
      <c r="D154" s="127" t="str">
        <f t="shared" si="1"/>
        <v>The Miracle.2.mid</v>
      </c>
      <c r="E154" s="128" t="str">
        <f t="shared" si="2"/>
        <v>The Miracle.2</v>
      </c>
      <c r="F154" s="122"/>
      <c r="G154" s="125">
        <v>0.0</v>
      </c>
      <c r="H154" s="126" t="s">
        <v>1194</v>
      </c>
      <c r="I154" s="127" t="str">
        <f t="shared" si="3"/>
        <v>The Miracle.4.mid</v>
      </c>
      <c r="J154" s="128" t="str">
        <f t="shared" si="4"/>
        <v>The Miracle.4</v>
      </c>
      <c r="K154" s="122"/>
      <c r="L154" s="125">
        <v>0.0</v>
      </c>
      <c r="M154" s="126" t="s">
        <v>1194</v>
      </c>
      <c r="N154" s="127" t="str">
        <f t="shared" si="5"/>
        <v>The Miracle.4.mid</v>
      </c>
      <c r="O154" s="128" t="str">
        <f t="shared" si="6"/>
        <v>The Miracle.4</v>
      </c>
      <c r="P154" s="122"/>
      <c r="Q154" s="125">
        <v>0.0</v>
      </c>
      <c r="R154" s="126" t="s">
        <v>1214</v>
      </c>
      <c r="S154" s="127" t="str">
        <f t="shared" si="7"/>
        <v>The Show Must Go On.4.mid</v>
      </c>
      <c r="T154" s="128" t="str">
        <f t="shared" si="8"/>
        <v>The Show Must Go On.4</v>
      </c>
      <c r="U154" s="122"/>
      <c r="V154" s="125">
        <v>0.0</v>
      </c>
      <c r="W154" s="126" t="s">
        <v>1047</v>
      </c>
      <c r="X154" s="127" t="str">
        <f t="shared" si="9"/>
        <v>The Miracle.5.mid</v>
      </c>
      <c r="Y154" s="128" t="str">
        <f t="shared" si="10"/>
        <v>The Miracle.5</v>
      </c>
      <c r="Z154" s="122"/>
      <c r="AA154" s="125">
        <v>1.0</v>
      </c>
      <c r="AB154" s="126" t="s">
        <v>1222</v>
      </c>
      <c r="AC154" s="127" t="str">
        <f t="shared" si="11"/>
        <v>Too Much Love Will Kill You.3.mid</v>
      </c>
      <c r="AD154" s="128" t="str">
        <f t="shared" si="12"/>
        <v>Too Much Love Will Kill You.3</v>
      </c>
      <c r="AE154" s="122"/>
      <c r="AF154" s="125">
        <v>9.0</v>
      </c>
      <c r="AG154" s="126" t="s">
        <v>1047</v>
      </c>
      <c r="AH154" s="127" t="str">
        <f t="shared" si="13"/>
        <v>The Miracle.5.mid</v>
      </c>
      <c r="AI154" s="128" t="str">
        <f t="shared" si="14"/>
        <v>The Miracle.5</v>
      </c>
      <c r="AJ154" s="122"/>
      <c r="AK154" s="125">
        <v>9.0</v>
      </c>
      <c r="AL154" s="126" t="s">
        <v>1047</v>
      </c>
      <c r="AM154" s="127" t="str">
        <f t="shared" si="15"/>
        <v>The Miracle.5.mid</v>
      </c>
      <c r="AN154" s="128" t="str">
        <f t="shared" si="16"/>
        <v>The Miracle.5</v>
      </c>
      <c r="AO154" s="122"/>
      <c r="AP154" s="125">
        <v>38.0</v>
      </c>
      <c r="AQ154" s="126" t="s">
        <v>1205</v>
      </c>
      <c r="AR154" s="127" t="str">
        <f t="shared" si="17"/>
        <v>Son and Daughter.mid</v>
      </c>
      <c r="AS154" s="128" t="str">
        <f t="shared" si="18"/>
        <v>Son and Daughter</v>
      </c>
      <c r="AT154" s="122"/>
      <c r="AU154" s="125">
        <v>14.0</v>
      </c>
      <c r="AV154" s="126" t="s">
        <v>1221</v>
      </c>
      <c r="AW154" s="127" t="str">
        <f t="shared" si="19"/>
        <v>Too Much Love Will Kill You.2.mid</v>
      </c>
      <c r="AX154" s="128" t="str">
        <f t="shared" si="20"/>
        <v>Too Much Love Will Kill You.2</v>
      </c>
      <c r="AY154" s="122"/>
    </row>
    <row r="155" ht="15.75" customHeight="1">
      <c r="A155" s="124"/>
      <c r="B155" s="125">
        <v>0.0</v>
      </c>
      <c r="C155" s="126" t="s">
        <v>1211</v>
      </c>
      <c r="D155" s="127" t="str">
        <f t="shared" si="1"/>
        <v>The Miracle.3.mid</v>
      </c>
      <c r="E155" s="128" t="str">
        <f t="shared" si="2"/>
        <v>The Miracle.3</v>
      </c>
      <c r="F155" s="122"/>
      <c r="G155" s="125">
        <v>0.0</v>
      </c>
      <c r="H155" s="126" t="s">
        <v>1047</v>
      </c>
      <c r="I155" s="127" t="str">
        <f t="shared" si="3"/>
        <v>The Miracle.5.mid</v>
      </c>
      <c r="J155" s="128" t="str">
        <f t="shared" si="4"/>
        <v>The Miracle.5</v>
      </c>
      <c r="K155" s="122"/>
      <c r="L155" s="125">
        <v>0.0</v>
      </c>
      <c r="M155" s="126" t="s">
        <v>1047</v>
      </c>
      <c r="N155" s="127" t="str">
        <f t="shared" si="5"/>
        <v>The Miracle.5.mid</v>
      </c>
      <c r="O155" s="128" t="str">
        <f t="shared" si="6"/>
        <v>The Miracle.5</v>
      </c>
      <c r="P155" s="122"/>
      <c r="Q155" s="125">
        <v>0.0</v>
      </c>
      <c r="R155" s="126" t="s">
        <v>1041</v>
      </c>
      <c r="S155" s="127" t="str">
        <f t="shared" si="7"/>
        <v>The Show Must Go On.mid</v>
      </c>
      <c r="T155" s="128" t="str">
        <f t="shared" si="8"/>
        <v>The Show Must Go On</v>
      </c>
      <c r="U155" s="122"/>
      <c r="V155" s="125">
        <v>0.0</v>
      </c>
      <c r="W155" s="126" t="s">
        <v>1212</v>
      </c>
      <c r="X155" s="127" t="str">
        <f t="shared" si="9"/>
        <v>The Miracle.mid</v>
      </c>
      <c r="Y155" s="128" t="str">
        <f t="shared" si="10"/>
        <v>The Miracle</v>
      </c>
      <c r="Z155" s="122"/>
      <c r="AA155" s="125">
        <v>1.0</v>
      </c>
      <c r="AB155" s="126" t="s">
        <v>1223</v>
      </c>
      <c r="AC155" s="127" t="str">
        <f t="shared" si="11"/>
        <v>Too Much Love Will Kill You.mid</v>
      </c>
      <c r="AD155" s="128" t="str">
        <f t="shared" si="12"/>
        <v>Too Much Love Will Kill You</v>
      </c>
      <c r="AE155" s="122"/>
      <c r="AF155" s="125">
        <v>9.0</v>
      </c>
      <c r="AG155" s="126" t="s">
        <v>1212</v>
      </c>
      <c r="AH155" s="127" t="str">
        <f t="shared" si="13"/>
        <v>The Miracle.mid</v>
      </c>
      <c r="AI155" s="128" t="str">
        <f t="shared" si="14"/>
        <v>The Miracle</v>
      </c>
      <c r="AJ155" s="122"/>
      <c r="AK155" s="125">
        <v>9.0</v>
      </c>
      <c r="AL155" s="126" t="s">
        <v>1212</v>
      </c>
      <c r="AM155" s="127" t="str">
        <f t="shared" si="15"/>
        <v>The Miracle.mid</v>
      </c>
      <c r="AN155" s="128" t="str">
        <f t="shared" si="16"/>
        <v>The Miracle</v>
      </c>
      <c r="AO155" s="122"/>
      <c r="AP155" s="125">
        <v>39.0</v>
      </c>
      <c r="AQ155" s="126" t="s">
        <v>1215</v>
      </c>
      <c r="AR155" s="127" t="str">
        <f t="shared" si="17"/>
        <v>The Miracle.1.mid</v>
      </c>
      <c r="AS155" s="128" t="str">
        <f t="shared" si="18"/>
        <v>The Miracle.1</v>
      </c>
      <c r="AT155" s="122"/>
      <c r="AU155" s="125">
        <v>14.0</v>
      </c>
      <c r="AV155" s="126" t="s">
        <v>1222</v>
      </c>
      <c r="AW155" s="127" t="str">
        <f t="shared" si="19"/>
        <v>Too Much Love Will Kill You.3.mid</v>
      </c>
      <c r="AX155" s="128" t="str">
        <f t="shared" si="20"/>
        <v>Too Much Love Will Kill You.3</v>
      </c>
      <c r="AY155" s="122"/>
    </row>
    <row r="156" ht="15.75" customHeight="1">
      <c r="A156" s="124"/>
      <c r="B156" s="125">
        <v>0.0</v>
      </c>
      <c r="C156" s="126" t="s">
        <v>1194</v>
      </c>
      <c r="D156" s="127" t="str">
        <f t="shared" si="1"/>
        <v>The Miracle.4.mid</v>
      </c>
      <c r="E156" s="128" t="str">
        <f t="shared" si="2"/>
        <v>The Miracle.4</v>
      </c>
      <c r="F156" s="122"/>
      <c r="G156" s="125">
        <v>0.0</v>
      </c>
      <c r="H156" s="126" t="s">
        <v>1212</v>
      </c>
      <c r="I156" s="127" t="str">
        <f t="shared" si="3"/>
        <v>The Miracle.mid</v>
      </c>
      <c r="J156" s="128" t="str">
        <f t="shared" si="4"/>
        <v>The Miracle</v>
      </c>
      <c r="K156" s="122"/>
      <c r="L156" s="125">
        <v>0.0</v>
      </c>
      <c r="M156" s="126" t="s">
        <v>1212</v>
      </c>
      <c r="N156" s="127" t="str">
        <f t="shared" si="5"/>
        <v>The Miracle.mid</v>
      </c>
      <c r="O156" s="128" t="str">
        <f t="shared" si="6"/>
        <v>The Miracle</v>
      </c>
      <c r="P156" s="122"/>
      <c r="Q156" s="125">
        <v>0.0</v>
      </c>
      <c r="R156" s="126" t="s">
        <v>1224</v>
      </c>
      <c r="S156" s="127" t="str">
        <f t="shared" si="7"/>
        <v>These Are the Days of Our Lives.1.mid</v>
      </c>
      <c r="T156" s="128" t="str">
        <f t="shared" si="8"/>
        <v>These Are the Days of Our Lives.1</v>
      </c>
      <c r="U156" s="122"/>
      <c r="V156" s="125">
        <v>0.0</v>
      </c>
      <c r="W156" s="126" t="s">
        <v>1213</v>
      </c>
      <c r="X156" s="127" t="str">
        <f t="shared" si="9"/>
        <v>The Show Must Go On.2.mid</v>
      </c>
      <c r="Y156" s="128" t="str">
        <f t="shared" si="10"/>
        <v>The Show Must Go On.2</v>
      </c>
      <c r="Z156" s="122"/>
      <c r="AA156" s="125">
        <v>1.0</v>
      </c>
      <c r="AB156" s="126" t="s">
        <v>1225</v>
      </c>
      <c r="AC156" s="127" t="str">
        <f t="shared" si="11"/>
        <v>Under Pressure.1.mid</v>
      </c>
      <c r="AD156" s="128" t="str">
        <f t="shared" si="12"/>
        <v>Under Pressure.1</v>
      </c>
      <c r="AE156" s="122"/>
      <c r="AF156" s="125">
        <v>9.0</v>
      </c>
      <c r="AG156" s="126" t="s">
        <v>1213</v>
      </c>
      <c r="AH156" s="127" t="str">
        <f t="shared" si="13"/>
        <v>The Show Must Go On.2.mid</v>
      </c>
      <c r="AI156" s="128" t="str">
        <f t="shared" si="14"/>
        <v>The Show Must Go On.2</v>
      </c>
      <c r="AJ156" s="122"/>
      <c r="AK156" s="125">
        <v>9.0</v>
      </c>
      <c r="AL156" s="126" t="s">
        <v>1213</v>
      </c>
      <c r="AM156" s="127" t="str">
        <f t="shared" si="15"/>
        <v>The Show Must Go On.2.mid</v>
      </c>
      <c r="AN156" s="128" t="str">
        <f t="shared" si="16"/>
        <v>The Show Must Go On.2</v>
      </c>
      <c r="AO156" s="122"/>
      <c r="AP156" s="125">
        <v>40.0</v>
      </c>
      <c r="AQ156" s="126" t="s">
        <v>1226</v>
      </c>
      <c r="AR156" s="127" t="str">
        <f t="shared" si="17"/>
        <v>The Show Must Go On.1.mid</v>
      </c>
      <c r="AS156" s="128" t="str">
        <f t="shared" si="18"/>
        <v>The Show Must Go On.1</v>
      </c>
      <c r="AT156" s="122"/>
      <c r="AU156" s="125">
        <v>14.0</v>
      </c>
      <c r="AV156" s="126" t="s">
        <v>1223</v>
      </c>
      <c r="AW156" s="127" t="str">
        <f t="shared" si="19"/>
        <v>Too Much Love Will Kill You.mid</v>
      </c>
      <c r="AX156" s="128" t="str">
        <f t="shared" si="20"/>
        <v>Too Much Love Will Kill You</v>
      </c>
      <c r="AY156" s="122"/>
    </row>
    <row r="157" ht="15.75" customHeight="1">
      <c r="A157" s="124"/>
      <c r="B157" s="125">
        <v>0.0</v>
      </c>
      <c r="C157" s="126" t="s">
        <v>1047</v>
      </c>
      <c r="D157" s="127" t="str">
        <f t="shared" si="1"/>
        <v>The Miracle.5.mid</v>
      </c>
      <c r="E157" s="128" t="str">
        <f t="shared" si="2"/>
        <v>The Miracle.5</v>
      </c>
      <c r="F157" s="122"/>
      <c r="G157" s="125">
        <v>0.0</v>
      </c>
      <c r="H157" s="126" t="s">
        <v>1213</v>
      </c>
      <c r="I157" s="127" t="str">
        <f t="shared" si="3"/>
        <v>The Show Must Go On.2.mid</v>
      </c>
      <c r="J157" s="128" t="str">
        <f t="shared" si="4"/>
        <v>The Show Must Go On.2</v>
      </c>
      <c r="K157" s="122"/>
      <c r="L157" s="125">
        <v>0.0</v>
      </c>
      <c r="M157" s="126" t="s">
        <v>1226</v>
      </c>
      <c r="N157" s="127" t="str">
        <f t="shared" si="5"/>
        <v>The Show Must Go On.1.mid</v>
      </c>
      <c r="O157" s="128" t="str">
        <f t="shared" si="6"/>
        <v>The Show Must Go On.1</v>
      </c>
      <c r="P157" s="122"/>
      <c r="Q157" s="125">
        <v>0.0</v>
      </c>
      <c r="R157" s="126" t="s">
        <v>1103</v>
      </c>
      <c r="S157" s="127" t="str">
        <f t="shared" si="7"/>
        <v>These Are the Days of Our Lives.2.mid</v>
      </c>
      <c r="T157" s="128" t="str">
        <f t="shared" si="8"/>
        <v>These Are the Days of Our Lives.2</v>
      </c>
      <c r="U157" s="122"/>
      <c r="V157" s="125">
        <v>0.0</v>
      </c>
      <c r="W157" s="126" t="s">
        <v>1220</v>
      </c>
      <c r="X157" s="127" t="str">
        <f t="shared" si="9"/>
        <v>The Show Must Go On.3.mid</v>
      </c>
      <c r="Y157" s="128" t="str">
        <f t="shared" si="10"/>
        <v>The Show Must Go On.3</v>
      </c>
      <c r="Z157" s="122"/>
      <c r="AA157" s="125">
        <v>1.0</v>
      </c>
      <c r="AB157" s="126" t="s">
        <v>1170</v>
      </c>
      <c r="AC157" s="127" t="str">
        <f t="shared" si="11"/>
        <v>Under Pressure.3.mid</v>
      </c>
      <c r="AD157" s="128" t="str">
        <f t="shared" si="12"/>
        <v>Under Pressure.3</v>
      </c>
      <c r="AE157" s="122"/>
      <c r="AF157" s="125">
        <v>9.0</v>
      </c>
      <c r="AG157" s="126" t="s">
        <v>1214</v>
      </c>
      <c r="AH157" s="127" t="str">
        <f t="shared" si="13"/>
        <v>The Show Must Go On.4.mid</v>
      </c>
      <c r="AI157" s="128" t="str">
        <f t="shared" si="14"/>
        <v>The Show Must Go On.4</v>
      </c>
      <c r="AJ157" s="122"/>
      <c r="AK157" s="125">
        <v>9.0</v>
      </c>
      <c r="AL157" s="126" t="s">
        <v>1214</v>
      </c>
      <c r="AM157" s="127" t="str">
        <f t="shared" si="15"/>
        <v>The Show Must Go On.4.mid</v>
      </c>
      <c r="AN157" s="128" t="str">
        <f t="shared" si="16"/>
        <v>The Show Must Go On.4</v>
      </c>
      <c r="AO157" s="122"/>
      <c r="AP157" s="125">
        <v>41.0</v>
      </c>
      <c r="AQ157" s="126" t="s">
        <v>1039</v>
      </c>
      <c r="AR157" s="127" t="str">
        <f t="shared" si="17"/>
        <v>All God's People.1.mid</v>
      </c>
      <c r="AS157" s="128" t="str">
        <f t="shared" si="18"/>
        <v>All God's People.1</v>
      </c>
      <c r="AT157" s="122"/>
      <c r="AU157" s="125">
        <v>14.0</v>
      </c>
      <c r="AV157" s="126" t="s">
        <v>1225</v>
      </c>
      <c r="AW157" s="127" t="str">
        <f t="shared" si="19"/>
        <v>Under Pressure.1.mid</v>
      </c>
      <c r="AX157" s="128" t="str">
        <f t="shared" si="20"/>
        <v>Under Pressure.1</v>
      </c>
      <c r="AY157" s="122"/>
    </row>
    <row r="158" ht="15.75" customHeight="1">
      <c r="A158" s="124"/>
      <c r="B158" s="125">
        <v>0.0</v>
      </c>
      <c r="C158" s="126" t="s">
        <v>1212</v>
      </c>
      <c r="D158" s="127" t="str">
        <f t="shared" si="1"/>
        <v>The Miracle.mid</v>
      </c>
      <c r="E158" s="128" t="str">
        <f t="shared" si="2"/>
        <v>The Miracle</v>
      </c>
      <c r="F158" s="122"/>
      <c r="G158" s="125">
        <v>0.0</v>
      </c>
      <c r="H158" s="126" t="s">
        <v>1220</v>
      </c>
      <c r="I158" s="127" t="str">
        <f t="shared" si="3"/>
        <v>The Show Must Go On.3.mid</v>
      </c>
      <c r="J158" s="128" t="str">
        <f t="shared" si="4"/>
        <v>The Show Must Go On.3</v>
      </c>
      <c r="K158" s="122"/>
      <c r="L158" s="125">
        <v>0.0</v>
      </c>
      <c r="M158" s="126" t="s">
        <v>1213</v>
      </c>
      <c r="N158" s="127" t="str">
        <f t="shared" si="5"/>
        <v>The Show Must Go On.2.mid</v>
      </c>
      <c r="O158" s="128" t="str">
        <f t="shared" si="6"/>
        <v>The Show Must Go On.2</v>
      </c>
      <c r="P158" s="122"/>
      <c r="Q158" s="125">
        <v>0.0</v>
      </c>
      <c r="R158" s="126" t="s">
        <v>1216</v>
      </c>
      <c r="S158" s="127" t="str">
        <f t="shared" si="7"/>
        <v>These Are the Days of Our Lives.3.mid</v>
      </c>
      <c r="T158" s="128" t="str">
        <f t="shared" si="8"/>
        <v>These Are the Days of Our Lives.3</v>
      </c>
      <c r="U158" s="122"/>
      <c r="V158" s="125">
        <v>0.0</v>
      </c>
      <c r="W158" s="126" t="s">
        <v>1214</v>
      </c>
      <c r="X158" s="127" t="str">
        <f t="shared" si="9"/>
        <v>The Show Must Go On.4.mid</v>
      </c>
      <c r="Y158" s="128" t="str">
        <f t="shared" si="10"/>
        <v>The Show Must Go On.4</v>
      </c>
      <c r="Z158" s="122"/>
      <c r="AA158" s="125">
        <v>1.0</v>
      </c>
      <c r="AB158" s="126" t="s">
        <v>1113</v>
      </c>
      <c r="AC158" s="127" t="str">
        <f t="shared" si="11"/>
        <v>Under Pressure.4.mid</v>
      </c>
      <c r="AD158" s="128" t="str">
        <f t="shared" si="12"/>
        <v>Under Pressure.4</v>
      </c>
      <c r="AE158" s="122"/>
      <c r="AF158" s="125">
        <v>9.0</v>
      </c>
      <c r="AG158" s="126" t="s">
        <v>1103</v>
      </c>
      <c r="AH158" s="127" t="str">
        <f t="shared" si="13"/>
        <v>These Are the Days of Our Lives.2.mid</v>
      </c>
      <c r="AI158" s="128" t="str">
        <f t="shared" si="14"/>
        <v>These Are the Days of Our Lives.2</v>
      </c>
      <c r="AJ158" s="122"/>
      <c r="AK158" s="125">
        <v>9.0</v>
      </c>
      <c r="AL158" s="126" t="s">
        <v>1103</v>
      </c>
      <c r="AM158" s="127" t="str">
        <f t="shared" si="15"/>
        <v>These Are the Days of Our Lives.2.mid</v>
      </c>
      <c r="AN158" s="128" t="str">
        <f t="shared" si="16"/>
        <v>These Are the Days of Our Lives.2</v>
      </c>
      <c r="AO158" s="122"/>
      <c r="AP158" s="125">
        <v>41.0</v>
      </c>
      <c r="AQ158" s="126" t="s">
        <v>1044</v>
      </c>
      <c r="AR158" s="127" t="str">
        <f t="shared" si="17"/>
        <v>All God's People.mid</v>
      </c>
      <c r="AS158" s="128" t="str">
        <f t="shared" si="18"/>
        <v>All God's People</v>
      </c>
      <c r="AT158" s="122"/>
      <c r="AU158" s="125">
        <v>14.0</v>
      </c>
      <c r="AV158" s="126" t="s">
        <v>1170</v>
      </c>
      <c r="AW158" s="127" t="str">
        <f t="shared" si="19"/>
        <v>Under Pressure.3.mid</v>
      </c>
      <c r="AX158" s="128" t="str">
        <f t="shared" si="20"/>
        <v>Under Pressure.3</v>
      </c>
      <c r="AY158" s="122"/>
    </row>
    <row r="159" ht="15.75" customHeight="1">
      <c r="A159" s="124"/>
      <c r="B159" s="125">
        <v>0.0</v>
      </c>
      <c r="C159" s="126" t="s">
        <v>1213</v>
      </c>
      <c r="D159" s="127" t="str">
        <f t="shared" si="1"/>
        <v>The Show Must Go On.2.mid</v>
      </c>
      <c r="E159" s="128" t="str">
        <f t="shared" si="2"/>
        <v>The Show Must Go On.2</v>
      </c>
      <c r="F159" s="122"/>
      <c r="G159" s="125">
        <v>0.0</v>
      </c>
      <c r="H159" s="126" t="s">
        <v>1214</v>
      </c>
      <c r="I159" s="127" t="str">
        <f t="shared" si="3"/>
        <v>The Show Must Go On.4.mid</v>
      </c>
      <c r="J159" s="128" t="str">
        <f t="shared" si="4"/>
        <v>The Show Must Go On.4</v>
      </c>
      <c r="K159" s="122"/>
      <c r="L159" s="125">
        <v>0.0</v>
      </c>
      <c r="M159" s="126" t="s">
        <v>1220</v>
      </c>
      <c r="N159" s="127" t="str">
        <f t="shared" si="5"/>
        <v>The Show Must Go On.3.mid</v>
      </c>
      <c r="O159" s="128" t="str">
        <f t="shared" si="6"/>
        <v>The Show Must Go On.3</v>
      </c>
      <c r="P159" s="122"/>
      <c r="Q159" s="125">
        <v>0.0</v>
      </c>
      <c r="R159" s="126" t="s">
        <v>1196</v>
      </c>
      <c r="S159" s="127" t="str">
        <f t="shared" si="7"/>
        <v>These Are the Days of Our Lives.mid</v>
      </c>
      <c r="T159" s="128" t="str">
        <f t="shared" si="8"/>
        <v>These Are the Days of Our Lives</v>
      </c>
      <c r="U159" s="122"/>
      <c r="V159" s="125">
        <v>0.0</v>
      </c>
      <c r="W159" s="126" t="s">
        <v>1041</v>
      </c>
      <c r="X159" s="127" t="str">
        <f t="shared" si="9"/>
        <v>The Show Must Go On.mid</v>
      </c>
      <c r="Y159" s="128" t="str">
        <f t="shared" si="10"/>
        <v>The Show Must Go On</v>
      </c>
      <c r="Z159" s="122"/>
      <c r="AA159" s="125">
        <v>1.0</v>
      </c>
      <c r="AB159" s="126" t="s">
        <v>1085</v>
      </c>
      <c r="AC159" s="127" t="str">
        <f t="shared" si="11"/>
        <v>Under Pressure.5.mid</v>
      </c>
      <c r="AD159" s="128" t="str">
        <f t="shared" si="12"/>
        <v>Under Pressure.5</v>
      </c>
      <c r="AE159" s="122"/>
      <c r="AF159" s="125">
        <v>9.0</v>
      </c>
      <c r="AG159" s="126" t="s">
        <v>1216</v>
      </c>
      <c r="AH159" s="127" t="str">
        <f t="shared" si="13"/>
        <v>These Are the Days of Our Lives.3.mid</v>
      </c>
      <c r="AI159" s="128" t="str">
        <f t="shared" si="14"/>
        <v>These Are the Days of Our Lives.3</v>
      </c>
      <c r="AJ159" s="122"/>
      <c r="AK159" s="125">
        <v>9.0</v>
      </c>
      <c r="AL159" s="126" t="s">
        <v>1216</v>
      </c>
      <c r="AM159" s="127" t="str">
        <f t="shared" si="15"/>
        <v>These Are the Days of Our Lives.3.mid</v>
      </c>
      <c r="AN159" s="128" t="str">
        <f t="shared" si="16"/>
        <v>These Are the Days of Our Lives.3</v>
      </c>
      <c r="AO159" s="122"/>
      <c r="AP159" s="125">
        <v>41.0</v>
      </c>
      <c r="AQ159" s="126" t="s">
        <v>1050</v>
      </c>
      <c r="AR159" s="127" t="str">
        <f t="shared" si="17"/>
        <v>Another One Bites The Dust.3.mid</v>
      </c>
      <c r="AS159" s="128" t="str">
        <f t="shared" si="18"/>
        <v>Another One Bites The Dust.3</v>
      </c>
      <c r="AT159" s="122"/>
      <c r="AU159" s="125">
        <v>14.0</v>
      </c>
      <c r="AV159" s="126" t="s">
        <v>1153</v>
      </c>
      <c r="AW159" s="127" t="str">
        <f t="shared" si="19"/>
        <v>Under Pressure.6.mid</v>
      </c>
      <c r="AX159" s="128" t="str">
        <f t="shared" si="20"/>
        <v>Under Pressure.6</v>
      </c>
      <c r="AY159" s="122"/>
    </row>
    <row r="160" ht="15.75" customHeight="1">
      <c r="A160" s="124"/>
      <c r="B160" s="125">
        <v>0.0</v>
      </c>
      <c r="C160" s="126" t="s">
        <v>1220</v>
      </c>
      <c r="D160" s="127" t="str">
        <f t="shared" si="1"/>
        <v>The Show Must Go On.3.mid</v>
      </c>
      <c r="E160" s="128" t="str">
        <f t="shared" si="2"/>
        <v>The Show Must Go On.3</v>
      </c>
      <c r="F160" s="122"/>
      <c r="G160" s="125">
        <v>0.0</v>
      </c>
      <c r="H160" s="126" t="s">
        <v>1041</v>
      </c>
      <c r="I160" s="127" t="str">
        <f t="shared" si="3"/>
        <v>The Show Must Go On.mid</v>
      </c>
      <c r="J160" s="128" t="str">
        <f t="shared" si="4"/>
        <v>The Show Must Go On</v>
      </c>
      <c r="K160" s="122"/>
      <c r="L160" s="125">
        <v>0.0</v>
      </c>
      <c r="M160" s="126" t="s">
        <v>1214</v>
      </c>
      <c r="N160" s="127" t="str">
        <f t="shared" si="5"/>
        <v>The Show Must Go On.4.mid</v>
      </c>
      <c r="O160" s="128" t="str">
        <f t="shared" si="6"/>
        <v>The Show Must Go On.4</v>
      </c>
      <c r="P160" s="122"/>
      <c r="Q160" s="125">
        <v>0.0</v>
      </c>
      <c r="R160" s="126" t="s">
        <v>1197</v>
      </c>
      <c r="S160" s="127" t="str">
        <f t="shared" si="7"/>
        <v>Too Much Love Will Kill You.1.mid</v>
      </c>
      <c r="T160" s="128" t="str">
        <f t="shared" si="8"/>
        <v>Too Much Love Will Kill You.1</v>
      </c>
      <c r="U160" s="122"/>
      <c r="V160" s="125">
        <v>0.0</v>
      </c>
      <c r="W160" s="126" t="s">
        <v>1224</v>
      </c>
      <c r="X160" s="127" t="str">
        <f t="shared" si="9"/>
        <v>These Are the Days of Our Lives.1.mid</v>
      </c>
      <c r="Y160" s="128" t="str">
        <f t="shared" si="10"/>
        <v>These Are the Days of Our Lives.1</v>
      </c>
      <c r="Z160" s="122"/>
      <c r="AA160" s="125">
        <v>1.0</v>
      </c>
      <c r="AB160" s="126" t="s">
        <v>1153</v>
      </c>
      <c r="AC160" s="127" t="str">
        <f t="shared" si="11"/>
        <v>Under Pressure.6.mid</v>
      </c>
      <c r="AD160" s="128" t="str">
        <f t="shared" si="12"/>
        <v>Under Pressure.6</v>
      </c>
      <c r="AE160" s="122"/>
      <c r="AF160" s="125">
        <v>9.0</v>
      </c>
      <c r="AG160" s="126" t="s">
        <v>1196</v>
      </c>
      <c r="AH160" s="127" t="str">
        <f t="shared" si="13"/>
        <v>These Are the Days of Our Lives.mid</v>
      </c>
      <c r="AI160" s="128" t="str">
        <f t="shared" si="14"/>
        <v>These Are the Days of Our Lives</v>
      </c>
      <c r="AJ160" s="122"/>
      <c r="AK160" s="125">
        <v>9.0</v>
      </c>
      <c r="AL160" s="126" t="s">
        <v>1196</v>
      </c>
      <c r="AM160" s="127" t="str">
        <f t="shared" si="15"/>
        <v>These Are the Days of Our Lives.mid</v>
      </c>
      <c r="AN160" s="128" t="str">
        <f t="shared" si="16"/>
        <v>These Are the Days of Our Lives</v>
      </c>
      <c r="AO160" s="122"/>
      <c r="AP160" s="125">
        <v>41.0</v>
      </c>
      <c r="AQ160" s="126" t="s">
        <v>1088</v>
      </c>
      <c r="AR160" s="127" t="str">
        <f t="shared" si="17"/>
        <v>Headlong.mid</v>
      </c>
      <c r="AS160" s="128" t="str">
        <f t="shared" si="18"/>
        <v>Headlong</v>
      </c>
      <c r="AT160" s="122"/>
      <c r="AU160" s="125">
        <v>14.0</v>
      </c>
      <c r="AV160" s="126" t="s">
        <v>1227</v>
      </c>
      <c r="AW160" s="127" t="str">
        <f t="shared" si="19"/>
        <v>Under Pressure.7.mid</v>
      </c>
      <c r="AX160" s="128" t="str">
        <f t="shared" si="20"/>
        <v>Under Pressure.7</v>
      </c>
      <c r="AY160" s="122"/>
    </row>
    <row r="161" ht="15.75" customHeight="1">
      <c r="A161" s="124"/>
      <c r="B161" s="125">
        <v>0.0</v>
      </c>
      <c r="C161" s="126" t="s">
        <v>1214</v>
      </c>
      <c r="D161" s="127" t="str">
        <f t="shared" si="1"/>
        <v>The Show Must Go On.4.mid</v>
      </c>
      <c r="E161" s="128" t="str">
        <f t="shared" si="2"/>
        <v>The Show Must Go On.4</v>
      </c>
      <c r="F161" s="122"/>
      <c r="G161" s="125">
        <v>0.0</v>
      </c>
      <c r="H161" s="126" t="s">
        <v>1224</v>
      </c>
      <c r="I161" s="127" t="str">
        <f t="shared" si="3"/>
        <v>These Are the Days of Our Lives.1.mid</v>
      </c>
      <c r="J161" s="128" t="str">
        <f t="shared" si="4"/>
        <v>These Are the Days of Our Lives.1</v>
      </c>
      <c r="K161" s="122"/>
      <c r="L161" s="125">
        <v>0.0</v>
      </c>
      <c r="M161" s="126" t="s">
        <v>1041</v>
      </c>
      <c r="N161" s="127" t="str">
        <f t="shared" si="5"/>
        <v>The Show Must Go On.mid</v>
      </c>
      <c r="O161" s="128" t="str">
        <f t="shared" si="6"/>
        <v>The Show Must Go On</v>
      </c>
      <c r="P161" s="122"/>
      <c r="Q161" s="125">
        <v>0.0</v>
      </c>
      <c r="R161" s="126" t="s">
        <v>1221</v>
      </c>
      <c r="S161" s="127" t="str">
        <f t="shared" si="7"/>
        <v>Too Much Love Will Kill You.2.mid</v>
      </c>
      <c r="T161" s="128" t="str">
        <f t="shared" si="8"/>
        <v>Too Much Love Will Kill You.2</v>
      </c>
      <c r="U161" s="122"/>
      <c r="V161" s="125">
        <v>0.0</v>
      </c>
      <c r="W161" s="126" t="s">
        <v>1103</v>
      </c>
      <c r="X161" s="127" t="str">
        <f t="shared" si="9"/>
        <v>These Are the Days of Our Lives.2.mid</v>
      </c>
      <c r="Y161" s="128" t="str">
        <f t="shared" si="10"/>
        <v>These Are the Days of Our Lives.2</v>
      </c>
      <c r="Z161" s="122"/>
      <c r="AA161" s="125">
        <v>1.0</v>
      </c>
      <c r="AB161" s="126" t="s">
        <v>1227</v>
      </c>
      <c r="AC161" s="127" t="str">
        <f t="shared" si="11"/>
        <v>Under Pressure.7.mid</v>
      </c>
      <c r="AD161" s="128" t="str">
        <f t="shared" si="12"/>
        <v>Under Pressure.7</v>
      </c>
      <c r="AE161" s="122"/>
      <c r="AF161" s="125">
        <v>9.0</v>
      </c>
      <c r="AG161" s="126" t="s">
        <v>1197</v>
      </c>
      <c r="AH161" s="127" t="str">
        <f t="shared" si="13"/>
        <v>Too Much Love Will Kill You.1.mid</v>
      </c>
      <c r="AI161" s="128" t="str">
        <f t="shared" si="14"/>
        <v>Too Much Love Will Kill You.1</v>
      </c>
      <c r="AJ161" s="122"/>
      <c r="AK161" s="125">
        <v>9.0</v>
      </c>
      <c r="AL161" s="126" t="s">
        <v>1197</v>
      </c>
      <c r="AM161" s="127" t="str">
        <f t="shared" si="15"/>
        <v>Too Much Love Will Kill You.1.mid</v>
      </c>
      <c r="AN161" s="128" t="str">
        <f t="shared" si="16"/>
        <v>Too Much Love Will Kill You.1</v>
      </c>
      <c r="AO161" s="122"/>
      <c r="AP161" s="125">
        <v>41.0</v>
      </c>
      <c r="AQ161" s="126" t="s">
        <v>1161</v>
      </c>
      <c r="AR161" s="127" t="str">
        <f t="shared" si="17"/>
        <v>Killer Queen.3.mid</v>
      </c>
      <c r="AS161" s="128" t="str">
        <f t="shared" si="18"/>
        <v>Killer Queen.3</v>
      </c>
      <c r="AT161" s="122"/>
      <c r="AU161" s="125">
        <v>14.0</v>
      </c>
      <c r="AV161" s="126" t="s">
        <v>1198</v>
      </c>
      <c r="AW161" s="127" t="str">
        <f t="shared" si="19"/>
        <v>We Are The Champions.3.mid</v>
      </c>
      <c r="AX161" s="128" t="str">
        <f t="shared" si="20"/>
        <v>We Are The Champions.3</v>
      </c>
      <c r="AY161" s="122"/>
    </row>
    <row r="162" ht="15.75" customHeight="1">
      <c r="A162" s="124"/>
      <c r="B162" s="125">
        <v>0.0</v>
      </c>
      <c r="C162" s="126" t="s">
        <v>1041</v>
      </c>
      <c r="D162" s="127" t="str">
        <f t="shared" si="1"/>
        <v>The Show Must Go On.mid</v>
      </c>
      <c r="E162" s="128" t="str">
        <f t="shared" si="2"/>
        <v>The Show Must Go On</v>
      </c>
      <c r="F162" s="122"/>
      <c r="G162" s="125">
        <v>0.0</v>
      </c>
      <c r="H162" s="126" t="s">
        <v>1103</v>
      </c>
      <c r="I162" s="127" t="str">
        <f t="shared" si="3"/>
        <v>These Are the Days of Our Lives.2.mid</v>
      </c>
      <c r="J162" s="128" t="str">
        <f t="shared" si="4"/>
        <v>These Are the Days of Our Lives.2</v>
      </c>
      <c r="K162" s="122"/>
      <c r="L162" s="125">
        <v>0.0</v>
      </c>
      <c r="M162" s="126" t="s">
        <v>1224</v>
      </c>
      <c r="N162" s="127" t="str">
        <f t="shared" si="5"/>
        <v>These Are the Days of Our Lives.1.mid</v>
      </c>
      <c r="O162" s="128" t="str">
        <f t="shared" si="6"/>
        <v>These Are the Days of Our Lives.1</v>
      </c>
      <c r="P162" s="122"/>
      <c r="Q162" s="125">
        <v>0.0</v>
      </c>
      <c r="R162" s="126" t="s">
        <v>1222</v>
      </c>
      <c r="S162" s="127" t="str">
        <f t="shared" si="7"/>
        <v>Too Much Love Will Kill You.3.mid</v>
      </c>
      <c r="T162" s="128" t="str">
        <f t="shared" si="8"/>
        <v>Too Much Love Will Kill You.3</v>
      </c>
      <c r="U162" s="122"/>
      <c r="V162" s="125">
        <v>0.0</v>
      </c>
      <c r="W162" s="126" t="s">
        <v>1216</v>
      </c>
      <c r="X162" s="127" t="str">
        <f t="shared" si="9"/>
        <v>These Are the Days of Our Lives.3.mid</v>
      </c>
      <c r="Y162" s="128" t="str">
        <f t="shared" si="10"/>
        <v>These Are the Days of Our Lives.3</v>
      </c>
      <c r="Z162" s="122"/>
      <c r="AA162" s="125">
        <v>1.0</v>
      </c>
      <c r="AB162" s="126" t="s">
        <v>1117</v>
      </c>
      <c r="AC162" s="127" t="str">
        <f t="shared" si="11"/>
        <v>Under Pressure.mid</v>
      </c>
      <c r="AD162" s="128" t="str">
        <f t="shared" si="12"/>
        <v>Under Pressure</v>
      </c>
      <c r="AE162" s="122"/>
      <c r="AF162" s="125">
        <v>9.0</v>
      </c>
      <c r="AG162" s="126" t="s">
        <v>1221</v>
      </c>
      <c r="AH162" s="127" t="str">
        <f t="shared" si="13"/>
        <v>Too Much Love Will Kill You.2.mid</v>
      </c>
      <c r="AI162" s="128" t="str">
        <f t="shared" si="14"/>
        <v>Too Much Love Will Kill You.2</v>
      </c>
      <c r="AJ162" s="122"/>
      <c r="AK162" s="125">
        <v>9.0</v>
      </c>
      <c r="AL162" s="126" t="s">
        <v>1221</v>
      </c>
      <c r="AM162" s="127" t="str">
        <f t="shared" si="15"/>
        <v>Too Much Love Will Kill You.2.mid</v>
      </c>
      <c r="AN162" s="128" t="str">
        <f t="shared" si="16"/>
        <v>Too Much Love Will Kill You.2</v>
      </c>
      <c r="AO162" s="122"/>
      <c r="AP162" s="125">
        <v>41.0</v>
      </c>
      <c r="AQ162" s="126" t="s">
        <v>1167</v>
      </c>
      <c r="AR162" s="127" t="str">
        <f t="shared" si="17"/>
        <v>Love of My Life.1.mid</v>
      </c>
      <c r="AS162" s="128" t="str">
        <f t="shared" si="18"/>
        <v>Love of My Life.1</v>
      </c>
      <c r="AT162" s="122"/>
      <c r="AU162" s="125">
        <v>14.0</v>
      </c>
      <c r="AV162" s="126" t="s">
        <v>1228</v>
      </c>
      <c r="AW162" s="127" t="str">
        <f t="shared" si="19"/>
        <v>We Are The Champions.5.mid</v>
      </c>
      <c r="AX162" s="128" t="str">
        <f t="shared" si="20"/>
        <v>We Are The Champions.5</v>
      </c>
      <c r="AY162" s="122"/>
    </row>
    <row r="163" ht="15.75" customHeight="1">
      <c r="A163" s="124"/>
      <c r="B163" s="125">
        <v>0.0</v>
      </c>
      <c r="C163" s="126" t="s">
        <v>1224</v>
      </c>
      <c r="D163" s="127" t="str">
        <f t="shared" si="1"/>
        <v>These Are the Days of Our Lives.1.mid</v>
      </c>
      <c r="E163" s="128" t="str">
        <f t="shared" si="2"/>
        <v>These Are the Days of Our Lives.1</v>
      </c>
      <c r="F163" s="122"/>
      <c r="G163" s="125">
        <v>0.0</v>
      </c>
      <c r="H163" s="126" t="s">
        <v>1216</v>
      </c>
      <c r="I163" s="127" t="str">
        <f t="shared" si="3"/>
        <v>These Are the Days of Our Lives.3.mid</v>
      </c>
      <c r="J163" s="128" t="str">
        <f t="shared" si="4"/>
        <v>These Are the Days of Our Lives.3</v>
      </c>
      <c r="K163" s="122"/>
      <c r="L163" s="125">
        <v>0.0</v>
      </c>
      <c r="M163" s="126" t="s">
        <v>1103</v>
      </c>
      <c r="N163" s="127" t="str">
        <f t="shared" si="5"/>
        <v>These Are the Days of Our Lives.2.mid</v>
      </c>
      <c r="O163" s="128" t="str">
        <f t="shared" si="6"/>
        <v>These Are the Days of Our Lives.2</v>
      </c>
      <c r="P163" s="122"/>
      <c r="Q163" s="125">
        <v>0.0</v>
      </c>
      <c r="R163" s="126" t="s">
        <v>1223</v>
      </c>
      <c r="S163" s="127" t="str">
        <f t="shared" si="7"/>
        <v>Too Much Love Will Kill You.mid</v>
      </c>
      <c r="T163" s="128" t="str">
        <f t="shared" si="8"/>
        <v>Too Much Love Will Kill You</v>
      </c>
      <c r="U163" s="122"/>
      <c r="V163" s="125">
        <v>0.0</v>
      </c>
      <c r="W163" s="126" t="s">
        <v>1196</v>
      </c>
      <c r="X163" s="127" t="str">
        <f t="shared" si="9"/>
        <v>These Are the Days of Our Lives.mid</v>
      </c>
      <c r="Y163" s="128" t="str">
        <f t="shared" si="10"/>
        <v>These Are the Days of Our Lives</v>
      </c>
      <c r="Z163" s="122"/>
      <c r="AA163" s="125">
        <v>1.0</v>
      </c>
      <c r="AB163" s="126" t="s">
        <v>1229</v>
      </c>
      <c r="AC163" s="127" t="str">
        <f t="shared" si="11"/>
        <v>We Are The Champions.1.mid</v>
      </c>
      <c r="AD163" s="128" t="str">
        <f t="shared" si="12"/>
        <v>We Are The Champions.1</v>
      </c>
      <c r="AE163" s="122"/>
      <c r="AF163" s="125">
        <v>9.0</v>
      </c>
      <c r="AG163" s="126" t="s">
        <v>1222</v>
      </c>
      <c r="AH163" s="127" t="str">
        <f t="shared" si="13"/>
        <v>Too Much Love Will Kill You.3.mid</v>
      </c>
      <c r="AI163" s="128" t="str">
        <f t="shared" si="14"/>
        <v>Too Much Love Will Kill You.3</v>
      </c>
      <c r="AJ163" s="122"/>
      <c r="AK163" s="125">
        <v>9.0</v>
      </c>
      <c r="AL163" s="126" t="s">
        <v>1222</v>
      </c>
      <c r="AM163" s="127" t="str">
        <f t="shared" si="15"/>
        <v>Too Much Love Will Kill You.3.mid</v>
      </c>
      <c r="AN163" s="128" t="str">
        <f t="shared" si="16"/>
        <v>Too Much Love Will Kill You.3</v>
      </c>
      <c r="AO163" s="122"/>
      <c r="AP163" s="125">
        <v>41.0</v>
      </c>
      <c r="AQ163" s="126" t="s">
        <v>1183</v>
      </c>
      <c r="AR163" s="127" t="str">
        <f t="shared" si="17"/>
        <v>Now I'm Here.mid</v>
      </c>
      <c r="AS163" s="128" t="str">
        <f t="shared" si="18"/>
        <v>Now I'm Here</v>
      </c>
      <c r="AT163" s="122"/>
      <c r="AU163" s="125">
        <v>14.0</v>
      </c>
      <c r="AV163" s="126" t="s">
        <v>1154</v>
      </c>
      <c r="AW163" s="127" t="str">
        <f t="shared" si="19"/>
        <v>We Are The Champions.6.mid</v>
      </c>
      <c r="AX163" s="128" t="str">
        <f t="shared" si="20"/>
        <v>We Are The Champions.6</v>
      </c>
      <c r="AY163" s="122"/>
    </row>
    <row r="164" ht="15.75" customHeight="1">
      <c r="A164" s="124"/>
      <c r="B164" s="125">
        <v>0.0</v>
      </c>
      <c r="C164" s="126" t="s">
        <v>1103</v>
      </c>
      <c r="D164" s="127" t="str">
        <f t="shared" si="1"/>
        <v>These Are the Days of Our Lives.2.mid</v>
      </c>
      <c r="E164" s="128" t="str">
        <f t="shared" si="2"/>
        <v>These Are the Days of Our Lives.2</v>
      </c>
      <c r="F164" s="122"/>
      <c r="G164" s="125">
        <v>0.0</v>
      </c>
      <c r="H164" s="126" t="s">
        <v>1196</v>
      </c>
      <c r="I164" s="127" t="str">
        <f t="shared" si="3"/>
        <v>These Are the Days of Our Lives.mid</v>
      </c>
      <c r="J164" s="128" t="str">
        <f t="shared" si="4"/>
        <v>These Are the Days of Our Lives</v>
      </c>
      <c r="K164" s="122"/>
      <c r="L164" s="125">
        <v>0.0</v>
      </c>
      <c r="M164" s="126" t="s">
        <v>1216</v>
      </c>
      <c r="N164" s="127" t="str">
        <f t="shared" si="5"/>
        <v>These Are the Days of Our Lives.3.mid</v>
      </c>
      <c r="O164" s="128" t="str">
        <f t="shared" si="6"/>
        <v>These Are the Days of Our Lives.3</v>
      </c>
      <c r="P164" s="122"/>
      <c r="Q164" s="125">
        <v>0.0</v>
      </c>
      <c r="R164" s="126" t="s">
        <v>1225</v>
      </c>
      <c r="S164" s="127" t="str">
        <f t="shared" si="7"/>
        <v>Under Pressure.1.mid</v>
      </c>
      <c r="T164" s="128" t="str">
        <f t="shared" si="8"/>
        <v>Under Pressure.1</v>
      </c>
      <c r="U164" s="122"/>
      <c r="V164" s="125">
        <v>0.0</v>
      </c>
      <c r="W164" s="126" t="s">
        <v>1197</v>
      </c>
      <c r="X164" s="127" t="str">
        <f t="shared" si="9"/>
        <v>Too Much Love Will Kill You.1.mid</v>
      </c>
      <c r="Y164" s="128" t="str">
        <f t="shared" si="10"/>
        <v>Too Much Love Will Kill You.1</v>
      </c>
      <c r="Z164" s="122"/>
      <c r="AA164" s="125">
        <v>1.0</v>
      </c>
      <c r="AB164" s="126" t="s">
        <v>1132</v>
      </c>
      <c r="AC164" s="127" t="str">
        <f t="shared" si="11"/>
        <v>We Are The Champions.2.mid</v>
      </c>
      <c r="AD164" s="128" t="str">
        <f t="shared" si="12"/>
        <v>We Are The Champions.2</v>
      </c>
      <c r="AE164" s="122"/>
      <c r="AF164" s="125">
        <v>9.0</v>
      </c>
      <c r="AG164" s="126" t="s">
        <v>1223</v>
      </c>
      <c r="AH164" s="127" t="str">
        <f t="shared" si="13"/>
        <v>Too Much Love Will Kill You.mid</v>
      </c>
      <c r="AI164" s="128" t="str">
        <f t="shared" si="14"/>
        <v>Too Much Love Will Kill You</v>
      </c>
      <c r="AJ164" s="122"/>
      <c r="AK164" s="125">
        <v>9.0</v>
      </c>
      <c r="AL164" s="126" t="s">
        <v>1223</v>
      </c>
      <c r="AM164" s="127" t="str">
        <f t="shared" si="15"/>
        <v>Too Much Love Will Kill You.mid</v>
      </c>
      <c r="AN164" s="128" t="str">
        <f t="shared" si="16"/>
        <v>Too Much Love Will Kill You</v>
      </c>
      <c r="AO164" s="122"/>
      <c r="AP164" s="125">
        <v>41.0</v>
      </c>
      <c r="AQ164" s="126" t="s">
        <v>1191</v>
      </c>
      <c r="AR164" s="127" t="str">
        <f t="shared" si="17"/>
        <v>Radio Ga Ga.8.mid</v>
      </c>
      <c r="AS164" s="128" t="str">
        <f t="shared" si="18"/>
        <v>Radio Ga Ga.8</v>
      </c>
      <c r="AT164" s="122"/>
      <c r="AU164" s="125">
        <v>14.0</v>
      </c>
      <c r="AV164" s="126" t="s">
        <v>1166</v>
      </c>
      <c r="AW164" s="127" t="str">
        <f t="shared" si="19"/>
        <v>We Are The Champions.8.mid</v>
      </c>
      <c r="AX164" s="128" t="str">
        <f t="shared" si="20"/>
        <v>We Are The Champions.8</v>
      </c>
      <c r="AY164" s="122"/>
    </row>
    <row r="165" ht="15.75" customHeight="1">
      <c r="A165" s="124"/>
      <c r="B165" s="125">
        <v>0.0</v>
      </c>
      <c r="C165" s="126" t="s">
        <v>1216</v>
      </c>
      <c r="D165" s="127" t="str">
        <f t="shared" si="1"/>
        <v>These Are the Days of Our Lives.3.mid</v>
      </c>
      <c r="E165" s="128" t="str">
        <f t="shared" si="2"/>
        <v>These Are the Days of Our Lives.3</v>
      </c>
      <c r="F165" s="122"/>
      <c r="G165" s="125">
        <v>0.0</v>
      </c>
      <c r="H165" s="126" t="s">
        <v>1197</v>
      </c>
      <c r="I165" s="127" t="str">
        <f t="shared" si="3"/>
        <v>Too Much Love Will Kill You.1.mid</v>
      </c>
      <c r="J165" s="128" t="str">
        <f t="shared" si="4"/>
        <v>Too Much Love Will Kill You.1</v>
      </c>
      <c r="K165" s="122"/>
      <c r="L165" s="125">
        <v>0.0</v>
      </c>
      <c r="M165" s="126" t="s">
        <v>1230</v>
      </c>
      <c r="N165" s="127" t="str">
        <f t="shared" si="5"/>
        <v>These Are the Days of Our Lives.4.mid</v>
      </c>
      <c r="O165" s="128" t="str">
        <f t="shared" si="6"/>
        <v>These Are the Days of Our Lives.4</v>
      </c>
      <c r="P165" s="122"/>
      <c r="Q165" s="125">
        <v>0.0</v>
      </c>
      <c r="R165" s="126" t="s">
        <v>1170</v>
      </c>
      <c r="S165" s="127" t="str">
        <f t="shared" si="7"/>
        <v>Under Pressure.3.mid</v>
      </c>
      <c r="T165" s="128" t="str">
        <f t="shared" si="8"/>
        <v>Under Pressure.3</v>
      </c>
      <c r="U165" s="122"/>
      <c r="V165" s="125">
        <v>0.0</v>
      </c>
      <c r="W165" s="126" t="s">
        <v>1221</v>
      </c>
      <c r="X165" s="127" t="str">
        <f t="shared" si="9"/>
        <v>Too Much Love Will Kill You.2.mid</v>
      </c>
      <c r="Y165" s="128" t="str">
        <f t="shared" si="10"/>
        <v>Too Much Love Will Kill You.2</v>
      </c>
      <c r="Z165" s="122"/>
      <c r="AA165" s="125">
        <v>1.0</v>
      </c>
      <c r="AB165" s="126" t="s">
        <v>1198</v>
      </c>
      <c r="AC165" s="127" t="str">
        <f t="shared" si="11"/>
        <v>We Are The Champions.3.mid</v>
      </c>
      <c r="AD165" s="128" t="str">
        <f t="shared" si="12"/>
        <v>We Are The Champions.3</v>
      </c>
      <c r="AE165" s="122"/>
      <c r="AF165" s="125">
        <v>9.0</v>
      </c>
      <c r="AG165" s="126" t="s">
        <v>1225</v>
      </c>
      <c r="AH165" s="127" t="str">
        <f t="shared" si="13"/>
        <v>Under Pressure.1.mid</v>
      </c>
      <c r="AI165" s="128" t="str">
        <f t="shared" si="14"/>
        <v>Under Pressure.1</v>
      </c>
      <c r="AJ165" s="122"/>
      <c r="AK165" s="125">
        <v>9.0</v>
      </c>
      <c r="AL165" s="126" t="s">
        <v>1225</v>
      </c>
      <c r="AM165" s="127" t="str">
        <f t="shared" si="15"/>
        <v>Under Pressure.1.mid</v>
      </c>
      <c r="AN165" s="128" t="str">
        <f t="shared" si="16"/>
        <v>Under Pressure.1</v>
      </c>
      <c r="AO165" s="122"/>
      <c r="AP165" s="125">
        <v>41.0</v>
      </c>
      <c r="AQ165" s="126" t="s">
        <v>1207</v>
      </c>
      <c r="AR165" s="127" t="str">
        <f t="shared" si="17"/>
        <v>The Great Pretender.mid</v>
      </c>
      <c r="AS165" s="128" t="str">
        <f t="shared" si="18"/>
        <v>The Great Pretender</v>
      </c>
      <c r="AT165" s="122"/>
      <c r="AU165" s="125">
        <v>14.0</v>
      </c>
      <c r="AV165" s="126" t="s">
        <v>1133</v>
      </c>
      <c r="AW165" s="127" t="str">
        <f t="shared" si="19"/>
        <v>We Will Rock You.1.mid</v>
      </c>
      <c r="AX165" s="128" t="str">
        <f t="shared" si="20"/>
        <v>We Will Rock You.1</v>
      </c>
      <c r="AY165" s="122"/>
    </row>
    <row r="166" ht="15.75" customHeight="1">
      <c r="A166" s="124"/>
      <c r="B166" s="125">
        <v>0.0</v>
      </c>
      <c r="C166" s="126" t="s">
        <v>1196</v>
      </c>
      <c r="D166" s="127" t="str">
        <f t="shared" si="1"/>
        <v>These Are the Days of Our Lives.mid</v>
      </c>
      <c r="E166" s="128" t="str">
        <f t="shared" si="2"/>
        <v>These Are the Days of Our Lives</v>
      </c>
      <c r="F166" s="122"/>
      <c r="G166" s="125">
        <v>0.0</v>
      </c>
      <c r="H166" s="126" t="s">
        <v>1221</v>
      </c>
      <c r="I166" s="127" t="str">
        <f t="shared" si="3"/>
        <v>Too Much Love Will Kill You.2.mid</v>
      </c>
      <c r="J166" s="128" t="str">
        <f t="shared" si="4"/>
        <v>Too Much Love Will Kill You.2</v>
      </c>
      <c r="K166" s="122"/>
      <c r="L166" s="125">
        <v>0.0</v>
      </c>
      <c r="M166" s="126" t="s">
        <v>1196</v>
      </c>
      <c r="N166" s="127" t="str">
        <f t="shared" si="5"/>
        <v>These Are the Days of Our Lives.mid</v>
      </c>
      <c r="O166" s="128" t="str">
        <f t="shared" si="6"/>
        <v>These Are the Days of Our Lives</v>
      </c>
      <c r="P166" s="122"/>
      <c r="Q166" s="125">
        <v>0.0</v>
      </c>
      <c r="R166" s="126" t="s">
        <v>1113</v>
      </c>
      <c r="S166" s="127" t="str">
        <f t="shared" si="7"/>
        <v>Under Pressure.4.mid</v>
      </c>
      <c r="T166" s="128" t="str">
        <f t="shared" si="8"/>
        <v>Under Pressure.4</v>
      </c>
      <c r="U166" s="122"/>
      <c r="V166" s="125">
        <v>0.0</v>
      </c>
      <c r="W166" s="126" t="s">
        <v>1222</v>
      </c>
      <c r="X166" s="127" t="str">
        <f t="shared" si="9"/>
        <v>Too Much Love Will Kill You.3.mid</v>
      </c>
      <c r="Y166" s="128" t="str">
        <f t="shared" si="10"/>
        <v>Too Much Love Will Kill You.3</v>
      </c>
      <c r="Z166" s="122"/>
      <c r="AA166" s="125">
        <v>1.0</v>
      </c>
      <c r="AB166" s="126" t="s">
        <v>1231</v>
      </c>
      <c r="AC166" s="127" t="str">
        <f t="shared" si="11"/>
        <v>We Are The Champions.4.mid</v>
      </c>
      <c r="AD166" s="128" t="str">
        <f t="shared" si="12"/>
        <v>We Are The Champions.4</v>
      </c>
      <c r="AE166" s="122"/>
      <c r="AF166" s="125">
        <v>9.0</v>
      </c>
      <c r="AG166" s="126" t="s">
        <v>1170</v>
      </c>
      <c r="AH166" s="127" t="str">
        <f t="shared" si="13"/>
        <v>Under Pressure.3.mid</v>
      </c>
      <c r="AI166" s="128" t="str">
        <f t="shared" si="14"/>
        <v>Under Pressure.3</v>
      </c>
      <c r="AJ166" s="122"/>
      <c r="AK166" s="125">
        <v>9.0</v>
      </c>
      <c r="AL166" s="126" t="s">
        <v>1170</v>
      </c>
      <c r="AM166" s="127" t="str">
        <f t="shared" si="15"/>
        <v>Under Pressure.3.mid</v>
      </c>
      <c r="AN166" s="128" t="str">
        <f t="shared" si="16"/>
        <v>Under Pressure.3</v>
      </c>
      <c r="AO166" s="122"/>
      <c r="AP166" s="125">
        <v>41.0</v>
      </c>
      <c r="AQ166" s="126" t="s">
        <v>1211</v>
      </c>
      <c r="AR166" s="127" t="str">
        <f t="shared" si="17"/>
        <v>The Miracle.3.mid</v>
      </c>
      <c r="AS166" s="128" t="str">
        <f t="shared" si="18"/>
        <v>The Miracle.3</v>
      </c>
      <c r="AT166" s="122"/>
      <c r="AU166" s="125">
        <v>14.0</v>
      </c>
      <c r="AV166" s="126" t="s">
        <v>1199</v>
      </c>
      <c r="AW166" s="127" t="str">
        <f t="shared" si="19"/>
        <v>We Will Rock You.3.mid</v>
      </c>
      <c r="AX166" s="128" t="str">
        <f t="shared" si="20"/>
        <v>We Will Rock You.3</v>
      </c>
      <c r="AY166" s="122"/>
    </row>
    <row r="167" ht="15.75" customHeight="1">
      <c r="A167" s="124"/>
      <c r="B167" s="125">
        <v>0.0</v>
      </c>
      <c r="C167" s="126" t="s">
        <v>1197</v>
      </c>
      <c r="D167" s="127" t="str">
        <f t="shared" si="1"/>
        <v>Too Much Love Will Kill You.1.mid</v>
      </c>
      <c r="E167" s="128" t="str">
        <f t="shared" si="2"/>
        <v>Too Much Love Will Kill You.1</v>
      </c>
      <c r="F167" s="122"/>
      <c r="G167" s="125">
        <v>0.0</v>
      </c>
      <c r="H167" s="126" t="s">
        <v>1222</v>
      </c>
      <c r="I167" s="127" t="str">
        <f t="shared" si="3"/>
        <v>Too Much Love Will Kill You.3.mid</v>
      </c>
      <c r="J167" s="128" t="str">
        <f t="shared" si="4"/>
        <v>Too Much Love Will Kill You.3</v>
      </c>
      <c r="K167" s="122"/>
      <c r="L167" s="125">
        <v>0.0</v>
      </c>
      <c r="M167" s="126" t="s">
        <v>1197</v>
      </c>
      <c r="N167" s="127" t="str">
        <f t="shared" si="5"/>
        <v>Too Much Love Will Kill You.1.mid</v>
      </c>
      <c r="O167" s="128" t="str">
        <f t="shared" si="6"/>
        <v>Too Much Love Will Kill You.1</v>
      </c>
      <c r="P167" s="122"/>
      <c r="Q167" s="125">
        <v>0.0</v>
      </c>
      <c r="R167" s="126" t="s">
        <v>1085</v>
      </c>
      <c r="S167" s="127" t="str">
        <f t="shared" si="7"/>
        <v>Under Pressure.5.mid</v>
      </c>
      <c r="T167" s="128" t="str">
        <f t="shared" si="8"/>
        <v>Under Pressure.5</v>
      </c>
      <c r="U167" s="122"/>
      <c r="V167" s="125">
        <v>0.0</v>
      </c>
      <c r="W167" s="126" t="s">
        <v>1223</v>
      </c>
      <c r="X167" s="127" t="str">
        <f t="shared" si="9"/>
        <v>Too Much Love Will Kill You.mid</v>
      </c>
      <c r="Y167" s="128" t="str">
        <f t="shared" si="10"/>
        <v>Too Much Love Will Kill You</v>
      </c>
      <c r="Z167" s="122"/>
      <c r="AA167" s="125">
        <v>1.0</v>
      </c>
      <c r="AB167" s="126" t="s">
        <v>1228</v>
      </c>
      <c r="AC167" s="127" t="str">
        <f t="shared" si="11"/>
        <v>We Are The Champions.5.mid</v>
      </c>
      <c r="AD167" s="128" t="str">
        <f t="shared" si="12"/>
        <v>We Are The Champions.5</v>
      </c>
      <c r="AE167" s="122"/>
      <c r="AF167" s="125">
        <v>9.0</v>
      </c>
      <c r="AG167" s="126" t="s">
        <v>1113</v>
      </c>
      <c r="AH167" s="127" t="str">
        <f t="shared" si="13"/>
        <v>Under Pressure.4.mid</v>
      </c>
      <c r="AI167" s="128" t="str">
        <f t="shared" si="14"/>
        <v>Under Pressure.4</v>
      </c>
      <c r="AJ167" s="122"/>
      <c r="AK167" s="125">
        <v>9.0</v>
      </c>
      <c r="AL167" s="126" t="s">
        <v>1113</v>
      </c>
      <c r="AM167" s="127" t="str">
        <f t="shared" si="15"/>
        <v>Under Pressure.4.mid</v>
      </c>
      <c r="AN167" s="128" t="str">
        <f t="shared" si="16"/>
        <v>Under Pressure.4</v>
      </c>
      <c r="AO167" s="122"/>
      <c r="AP167" s="125">
        <v>41.0</v>
      </c>
      <c r="AQ167" s="126" t="s">
        <v>1212</v>
      </c>
      <c r="AR167" s="127" t="str">
        <f t="shared" si="17"/>
        <v>The Miracle.mid</v>
      </c>
      <c r="AS167" s="128" t="str">
        <f t="shared" si="18"/>
        <v>The Miracle</v>
      </c>
      <c r="AT167" s="122"/>
      <c r="AU167" s="125">
        <v>14.0</v>
      </c>
      <c r="AV167" s="126" t="s">
        <v>1155</v>
      </c>
      <c r="AW167" s="127" t="str">
        <f t="shared" si="19"/>
        <v>We Will Rock You.4.mid</v>
      </c>
      <c r="AX167" s="128" t="str">
        <f t="shared" si="20"/>
        <v>We Will Rock You.4</v>
      </c>
      <c r="AY167" s="122"/>
    </row>
    <row r="168" ht="15.75" customHeight="1">
      <c r="A168" s="124"/>
      <c r="B168" s="125">
        <v>0.0</v>
      </c>
      <c r="C168" s="126" t="s">
        <v>1221</v>
      </c>
      <c r="D168" s="127" t="str">
        <f t="shared" si="1"/>
        <v>Too Much Love Will Kill You.2.mid</v>
      </c>
      <c r="E168" s="128" t="str">
        <f t="shared" si="2"/>
        <v>Too Much Love Will Kill You.2</v>
      </c>
      <c r="F168" s="122"/>
      <c r="G168" s="125">
        <v>0.0</v>
      </c>
      <c r="H168" s="126" t="s">
        <v>1223</v>
      </c>
      <c r="I168" s="127" t="str">
        <f t="shared" si="3"/>
        <v>Too Much Love Will Kill You.mid</v>
      </c>
      <c r="J168" s="128" t="str">
        <f t="shared" si="4"/>
        <v>Too Much Love Will Kill You</v>
      </c>
      <c r="K168" s="122"/>
      <c r="L168" s="125">
        <v>0.0</v>
      </c>
      <c r="M168" s="126" t="s">
        <v>1221</v>
      </c>
      <c r="N168" s="127" t="str">
        <f t="shared" si="5"/>
        <v>Too Much Love Will Kill You.2.mid</v>
      </c>
      <c r="O168" s="128" t="str">
        <f t="shared" si="6"/>
        <v>Too Much Love Will Kill You.2</v>
      </c>
      <c r="P168" s="122"/>
      <c r="Q168" s="125">
        <v>0.0</v>
      </c>
      <c r="R168" s="126" t="s">
        <v>1153</v>
      </c>
      <c r="S168" s="127" t="str">
        <f t="shared" si="7"/>
        <v>Under Pressure.6.mid</v>
      </c>
      <c r="T168" s="128" t="str">
        <f t="shared" si="8"/>
        <v>Under Pressure.6</v>
      </c>
      <c r="U168" s="122"/>
      <c r="V168" s="125">
        <v>0.0</v>
      </c>
      <c r="W168" s="126" t="s">
        <v>1225</v>
      </c>
      <c r="X168" s="127" t="str">
        <f t="shared" si="9"/>
        <v>Under Pressure.1.mid</v>
      </c>
      <c r="Y168" s="128" t="str">
        <f t="shared" si="10"/>
        <v>Under Pressure.1</v>
      </c>
      <c r="Z168" s="122"/>
      <c r="AA168" s="125">
        <v>1.0</v>
      </c>
      <c r="AB168" s="126" t="s">
        <v>1154</v>
      </c>
      <c r="AC168" s="127" t="str">
        <f t="shared" si="11"/>
        <v>We Are The Champions.6.mid</v>
      </c>
      <c r="AD168" s="128" t="str">
        <f t="shared" si="12"/>
        <v>We Are The Champions.6</v>
      </c>
      <c r="AE168" s="122"/>
      <c r="AF168" s="125">
        <v>9.0</v>
      </c>
      <c r="AG168" s="126" t="s">
        <v>1085</v>
      </c>
      <c r="AH168" s="127" t="str">
        <f t="shared" si="13"/>
        <v>Under Pressure.5.mid</v>
      </c>
      <c r="AI168" s="128" t="str">
        <f t="shared" si="14"/>
        <v>Under Pressure.5</v>
      </c>
      <c r="AJ168" s="122"/>
      <c r="AK168" s="125">
        <v>9.0</v>
      </c>
      <c r="AL168" s="126" t="s">
        <v>1085</v>
      </c>
      <c r="AM168" s="127" t="str">
        <f t="shared" si="15"/>
        <v>Under Pressure.5.mid</v>
      </c>
      <c r="AN168" s="128" t="str">
        <f t="shared" si="16"/>
        <v>Under Pressure.5</v>
      </c>
      <c r="AO168" s="122"/>
      <c r="AP168" s="125">
        <v>41.0</v>
      </c>
      <c r="AQ168" s="126" t="s">
        <v>1213</v>
      </c>
      <c r="AR168" s="127" t="str">
        <f t="shared" si="17"/>
        <v>The Show Must Go On.2.mid</v>
      </c>
      <c r="AS168" s="128" t="str">
        <f t="shared" si="18"/>
        <v>The Show Must Go On.2</v>
      </c>
      <c r="AT168" s="122"/>
      <c r="AU168" s="125">
        <v>14.0</v>
      </c>
      <c r="AV168" s="126" t="s">
        <v>1232</v>
      </c>
      <c r="AW168" s="127" t="str">
        <f t="shared" si="19"/>
        <v>We Will Rock You.5.mid</v>
      </c>
      <c r="AX168" s="128" t="str">
        <f t="shared" si="20"/>
        <v>We Will Rock You.5</v>
      </c>
      <c r="AY168" s="122"/>
    </row>
    <row r="169" ht="15.75" customHeight="1">
      <c r="A169" s="124"/>
      <c r="B169" s="125">
        <v>0.0</v>
      </c>
      <c r="C169" s="126" t="s">
        <v>1222</v>
      </c>
      <c r="D169" s="127" t="str">
        <f t="shared" si="1"/>
        <v>Too Much Love Will Kill You.3.mid</v>
      </c>
      <c r="E169" s="128" t="str">
        <f t="shared" si="2"/>
        <v>Too Much Love Will Kill You.3</v>
      </c>
      <c r="F169" s="122"/>
      <c r="G169" s="125">
        <v>0.0</v>
      </c>
      <c r="H169" s="126" t="s">
        <v>1225</v>
      </c>
      <c r="I169" s="127" t="str">
        <f t="shared" si="3"/>
        <v>Under Pressure.1.mid</v>
      </c>
      <c r="J169" s="128" t="str">
        <f t="shared" si="4"/>
        <v>Under Pressure.1</v>
      </c>
      <c r="K169" s="122"/>
      <c r="L169" s="125">
        <v>0.0</v>
      </c>
      <c r="M169" s="126" t="s">
        <v>1222</v>
      </c>
      <c r="N169" s="127" t="str">
        <f t="shared" si="5"/>
        <v>Too Much Love Will Kill You.3.mid</v>
      </c>
      <c r="O169" s="128" t="str">
        <f t="shared" si="6"/>
        <v>Too Much Love Will Kill You.3</v>
      </c>
      <c r="P169" s="122"/>
      <c r="Q169" s="125">
        <v>0.0</v>
      </c>
      <c r="R169" s="126" t="s">
        <v>1227</v>
      </c>
      <c r="S169" s="127" t="str">
        <f t="shared" si="7"/>
        <v>Under Pressure.7.mid</v>
      </c>
      <c r="T169" s="128" t="str">
        <f t="shared" si="8"/>
        <v>Under Pressure.7</v>
      </c>
      <c r="U169" s="122"/>
      <c r="V169" s="125">
        <v>0.0</v>
      </c>
      <c r="W169" s="126" t="s">
        <v>1170</v>
      </c>
      <c r="X169" s="127" t="str">
        <f t="shared" si="9"/>
        <v>Under Pressure.3.mid</v>
      </c>
      <c r="Y169" s="128" t="str">
        <f t="shared" si="10"/>
        <v>Under Pressure.3</v>
      </c>
      <c r="Z169" s="122"/>
      <c r="AA169" s="125">
        <v>1.0</v>
      </c>
      <c r="AB169" s="126" t="s">
        <v>1166</v>
      </c>
      <c r="AC169" s="127" t="str">
        <f t="shared" si="11"/>
        <v>We Are The Champions.8.mid</v>
      </c>
      <c r="AD169" s="128" t="str">
        <f t="shared" si="12"/>
        <v>We Are The Champions.8</v>
      </c>
      <c r="AE169" s="122"/>
      <c r="AF169" s="125">
        <v>9.0</v>
      </c>
      <c r="AG169" s="126" t="s">
        <v>1153</v>
      </c>
      <c r="AH169" s="127" t="str">
        <f t="shared" si="13"/>
        <v>Under Pressure.6.mid</v>
      </c>
      <c r="AI169" s="128" t="str">
        <f t="shared" si="14"/>
        <v>Under Pressure.6</v>
      </c>
      <c r="AJ169" s="122"/>
      <c r="AK169" s="125">
        <v>9.0</v>
      </c>
      <c r="AL169" s="126" t="s">
        <v>1153</v>
      </c>
      <c r="AM169" s="127" t="str">
        <f t="shared" si="15"/>
        <v>Under Pressure.6.mid</v>
      </c>
      <c r="AN169" s="128" t="str">
        <f t="shared" si="16"/>
        <v>Under Pressure.6</v>
      </c>
      <c r="AO169" s="122"/>
      <c r="AP169" s="125">
        <v>41.0</v>
      </c>
      <c r="AQ169" s="126" t="s">
        <v>1231</v>
      </c>
      <c r="AR169" s="127" t="str">
        <f t="shared" si="17"/>
        <v>We Are The Champions.4.mid</v>
      </c>
      <c r="AS169" s="128" t="str">
        <f t="shared" si="18"/>
        <v>We Are The Champions.4</v>
      </c>
      <c r="AT169" s="122"/>
      <c r="AU169" s="125">
        <v>14.0</v>
      </c>
      <c r="AV169" s="126" t="s">
        <v>1148</v>
      </c>
      <c r="AW169" s="127" t="str">
        <f t="shared" si="19"/>
        <v>We Will Rock You.mid</v>
      </c>
      <c r="AX169" s="128" t="str">
        <f t="shared" si="20"/>
        <v>We Will Rock You</v>
      </c>
      <c r="AY169" s="122"/>
    </row>
    <row r="170" ht="15.75" customHeight="1">
      <c r="A170" s="124"/>
      <c r="B170" s="125">
        <v>0.0</v>
      </c>
      <c r="C170" s="126" t="s">
        <v>1223</v>
      </c>
      <c r="D170" s="127" t="str">
        <f t="shared" si="1"/>
        <v>Too Much Love Will Kill You.mid</v>
      </c>
      <c r="E170" s="128" t="str">
        <f t="shared" si="2"/>
        <v>Too Much Love Will Kill You</v>
      </c>
      <c r="F170" s="122"/>
      <c r="G170" s="125">
        <v>0.0</v>
      </c>
      <c r="H170" s="126" t="s">
        <v>1170</v>
      </c>
      <c r="I170" s="127" t="str">
        <f t="shared" si="3"/>
        <v>Under Pressure.3.mid</v>
      </c>
      <c r="J170" s="128" t="str">
        <f t="shared" si="4"/>
        <v>Under Pressure.3</v>
      </c>
      <c r="K170" s="122"/>
      <c r="L170" s="125">
        <v>0.0</v>
      </c>
      <c r="M170" s="126" t="s">
        <v>1223</v>
      </c>
      <c r="N170" s="127" t="str">
        <f t="shared" si="5"/>
        <v>Too Much Love Will Kill You.mid</v>
      </c>
      <c r="O170" s="128" t="str">
        <f t="shared" si="6"/>
        <v>Too Much Love Will Kill You</v>
      </c>
      <c r="P170" s="122"/>
      <c r="Q170" s="125">
        <v>0.0</v>
      </c>
      <c r="R170" s="126" t="s">
        <v>1117</v>
      </c>
      <c r="S170" s="127" t="str">
        <f t="shared" si="7"/>
        <v>Under Pressure.mid</v>
      </c>
      <c r="T170" s="128" t="str">
        <f t="shared" si="8"/>
        <v>Under Pressure</v>
      </c>
      <c r="U170" s="122"/>
      <c r="V170" s="125">
        <v>0.0</v>
      </c>
      <c r="W170" s="126" t="s">
        <v>1113</v>
      </c>
      <c r="X170" s="127" t="str">
        <f t="shared" si="9"/>
        <v>Under Pressure.4.mid</v>
      </c>
      <c r="Y170" s="128" t="str">
        <f t="shared" si="10"/>
        <v>Under Pressure.4</v>
      </c>
      <c r="Z170" s="122"/>
      <c r="AA170" s="125">
        <v>1.0</v>
      </c>
      <c r="AB170" s="126" t="s">
        <v>1118</v>
      </c>
      <c r="AC170" s="127" t="str">
        <f t="shared" si="11"/>
        <v>We Are the Champions.mid</v>
      </c>
      <c r="AD170" s="128" t="str">
        <f t="shared" si="12"/>
        <v>We Are the Champions</v>
      </c>
      <c r="AE170" s="122"/>
      <c r="AF170" s="125">
        <v>9.0</v>
      </c>
      <c r="AG170" s="126" t="s">
        <v>1227</v>
      </c>
      <c r="AH170" s="127" t="str">
        <f t="shared" si="13"/>
        <v>Under Pressure.7.mid</v>
      </c>
      <c r="AI170" s="128" t="str">
        <f t="shared" si="14"/>
        <v>Under Pressure.7</v>
      </c>
      <c r="AJ170" s="122"/>
      <c r="AK170" s="125">
        <v>9.0</v>
      </c>
      <c r="AL170" s="126" t="s">
        <v>1227</v>
      </c>
      <c r="AM170" s="127" t="str">
        <f t="shared" si="15"/>
        <v>Under Pressure.7.mid</v>
      </c>
      <c r="AN170" s="128" t="str">
        <f t="shared" si="16"/>
        <v>Under Pressure.7</v>
      </c>
      <c r="AO170" s="122"/>
      <c r="AP170" s="125">
        <v>41.0</v>
      </c>
      <c r="AQ170" s="126" t="s">
        <v>1233</v>
      </c>
      <c r="AR170" s="127" t="str">
        <f t="shared" si="17"/>
        <v>You're My Best Friend.mid</v>
      </c>
      <c r="AS170" s="128" t="str">
        <f t="shared" si="18"/>
        <v>You're My Best Friend</v>
      </c>
      <c r="AT170" s="122"/>
      <c r="AU170" s="125">
        <v>14.0</v>
      </c>
      <c r="AV170" s="126" t="s">
        <v>1234</v>
      </c>
      <c r="AW170" s="127" t="str">
        <f t="shared" si="19"/>
        <v>White Man.mid</v>
      </c>
      <c r="AX170" s="128" t="str">
        <f t="shared" si="20"/>
        <v>White Man</v>
      </c>
      <c r="AY170" s="122"/>
    </row>
    <row r="171" ht="15.75" customHeight="1">
      <c r="A171" s="124"/>
      <c r="B171" s="125">
        <v>0.0</v>
      </c>
      <c r="C171" s="126" t="s">
        <v>1225</v>
      </c>
      <c r="D171" s="127" t="str">
        <f t="shared" si="1"/>
        <v>Under Pressure.1.mid</v>
      </c>
      <c r="E171" s="128" t="str">
        <f t="shared" si="2"/>
        <v>Under Pressure.1</v>
      </c>
      <c r="F171" s="122"/>
      <c r="G171" s="125">
        <v>0.0</v>
      </c>
      <c r="H171" s="126" t="s">
        <v>1113</v>
      </c>
      <c r="I171" s="127" t="str">
        <f t="shared" si="3"/>
        <v>Under Pressure.4.mid</v>
      </c>
      <c r="J171" s="128" t="str">
        <f t="shared" si="4"/>
        <v>Under Pressure.4</v>
      </c>
      <c r="K171" s="122"/>
      <c r="L171" s="125">
        <v>0.0</v>
      </c>
      <c r="M171" s="126" t="s">
        <v>1225</v>
      </c>
      <c r="N171" s="127" t="str">
        <f t="shared" si="5"/>
        <v>Under Pressure.1.mid</v>
      </c>
      <c r="O171" s="128" t="str">
        <f t="shared" si="6"/>
        <v>Under Pressure.1</v>
      </c>
      <c r="P171" s="122"/>
      <c r="Q171" s="125">
        <v>0.0</v>
      </c>
      <c r="R171" s="126" t="s">
        <v>1229</v>
      </c>
      <c r="S171" s="127" t="str">
        <f t="shared" si="7"/>
        <v>We Are The Champions.1.mid</v>
      </c>
      <c r="T171" s="128" t="str">
        <f t="shared" si="8"/>
        <v>We Are The Champions.1</v>
      </c>
      <c r="U171" s="122"/>
      <c r="V171" s="125">
        <v>0.0</v>
      </c>
      <c r="W171" s="126" t="s">
        <v>1085</v>
      </c>
      <c r="X171" s="127" t="str">
        <f t="shared" si="9"/>
        <v>Under Pressure.5.mid</v>
      </c>
      <c r="Y171" s="128" t="str">
        <f t="shared" si="10"/>
        <v>Under Pressure.5</v>
      </c>
      <c r="Z171" s="122"/>
      <c r="AA171" s="125">
        <v>1.0</v>
      </c>
      <c r="AB171" s="126" t="s">
        <v>1133</v>
      </c>
      <c r="AC171" s="127" t="str">
        <f t="shared" si="11"/>
        <v>We Will Rock You.1.mid</v>
      </c>
      <c r="AD171" s="128" t="str">
        <f t="shared" si="12"/>
        <v>We Will Rock You.1</v>
      </c>
      <c r="AE171" s="122"/>
      <c r="AF171" s="125">
        <v>9.0</v>
      </c>
      <c r="AG171" s="126" t="s">
        <v>1117</v>
      </c>
      <c r="AH171" s="127" t="str">
        <f t="shared" si="13"/>
        <v>Under Pressure.mid</v>
      </c>
      <c r="AI171" s="128" t="str">
        <f t="shared" si="14"/>
        <v>Under Pressure</v>
      </c>
      <c r="AJ171" s="122"/>
      <c r="AK171" s="125">
        <v>9.0</v>
      </c>
      <c r="AL171" s="126" t="s">
        <v>1117</v>
      </c>
      <c r="AM171" s="127" t="str">
        <f t="shared" si="15"/>
        <v>Under Pressure.mid</v>
      </c>
      <c r="AN171" s="128" t="str">
        <f t="shared" si="16"/>
        <v>Under Pressure</v>
      </c>
      <c r="AO171" s="122"/>
      <c r="AP171" s="125">
        <v>42.0</v>
      </c>
      <c r="AQ171" s="126" t="s">
        <v>1220</v>
      </c>
      <c r="AR171" s="127" t="str">
        <f t="shared" si="17"/>
        <v>The Show Must Go On.3.mid</v>
      </c>
      <c r="AS171" s="128" t="str">
        <f t="shared" si="18"/>
        <v>The Show Must Go On.3</v>
      </c>
      <c r="AT171" s="122"/>
      <c r="AU171" s="125">
        <v>14.0</v>
      </c>
      <c r="AV171" s="126" t="s">
        <v>1156</v>
      </c>
      <c r="AW171" s="127" t="str">
        <f t="shared" si="19"/>
        <v>Who Wants to Live Forever.2.mid</v>
      </c>
      <c r="AX171" s="128" t="str">
        <f t="shared" si="20"/>
        <v>Who Wants to Live Forever.2</v>
      </c>
      <c r="AY171" s="122"/>
    </row>
    <row r="172" ht="15.75" customHeight="1">
      <c r="A172" s="124"/>
      <c r="B172" s="125">
        <v>0.0</v>
      </c>
      <c r="C172" s="126" t="s">
        <v>1170</v>
      </c>
      <c r="D172" s="127" t="str">
        <f t="shared" si="1"/>
        <v>Under Pressure.3.mid</v>
      </c>
      <c r="E172" s="128" t="str">
        <f t="shared" si="2"/>
        <v>Under Pressure.3</v>
      </c>
      <c r="F172" s="122"/>
      <c r="G172" s="125">
        <v>0.0</v>
      </c>
      <c r="H172" s="126" t="s">
        <v>1085</v>
      </c>
      <c r="I172" s="127" t="str">
        <f t="shared" si="3"/>
        <v>Under Pressure.5.mid</v>
      </c>
      <c r="J172" s="128" t="str">
        <f t="shared" si="4"/>
        <v>Under Pressure.5</v>
      </c>
      <c r="K172" s="122"/>
      <c r="L172" s="125">
        <v>0.0</v>
      </c>
      <c r="M172" s="126" t="s">
        <v>1170</v>
      </c>
      <c r="N172" s="127" t="str">
        <f t="shared" si="5"/>
        <v>Under Pressure.3.mid</v>
      </c>
      <c r="O172" s="128" t="str">
        <f t="shared" si="6"/>
        <v>Under Pressure.3</v>
      </c>
      <c r="P172" s="122"/>
      <c r="Q172" s="125">
        <v>0.0</v>
      </c>
      <c r="R172" s="126" t="s">
        <v>1129</v>
      </c>
      <c r="S172" s="127" t="str">
        <f t="shared" si="7"/>
        <v>We Are The Champions.10.mid</v>
      </c>
      <c r="T172" s="128" t="str">
        <f t="shared" si="8"/>
        <v>We Are The Champions.10</v>
      </c>
      <c r="U172" s="122"/>
      <c r="V172" s="125">
        <v>0.0</v>
      </c>
      <c r="W172" s="126" t="s">
        <v>1153</v>
      </c>
      <c r="X172" s="127" t="str">
        <f t="shared" si="9"/>
        <v>Under Pressure.6.mid</v>
      </c>
      <c r="Y172" s="128" t="str">
        <f t="shared" si="10"/>
        <v>Under Pressure.6</v>
      </c>
      <c r="Z172" s="122"/>
      <c r="AA172" s="125">
        <v>1.0</v>
      </c>
      <c r="AB172" s="126" t="s">
        <v>1072</v>
      </c>
      <c r="AC172" s="127" t="str">
        <f t="shared" si="11"/>
        <v>We Will Rock You.2.mid</v>
      </c>
      <c r="AD172" s="128" t="str">
        <f t="shared" si="12"/>
        <v>We Will Rock You.2</v>
      </c>
      <c r="AE172" s="122"/>
      <c r="AF172" s="125">
        <v>9.0</v>
      </c>
      <c r="AG172" s="126" t="s">
        <v>1229</v>
      </c>
      <c r="AH172" s="127" t="str">
        <f t="shared" si="13"/>
        <v>We Are The Champions.1.mid</v>
      </c>
      <c r="AI172" s="128" t="str">
        <f t="shared" si="14"/>
        <v>We Are The Champions.1</v>
      </c>
      <c r="AJ172" s="122"/>
      <c r="AK172" s="125">
        <v>9.0</v>
      </c>
      <c r="AL172" s="126" t="s">
        <v>1229</v>
      </c>
      <c r="AM172" s="127" t="str">
        <f t="shared" si="15"/>
        <v>We Are The Champions.1.mid</v>
      </c>
      <c r="AN172" s="128" t="str">
        <f t="shared" si="16"/>
        <v>We Are The Champions.1</v>
      </c>
      <c r="AO172" s="122"/>
      <c r="AP172" s="125">
        <v>43.0</v>
      </c>
      <c r="AQ172" s="126" t="s">
        <v>1224</v>
      </c>
      <c r="AR172" s="127" t="str">
        <f t="shared" si="17"/>
        <v>These Are the Days of Our Lives.1.mid</v>
      </c>
      <c r="AS172" s="128" t="str">
        <f t="shared" si="18"/>
        <v>These Are the Days of Our Lives.1</v>
      </c>
      <c r="AT172" s="122"/>
      <c r="AU172" s="125">
        <v>14.0</v>
      </c>
      <c r="AV172" s="126" t="s">
        <v>1149</v>
      </c>
      <c r="AW172" s="127" t="str">
        <f t="shared" si="19"/>
        <v>Who Wants to Live Forever.3.mid</v>
      </c>
      <c r="AX172" s="128" t="str">
        <f t="shared" si="20"/>
        <v>Who Wants to Live Forever.3</v>
      </c>
      <c r="AY172" s="122"/>
    </row>
    <row r="173" ht="15.75" customHeight="1">
      <c r="A173" s="124"/>
      <c r="B173" s="125">
        <v>0.0</v>
      </c>
      <c r="C173" s="126" t="s">
        <v>1113</v>
      </c>
      <c r="D173" s="127" t="str">
        <f t="shared" si="1"/>
        <v>Under Pressure.4.mid</v>
      </c>
      <c r="E173" s="128" t="str">
        <f t="shared" si="2"/>
        <v>Under Pressure.4</v>
      </c>
      <c r="F173" s="122"/>
      <c r="G173" s="125">
        <v>0.0</v>
      </c>
      <c r="H173" s="126" t="s">
        <v>1153</v>
      </c>
      <c r="I173" s="127" t="str">
        <f t="shared" si="3"/>
        <v>Under Pressure.6.mid</v>
      </c>
      <c r="J173" s="128" t="str">
        <f t="shared" si="4"/>
        <v>Under Pressure.6</v>
      </c>
      <c r="K173" s="122"/>
      <c r="L173" s="125">
        <v>0.0</v>
      </c>
      <c r="M173" s="126" t="s">
        <v>1113</v>
      </c>
      <c r="N173" s="127" t="str">
        <f t="shared" si="5"/>
        <v>Under Pressure.4.mid</v>
      </c>
      <c r="O173" s="128" t="str">
        <f t="shared" si="6"/>
        <v>Under Pressure.4</v>
      </c>
      <c r="P173" s="122"/>
      <c r="Q173" s="125">
        <v>0.0</v>
      </c>
      <c r="R173" s="126" t="s">
        <v>1132</v>
      </c>
      <c r="S173" s="127" t="str">
        <f t="shared" si="7"/>
        <v>We Are The Champions.2.mid</v>
      </c>
      <c r="T173" s="128" t="str">
        <f t="shared" si="8"/>
        <v>We Are The Champions.2</v>
      </c>
      <c r="U173" s="122"/>
      <c r="V173" s="125">
        <v>0.0</v>
      </c>
      <c r="W173" s="126" t="s">
        <v>1227</v>
      </c>
      <c r="X173" s="127" t="str">
        <f t="shared" si="9"/>
        <v>Under Pressure.7.mid</v>
      </c>
      <c r="Y173" s="128" t="str">
        <f t="shared" si="10"/>
        <v>Under Pressure.7</v>
      </c>
      <c r="Z173" s="122"/>
      <c r="AA173" s="125">
        <v>1.0</v>
      </c>
      <c r="AB173" s="126" t="s">
        <v>1199</v>
      </c>
      <c r="AC173" s="127" t="str">
        <f t="shared" si="11"/>
        <v>We Will Rock You.3.mid</v>
      </c>
      <c r="AD173" s="128" t="str">
        <f t="shared" si="12"/>
        <v>We Will Rock You.3</v>
      </c>
      <c r="AE173" s="122"/>
      <c r="AF173" s="125">
        <v>9.0</v>
      </c>
      <c r="AG173" s="126" t="s">
        <v>1132</v>
      </c>
      <c r="AH173" s="127" t="str">
        <f t="shared" si="13"/>
        <v>We Are The Champions.2.mid</v>
      </c>
      <c r="AI173" s="128" t="str">
        <f t="shared" si="14"/>
        <v>We Are The Champions.2</v>
      </c>
      <c r="AJ173" s="122"/>
      <c r="AK173" s="125">
        <v>9.0</v>
      </c>
      <c r="AL173" s="126" t="s">
        <v>1132</v>
      </c>
      <c r="AM173" s="127" t="str">
        <f t="shared" si="15"/>
        <v>We Are The Champions.2.mid</v>
      </c>
      <c r="AN173" s="128" t="str">
        <f t="shared" si="16"/>
        <v>We Are The Champions.2</v>
      </c>
      <c r="AO173" s="122"/>
      <c r="AP173" s="125">
        <v>44.0</v>
      </c>
      <c r="AQ173" s="126" t="s">
        <v>1036</v>
      </c>
      <c r="AR173" s="127" t="str">
        <f t="shared" si="17"/>
        <v>A Kind of Magic.mid</v>
      </c>
      <c r="AS173" s="128" t="str">
        <f t="shared" si="18"/>
        <v>A Kind of Magic</v>
      </c>
      <c r="AT173" s="122"/>
      <c r="AU173" s="125">
        <v>14.0</v>
      </c>
      <c r="AV173" s="126" t="s">
        <v>1074</v>
      </c>
      <c r="AW173" s="127" t="str">
        <f t="shared" si="19"/>
        <v>Who Wants to Live Forever.5.mid</v>
      </c>
      <c r="AX173" s="128" t="str">
        <f t="shared" si="20"/>
        <v>Who Wants to Live Forever.5</v>
      </c>
      <c r="AY173" s="122"/>
    </row>
    <row r="174" ht="15.75" customHeight="1">
      <c r="A174" s="124"/>
      <c r="B174" s="125">
        <v>0.0</v>
      </c>
      <c r="C174" s="126" t="s">
        <v>1085</v>
      </c>
      <c r="D174" s="127" t="str">
        <f t="shared" si="1"/>
        <v>Under Pressure.5.mid</v>
      </c>
      <c r="E174" s="128" t="str">
        <f t="shared" si="2"/>
        <v>Under Pressure.5</v>
      </c>
      <c r="F174" s="122"/>
      <c r="G174" s="125">
        <v>0.0</v>
      </c>
      <c r="H174" s="126" t="s">
        <v>1227</v>
      </c>
      <c r="I174" s="127" t="str">
        <f t="shared" si="3"/>
        <v>Under Pressure.7.mid</v>
      </c>
      <c r="J174" s="128" t="str">
        <f t="shared" si="4"/>
        <v>Under Pressure.7</v>
      </c>
      <c r="K174" s="122"/>
      <c r="L174" s="125">
        <v>0.0</v>
      </c>
      <c r="M174" s="126" t="s">
        <v>1085</v>
      </c>
      <c r="N174" s="127" t="str">
        <f t="shared" si="5"/>
        <v>Under Pressure.5.mid</v>
      </c>
      <c r="O174" s="128" t="str">
        <f t="shared" si="6"/>
        <v>Under Pressure.5</v>
      </c>
      <c r="P174" s="122"/>
      <c r="Q174" s="125">
        <v>0.0</v>
      </c>
      <c r="R174" s="126" t="s">
        <v>1198</v>
      </c>
      <c r="S174" s="127" t="str">
        <f t="shared" si="7"/>
        <v>We Are The Champions.3.mid</v>
      </c>
      <c r="T174" s="128" t="str">
        <f t="shared" si="8"/>
        <v>We Are The Champions.3</v>
      </c>
      <c r="U174" s="122"/>
      <c r="V174" s="125">
        <v>0.0</v>
      </c>
      <c r="W174" s="126" t="s">
        <v>1117</v>
      </c>
      <c r="X174" s="127" t="str">
        <f t="shared" si="9"/>
        <v>Under Pressure.mid</v>
      </c>
      <c r="Y174" s="128" t="str">
        <f t="shared" si="10"/>
        <v>Under Pressure</v>
      </c>
      <c r="Z174" s="122"/>
      <c r="AA174" s="125">
        <v>1.0</v>
      </c>
      <c r="AB174" s="126" t="s">
        <v>1155</v>
      </c>
      <c r="AC174" s="127" t="str">
        <f t="shared" si="11"/>
        <v>We Will Rock You.4.mid</v>
      </c>
      <c r="AD174" s="128" t="str">
        <f t="shared" si="12"/>
        <v>We Will Rock You.4</v>
      </c>
      <c r="AE174" s="122"/>
      <c r="AF174" s="125">
        <v>9.0</v>
      </c>
      <c r="AG174" s="126" t="s">
        <v>1198</v>
      </c>
      <c r="AH174" s="127" t="str">
        <f t="shared" si="13"/>
        <v>We Are The Champions.3.mid</v>
      </c>
      <c r="AI174" s="128" t="str">
        <f t="shared" si="14"/>
        <v>We Are The Champions.3</v>
      </c>
      <c r="AJ174" s="122"/>
      <c r="AK174" s="125">
        <v>9.0</v>
      </c>
      <c r="AL174" s="126" t="s">
        <v>1198</v>
      </c>
      <c r="AM174" s="127" t="str">
        <f t="shared" si="15"/>
        <v>We Are The Champions.3.mid</v>
      </c>
      <c r="AN174" s="128" t="str">
        <f t="shared" si="16"/>
        <v>We Are The Champions.3</v>
      </c>
      <c r="AO174" s="122"/>
      <c r="AP174" s="125">
        <v>44.0</v>
      </c>
      <c r="AQ174" s="126" t="s">
        <v>1087</v>
      </c>
      <c r="AR174" s="127" t="str">
        <f t="shared" si="17"/>
        <v>Bohemian Rhapsody.7.mid</v>
      </c>
      <c r="AS174" s="128" t="str">
        <f t="shared" si="18"/>
        <v>Bohemian Rhapsody.7</v>
      </c>
      <c r="AT174" s="122"/>
      <c r="AU174" s="125">
        <v>14.0</v>
      </c>
      <c r="AV174" s="126" t="s">
        <v>1217</v>
      </c>
      <c r="AW174" s="127" t="str">
        <f t="shared" si="19"/>
        <v>Who Wants to Live Forever.6.mid</v>
      </c>
      <c r="AX174" s="128" t="str">
        <f t="shared" si="20"/>
        <v>Who Wants to Live Forever.6</v>
      </c>
      <c r="AY174" s="122"/>
    </row>
    <row r="175" ht="15.75" customHeight="1">
      <c r="A175" s="124"/>
      <c r="B175" s="125">
        <v>0.0</v>
      </c>
      <c r="C175" s="126" t="s">
        <v>1153</v>
      </c>
      <c r="D175" s="127" t="str">
        <f t="shared" si="1"/>
        <v>Under Pressure.6.mid</v>
      </c>
      <c r="E175" s="128" t="str">
        <f t="shared" si="2"/>
        <v>Under Pressure.6</v>
      </c>
      <c r="F175" s="122"/>
      <c r="G175" s="125">
        <v>0.0</v>
      </c>
      <c r="H175" s="126" t="s">
        <v>1117</v>
      </c>
      <c r="I175" s="127" t="str">
        <f t="shared" si="3"/>
        <v>Under Pressure.mid</v>
      </c>
      <c r="J175" s="128" t="str">
        <f t="shared" si="4"/>
        <v>Under Pressure</v>
      </c>
      <c r="K175" s="122"/>
      <c r="L175" s="125">
        <v>0.0</v>
      </c>
      <c r="M175" s="126" t="s">
        <v>1153</v>
      </c>
      <c r="N175" s="127" t="str">
        <f t="shared" si="5"/>
        <v>Under Pressure.6.mid</v>
      </c>
      <c r="O175" s="128" t="str">
        <f t="shared" si="6"/>
        <v>Under Pressure.6</v>
      </c>
      <c r="P175" s="122"/>
      <c r="Q175" s="125">
        <v>0.0</v>
      </c>
      <c r="R175" s="126" t="s">
        <v>1231</v>
      </c>
      <c r="S175" s="127" t="str">
        <f t="shared" si="7"/>
        <v>We Are The Champions.4.mid</v>
      </c>
      <c r="T175" s="128" t="str">
        <f t="shared" si="8"/>
        <v>We Are The Champions.4</v>
      </c>
      <c r="U175" s="122"/>
      <c r="V175" s="125">
        <v>0.0</v>
      </c>
      <c r="W175" s="126" t="s">
        <v>1229</v>
      </c>
      <c r="X175" s="127" t="str">
        <f t="shared" si="9"/>
        <v>We Are The Champions.1.mid</v>
      </c>
      <c r="Y175" s="128" t="str">
        <f t="shared" si="10"/>
        <v>We Are The Champions.1</v>
      </c>
      <c r="Z175" s="122"/>
      <c r="AA175" s="125">
        <v>1.0</v>
      </c>
      <c r="AB175" s="126" t="s">
        <v>1232</v>
      </c>
      <c r="AC175" s="127" t="str">
        <f t="shared" si="11"/>
        <v>We Will Rock You.5.mid</v>
      </c>
      <c r="AD175" s="128" t="str">
        <f t="shared" si="12"/>
        <v>We Will Rock You.5</v>
      </c>
      <c r="AE175" s="122"/>
      <c r="AF175" s="125">
        <v>9.0</v>
      </c>
      <c r="AG175" s="126" t="s">
        <v>1231</v>
      </c>
      <c r="AH175" s="127" t="str">
        <f t="shared" si="13"/>
        <v>We Are The Champions.4.mid</v>
      </c>
      <c r="AI175" s="128" t="str">
        <f t="shared" si="14"/>
        <v>We Are The Champions.4</v>
      </c>
      <c r="AJ175" s="122"/>
      <c r="AK175" s="125">
        <v>9.0</v>
      </c>
      <c r="AL175" s="126" t="s">
        <v>1231</v>
      </c>
      <c r="AM175" s="127" t="str">
        <f t="shared" si="15"/>
        <v>We Are The Champions.4.mid</v>
      </c>
      <c r="AN175" s="128" t="str">
        <f t="shared" si="16"/>
        <v>We Are The Champions.4</v>
      </c>
      <c r="AO175" s="122"/>
      <c r="AP175" s="125">
        <v>44.0</v>
      </c>
      <c r="AQ175" s="126" t="s">
        <v>1177</v>
      </c>
      <c r="AR175" s="127" t="str">
        <f t="shared" si="17"/>
        <v>Now I'm Here.1.mid</v>
      </c>
      <c r="AS175" s="128" t="str">
        <f t="shared" si="18"/>
        <v>Now I'm Here.1</v>
      </c>
      <c r="AT175" s="122"/>
      <c r="AU175" s="125">
        <v>14.0</v>
      </c>
      <c r="AV175" s="126" t="s">
        <v>1235</v>
      </c>
      <c r="AW175" s="127" t="str">
        <f t="shared" si="19"/>
        <v>Who Wants to Live Forever.8.mid</v>
      </c>
      <c r="AX175" s="128" t="str">
        <f t="shared" si="20"/>
        <v>Who Wants to Live Forever.8</v>
      </c>
      <c r="AY175" s="122"/>
    </row>
    <row r="176" ht="15.75" customHeight="1">
      <c r="A176" s="124"/>
      <c r="B176" s="125">
        <v>0.0</v>
      </c>
      <c r="C176" s="126" t="s">
        <v>1227</v>
      </c>
      <c r="D176" s="127" t="str">
        <f t="shared" si="1"/>
        <v>Under Pressure.7.mid</v>
      </c>
      <c r="E176" s="128" t="str">
        <f t="shared" si="2"/>
        <v>Under Pressure.7</v>
      </c>
      <c r="F176" s="122"/>
      <c r="G176" s="125">
        <v>0.0</v>
      </c>
      <c r="H176" s="126" t="s">
        <v>1229</v>
      </c>
      <c r="I176" s="127" t="str">
        <f t="shared" si="3"/>
        <v>We Are The Champions.1.mid</v>
      </c>
      <c r="J176" s="128" t="str">
        <f t="shared" si="4"/>
        <v>We Are The Champions.1</v>
      </c>
      <c r="K176" s="122"/>
      <c r="L176" s="125">
        <v>0.0</v>
      </c>
      <c r="M176" s="126" t="s">
        <v>1227</v>
      </c>
      <c r="N176" s="127" t="str">
        <f t="shared" si="5"/>
        <v>Under Pressure.7.mid</v>
      </c>
      <c r="O176" s="128" t="str">
        <f t="shared" si="6"/>
        <v>Under Pressure.7</v>
      </c>
      <c r="P176" s="122"/>
      <c r="Q176" s="125">
        <v>0.0</v>
      </c>
      <c r="R176" s="126" t="s">
        <v>1228</v>
      </c>
      <c r="S176" s="127" t="str">
        <f t="shared" si="7"/>
        <v>We Are The Champions.5.mid</v>
      </c>
      <c r="T176" s="128" t="str">
        <f t="shared" si="8"/>
        <v>We Are The Champions.5</v>
      </c>
      <c r="U176" s="122"/>
      <c r="V176" s="125">
        <v>0.0</v>
      </c>
      <c r="W176" s="126" t="s">
        <v>1129</v>
      </c>
      <c r="X176" s="127" t="str">
        <f t="shared" si="9"/>
        <v>We Are The Champions.10.mid</v>
      </c>
      <c r="Y176" s="128" t="str">
        <f t="shared" si="10"/>
        <v>We Are The Champions.10</v>
      </c>
      <c r="Z176" s="122"/>
      <c r="AA176" s="125">
        <v>1.0</v>
      </c>
      <c r="AB176" s="126" t="s">
        <v>1148</v>
      </c>
      <c r="AC176" s="127" t="str">
        <f t="shared" si="11"/>
        <v>We Will Rock You.mid</v>
      </c>
      <c r="AD176" s="128" t="str">
        <f t="shared" si="12"/>
        <v>We Will Rock You</v>
      </c>
      <c r="AE176" s="122"/>
      <c r="AF176" s="125">
        <v>9.0</v>
      </c>
      <c r="AG176" s="126" t="s">
        <v>1228</v>
      </c>
      <c r="AH176" s="127" t="str">
        <f t="shared" si="13"/>
        <v>We Are The Champions.5.mid</v>
      </c>
      <c r="AI176" s="128" t="str">
        <f t="shared" si="14"/>
        <v>We Are The Champions.5</v>
      </c>
      <c r="AJ176" s="122"/>
      <c r="AK176" s="125">
        <v>9.0</v>
      </c>
      <c r="AL176" s="126" t="s">
        <v>1228</v>
      </c>
      <c r="AM176" s="127" t="str">
        <f t="shared" si="15"/>
        <v>We Are The Champions.5.mid</v>
      </c>
      <c r="AN176" s="128" t="str">
        <f t="shared" si="16"/>
        <v>We Are The Champions.5</v>
      </c>
      <c r="AO176" s="122"/>
      <c r="AP176" s="125">
        <v>44.0</v>
      </c>
      <c r="AQ176" s="126" t="s">
        <v>1195</v>
      </c>
      <c r="AR176" s="127" t="str">
        <f t="shared" si="17"/>
        <v>Save Me.1.mid</v>
      </c>
      <c r="AS176" s="128" t="str">
        <f t="shared" si="18"/>
        <v>Save Me.1</v>
      </c>
      <c r="AT176" s="122"/>
      <c r="AU176" s="125">
        <v>14.0</v>
      </c>
      <c r="AV176" s="126" t="s">
        <v>1135</v>
      </c>
      <c r="AW176" s="127" t="str">
        <f t="shared" si="19"/>
        <v>Who Wants to Live Forever.mid</v>
      </c>
      <c r="AX176" s="128" t="str">
        <f t="shared" si="20"/>
        <v>Who Wants to Live Forever</v>
      </c>
      <c r="AY176" s="122"/>
    </row>
    <row r="177" ht="15.75" customHeight="1">
      <c r="A177" s="124"/>
      <c r="B177" s="125">
        <v>0.0</v>
      </c>
      <c r="C177" s="126" t="s">
        <v>1117</v>
      </c>
      <c r="D177" s="127" t="str">
        <f t="shared" si="1"/>
        <v>Under Pressure.mid</v>
      </c>
      <c r="E177" s="128" t="str">
        <f t="shared" si="2"/>
        <v>Under Pressure</v>
      </c>
      <c r="F177" s="122"/>
      <c r="G177" s="125">
        <v>0.0</v>
      </c>
      <c r="H177" s="126" t="s">
        <v>1129</v>
      </c>
      <c r="I177" s="127" t="str">
        <f t="shared" si="3"/>
        <v>We Are The Champions.10.mid</v>
      </c>
      <c r="J177" s="128" t="str">
        <f t="shared" si="4"/>
        <v>We Are The Champions.10</v>
      </c>
      <c r="K177" s="122"/>
      <c r="L177" s="125">
        <v>0.0</v>
      </c>
      <c r="M177" s="126" t="s">
        <v>1117</v>
      </c>
      <c r="N177" s="127" t="str">
        <f t="shared" si="5"/>
        <v>Under Pressure.mid</v>
      </c>
      <c r="O177" s="128" t="str">
        <f t="shared" si="6"/>
        <v>Under Pressure</v>
      </c>
      <c r="P177" s="122"/>
      <c r="Q177" s="125">
        <v>0.0</v>
      </c>
      <c r="R177" s="126" t="s">
        <v>1154</v>
      </c>
      <c r="S177" s="127" t="str">
        <f t="shared" si="7"/>
        <v>We Are The Champions.6.mid</v>
      </c>
      <c r="T177" s="128" t="str">
        <f t="shared" si="8"/>
        <v>We Are The Champions.6</v>
      </c>
      <c r="U177" s="122"/>
      <c r="V177" s="125">
        <v>0.0</v>
      </c>
      <c r="W177" s="126" t="s">
        <v>1132</v>
      </c>
      <c r="X177" s="127" t="str">
        <f t="shared" si="9"/>
        <v>We Are The Champions.2.mid</v>
      </c>
      <c r="Y177" s="128" t="str">
        <f t="shared" si="10"/>
        <v>We Are The Champions.2</v>
      </c>
      <c r="Z177" s="122"/>
      <c r="AA177" s="125">
        <v>1.0</v>
      </c>
      <c r="AB177" s="126" t="s">
        <v>1234</v>
      </c>
      <c r="AC177" s="127" t="str">
        <f t="shared" si="11"/>
        <v>White Man.mid</v>
      </c>
      <c r="AD177" s="128" t="str">
        <f t="shared" si="12"/>
        <v>White Man</v>
      </c>
      <c r="AE177" s="122"/>
      <c r="AF177" s="125">
        <v>9.0</v>
      </c>
      <c r="AG177" s="126" t="s">
        <v>1154</v>
      </c>
      <c r="AH177" s="127" t="str">
        <f t="shared" si="13"/>
        <v>We Are The Champions.6.mid</v>
      </c>
      <c r="AI177" s="128" t="str">
        <f t="shared" si="14"/>
        <v>We Are The Champions.6</v>
      </c>
      <c r="AJ177" s="122"/>
      <c r="AK177" s="125">
        <v>9.0</v>
      </c>
      <c r="AL177" s="126" t="s">
        <v>1154</v>
      </c>
      <c r="AM177" s="127" t="str">
        <f t="shared" si="15"/>
        <v>We Are The Champions.6.mid</v>
      </c>
      <c r="AN177" s="128" t="str">
        <f t="shared" si="16"/>
        <v>We Are The Champions.6</v>
      </c>
      <c r="AO177" s="122"/>
      <c r="AP177" s="125">
        <v>44.0</v>
      </c>
      <c r="AQ177" s="126" t="s">
        <v>1216</v>
      </c>
      <c r="AR177" s="127" t="str">
        <f t="shared" si="17"/>
        <v>These Are the Days of Our Lives.3.mid</v>
      </c>
      <c r="AS177" s="128" t="str">
        <f t="shared" si="18"/>
        <v>These Are the Days of Our Lives.3</v>
      </c>
      <c r="AT177" s="122"/>
      <c r="AU177" s="125">
        <v>14.0</v>
      </c>
      <c r="AV177" s="126" t="s">
        <v>1142</v>
      </c>
      <c r="AW177" s="127" t="str">
        <f t="shared" si="19"/>
        <v>You Don't Fool Me.1.mid</v>
      </c>
      <c r="AX177" s="128" t="str">
        <f t="shared" si="20"/>
        <v>You Don't Fool Me.1</v>
      </c>
      <c r="AY177" s="122"/>
    </row>
    <row r="178" ht="15.75" customHeight="1">
      <c r="A178" s="124"/>
      <c r="B178" s="125">
        <v>0.0</v>
      </c>
      <c r="C178" s="126" t="s">
        <v>1229</v>
      </c>
      <c r="D178" s="127" t="str">
        <f t="shared" si="1"/>
        <v>We Are The Champions.1.mid</v>
      </c>
      <c r="E178" s="128" t="str">
        <f t="shared" si="2"/>
        <v>We Are The Champions.1</v>
      </c>
      <c r="F178" s="122"/>
      <c r="G178" s="125">
        <v>0.0</v>
      </c>
      <c r="H178" s="126" t="s">
        <v>1132</v>
      </c>
      <c r="I178" s="127" t="str">
        <f t="shared" si="3"/>
        <v>We Are The Champions.2.mid</v>
      </c>
      <c r="J178" s="128" t="str">
        <f t="shared" si="4"/>
        <v>We Are The Champions.2</v>
      </c>
      <c r="K178" s="122"/>
      <c r="L178" s="125">
        <v>0.0</v>
      </c>
      <c r="M178" s="126" t="s">
        <v>1229</v>
      </c>
      <c r="N178" s="127" t="str">
        <f t="shared" si="5"/>
        <v>We Are The Champions.1.mid</v>
      </c>
      <c r="O178" s="128" t="str">
        <f t="shared" si="6"/>
        <v>We Are The Champions.1</v>
      </c>
      <c r="P178" s="122"/>
      <c r="Q178" s="125">
        <v>0.0</v>
      </c>
      <c r="R178" s="126" t="s">
        <v>1166</v>
      </c>
      <c r="S178" s="127" t="str">
        <f t="shared" si="7"/>
        <v>We Are The Champions.8.mid</v>
      </c>
      <c r="T178" s="128" t="str">
        <f t="shared" si="8"/>
        <v>We Are The Champions.8</v>
      </c>
      <c r="U178" s="122"/>
      <c r="V178" s="125">
        <v>0.0</v>
      </c>
      <c r="W178" s="126" t="s">
        <v>1198</v>
      </c>
      <c r="X178" s="127" t="str">
        <f t="shared" si="9"/>
        <v>We Are The Champions.3.mid</v>
      </c>
      <c r="Y178" s="128" t="str">
        <f t="shared" si="10"/>
        <v>We Are The Champions.3</v>
      </c>
      <c r="Z178" s="122"/>
      <c r="AA178" s="125">
        <v>1.0</v>
      </c>
      <c r="AB178" s="126" t="s">
        <v>1175</v>
      </c>
      <c r="AC178" s="127" t="str">
        <f t="shared" si="11"/>
        <v>Who Wants to Live Forever.1.mid</v>
      </c>
      <c r="AD178" s="128" t="str">
        <f t="shared" si="12"/>
        <v>Who Wants to Live Forever.1</v>
      </c>
      <c r="AE178" s="122"/>
      <c r="AF178" s="125">
        <v>9.0</v>
      </c>
      <c r="AG178" s="126" t="s">
        <v>1166</v>
      </c>
      <c r="AH178" s="127" t="str">
        <f t="shared" si="13"/>
        <v>We Are The Champions.8.mid</v>
      </c>
      <c r="AI178" s="128" t="str">
        <f t="shared" si="14"/>
        <v>We Are The Champions.8</v>
      </c>
      <c r="AJ178" s="122"/>
      <c r="AK178" s="125">
        <v>9.0</v>
      </c>
      <c r="AL178" s="126" t="s">
        <v>1166</v>
      </c>
      <c r="AM178" s="127" t="str">
        <f t="shared" si="15"/>
        <v>We Are The Champions.8.mid</v>
      </c>
      <c r="AN178" s="128" t="str">
        <f t="shared" si="16"/>
        <v>We Are The Champions.8</v>
      </c>
      <c r="AO178" s="122"/>
      <c r="AP178" s="125">
        <v>45.0</v>
      </c>
      <c r="AQ178" s="126" t="s">
        <v>1230</v>
      </c>
      <c r="AR178" s="127" t="str">
        <f t="shared" si="17"/>
        <v>These Are the Days of Our Lives.4.mid</v>
      </c>
      <c r="AS178" s="128" t="str">
        <f t="shared" si="18"/>
        <v>These Are the Days of Our Lives.4</v>
      </c>
      <c r="AT178" s="122"/>
      <c r="AU178" s="125">
        <v>14.0</v>
      </c>
      <c r="AV178" s="126" t="s">
        <v>1236</v>
      </c>
      <c r="AW178" s="127" t="str">
        <f t="shared" si="19"/>
        <v>You Don't Fool Me.3.mid</v>
      </c>
      <c r="AX178" s="128" t="str">
        <f t="shared" si="20"/>
        <v>You Don't Fool Me.3</v>
      </c>
      <c r="AY178" s="122"/>
    </row>
    <row r="179" ht="15.75" customHeight="1">
      <c r="A179" s="124"/>
      <c r="B179" s="125">
        <v>0.0</v>
      </c>
      <c r="C179" s="126" t="s">
        <v>1129</v>
      </c>
      <c r="D179" s="127" t="str">
        <f t="shared" si="1"/>
        <v>We Are The Champions.10.mid</v>
      </c>
      <c r="E179" s="128" t="str">
        <f t="shared" si="2"/>
        <v>We Are The Champions.10</v>
      </c>
      <c r="F179" s="122"/>
      <c r="G179" s="125">
        <v>0.0</v>
      </c>
      <c r="H179" s="126" t="s">
        <v>1198</v>
      </c>
      <c r="I179" s="127" t="str">
        <f t="shared" si="3"/>
        <v>We Are The Champions.3.mid</v>
      </c>
      <c r="J179" s="128" t="str">
        <f t="shared" si="4"/>
        <v>We Are The Champions.3</v>
      </c>
      <c r="K179" s="122"/>
      <c r="L179" s="125">
        <v>0.0</v>
      </c>
      <c r="M179" s="126" t="s">
        <v>1129</v>
      </c>
      <c r="N179" s="127" t="str">
        <f t="shared" si="5"/>
        <v>We Are The Champions.10.mid</v>
      </c>
      <c r="O179" s="128" t="str">
        <f t="shared" si="6"/>
        <v>We Are The Champions.10</v>
      </c>
      <c r="P179" s="122"/>
      <c r="Q179" s="125">
        <v>0.0</v>
      </c>
      <c r="R179" s="126" t="s">
        <v>1118</v>
      </c>
      <c r="S179" s="127" t="str">
        <f t="shared" si="7"/>
        <v>We Are the Champions.mid</v>
      </c>
      <c r="T179" s="128" t="str">
        <f t="shared" si="8"/>
        <v>We Are the Champions</v>
      </c>
      <c r="U179" s="122"/>
      <c r="V179" s="125">
        <v>0.0</v>
      </c>
      <c r="W179" s="126" t="s">
        <v>1231</v>
      </c>
      <c r="X179" s="127" t="str">
        <f t="shared" si="9"/>
        <v>We Are The Champions.4.mid</v>
      </c>
      <c r="Y179" s="128" t="str">
        <f t="shared" si="10"/>
        <v>We Are The Champions.4</v>
      </c>
      <c r="Z179" s="122"/>
      <c r="AA179" s="125">
        <v>1.0</v>
      </c>
      <c r="AB179" s="126" t="s">
        <v>1156</v>
      </c>
      <c r="AC179" s="127" t="str">
        <f t="shared" si="11"/>
        <v>Who Wants to Live Forever.2.mid</v>
      </c>
      <c r="AD179" s="128" t="str">
        <f t="shared" si="12"/>
        <v>Who Wants to Live Forever.2</v>
      </c>
      <c r="AE179" s="122"/>
      <c r="AF179" s="125">
        <v>9.0</v>
      </c>
      <c r="AG179" s="126" t="s">
        <v>1118</v>
      </c>
      <c r="AH179" s="127" t="str">
        <f t="shared" si="13"/>
        <v>We Are the Champions.mid</v>
      </c>
      <c r="AI179" s="128" t="str">
        <f t="shared" si="14"/>
        <v>We Are the Champions</v>
      </c>
      <c r="AJ179" s="122"/>
      <c r="AK179" s="125">
        <v>9.0</v>
      </c>
      <c r="AL179" s="126" t="s">
        <v>1118</v>
      </c>
      <c r="AM179" s="127" t="str">
        <f t="shared" si="15"/>
        <v>We Are the Champions.mid</v>
      </c>
      <c r="AN179" s="128" t="str">
        <f t="shared" si="16"/>
        <v>We Are the Champions</v>
      </c>
      <c r="AO179" s="122"/>
      <c r="AP179" s="125">
        <v>46.0</v>
      </c>
      <c r="AQ179" s="126" t="s">
        <v>1159</v>
      </c>
      <c r="AR179" s="127" t="str">
        <f t="shared" si="17"/>
        <v>Keep Yourself Alive.mid</v>
      </c>
      <c r="AS179" s="128" t="str">
        <f t="shared" si="18"/>
        <v>Keep Yourself Alive</v>
      </c>
      <c r="AT179" s="122"/>
      <c r="AU179" s="125">
        <v>14.0</v>
      </c>
      <c r="AV179" s="126" t="s">
        <v>1218</v>
      </c>
      <c r="AW179" s="127" t="str">
        <f t="shared" si="19"/>
        <v>You Don't Fool Me.mid</v>
      </c>
      <c r="AX179" s="128" t="str">
        <f t="shared" si="20"/>
        <v>You Don't Fool Me</v>
      </c>
      <c r="AY179" s="122"/>
    </row>
    <row r="180" ht="15.75" customHeight="1">
      <c r="A180" s="124"/>
      <c r="B180" s="125">
        <v>0.0</v>
      </c>
      <c r="C180" s="126" t="s">
        <v>1132</v>
      </c>
      <c r="D180" s="127" t="str">
        <f t="shared" si="1"/>
        <v>We Are The Champions.2.mid</v>
      </c>
      <c r="E180" s="128" t="str">
        <f t="shared" si="2"/>
        <v>We Are The Champions.2</v>
      </c>
      <c r="F180" s="122"/>
      <c r="G180" s="125">
        <v>0.0</v>
      </c>
      <c r="H180" s="126" t="s">
        <v>1231</v>
      </c>
      <c r="I180" s="127" t="str">
        <f t="shared" si="3"/>
        <v>We Are The Champions.4.mid</v>
      </c>
      <c r="J180" s="128" t="str">
        <f t="shared" si="4"/>
        <v>We Are The Champions.4</v>
      </c>
      <c r="K180" s="122"/>
      <c r="L180" s="125">
        <v>0.0</v>
      </c>
      <c r="M180" s="126" t="s">
        <v>1132</v>
      </c>
      <c r="N180" s="127" t="str">
        <f t="shared" si="5"/>
        <v>We Are The Champions.2.mid</v>
      </c>
      <c r="O180" s="128" t="str">
        <f t="shared" si="6"/>
        <v>We Are The Champions.2</v>
      </c>
      <c r="P180" s="122"/>
      <c r="Q180" s="125">
        <v>0.0</v>
      </c>
      <c r="R180" s="126" t="s">
        <v>1133</v>
      </c>
      <c r="S180" s="127" t="str">
        <f t="shared" si="7"/>
        <v>We Will Rock You.1.mid</v>
      </c>
      <c r="T180" s="128" t="str">
        <f t="shared" si="8"/>
        <v>We Will Rock You.1</v>
      </c>
      <c r="U180" s="122"/>
      <c r="V180" s="125">
        <v>0.0</v>
      </c>
      <c r="W180" s="126" t="s">
        <v>1228</v>
      </c>
      <c r="X180" s="127" t="str">
        <f t="shared" si="9"/>
        <v>We Are The Champions.5.mid</v>
      </c>
      <c r="Y180" s="128" t="str">
        <f t="shared" si="10"/>
        <v>We Are The Champions.5</v>
      </c>
      <c r="Z180" s="122"/>
      <c r="AA180" s="125">
        <v>1.0</v>
      </c>
      <c r="AB180" s="126" t="s">
        <v>1149</v>
      </c>
      <c r="AC180" s="127" t="str">
        <f t="shared" si="11"/>
        <v>Who Wants to Live Forever.3.mid</v>
      </c>
      <c r="AD180" s="128" t="str">
        <f t="shared" si="12"/>
        <v>Who Wants to Live Forever.3</v>
      </c>
      <c r="AE180" s="122"/>
      <c r="AF180" s="125">
        <v>9.0</v>
      </c>
      <c r="AG180" s="126" t="s">
        <v>1133</v>
      </c>
      <c r="AH180" s="127" t="str">
        <f t="shared" si="13"/>
        <v>We Will Rock You.1.mid</v>
      </c>
      <c r="AI180" s="128" t="str">
        <f t="shared" si="14"/>
        <v>We Will Rock You.1</v>
      </c>
      <c r="AJ180" s="122"/>
      <c r="AK180" s="125">
        <v>9.0</v>
      </c>
      <c r="AL180" s="126" t="s">
        <v>1133</v>
      </c>
      <c r="AM180" s="127" t="str">
        <f t="shared" si="15"/>
        <v>We Will Rock You.1.mid</v>
      </c>
      <c r="AN180" s="128" t="str">
        <f t="shared" si="16"/>
        <v>We Will Rock You.1</v>
      </c>
      <c r="AO180" s="122"/>
      <c r="AP180" s="125">
        <v>46.0</v>
      </c>
      <c r="AQ180" s="126" t="s">
        <v>1160</v>
      </c>
      <c r="AR180" s="127" t="str">
        <f t="shared" si="17"/>
        <v>Killer Queen.1.mid</v>
      </c>
      <c r="AS180" s="128" t="str">
        <f t="shared" si="18"/>
        <v>Killer Queen.1</v>
      </c>
      <c r="AT180" s="122"/>
      <c r="AU180" s="125">
        <v>14.0</v>
      </c>
      <c r="AV180" s="126" t="s">
        <v>1219</v>
      </c>
      <c r="AW180" s="127" t="str">
        <f t="shared" si="19"/>
        <v>You're My Best Friend.2.mid</v>
      </c>
      <c r="AX180" s="128" t="str">
        <f t="shared" si="20"/>
        <v>You're My Best Friend.2</v>
      </c>
      <c r="AY180" s="122"/>
    </row>
    <row r="181" ht="15.75" customHeight="1">
      <c r="A181" s="124"/>
      <c r="B181" s="125">
        <v>0.0</v>
      </c>
      <c r="C181" s="126" t="s">
        <v>1198</v>
      </c>
      <c r="D181" s="127" t="str">
        <f t="shared" si="1"/>
        <v>We Are The Champions.3.mid</v>
      </c>
      <c r="E181" s="128" t="str">
        <f t="shared" si="2"/>
        <v>We Are The Champions.3</v>
      </c>
      <c r="F181" s="122"/>
      <c r="G181" s="125">
        <v>0.0</v>
      </c>
      <c r="H181" s="126" t="s">
        <v>1228</v>
      </c>
      <c r="I181" s="127" t="str">
        <f t="shared" si="3"/>
        <v>We Are The Champions.5.mid</v>
      </c>
      <c r="J181" s="128" t="str">
        <f t="shared" si="4"/>
        <v>We Are The Champions.5</v>
      </c>
      <c r="K181" s="122"/>
      <c r="L181" s="125">
        <v>0.0</v>
      </c>
      <c r="M181" s="126" t="s">
        <v>1198</v>
      </c>
      <c r="N181" s="127" t="str">
        <f t="shared" si="5"/>
        <v>We Are The Champions.3.mid</v>
      </c>
      <c r="O181" s="128" t="str">
        <f t="shared" si="6"/>
        <v>We Are The Champions.3</v>
      </c>
      <c r="P181" s="122"/>
      <c r="Q181" s="125">
        <v>0.0</v>
      </c>
      <c r="R181" s="126" t="s">
        <v>1072</v>
      </c>
      <c r="S181" s="127" t="str">
        <f t="shared" si="7"/>
        <v>We Will Rock You.2.mid</v>
      </c>
      <c r="T181" s="128" t="str">
        <f t="shared" si="8"/>
        <v>We Will Rock You.2</v>
      </c>
      <c r="U181" s="122"/>
      <c r="V181" s="125">
        <v>0.0</v>
      </c>
      <c r="W181" s="126" t="s">
        <v>1154</v>
      </c>
      <c r="X181" s="127" t="str">
        <f t="shared" si="9"/>
        <v>We Are The Champions.6.mid</v>
      </c>
      <c r="Y181" s="128" t="str">
        <f t="shared" si="10"/>
        <v>We Are The Champions.6</v>
      </c>
      <c r="Z181" s="122"/>
      <c r="AA181" s="125">
        <v>1.0</v>
      </c>
      <c r="AB181" s="126" t="s">
        <v>1074</v>
      </c>
      <c r="AC181" s="127" t="str">
        <f t="shared" si="11"/>
        <v>Who Wants to Live Forever.5.mid</v>
      </c>
      <c r="AD181" s="128" t="str">
        <f t="shared" si="12"/>
        <v>Who Wants to Live Forever.5</v>
      </c>
      <c r="AE181" s="122"/>
      <c r="AF181" s="125">
        <v>9.0</v>
      </c>
      <c r="AG181" s="126" t="s">
        <v>1199</v>
      </c>
      <c r="AH181" s="127" t="str">
        <f t="shared" si="13"/>
        <v>We Will Rock You.3.mid</v>
      </c>
      <c r="AI181" s="128" t="str">
        <f t="shared" si="14"/>
        <v>We Will Rock You.3</v>
      </c>
      <c r="AJ181" s="122"/>
      <c r="AK181" s="125">
        <v>9.0</v>
      </c>
      <c r="AL181" s="126" t="s">
        <v>1199</v>
      </c>
      <c r="AM181" s="127" t="str">
        <f t="shared" si="15"/>
        <v>We Will Rock You.3.mid</v>
      </c>
      <c r="AN181" s="128" t="str">
        <f t="shared" si="16"/>
        <v>We Will Rock You.3</v>
      </c>
      <c r="AO181" s="122"/>
      <c r="AP181" s="125">
        <v>46.0</v>
      </c>
      <c r="AQ181" s="126" t="s">
        <v>1179</v>
      </c>
      <c r="AR181" s="127" t="str">
        <f t="shared" si="17"/>
        <v>Now I'm Here.2.mid</v>
      </c>
      <c r="AS181" s="128" t="str">
        <f t="shared" si="18"/>
        <v>Now I'm Here.2</v>
      </c>
      <c r="AT181" s="122"/>
      <c r="AU181" s="125">
        <v>14.0</v>
      </c>
      <c r="AV181" s="126" t="s">
        <v>1157</v>
      </c>
      <c r="AW181" s="127" t="str">
        <f t="shared" si="19"/>
        <v>You're My Best Friend.3.mid</v>
      </c>
      <c r="AX181" s="128" t="str">
        <f t="shared" si="20"/>
        <v>You're My Best Friend.3</v>
      </c>
      <c r="AY181" s="122"/>
    </row>
    <row r="182" ht="15.75" customHeight="1">
      <c r="A182" s="124"/>
      <c r="B182" s="125">
        <v>0.0</v>
      </c>
      <c r="C182" s="126" t="s">
        <v>1231</v>
      </c>
      <c r="D182" s="127" t="str">
        <f t="shared" si="1"/>
        <v>We Are The Champions.4.mid</v>
      </c>
      <c r="E182" s="128" t="str">
        <f t="shared" si="2"/>
        <v>We Are The Champions.4</v>
      </c>
      <c r="F182" s="122"/>
      <c r="G182" s="125">
        <v>0.0</v>
      </c>
      <c r="H182" s="126" t="s">
        <v>1154</v>
      </c>
      <c r="I182" s="127" t="str">
        <f t="shared" si="3"/>
        <v>We Are The Champions.6.mid</v>
      </c>
      <c r="J182" s="128" t="str">
        <f t="shared" si="4"/>
        <v>We Are The Champions.6</v>
      </c>
      <c r="K182" s="122"/>
      <c r="L182" s="125">
        <v>0.0</v>
      </c>
      <c r="M182" s="126" t="s">
        <v>1231</v>
      </c>
      <c r="N182" s="127" t="str">
        <f t="shared" si="5"/>
        <v>We Are The Champions.4.mid</v>
      </c>
      <c r="O182" s="128" t="str">
        <f t="shared" si="6"/>
        <v>We Are The Champions.4</v>
      </c>
      <c r="P182" s="122"/>
      <c r="Q182" s="125">
        <v>0.0</v>
      </c>
      <c r="R182" s="126" t="s">
        <v>1199</v>
      </c>
      <c r="S182" s="127" t="str">
        <f t="shared" si="7"/>
        <v>We Will Rock You.3.mid</v>
      </c>
      <c r="T182" s="128" t="str">
        <f t="shared" si="8"/>
        <v>We Will Rock You.3</v>
      </c>
      <c r="U182" s="122"/>
      <c r="V182" s="125">
        <v>0.0</v>
      </c>
      <c r="W182" s="126" t="s">
        <v>1166</v>
      </c>
      <c r="X182" s="127" t="str">
        <f t="shared" si="9"/>
        <v>We Are The Champions.8.mid</v>
      </c>
      <c r="Y182" s="128" t="str">
        <f t="shared" si="10"/>
        <v>We Are The Champions.8</v>
      </c>
      <c r="Z182" s="122"/>
      <c r="AA182" s="125">
        <v>1.0</v>
      </c>
      <c r="AB182" s="126" t="s">
        <v>1217</v>
      </c>
      <c r="AC182" s="127" t="str">
        <f t="shared" si="11"/>
        <v>Who Wants to Live Forever.6.mid</v>
      </c>
      <c r="AD182" s="128" t="str">
        <f t="shared" si="12"/>
        <v>Who Wants to Live Forever.6</v>
      </c>
      <c r="AE182" s="122"/>
      <c r="AF182" s="125">
        <v>9.0</v>
      </c>
      <c r="AG182" s="126" t="s">
        <v>1155</v>
      </c>
      <c r="AH182" s="127" t="str">
        <f t="shared" si="13"/>
        <v>We Will Rock You.4.mid</v>
      </c>
      <c r="AI182" s="128" t="str">
        <f t="shared" si="14"/>
        <v>We Will Rock You.4</v>
      </c>
      <c r="AJ182" s="122"/>
      <c r="AK182" s="125">
        <v>9.0</v>
      </c>
      <c r="AL182" s="126" t="s">
        <v>1155</v>
      </c>
      <c r="AM182" s="127" t="str">
        <f t="shared" si="15"/>
        <v>We Will Rock You.4.mid</v>
      </c>
      <c r="AN182" s="128" t="str">
        <f t="shared" si="16"/>
        <v>We Will Rock You.4</v>
      </c>
      <c r="AO182" s="122"/>
      <c r="AP182" s="125">
        <v>46.0</v>
      </c>
      <c r="AQ182" s="126" t="s">
        <v>1184</v>
      </c>
      <c r="AR182" s="127" t="str">
        <f t="shared" si="17"/>
        <v>One Year of Love.mid</v>
      </c>
      <c r="AS182" s="128" t="str">
        <f t="shared" si="18"/>
        <v>One Year of Love</v>
      </c>
      <c r="AT182" s="122"/>
      <c r="AU182" s="125">
        <v>14.0</v>
      </c>
      <c r="AV182" s="126" t="s">
        <v>1137</v>
      </c>
      <c r="AW182" s="127" t="str">
        <f t="shared" si="19"/>
        <v>You're My Best Friend.4.mid</v>
      </c>
      <c r="AX182" s="128" t="str">
        <f t="shared" si="20"/>
        <v>You're My Best Friend.4</v>
      </c>
      <c r="AY182" s="122"/>
    </row>
    <row r="183" ht="15.75" customHeight="1">
      <c r="A183" s="124"/>
      <c r="B183" s="125">
        <v>0.0</v>
      </c>
      <c r="C183" s="126" t="s">
        <v>1228</v>
      </c>
      <c r="D183" s="127" t="str">
        <f t="shared" si="1"/>
        <v>We Are The Champions.5.mid</v>
      </c>
      <c r="E183" s="128" t="str">
        <f t="shared" si="2"/>
        <v>We Are The Champions.5</v>
      </c>
      <c r="F183" s="122"/>
      <c r="G183" s="125">
        <v>0.0</v>
      </c>
      <c r="H183" s="126" t="s">
        <v>1166</v>
      </c>
      <c r="I183" s="127" t="str">
        <f t="shared" si="3"/>
        <v>We Are The Champions.8.mid</v>
      </c>
      <c r="J183" s="128" t="str">
        <f t="shared" si="4"/>
        <v>We Are The Champions.8</v>
      </c>
      <c r="K183" s="122"/>
      <c r="L183" s="125">
        <v>0.0</v>
      </c>
      <c r="M183" s="126" t="s">
        <v>1228</v>
      </c>
      <c r="N183" s="127" t="str">
        <f t="shared" si="5"/>
        <v>We Are The Champions.5.mid</v>
      </c>
      <c r="O183" s="128" t="str">
        <f t="shared" si="6"/>
        <v>We Are The Champions.5</v>
      </c>
      <c r="P183" s="122"/>
      <c r="Q183" s="125">
        <v>0.0</v>
      </c>
      <c r="R183" s="126" t="s">
        <v>1155</v>
      </c>
      <c r="S183" s="127" t="str">
        <f t="shared" si="7"/>
        <v>We Will Rock You.4.mid</v>
      </c>
      <c r="T183" s="128" t="str">
        <f t="shared" si="8"/>
        <v>We Will Rock You.4</v>
      </c>
      <c r="U183" s="122"/>
      <c r="V183" s="125">
        <v>0.0</v>
      </c>
      <c r="W183" s="126" t="s">
        <v>1049</v>
      </c>
      <c r="X183" s="127" t="str">
        <f t="shared" si="9"/>
        <v>We Are The Champions.9.mid</v>
      </c>
      <c r="Y183" s="128" t="str">
        <f t="shared" si="10"/>
        <v>We Are The Champions.9</v>
      </c>
      <c r="Z183" s="122"/>
      <c r="AA183" s="125">
        <v>1.0</v>
      </c>
      <c r="AB183" s="126" t="s">
        <v>1120</v>
      </c>
      <c r="AC183" s="127" t="str">
        <f t="shared" si="11"/>
        <v>Who Wants to Live Forever.7.mid</v>
      </c>
      <c r="AD183" s="128" t="str">
        <f t="shared" si="12"/>
        <v>Who Wants to Live Forever.7</v>
      </c>
      <c r="AE183" s="122"/>
      <c r="AF183" s="125">
        <v>9.0</v>
      </c>
      <c r="AG183" s="126" t="s">
        <v>1232</v>
      </c>
      <c r="AH183" s="127" t="str">
        <f t="shared" si="13"/>
        <v>We Will Rock You.5.mid</v>
      </c>
      <c r="AI183" s="128" t="str">
        <f t="shared" si="14"/>
        <v>We Will Rock You.5</v>
      </c>
      <c r="AJ183" s="122"/>
      <c r="AK183" s="125">
        <v>9.0</v>
      </c>
      <c r="AL183" s="126" t="s">
        <v>1232</v>
      </c>
      <c r="AM183" s="127" t="str">
        <f t="shared" si="15"/>
        <v>We Will Rock You.5.mid</v>
      </c>
      <c r="AN183" s="128" t="str">
        <f t="shared" si="16"/>
        <v>We Will Rock You.5</v>
      </c>
      <c r="AO183" s="122"/>
      <c r="AP183" s="125">
        <v>46.0</v>
      </c>
      <c r="AQ183" s="126" t="s">
        <v>1185</v>
      </c>
      <c r="AR183" s="127" t="str">
        <f t="shared" si="17"/>
        <v>Play the Game.1.mid</v>
      </c>
      <c r="AS183" s="128" t="str">
        <f t="shared" si="18"/>
        <v>Play the Game.1</v>
      </c>
      <c r="AT183" s="122"/>
      <c r="AU183" s="125">
        <v>14.0</v>
      </c>
      <c r="AV183" s="126" t="s">
        <v>1233</v>
      </c>
      <c r="AW183" s="127" t="str">
        <f t="shared" si="19"/>
        <v>You're My Best Friend.mid</v>
      </c>
      <c r="AX183" s="128" t="str">
        <f t="shared" si="20"/>
        <v>You're My Best Friend</v>
      </c>
      <c r="AY183" s="122"/>
    </row>
    <row r="184" ht="15.75" customHeight="1">
      <c r="A184" s="124"/>
      <c r="B184" s="125">
        <v>0.0</v>
      </c>
      <c r="C184" s="126" t="s">
        <v>1154</v>
      </c>
      <c r="D184" s="127" t="str">
        <f t="shared" si="1"/>
        <v>We Are The Champions.6.mid</v>
      </c>
      <c r="E184" s="128" t="str">
        <f t="shared" si="2"/>
        <v>We Are The Champions.6</v>
      </c>
      <c r="F184" s="122"/>
      <c r="G184" s="125">
        <v>0.0</v>
      </c>
      <c r="H184" s="126" t="s">
        <v>1049</v>
      </c>
      <c r="I184" s="127" t="str">
        <f t="shared" si="3"/>
        <v>We Are The Champions.9.mid</v>
      </c>
      <c r="J184" s="128" t="str">
        <f t="shared" si="4"/>
        <v>We Are The Champions.9</v>
      </c>
      <c r="K184" s="122"/>
      <c r="L184" s="125">
        <v>0.0</v>
      </c>
      <c r="M184" s="126" t="s">
        <v>1154</v>
      </c>
      <c r="N184" s="127" t="str">
        <f t="shared" si="5"/>
        <v>We Are The Champions.6.mid</v>
      </c>
      <c r="O184" s="128" t="str">
        <f t="shared" si="6"/>
        <v>We Are The Champions.6</v>
      </c>
      <c r="P184" s="122"/>
      <c r="Q184" s="125">
        <v>0.0</v>
      </c>
      <c r="R184" s="126" t="s">
        <v>1232</v>
      </c>
      <c r="S184" s="127" t="str">
        <f t="shared" si="7"/>
        <v>We Will Rock You.5.mid</v>
      </c>
      <c r="T184" s="128" t="str">
        <f t="shared" si="8"/>
        <v>We Will Rock You.5</v>
      </c>
      <c r="U184" s="122"/>
      <c r="V184" s="125">
        <v>0.0</v>
      </c>
      <c r="W184" s="126" t="s">
        <v>1118</v>
      </c>
      <c r="X184" s="127" t="str">
        <f t="shared" si="9"/>
        <v>We Are the Champions.mid</v>
      </c>
      <c r="Y184" s="128" t="str">
        <f t="shared" si="10"/>
        <v>We Are the Champions</v>
      </c>
      <c r="Z184" s="122"/>
      <c r="AA184" s="125">
        <v>1.0</v>
      </c>
      <c r="AB184" s="126" t="s">
        <v>1235</v>
      </c>
      <c r="AC184" s="127" t="str">
        <f t="shared" si="11"/>
        <v>Who Wants to Live Forever.8.mid</v>
      </c>
      <c r="AD184" s="128" t="str">
        <f t="shared" si="12"/>
        <v>Who Wants to Live Forever.8</v>
      </c>
      <c r="AE184" s="122"/>
      <c r="AF184" s="125">
        <v>9.0</v>
      </c>
      <c r="AG184" s="126" t="s">
        <v>1148</v>
      </c>
      <c r="AH184" s="127" t="str">
        <f t="shared" si="13"/>
        <v>We Will Rock You.mid</v>
      </c>
      <c r="AI184" s="128" t="str">
        <f t="shared" si="14"/>
        <v>We Will Rock You</v>
      </c>
      <c r="AJ184" s="122"/>
      <c r="AK184" s="125">
        <v>9.0</v>
      </c>
      <c r="AL184" s="126" t="s">
        <v>1148</v>
      </c>
      <c r="AM184" s="127" t="str">
        <f t="shared" si="15"/>
        <v>We Will Rock You.mid</v>
      </c>
      <c r="AN184" s="128" t="str">
        <f t="shared" si="16"/>
        <v>We Will Rock You</v>
      </c>
      <c r="AO184" s="122"/>
      <c r="AP184" s="125">
        <v>46.0</v>
      </c>
      <c r="AQ184" s="126" t="s">
        <v>1188</v>
      </c>
      <c r="AR184" s="127" t="str">
        <f t="shared" si="17"/>
        <v>Radio Ga Ga.1.mid</v>
      </c>
      <c r="AS184" s="128" t="str">
        <f t="shared" si="18"/>
        <v>Radio Ga Ga.1</v>
      </c>
      <c r="AT184" s="122"/>
      <c r="AU184" s="125">
        <v>15.0</v>
      </c>
      <c r="AV184" s="126" t="s">
        <v>1059</v>
      </c>
      <c r="AW184" s="127" t="str">
        <f t="shared" si="19"/>
        <v>Bicycle Race.1.mid</v>
      </c>
      <c r="AX184" s="128" t="str">
        <f t="shared" si="20"/>
        <v>Bicycle Race.1</v>
      </c>
      <c r="AY184" s="122"/>
    </row>
    <row r="185" ht="15.75" customHeight="1">
      <c r="A185" s="124"/>
      <c r="B185" s="125">
        <v>0.0</v>
      </c>
      <c r="C185" s="126" t="s">
        <v>1166</v>
      </c>
      <c r="D185" s="127" t="str">
        <f t="shared" si="1"/>
        <v>We Are The Champions.8.mid</v>
      </c>
      <c r="E185" s="128" t="str">
        <f t="shared" si="2"/>
        <v>We Are The Champions.8</v>
      </c>
      <c r="F185" s="122"/>
      <c r="G185" s="125">
        <v>0.0</v>
      </c>
      <c r="H185" s="126" t="s">
        <v>1118</v>
      </c>
      <c r="I185" s="127" t="str">
        <f t="shared" si="3"/>
        <v>We Are the Champions.mid</v>
      </c>
      <c r="J185" s="128" t="str">
        <f t="shared" si="4"/>
        <v>We Are the Champions</v>
      </c>
      <c r="K185" s="122"/>
      <c r="L185" s="125">
        <v>0.0</v>
      </c>
      <c r="M185" s="126" t="s">
        <v>1166</v>
      </c>
      <c r="N185" s="127" t="str">
        <f t="shared" si="5"/>
        <v>We Are The Champions.8.mid</v>
      </c>
      <c r="O185" s="128" t="str">
        <f t="shared" si="6"/>
        <v>We Are The Champions.8</v>
      </c>
      <c r="P185" s="122"/>
      <c r="Q185" s="125">
        <v>0.0</v>
      </c>
      <c r="R185" s="126" t="s">
        <v>1148</v>
      </c>
      <c r="S185" s="127" t="str">
        <f t="shared" si="7"/>
        <v>We Will Rock You.mid</v>
      </c>
      <c r="T185" s="128" t="str">
        <f t="shared" si="8"/>
        <v>We Will Rock You</v>
      </c>
      <c r="U185" s="122"/>
      <c r="V185" s="125">
        <v>0.0</v>
      </c>
      <c r="W185" s="126" t="s">
        <v>1133</v>
      </c>
      <c r="X185" s="127" t="str">
        <f t="shared" si="9"/>
        <v>We Will Rock You.1.mid</v>
      </c>
      <c r="Y185" s="128" t="str">
        <f t="shared" si="10"/>
        <v>We Will Rock You.1</v>
      </c>
      <c r="Z185" s="122"/>
      <c r="AA185" s="125">
        <v>1.0</v>
      </c>
      <c r="AB185" s="126" t="s">
        <v>1135</v>
      </c>
      <c r="AC185" s="127" t="str">
        <f t="shared" si="11"/>
        <v>Who Wants to Live Forever.mid</v>
      </c>
      <c r="AD185" s="128" t="str">
        <f t="shared" si="12"/>
        <v>Who Wants to Live Forever</v>
      </c>
      <c r="AE185" s="122"/>
      <c r="AF185" s="125">
        <v>9.0</v>
      </c>
      <c r="AG185" s="126" t="s">
        <v>1234</v>
      </c>
      <c r="AH185" s="127" t="str">
        <f t="shared" si="13"/>
        <v>White Man.mid</v>
      </c>
      <c r="AI185" s="128" t="str">
        <f t="shared" si="14"/>
        <v>White Man</v>
      </c>
      <c r="AJ185" s="122"/>
      <c r="AK185" s="125">
        <v>9.0</v>
      </c>
      <c r="AL185" s="126" t="s">
        <v>1234</v>
      </c>
      <c r="AM185" s="127" t="str">
        <f t="shared" si="15"/>
        <v>White Man.mid</v>
      </c>
      <c r="AN185" s="128" t="str">
        <f t="shared" si="16"/>
        <v>White Man</v>
      </c>
      <c r="AO185" s="122"/>
      <c r="AP185" s="125">
        <v>46.0</v>
      </c>
      <c r="AQ185" s="126" t="s">
        <v>1225</v>
      </c>
      <c r="AR185" s="127" t="str">
        <f t="shared" si="17"/>
        <v>Under Pressure.1.mid</v>
      </c>
      <c r="AS185" s="128" t="str">
        <f t="shared" si="18"/>
        <v>Under Pressure.1</v>
      </c>
      <c r="AT185" s="122"/>
      <c r="AU185" s="125">
        <v>15.0</v>
      </c>
      <c r="AV185" s="126" t="s">
        <v>1090</v>
      </c>
      <c r="AW185" s="127" t="str">
        <f t="shared" si="19"/>
        <v>Crazy Little Thing Called Love.1.mid</v>
      </c>
      <c r="AX185" s="128" t="str">
        <f t="shared" si="20"/>
        <v>Crazy Little Thing Called Love.1</v>
      </c>
      <c r="AY185" s="122"/>
    </row>
    <row r="186" ht="15.75" customHeight="1">
      <c r="A186" s="124"/>
      <c r="B186" s="125">
        <v>0.0</v>
      </c>
      <c r="C186" s="126" t="s">
        <v>1049</v>
      </c>
      <c r="D186" s="127" t="str">
        <f t="shared" si="1"/>
        <v>We Are The Champions.9.mid</v>
      </c>
      <c r="E186" s="128" t="str">
        <f t="shared" si="2"/>
        <v>We Are The Champions.9</v>
      </c>
      <c r="F186" s="122"/>
      <c r="G186" s="125">
        <v>0.0</v>
      </c>
      <c r="H186" s="126" t="s">
        <v>1133</v>
      </c>
      <c r="I186" s="127" t="str">
        <f t="shared" si="3"/>
        <v>We Will Rock You.1.mid</v>
      </c>
      <c r="J186" s="128" t="str">
        <f t="shared" si="4"/>
        <v>We Will Rock You.1</v>
      </c>
      <c r="K186" s="122"/>
      <c r="L186" s="125">
        <v>0.0</v>
      </c>
      <c r="M186" s="126" t="s">
        <v>1049</v>
      </c>
      <c r="N186" s="127" t="str">
        <f t="shared" si="5"/>
        <v>We Are The Champions.9.mid</v>
      </c>
      <c r="O186" s="128" t="str">
        <f t="shared" si="6"/>
        <v>We Are The Champions.9</v>
      </c>
      <c r="P186" s="122"/>
      <c r="Q186" s="125">
        <v>0.0</v>
      </c>
      <c r="R186" s="126" t="s">
        <v>1234</v>
      </c>
      <c r="S186" s="127" t="str">
        <f t="shared" si="7"/>
        <v>White Man.mid</v>
      </c>
      <c r="T186" s="128" t="str">
        <f t="shared" si="8"/>
        <v>White Man</v>
      </c>
      <c r="U186" s="122"/>
      <c r="V186" s="125">
        <v>0.0</v>
      </c>
      <c r="W186" s="126" t="s">
        <v>1072</v>
      </c>
      <c r="X186" s="127" t="str">
        <f t="shared" si="9"/>
        <v>We Will Rock You.2.mid</v>
      </c>
      <c r="Y186" s="128" t="str">
        <f t="shared" si="10"/>
        <v>We Will Rock You.2</v>
      </c>
      <c r="Z186" s="122"/>
      <c r="AA186" s="125">
        <v>1.0</v>
      </c>
      <c r="AB186" s="126" t="s">
        <v>1142</v>
      </c>
      <c r="AC186" s="127" t="str">
        <f t="shared" si="11"/>
        <v>You Don't Fool Me.1.mid</v>
      </c>
      <c r="AD186" s="128" t="str">
        <f t="shared" si="12"/>
        <v>You Don't Fool Me.1</v>
      </c>
      <c r="AE186" s="122"/>
      <c r="AF186" s="125">
        <v>9.0</v>
      </c>
      <c r="AG186" s="126" t="s">
        <v>1175</v>
      </c>
      <c r="AH186" s="127" t="str">
        <f t="shared" si="13"/>
        <v>Who Wants to Live Forever.1.mid</v>
      </c>
      <c r="AI186" s="128" t="str">
        <f t="shared" si="14"/>
        <v>Who Wants to Live Forever.1</v>
      </c>
      <c r="AJ186" s="122"/>
      <c r="AK186" s="125">
        <v>9.0</v>
      </c>
      <c r="AL186" s="126" t="s">
        <v>1175</v>
      </c>
      <c r="AM186" s="127" t="str">
        <f t="shared" si="15"/>
        <v>Who Wants to Live Forever.1.mid</v>
      </c>
      <c r="AN186" s="128" t="str">
        <f t="shared" si="16"/>
        <v>Who Wants to Live Forever.1</v>
      </c>
      <c r="AO186" s="122"/>
      <c r="AP186" s="125">
        <v>46.0</v>
      </c>
      <c r="AQ186" s="126" t="s">
        <v>1228</v>
      </c>
      <c r="AR186" s="127" t="str">
        <f t="shared" si="17"/>
        <v>We Are The Champions.5.mid</v>
      </c>
      <c r="AS186" s="128" t="str">
        <f t="shared" si="18"/>
        <v>We Are The Champions.5</v>
      </c>
      <c r="AT186" s="122"/>
      <c r="AU186" s="125">
        <v>15.0</v>
      </c>
      <c r="AV186" s="126" t="s">
        <v>1096</v>
      </c>
      <c r="AW186" s="127" t="str">
        <f t="shared" si="19"/>
        <v>Crazy Little Thing Called Love.4.mid</v>
      </c>
      <c r="AX186" s="128" t="str">
        <f t="shared" si="20"/>
        <v>Crazy Little Thing Called Love.4</v>
      </c>
      <c r="AY186" s="122"/>
    </row>
    <row r="187" ht="15.75" customHeight="1">
      <c r="A187" s="124"/>
      <c r="B187" s="125">
        <v>0.0</v>
      </c>
      <c r="C187" s="126" t="s">
        <v>1118</v>
      </c>
      <c r="D187" s="127" t="str">
        <f t="shared" si="1"/>
        <v>We Are the Champions.mid</v>
      </c>
      <c r="E187" s="128" t="str">
        <f t="shared" si="2"/>
        <v>We Are the Champions</v>
      </c>
      <c r="F187" s="122"/>
      <c r="G187" s="125">
        <v>0.0</v>
      </c>
      <c r="H187" s="126" t="s">
        <v>1072</v>
      </c>
      <c r="I187" s="127" t="str">
        <f t="shared" si="3"/>
        <v>We Will Rock You.2.mid</v>
      </c>
      <c r="J187" s="128" t="str">
        <f t="shared" si="4"/>
        <v>We Will Rock You.2</v>
      </c>
      <c r="K187" s="122"/>
      <c r="L187" s="125">
        <v>0.0</v>
      </c>
      <c r="M187" s="126" t="s">
        <v>1118</v>
      </c>
      <c r="N187" s="127" t="str">
        <f t="shared" si="5"/>
        <v>We Are the Champions.mid</v>
      </c>
      <c r="O187" s="128" t="str">
        <f t="shared" si="6"/>
        <v>We Are the Champions</v>
      </c>
      <c r="P187" s="122"/>
      <c r="Q187" s="125">
        <v>0.0</v>
      </c>
      <c r="R187" s="126" t="s">
        <v>1175</v>
      </c>
      <c r="S187" s="127" t="str">
        <f t="shared" si="7"/>
        <v>Who Wants to Live Forever.1.mid</v>
      </c>
      <c r="T187" s="128" t="str">
        <f t="shared" si="8"/>
        <v>Who Wants to Live Forever.1</v>
      </c>
      <c r="U187" s="122"/>
      <c r="V187" s="125">
        <v>0.0</v>
      </c>
      <c r="W187" s="126" t="s">
        <v>1199</v>
      </c>
      <c r="X187" s="127" t="str">
        <f t="shared" si="9"/>
        <v>We Will Rock You.3.mid</v>
      </c>
      <c r="Y187" s="128" t="str">
        <f t="shared" si="10"/>
        <v>We Will Rock You.3</v>
      </c>
      <c r="Z187" s="122"/>
      <c r="AA187" s="125">
        <v>1.0</v>
      </c>
      <c r="AB187" s="126" t="s">
        <v>1236</v>
      </c>
      <c r="AC187" s="127" t="str">
        <f t="shared" si="11"/>
        <v>You Don't Fool Me.3.mid</v>
      </c>
      <c r="AD187" s="128" t="str">
        <f t="shared" si="12"/>
        <v>You Don't Fool Me.3</v>
      </c>
      <c r="AE187" s="122"/>
      <c r="AF187" s="125">
        <v>9.0</v>
      </c>
      <c r="AG187" s="126" t="s">
        <v>1156</v>
      </c>
      <c r="AH187" s="127" t="str">
        <f t="shared" si="13"/>
        <v>Who Wants to Live Forever.2.mid</v>
      </c>
      <c r="AI187" s="128" t="str">
        <f t="shared" si="14"/>
        <v>Who Wants to Live Forever.2</v>
      </c>
      <c r="AJ187" s="122"/>
      <c r="AK187" s="125">
        <v>9.0</v>
      </c>
      <c r="AL187" s="126" t="s">
        <v>1156</v>
      </c>
      <c r="AM187" s="127" t="str">
        <f t="shared" si="15"/>
        <v>Who Wants to Live Forever.2.mid</v>
      </c>
      <c r="AN187" s="128" t="str">
        <f t="shared" si="16"/>
        <v>Who Wants to Live Forever.2</v>
      </c>
      <c r="AO187" s="122"/>
      <c r="AP187" s="125">
        <v>47.0</v>
      </c>
      <c r="AQ187" s="126" t="s">
        <v>1086</v>
      </c>
      <c r="AR187" s="127" t="str">
        <f t="shared" si="17"/>
        <v>Friends Will Be Friends.mid</v>
      </c>
      <c r="AS187" s="128" t="str">
        <f t="shared" si="18"/>
        <v>Friends Will Be Friends</v>
      </c>
      <c r="AT187" s="122"/>
      <c r="AU187" s="125">
        <v>15.0</v>
      </c>
      <c r="AV187" s="126" t="s">
        <v>1100</v>
      </c>
      <c r="AW187" s="127" t="str">
        <f t="shared" si="19"/>
        <v>Crazy Little Thing Called Love.6.mid</v>
      </c>
      <c r="AX187" s="128" t="str">
        <f t="shared" si="20"/>
        <v>Crazy Little Thing Called Love.6</v>
      </c>
      <c r="AY187" s="122"/>
    </row>
    <row r="188" ht="15.75" customHeight="1">
      <c r="A188" s="124"/>
      <c r="B188" s="125">
        <v>0.0</v>
      </c>
      <c r="C188" s="126" t="s">
        <v>1133</v>
      </c>
      <c r="D188" s="127" t="str">
        <f t="shared" si="1"/>
        <v>We Will Rock You.1.mid</v>
      </c>
      <c r="E188" s="128" t="str">
        <f t="shared" si="2"/>
        <v>We Will Rock You.1</v>
      </c>
      <c r="F188" s="122"/>
      <c r="G188" s="125">
        <v>0.0</v>
      </c>
      <c r="H188" s="126" t="s">
        <v>1199</v>
      </c>
      <c r="I188" s="127" t="str">
        <f t="shared" si="3"/>
        <v>We Will Rock You.3.mid</v>
      </c>
      <c r="J188" s="128" t="str">
        <f t="shared" si="4"/>
        <v>We Will Rock You.3</v>
      </c>
      <c r="K188" s="122"/>
      <c r="L188" s="125">
        <v>0.0</v>
      </c>
      <c r="M188" s="126" t="s">
        <v>1133</v>
      </c>
      <c r="N188" s="127" t="str">
        <f t="shared" si="5"/>
        <v>We Will Rock You.1.mid</v>
      </c>
      <c r="O188" s="128" t="str">
        <f t="shared" si="6"/>
        <v>We Will Rock You.1</v>
      </c>
      <c r="P188" s="122"/>
      <c r="Q188" s="125">
        <v>0.0</v>
      </c>
      <c r="R188" s="126" t="s">
        <v>1156</v>
      </c>
      <c r="S188" s="127" t="str">
        <f t="shared" si="7"/>
        <v>Who Wants to Live Forever.2.mid</v>
      </c>
      <c r="T188" s="128" t="str">
        <f t="shared" si="8"/>
        <v>Who Wants to Live Forever.2</v>
      </c>
      <c r="U188" s="122"/>
      <c r="V188" s="125">
        <v>0.0</v>
      </c>
      <c r="W188" s="126" t="s">
        <v>1155</v>
      </c>
      <c r="X188" s="127" t="str">
        <f t="shared" si="9"/>
        <v>We Will Rock You.4.mid</v>
      </c>
      <c r="Y188" s="128" t="str">
        <f t="shared" si="10"/>
        <v>We Will Rock You.4</v>
      </c>
      <c r="Z188" s="122"/>
      <c r="AA188" s="125">
        <v>1.0</v>
      </c>
      <c r="AB188" s="126" t="s">
        <v>1218</v>
      </c>
      <c r="AC188" s="127" t="str">
        <f t="shared" si="11"/>
        <v>You Don't Fool Me.mid</v>
      </c>
      <c r="AD188" s="128" t="str">
        <f t="shared" si="12"/>
        <v>You Don't Fool Me</v>
      </c>
      <c r="AE188" s="122"/>
      <c r="AF188" s="125">
        <v>9.0</v>
      </c>
      <c r="AG188" s="126" t="s">
        <v>1149</v>
      </c>
      <c r="AH188" s="127" t="str">
        <f t="shared" si="13"/>
        <v>Who Wants to Live Forever.3.mid</v>
      </c>
      <c r="AI188" s="128" t="str">
        <f t="shared" si="14"/>
        <v>Who Wants to Live Forever.3</v>
      </c>
      <c r="AJ188" s="122"/>
      <c r="AK188" s="125">
        <v>9.0</v>
      </c>
      <c r="AL188" s="126" t="s">
        <v>1149</v>
      </c>
      <c r="AM188" s="127" t="str">
        <f t="shared" si="15"/>
        <v>Who Wants to Live Forever.3.mid</v>
      </c>
      <c r="AN188" s="128" t="str">
        <f t="shared" si="16"/>
        <v>Who Wants to Live Forever.3</v>
      </c>
      <c r="AO188" s="122"/>
      <c r="AP188" s="125">
        <v>47.0</v>
      </c>
      <c r="AQ188" s="126" t="s">
        <v>1093</v>
      </c>
      <c r="AR188" s="127" t="str">
        <f t="shared" si="17"/>
        <v>Living on My Own.mid</v>
      </c>
      <c r="AS188" s="128" t="str">
        <f t="shared" si="18"/>
        <v>Living on My Own</v>
      </c>
      <c r="AT188" s="122"/>
      <c r="AU188" s="125">
        <v>15.0</v>
      </c>
      <c r="AV188" s="126" t="s">
        <v>1143</v>
      </c>
      <c r="AW188" s="127" t="str">
        <f t="shared" si="19"/>
        <v>I Can't Live With You.mid</v>
      </c>
      <c r="AX188" s="128" t="str">
        <f t="shared" si="20"/>
        <v>I Can't Live With You</v>
      </c>
      <c r="AY188" s="122"/>
    </row>
    <row r="189" ht="15.75" customHeight="1">
      <c r="A189" s="124"/>
      <c r="B189" s="125">
        <v>0.0</v>
      </c>
      <c r="C189" s="126" t="s">
        <v>1072</v>
      </c>
      <c r="D189" s="127" t="str">
        <f t="shared" si="1"/>
        <v>We Will Rock You.2.mid</v>
      </c>
      <c r="E189" s="128" t="str">
        <f t="shared" si="2"/>
        <v>We Will Rock You.2</v>
      </c>
      <c r="F189" s="122"/>
      <c r="G189" s="125">
        <v>0.0</v>
      </c>
      <c r="H189" s="126" t="s">
        <v>1155</v>
      </c>
      <c r="I189" s="127" t="str">
        <f t="shared" si="3"/>
        <v>We Will Rock You.4.mid</v>
      </c>
      <c r="J189" s="128" t="str">
        <f t="shared" si="4"/>
        <v>We Will Rock You.4</v>
      </c>
      <c r="K189" s="122"/>
      <c r="L189" s="125">
        <v>0.0</v>
      </c>
      <c r="M189" s="126" t="s">
        <v>1072</v>
      </c>
      <c r="N189" s="127" t="str">
        <f t="shared" si="5"/>
        <v>We Will Rock You.2.mid</v>
      </c>
      <c r="O189" s="128" t="str">
        <f t="shared" si="6"/>
        <v>We Will Rock You.2</v>
      </c>
      <c r="P189" s="122"/>
      <c r="Q189" s="125">
        <v>0.0</v>
      </c>
      <c r="R189" s="126" t="s">
        <v>1149</v>
      </c>
      <c r="S189" s="127" t="str">
        <f t="shared" si="7"/>
        <v>Who Wants to Live Forever.3.mid</v>
      </c>
      <c r="T189" s="128" t="str">
        <f t="shared" si="8"/>
        <v>Who Wants to Live Forever.3</v>
      </c>
      <c r="U189" s="122"/>
      <c r="V189" s="125">
        <v>0.0</v>
      </c>
      <c r="W189" s="126" t="s">
        <v>1232</v>
      </c>
      <c r="X189" s="127" t="str">
        <f t="shared" si="9"/>
        <v>We Will Rock You.5.mid</v>
      </c>
      <c r="Y189" s="128" t="str">
        <f t="shared" si="10"/>
        <v>We Will Rock You.5</v>
      </c>
      <c r="Z189" s="122"/>
      <c r="AA189" s="125">
        <v>1.0</v>
      </c>
      <c r="AB189" s="126" t="s">
        <v>1219</v>
      </c>
      <c r="AC189" s="127" t="str">
        <f t="shared" si="11"/>
        <v>You're My Best Friend.2.mid</v>
      </c>
      <c r="AD189" s="128" t="str">
        <f t="shared" si="12"/>
        <v>You're My Best Friend.2</v>
      </c>
      <c r="AE189" s="122"/>
      <c r="AF189" s="125">
        <v>9.0</v>
      </c>
      <c r="AG189" s="126" t="s">
        <v>1217</v>
      </c>
      <c r="AH189" s="127" t="str">
        <f t="shared" si="13"/>
        <v>Who Wants to Live Forever.6.mid</v>
      </c>
      <c r="AI189" s="128" t="str">
        <f t="shared" si="14"/>
        <v>Who Wants to Live Forever.6</v>
      </c>
      <c r="AJ189" s="122"/>
      <c r="AK189" s="125">
        <v>9.0</v>
      </c>
      <c r="AL189" s="126" t="s">
        <v>1217</v>
      </c>
      <c r="AM189" s="127" t="str">
        <f t="shared" si="15"/>
        <v>Who Wants to Live Forever.6.mid</v>
      </c>
      <c r="AN189" s="128" t="str">
        <f t="shared" si="16"/>
        <v>Who Wants to Live Forever.6</v>
      </c>
      <c r="AO189" s="122"/>
      <c r="AP189" s="125">
        <v>47.0</v>
      </c>
      <c r="AQ189" s="126" t="s">
        <v>1095</v>
      </c>
      <c r="AR189" s="127" t="str">
        <f t="shared" si="17"/>
        <v>Love of My Life.2.mid</v>
      </c>
      <c r="AS189" s="128" t="str">
        <f t="shared" si="18"/>
        <v>Love of My Life.2</v>
      </c>
      <c r="AT189" s="122"/>
      <c r="AU189" s="125">
        <v>15.0</v>
      </c>
      <c r="AV189" s="126" t="s">
        <v>1178</v>
      </c>
      <c r="AW189" s="127" t="str">
        <f t="shared" si="19"/>
        <v>Radio Ga Ga.4.mid</v>
      </c>
      <c r="AX189" s="128" t="str">
        <f t="shared" si="20"/>
        <v>Radio Ga Ga.4</v>
      </c>
      <c r="AY189" s="122"/>
    </row>
    <row r="190" ht="15.75" customHeight="1">
      <c r="A190" s="124"/>
      <c r="B190" s="125">
        <v>0.0</v>
      </c>
      <c r="C190" s="126" t="s">
        <v>1199</v>
      </c>
      <c r="D190" s="127" t="str">
        <f t="shared" si="1"/>
        <v>We Will Rock You.3.mid</v>
      </c>
      <c r="E190" s="128" t="str">
        <f t="shared" si="2"/>
        <v>We Will Rock You.3</v>
      </c>
      <c r="F190" s="122"/>
      <c r="G190" s="125">
        <v>0.0</v>
      </c>
      <c r="H190" s="126" t="s">
        <v>1232</v>
      </c>
      <c r="I190" s="127" t="str">
        <f t="shared" si="3"/>
        <v>We Will Rock You.5.mid</v>
      </c>
      <c r="J190" s="128" t="str">
        <f t="shared" si="4"/>
        <v>We Will Rock You.5</v>
      </c>
      <c r="K190" s="122"/>
      <c r="L190" s="125">
        <v>0.0</v>
      </c>
      <c r="M190" s="126" t="s">
        <v>1199</v>
      </c>
      <c r="N190" s="127" t="str">
        <f t="shared" si="5"/>
        <v>We Will Rock You.3.mid</v>
      </c>
      <c r="O190" s="128" t="str">
        <f t="shared" si="6"/>
        <v>We Will Rock You.3</v>
      </c>
      <c r="P190" s="122"/>
      <c r="Q190" s="125">
        <v>0.0</v>
      </c>
      <c r="R190" s="126" t="s">
        <v>1074</v>
      </c>
      <c r="S190" s="127" t="str">
        <f t="shared" si="7"/>
        <v>Who Wants to Live Forever.5.mid</v>
      </c>
      <c r="T190" s="128" t="str">
        <f t="shared" si="8"/>
        <v>Who Wants to Live Forever.5</v>
      </c>
      <c r="U190" s="122"/>
      <c r="V190" s="125">
        <v>0.0</v>
      </c>
      <c r="W190" s="126" t="s">
        <v>1148</v>
      </c>
      <c r="X190" s="127" t="str">
        <f t="shared" si="9"/>
        <v>We Will Rock You.mid</v>
      </c>
      <c r="Y190" s="128" t="str">
        <f t="shared" si="10"/>
        <v>We Will Rock You</v>
      </c>
      <c r="Z190" s="122"/>
      <c r="AA190" s="125">
        <v>1.0</v>
      </c>
      <c r="AB190" s="126" t="s">
        <v>1157</v>
      </c>
      <c r="AC190" s="127" t="str">
        <f t="shared" si="11"/>
        <v>You're My Best Friend.3.mid</v>
      </c>
      <c r="AD190" s="128" t="str">
        <f t="shared" si="12"/>
        <v>You're My Best Friend.3</v>
      </c>
      <c r="AE190" s="122"/>
      <c r="AF190" s="125">
        <v>9.0</v>
      </c>
      <c r="AG190" s="126" t="s">
        <v>1120</v>
      </c>
      <c r="AH190" s="127" t="str">
        <f t="shared" si="13"/>
        <v>Who Wants to Live Forever.7.mid</v>
      </c>
      <c r="AI190" s="128" t="str">
        <f t="shared" si="14"/>
        <v>Who Wants to Live Forever.7</v>
      </c>
      <c r="AJ190" s="122"/>
      <c r="AK190" s="125">
        <v>9.0</v>
      </c>
      <c r="AL190" s="126" t="s">
        <v>1120</v>
      </c>
      <c r="AM190" s="127" t="str">
        <f t="shared" si="15"/>
        <v>Who Wants to Live Forever.7.mid</v>
      </c>
      <c r="AN190" s="128" t="str">
        <f t="shared" si="16"/>
        <v>Who Wants to Live Forever.7</v>
      </c>
      <c r="AO190" s="122"/>
      <c r="AP190" s="125">
        <v>47.0</v>
      </c>
      <c r="AQ190" s="126" t="s">
        <v>1098</v>
      </c>
      <c r="AR190" s="127" t="str">
        <f t="shared" si="17"/>
        <v>Love of My Life.mid</v>
      </c>
      <c r="AS190" s="128" t="str">
        <f t="shared" si="18"/>
        <v>Love of My Life</v>
      </c>
      <c r="AT190" s="122"/>
      <c r="AU190" s="125">
        <v>15.0</v>
      </c>
      <c r="AV190" s="126" t="s">
        <v>1180</v>
      </c>
      <c r="AW190" s="127" t="str">
        <f t="shared" si="19"/>
        <v>Radio Ga Ga.mid</v>
      </c>
      <c r="AX190" s="128" t="str">
        <f t="shared" si="20"/>
        <v>Radio Ga Ga</v>
      </c>
      <c r="AY190" s="122"/>
    </row>
    <row r="191" ht="15.75" customHeight="1">
      <c r="A191" s="124"/>
      <c r="B191" s="125">
        <v>0.0</v>
      </c>
      <c r="C191" s="126" t="s">
        <v>1155</v>
      </c>
      <c r="D191" s="127" t="str">
        <f t="shared" si="1"/>
        <v>We Will Rock You.4.mid</v>
      </c>
      <c r="E191" s="128" t="str">
        <f t="shared" si="2"/>
        <v>We Will Rock You.4</v>
      </c>
      <c r="F191" s="122"/>
      <c r="G191" s="125">
        <v>0.0</v>
      </c>
      <c r="H191" s="126" t="s">
        <v>1148</v>
      </c>
      <c r="I191" s="127" t="str">
        <f t="shared" si="3"/>
        <v>We Will Rock You.mid</v>
      </c>
      <c r="J191" s="128" t="str">
        <f t="shared" si="4"/>
        <v>We Will Rock You</v>
      </c>
      <c r="K191" s="122"/>
      <c r="L191" s="125">
        <v>0.0</v>
      </c>
      <c r="M191" s="126" t="s">
        <v>1155</v>
      </c>
      <c r="N191" s="127" t="str">
        <f t="shared" si="5"/>
        <v>We Will Rock You.4.mid</v>
      </c>
      <c r="O191" s="128" t="str">
        <f t="shared" si="6"/>
        <v>We Will Rock You.4</v>
      </c>
      <c r="P191" s="122"/>
      <c r="Q191" s="125">
        <v>0.0</v>
      </c>
      <c r="R191" s="126" t="s">
        <v>1217</v>
      </c>
      <c r="S191" s="127" t="str">
        <f t="shared" si="7"/>
        <v>Who Wants to Live Forever.6.mid</v>
      </c>
      <c r="T191" s="128" t="str">
        <f t="shared" si="8"/>
        <v>Who Wants to Live Forever.6</v>
      </c>
      <c r="U191" s="122"/>
      <c r="V191" s="125">
        <v>0.0</v>
      </c>
      <c r="W191" s="126" t="s">
        <v>1234</v>
      </c>
      <c r="X191" s="127" t="str">
        <f t="shared" si="9"/>
        <v>White Man.mid</v>
      </c>
      <c r="Y191" s="128" t="str">
        <f t="shared" si="10"/>
        <v>White Man</v>
      </c>
      <c r="Z191" s="122"/>
      <c r="AA191" s="125">
        <v>1.0</v>
      </c>
      <c r="AB191" s="126" t="s">
        <v>1137</v>
      </c>
      <c r="AC191" s="127" t="str">
        <f t="shared" si="11"/>
        <v>You're My Best Friend.4.mid</v>
      </c>
      <c r="AD191" s="128" t="str">
        <f t="shared" si="12"/>
        <v>You're My Best Friend.4</v>
      </c>
      <c r="AE191" s="122"/>
      <c r="AF191" s="125">
        <v>9.0</v>
      </c>
      <c r="AG191" s="126" t="s">
        <v>1235</v>
      </c>
      <c r="AH191" s="127" t="str">
        <f t="shared" si="13"/>
        <v>Who Wants to Live Forever.8.mid</v>
      </c>
      <c r="AI191" s="128" t="str">
        <f t="shared" si="14"/>
        <v>Who Wants to Live Forever.8</v>
      </c>
      <c r="AJ191" s="122"/>
      <c r="AK191" s="125">
        <v>9.0</v>
      </c>
      <c r="AL191" s="126" t="s">
        <v>1235</v>
      </c>
      <c r="AM191" s="127" t="str">
        <f t="shared" si="15"/>
        <v>Who Wants to Live Forever.8.mid</v>
      </c>
      <c r="AN191" s="128" t="str">
        <f t="shared" si="16"/>
        <v>Who Wants to Live Forever.8</v>
      </c>
      <c r="AO191" s="122"/>
      <c r="AP191" s="125">
        <v>47.0</v>
      </c>
      <c r="AQ191" s="126" t="s">
        <v>1169</v>
      </c>
      <c r="AR191" s="127" t="str">
        <f t="shared" si="17"/>
        <v>Made in Heaven.mid</v>
      </c>
      <c r="AS191" s="128" t="str">
        <f t="shared" si="18"/>
        <v>Made in Heaven</v>
      </c>
      <c r="AT191" s="122"/>
      <c r="AU191" s="125">
        <v>15.0</v>
      </c>
      <c r="AV191" s="126" t="s">
        <v>1062</v>
      </c>
      <c r="AW191" s="127" t="str">
        <f t="shared" si="19"/>
        <v>Somebody to Love.mid</v>
      </c>
      <c r="AX191" s="128" t="str">
        <f t="shared" si="20"/>
        <v>Somebody to Love</v>
      </c>
      <c r="AY191" s="122"/>
    </row>
    <row r="192" ht="15.75" customHeight="1">
      <c r="A192" s="124"/>
      <c r="B192" s="125">
        <v>0.0</v>
      </c>
      <c r="C192" s="126" t="s">
        <v>1232</v>
      </c>
      <c r="D192" s="127" t="str">
        <f t="shared" si="1"/>
        <v>We Will Rock You.5.mid</v>
      </c>
      <c r="E192" s="128" t="str">
        <f t="shared" si="2"/>
        <v>We Will Rock You.5</v>
      </c>
      <c r="F192" s="122"/>
      <c r="G192" s="125">
        <v>0.0</v>
      </c>
      <c r="H192" s="126" t="s">
        <v>1234</v>
      </c>
      <c r="I192" s="127" t="str">
        <f t="shared" si="3"/>
        <v>White Man.mid</v>
      </c>
      <c r="J192" s="128" t="str">
        <f t="shared" si="4"/>
        <v>White Man</v>
      </c>
      <c r="K192" s="122"/>
      <c r="L192" s="125">
        <v>0.0</v>
      </c>
      <c r="M192" s="126" t="s">
        <v>1232</v>
      </c>
      <c r="N192" s="127" t="str">
        <f t="shared" si="5"/>
        <v>We Will Rock You.5.mid</v>
      </c>
      <c r="O192" s="128" t="str">
        <f t="shared" si="6"/>
        <v>We Will Rock You.5</v>
      </c>
      <c r="P192" s="122"/>
      <c r="Q192" s="125">
        <v>0.0</v>
      </c>
      <c r="R192" s="126" t="s">
        <v>1120</v>
      </c>
      <c r="S192" s="127" t="str">
        <f t="shared" si="7"/>
        <v>Who Wants to Live Forever.7.mid</v>
      </c>
      <c r="T192" s="128" t="str">
        <f t="shared" si="8"/>
        <v>Who Wants to Live Forever.7</v>
      </c>
      <c r="U192" s="122"/>
      <c r="V192" s="125">
        <v>0.0</v>
      </c>
      <c r="W192" s="126" t="s">
        <v>1175</v>
      </c>
      <c r="X192" s="127" t="str">
        <f t="shared" si="9"/>
        <v>Who Wants to Live Forever.1.mid</v>
      </c>
      <c r="Y192" s="128" t="str">
        <f t="shared" si="10"/>
        <v>Who Wants to Live Forever.1</v>
      </c>
      <c r="Z192" s="122"/>
      <c r="AA192" s="125">
        <v>1.0</v>
      </c>
      <c r="AB192" s="126" t="s">
        <v>1233</v>
      </c>
      <c r="AC192" s="127" t="str">
        <f t="shared" si="11"/>
        <v>You're My Best Friend.mid</v>
      </c>
      <c r="AD192" s="128" t="str">
        <f t="shared" si="12"/>
        <v>You're My Best Friend</v>
      </c>
      <c r="AE192" s="122"/>
      <c r="AF192" s="125">
        <v>9.0</v>
      </c>
      <c r="AG192" s="126" t="s">
        <v>1135</v>
      </c>
      <c r="AH192" s="127" t="str">
        <f t="shared" si="13"/>
        <v>Who Wants to Live Forever.mid</v>
      </c>
      <c r="AI192" s="128" t="str">
        <f t="shared" si="14"/>
        <v>Who Wants to Live Forever</v>
      </c>
      <c r="AJ192" s="122"/>
      <c r="AK192" s="125">
        <v>9.0</v>
      </c>
      <c r="AL192" s="126" t="s">
        <v>1135</v>
      </c>
      <c r="AM192" s="127" t="str">
        <f t="shared" si="15"/>
        <v>Who Wants to Live Forever.mid</v>
      </c>
      <c r="AN192" s="128" t="str">
        <f t="shared" si="16"/>
        <v>Who Wants to Live Forever</v>
      </c>
      <c r="AO192" s="122"/>
      <c r="AP192" s="125">
        <v>47.0</v>
      </c>
      <c r="AQ192" s="126" t="s">
        <v>1176</v>
      </c>
      <c r="AR192" s="127" t="str">
        <f t="shared" si="17"/>
        <v>Never More.mid</v>
      </c>
      <c r="AS192" s="128" t="str">
        <f t="shared" si="18"/>
        <v>Never More</v>
      </c>
      <c r="AT192" s="122"/>
      <c r="AU192" s="125">
        <v>15.0</v>
      </c>
      <c r="AV192" s="126" t="s">
        <v>1206</v>
      </c>
      <c r="AW192" s="127" t="str">
        <f t="shared" si="19"/>
        <v>Spread Your Wings.mid</v>
      </c>
      <c r="AX192" s="128" t="str">
        <f t="shared" si="20"/>
        <v>Spread Your Wings</v>
      </c>
      <c r="AY192" s="122"/>
    </row>
    <row r="193" ht="15.75" customHeight="1">
      <c r="A193" s="124"/>
      <c r="B193" s="125">
        <v>0.0</v>
      </c>
      <c r="C193" s="126" t="s">
        <v>1148</v>
      </c>
      <c r="D193" s="127" t="str">
        <f t="shared" si="1"/>
        <v>We Will Rock You.mid</v>
      </c>
      <c r="E193" s="128" t="str">
        <f t="shared" si="2"/>
        <v>We Will Rock You</v>
      </c>
      <c r="F193" s="122"/>
      <c r="G193" s="125">
        <v>0.0</v>
      </c>
      <c r="H193" s="126" t="s">
        <v>1175</v>
      </c>
      <c r="I193" s="127" t="str">
        <f t="shared" si="3"/>
        <v>Who Wants to Live Forever.1.mid</v>
      </c>
      <c r="J193" s="128" t="str">
        <f t="shared" si="4"/>
        <v>Who Wants to Live Forever.1</v>
      </c>
      <c r="K193" s="122"/>
      <c r="L193" s="125">
        <v>0.0</v>
      </c>
      <c r="M193" s="126" t="s">
        <v>1027</v>
      </c>
      <c r="N193" s="127" t="str">
        <f t="shared" si="5"/>
        <v>We Will Rock You.6.mid</v>
      </c>
      <c r="O193" s="128" t="str">
        <f t="shared" si="6"/>
        <v>We Will Rock You.6</v>
      </c>
      <c r="P193" s="122"/>
      <c r="Q193" s="125">
        <v>0.0</v>
      </c>
      <c r="R193" s="126" t="s">
        <v>1235</v>
      </c>
      <c r="S193" s="127" t="str">
        <f t="shared" si="7"/>
        <v>Who Wants to Live Forever.8.mid</v>
      </c>
      <c r="T193" s="128" t="str">
        <f t="shared" si="8"/>
        <v>Who Wants to Live Forever.8</v>
      </c>
      <c r="U193" s="122"/>
      <c r="V193" s="125">
        <v>0.0</v>
      </c>
      <c r="W193" s="126" t="s">
        <v>1156</v>
      </c>
      <c r="X193" s="127" t="str">
        <f t="shared" si="9"/>
        <v>Who Wants to Live Forever.2.mid</v>
      </c>
      <c r="Y193" s="128" t="str">
        <f t="shared" si="10"/>
        <v>Who Wants to Live Forever.2</v>
      </c>
      <c r="Z193" s="122"/>
      <c r="AA193" s="125">
        <v>2.0</v>
      </c>
      <c r="AB193" s="126" t="s">
        <v>1046</v>
      </c>
      <c r="AC193" s="127" t="str">
        <f t="shared" si="11"/>
        <v>Bohemian Rhapsody.4.mid</v>
      </c>
      <c r="AD193" s="128" t="str">
        <f t="shared" si="12"/>
        <v>Bohemian Rhapsody.4</v>
      </c>
      <c r="AE193" s="122"/>
      <c r="AF193" s="125">
        <v>9.0</v>
      </c>
      <c r="AG193" s="126" t="s">
        <v>1142</v>
      </c>
      <c r="AH193" s="127" t="str">
        <f t="shared" si="13"/>
        <v>You Don't Fool Me.1.mid</v>
      </c>
      <c r="AI193" s="128" t="str">
        <f t="shared" si="14"/>
        <v>You Don't Fool Me.1</v>
      </c>
      <c r="AJ193" s="122"/>
      <c r="AK193" s="125">
        <v>9.0</v>
      </c>
      <c r="AL193" s="126" t="s">
        <v>1142</v>
      </c>
      <c r="AM193" s="127" t="str">
        <f t="shared" si="15"/>
        <v>You Don't Fool Me.1.mid</v>
      </c>
      <c r="AN193" s="128" t="str">
        <f t="shared" si="16"/>
        <v>You Don't Fool Me.1</v>
      </c>
      <c r="AO193" s="122"/>
      <c r="AP193" s="125">
        <v>47.0</v>
      </c>
      <c r="AQ193" s="126" t="s">
        <v>1187</v>
      </c>
      <c r="AR193" s="127" t="str">
        <f t="shared" si="17"/>
        <v>Princes of the Universe.mid</v>
      </c>
      <c r="AS193" s="128" t="str">
        <f t="shared" si="18"/>
        <v>Princes of the Universe</v>
      </c>
      <c r="AT193" s="122"/>
      <c r="AU193" s="125">
        <v>15.0</v>
      </c>
      <c r="AV193" s="126" t="s">
        <v>1212</v>
      </c>
      <c r="AW193" s="127" t="str">
        <f t="shared" si="19"/>
        <v>The Miracle.mid</v>
      </c>
      <c r="AX193" s="128" t="str">
        <f t="shared" si="20"/>
        <v>The Miracle</v>
      </c>
      <c r="AY193" s="122"/>
    </row>
    <row r="194" ht="15.75" customHeight="1">
      <c r="A194" s="124"/>
      <c r="B194" s="125">
        <v>0.0</v>
      </c>
      <c r="C194" s="126" t="s">
        <v>1234</v>
      </c>
      <c r="D194" s="127" t="str">
        <f t="shared" si="1"/>
        <v>White Man.mid</v>
      </c>
      <c r="E194" s="128" t="str">
        <f t="shared" si="2"/>
        <v>White Man</v>
      </c>
      <c r="F194" s="122"/>
      <c r="G194" s="125">
        <v>0.0</v>
      </c>
      <c r="H194" s="126" t="s">
        <v>1156</v>
      </c>
      <c r="I194" s="127" t="str">
        <f t="shared" si="3"/>
        <v>Who Wants to Live Forever.2.mid</v>
      </c>
      <c r="J194" s="128" t="str">
        <f t="shared" si="4"/>
        <v>Who Wants to Live Forever.2</v>
      </c>
      <c r="K194" s="122"/>
      <c r="L194" s="125">
        <v>0.0</v>
      </c>
      <c r="M194" s="126" t="s">
        <v>1148</v>
      </c>
      <c r="N194" s="127" t="str">
        <f t="shared" si="5"/>
        <v>We Will Rock You.mid</v>
      </c>
      <c r="O194" s="128" t="str">
        <f t="shared" si="6"/>
        <v>We Will Rock You</v>
      </c>
      <c r="P194" s="122"/>
      <c r="Q194" s="125">
        <v>0.0</v>
      </c>
      <c r="R194" s="126" t="s">
        <v>1135</v>
      </c>
      <c r="S194" s="127" t="str">
        <f t="shared" si="7"/>
        <v>Who Wants to Live Forever.mid</v>
      </c>
      <c r="T194" s="128" t="str">
        <f t="shared" si="8"/>
        <v>Who Wants to Live Forever</v>
      </c>
      <c r="U194" s="122"/>
      <c r="V194" s="125">
        <v>0.0</v>
      </c>
      <c r="W194" s="126" t="s">
        <v>1149</v>
      </c>
      <c r="X194" s="127" t="str">
        <f t="shared" si="9"/>
        <v>Who Wants to Live Forever.3.mid</v>
      </c>
      <c r="Y194" s="128" t="str">
        <f t="shared" si="10"/>
        <v>Who Wants to Live Forever.3</v>
      </c>
      <c r="Z194" s="122"/>
      <c r="AA194" s="125">
        <v>2.0</v>
      </c>
      <c r="AB194" s="126" t="s">
        <v>1055</v>
      </c>
      <c r="AC194" s="127" t="str">
        <f t="shared" si="11"/>
        <v>Don't Stop Me Now.mid</v>
      </c>
      <c r="AD194" s="128" t="str">
        <f t="shared" si="12"/>
        <v>Don't Stop Me Now</v>
      </c>
      <c r="AE194" s="122"/>
      <c r="AF194" s="125">
        <v>9.0</v>
      </c>
      <c r="AG194" s="126" t="s">
        <v>1236</v>
      </c>
      <c r="AH194" s="127" t="str">
        <f t="shared" si="13"/>
        <v>You Don't Fool Me.3.mid</v>
      </c>
      <c r="AI194" s="128" t="str">
        <f t="shared" si="14"/>
        <v>You Don't Fool Me.3</v>
      </c>
      <c r="AJ194" s="122"/>
      <c r="AK194" s="125">
        <v>9.0</v>
      </c>
      <c r="AL194" s="126" t="s">
        <v>1236</v>
      </c>
      <c r="AM194" s="127" t="str">
        <f t="shared" si="15"/>
        <v>You Don't Fool Me.3.mid</v>
      </c>
      <c r="AN194" s="128" t="str">
        <f t="shared" si="16"/>
        <v>You Don't Fool Me.3</v>
      </c>
      <c r="AO194" s="122"/>
      <c r="AP194" s="125">
        <v>47.0</v>
      </c>
      <c r="AQ194" s="126" t="s">
        <v>1193</v>
      </c>
      <c r="AR194" s="127" t="str">
        <f t="shared" si="17"/>
        <v>Rain Must Fall.mid</v>
      </c>
      <c r="AS194" s="128" t="str">
        <f t="shared" si="18"/>
        <v>Rain Must Fall</v>
      </c>
      <c r="AT194" s="122"/>
      <c r="AU194" s="125">
        <v>15.0</v>
      </c>
      <c r="AV194" s="126" t="s">
        <v>1132</v>
      </c>
      <c r="AW194" s="127" t="str">
        <f t="shared" si="19"/>
        <v>We Are The Champions.2.mid</v>
      </c>
      <c r="AX194" s="128" t="str">
        <f t="shared" si="20"/>
        <v>We Are The Champions.2</v>
      </c>
      <c r="AY194" s="122"/>
    </row>
    <row r="195" ht="15.75" customHeight="1">
      <c r="A195" s="124"/>
      <c r="B195" s="125">
        <v>0.0</v>
      </c>
      <c r="C195" s="126" t="s">
        <v>1175</v>
      </c>
      <c r="D195" s="127" t="str">
        <f t="shared" si="1"/>
        <v>Who Wants to Live Forever.1.mid</v>
      </c>
      <c r="E195" s="128" t="str">
        <f t="shared" si="2"/>
        <v>Who Wants to Live Forever.1</v>
      </c>
      <c r="F195" s="122"/>
      <c r="G195" s="125">
        <v>0.0</v>
      </c>
      <c r="H195" s="126" t="s">
        <v>1149</v>
      </c>
      <c r="I195" s="127" t="str">
        <f t="shared" si="3"/>
        <v>Who Wants to Live Forever.3.mid</v>
      </c>
      <c r="J195" s="128" t="str">
        <f t="shared" si="4"/>
        <v>Who Wants to Live Forever.3</v>
      </c>
      <c r="K195" s="122"/>
      <c r="L195" s="125">
        <v>0.0</v>
      </c>
      <c r="M195" s="126" t="s">
        <v>1234</v>
      </c>
      <c r="N195" s="127" t="str">
        <f t="shared" si="5"/>
        <v>White Man.mid</v>
      </c>
      <c r="O195" s="128" t="str">
        <f t="shared" si="6"/>
        <v>White Man</v>
      </c>
      <c r="P195" s="122"/>
      <c r="Q195" s="125">
        <v>0.0</v>
      </c>
      <c r="R195" s="126" t="s">
        <v>1142</v>
      </c>
      <c r="S195" s="127" t="str">
        <f t="shared" si="7"/>
        <v>You Don't Fool Me.1.mid</v>
      </c>
      <c r="T195" s="128" t="str">
        <f t="shared" si="8"/>
        <v>You Don't Fool Me.1</v>
      </c>
      <c r="U195" s="122"/>
      <c r="V195" s="125">
        <v>0.0</v>
      </c>
      <c r="W195" s="126" t="s">
        <v>1074</v>
      </c>
      <c r="X195" s="127" t="str">
        <f t="shared" si="9"/>
        <v>Who Wants to Live Forever.5.mid</v>
      </c>
      <c r="Y195" s="128" t="str">
        <f t="shared" si="10"/>
        <v>Who Wants to Live Forever.5</v>
      </c>
      <c r="Z195" s="122"/>
      <c r="AA195" s="125">
        <v>2.0</v>
      </c>
      <c r="AB195" s="126" t="s">
        <v>1215</v>
      </c>
      <c r="AC195" s="127" t="str">
        <f t="shared" si="11"/>
        <v>The Miracle.1.mid</v>
      </c>
      <c r="AD195" s="128" t="str">
        <f t="shared" si="12"/>
        <v>The Miracle.1</v>
      </c>
      <c r="AE195" s="122"/>
      <c r="AF195" s="125">
        <v>9.0</v>
      </c>
      <c r="AG195" s="126" t="s">
        <v>1218</v>
      </c>
      <c r="AH195" s="127" t="str">
        <f t="shared" si="13"/>
        <v>You Don't Fool Me.mid</v>
      </c>
      <c r="AI195" s="128" t="str">
        <f t="shared" si="14"/>
        <v>You Don't Fool Me</v>
      </c>
      <c r="AJ195" s="122"/>
      <c r="AK195" s="125">
        <v>9.0</v>
      </c>
      <c r="AL195" s="126" t="s">
        <v>1218</v>
      </c>
      <c r="AM195" s="127" t="str">
        <f t="shared" si="15"/>
        <v>You Don't Fool Me.mid</v>
      </c>
      <c r="AN195" s="128" t="str">
        <f t="shared" si="16"/>
        <v>You Don't Fool Me</v>
      </c>
      <c r="AO195" s="122"/>
      <c r="AP195" s="125">
        <v>47.0</v>
      </c>
      <c r="AQ195" s="126" t="s">
        <v>1204</v>
      </c>
      <c r="AR195" s="127" t="str">
        <f t="shared" si="17"/>
        <v>Somebody to Love.5.mid</v>
      </c>
      <c r="AS195" s="128" t="str">
        <f t="shared" si="18"/>
        <v>Somebody to Love.5</v>
      </c>
      <c r="AT195" s="122"/>
      <c r="AU195" s="125">
        <v>15.0</v>
      </c>
      <c r="AV195" s="126" t="s">
        <v>1231</v>
      </c>
      <c r="AW195" s="127" t="str">
        <f t="shared" si="19"/>
        <v>We Are The Champions.4.mid</v>
      </c>
      <c r="AX195" s="128" t="str">
        <f t="shared" si="20"/>
        <v>We Are The Champions.4</v>
      </c>
      <c r="AY195" s="122"/>
    </row>
    <row r="196" ht="15.75" customHeight="1">
      <c r="A196" s="124"/>
      <c r="B196" s="125">
        <v>0.0</v>
      </c>
      <c r="C196" s="126" t="s">
        <v>1156</v>
      </c>
      <c r="D196" s="127" t="str">
        <f t="shared" si="1"/>
        <v>Who Wants to Live Forever.2.mid</v>
      </c>
      <c r="E196" s="128" t="str">
        <f t="shared" si="2"/>
        <v>Who Wants to Live Forever.2</v>
      </c>
      <c r="F196" s="122"/>
      <c r="G196" s="125">
        <v>0.0</v>
      </c>
      <c r="H196" s="126" t="s">
        <v>1074</v>
      </c>
      <c r="I196" s="127" t="str">
        <f t="shared" si="3"/>
        <v>Who Wants to Live Forever.5.mid</v>
      </c>
      <c r="J196" s="128" t="str">
        <f t="shared" si="4"/>
        <v>Who Wants to Live Forever.5</v>
      </c>
      <c r="K196" s="122"/>
      <c r="L196" s="125">
        <v>0.0</v>
      </c>
      <c r="M196" s="126" t="s">
        <v>1175</v>
      </c>
      <c r="N196" s="127" t="str">
        <f t="shared" si="5"/>
        <v>Who Wants to Live Forever.1.mid</v>
      </c>
      <c r="O196" s="128" t="str">
        <f t="shared" si="6"/>
        <v>Who Wants to Live Forever.1</v>
      </c>
      <c r="P196" s="122"/>
      <c r="Q196" s="125">
        <v>0.0</v>
      </c>
      <c r="R196" s="126" t="s">
        <v>1236</v>
      </c>
      <c r="S196" s="127" t="str">
        <f t="shared" si="7"/>
        <v>You Don't Fool Me.3.mid</v>
      </c>
      <c r="T196" s="128" t="str">
        <f t="shared" si="8"/>
        <v>You Don't Fool Me.3</v>
      </c>
      <c r="U196" s="122"/>
      <c r="V196" s="125">
        <v>0.0</v>
      </c>
      <c r="W196" s="126" t="s">
        <v>1217</v>
      </c>
      <c r="X196" s="127" t="str">
        <f t="shared" si="9"/>
        <v>Who Wants to Live Forever.6.mid</v>
      </c>
      <c r="Y196" s="128" t="str">
        <f t="shared" si="10"/>
        <v>Who Wants to Live Forever.6</v>
      </c>
      <c r="Z196" s="122"/>
      <c r="AA196" s="125">
        <v>2.0</v>
      </c>
      <c r="AB196" s="126" t="s">
        <v>1049</v>
      </c>
      <c r="AC196" s="127" t="str">
        <f t="shared" si="11"/>
        <v>We Are The Champions.9.mid</v>
      </c>
      <c r="AD196" s="128" t="str">
        <f t="shared" si="12"/>
        <v>We Are The Champions.9</v>
      </c>
      <c r="AE196" s="122"/>
      <c r="AF196" s="125">
        <v>9.0</v>
      </c>
      <c r="AG196" s="126" t="s">
        <v>1219</v>
      </c>
      <c r="AH196" s="127" t="str">
        <f t="shared" si="13"/>
        <v>You're My Best Friend.2.mid</v>
      </c>
      <c r="AI196" s="128" t="str">
        <f t="shared" si="14"/>
        <v>You're My Best Friend.2</v>
      </c>
      <c r="AJ196" s="122"/>
      <c r="AK196" s="125">
        <v>9.0</v>
      </c>
      <c r="AL196" s="126" t="s">
        <v>1219</v>
      </c>
      <c r="AM196" s="127" t="str">
        <f t="shared" si="15"/>
        <v>You're My Best Friend.2.mid</v>
      </c>
      <c r="AN196" s="128" t="str">
        <f t="shared" si="16"/>
        <v>You're My Best Friend.2</v>
      </c>
      <c r="AO196" s="122"/>
      <c r="AP196" s="125">
        <v>47.0</v>
      </c>
      <c r="AQ196" s="126" t="s">
        <v>1111</v>
      </c>
      <c r="AR196" s="127" t="str">
        <f t="shared" si="17"/>
        <v>Spread Your Wings.1.mid</v>
      </c>
      <c r="AS196" s="128" t="str">
        <f t="shared" si="18"/>
        <v>Spread Your Wings.1</v>
      </c>
      <c r="AT196" s="122"/>
      <c r="AU196" s="125">
        <v>15.0</v>
      </c>
      <c r="AV196" s="126" t="s">
        <v>1175</v>
      </c>
      <c r="AW196" s="127" t="str">
        <f t="shared" si="19"/>
        <v>Who Wants to Live Forever.1.mid</v>
      </c>
      <c r="AX196" s="128" t="str">
        <f t="shared" si="20"/>
        <v>Who Wants to Live Forever.1</v>
      </c>
      <c r="AY196" s="122"/>
    </row>
    <row r="197" ht="15.75" customHeight="1">
      <c r="A197" s="124"/>
      <c r="B197" s="125">
        <v>0.0</v>
      </c>
      <c r="C197" s="126" t="s">
        <v>1149</v>
      </c>
      <c r="D197" s="127" t="str">
        <f t="shared" si="1"/>
        <v>Who Wants to Live Forever.3.mid</v>
      </c>
      <c r="E197" s="128" t="str">
        <f t="shared" si="2"/>
        <v>Who Wants to Live Forever.3</v>
      </c>
      <c r="F197" s="122"/>
      <c r="G197" s="125">
        <v>0.0</v>
      </c>
      <c r="H197" s="126" t="s">
        <v>1217</v>
      </c>
      <c r="I197" s="127" t="str">
        <f t="shared" si="3"/>
        <v>Who Wants to Live Forever.6.mid</v>
      </c>
      <c r="J197" s="128" t="str">
        <f t="shared" si="4"/>
        <v>Who Wants to Live Forever.6</v>
      </c>
      <c r="K197" s="122"/>
      <c r="L197" s="125">
        <v>0.0</v>
      </c>
      <c r="M197" s="126" t="s">
        <v>1156</v>
      </c>
      <c r="N197" s="127" t="str">
        <f t="shared" si="5"/>
        <v>Who Wants to Live Forever.2.mid</v>
      </c>
      <c r="O197" s="128" t="str">
        <f t="shared" si="6"/>
        <v>Who Wants to Live Forever.2</v>
      </c>
      <c r="P197" s="122"/>
      <c r="Q197" s="125">
        <v>0.0</v>
      </c>
      <c r="R197" s="126" t="s">
        <v>1218</v>
      </c>
      <c r="S197" s="127" t="str">
        <f t="shared" si="7"/>
        <v>You Don't Fool Me.mid</v>
      </c>
      <c r="T197" s="128" t="str">
        <f t="shared" si="8"/>
        <v>You Don't Fool Me</v>
      </c>
      <c r="U197" s="122"/>
      <c r="V197" s="125">
        <v>0.0</v>
      </c>
      <c r="W197" s="126" t="s">
        <v>1120</v>
      </c>
      <c r="X197" s="127" t="str">
        <f t="shared" si="9"/>
        <v>Who Wants to Live Forever.7.mid</v>
      </c>
      <c r="Y197" s="128" t="str">
        <f t="shared" si="10"/>
        <v>Who Wants to Live Forever.7</v>
      </c>
      <c r="Z197" s="122"/>
      <c r="AA197" s="125">
        <v>2.0</v>
      </c>
      <c r="AB197" s="126" t="s">
        <v>1051</v>
      </c>
      <c r="AC197" s="127" t="str">
        <f t="shared" si="11"/>
        <v>You Don't Fool Me.2.mid</v>
      </c>
      <c r="AD197" s="128" t="str">
        <f t="shared" si="12"/>
        <v>You Don't Fool Me.2</v>
      </c>
      <c r="AE197" s="122"/>
      <c r="AF197" s="125">
        <v>9.0</v>
      </c>
      <c r="AG197" s="126" t="s">
        <v>1157</v>
      </c>
      <c r="AH197" s="127" t="str">
        <f t="shared" si="13"/>
        <v>You're My Best Friend.3.mid</v>
      </c>
      <c r="AI197" s="128" t="str">
        <f t="shared" si="14"/>
        <v>You're My Best Friend.3</v>
      </c>
      <c r="AJ197" s="122"/>
      <c r="AK197" s="125">
        <v>9.0</v>
      </c>
      <c r="AL197" s="126" t="s">
        <v>1157</v>
      </c>
      <c r="AM197" s="127" t="str">
        <f t="shared" si="15"/>
        <v>You're My Best Friend.3.mid</v>
      </c>
      <c r="AN197" s="128" t="str">
        <f t="shared" si="16"/>
        <v>You're My Best Friend.3</v>
      </c>
      <c r="AO197" s="122"/>
      <c r="AP197" s="125">
        <v>47.0</v>
      </c>
      <c r="AQ197" s="126" t="s">
        <v>1209</v>
      </c>
      <c r="AR197" s="127" t="str">
        <f t="shared" si="17"/>
        <v>The Invisible Man.2.mid</v>
      </c>
      <c r="AS197" s="128" t="str">
        <f t="shared" si="18"/>
        <v>The Invisible Man.2</v>
      </c>
      <c r="AT197" s="122"/>
      <c r="AU197" s="125">
        <v>16.0</v>
      </c>
      <c r="AV197" s="126" t="s">
        <v>1215</v>
      </c>
      <c r="AW197" s="127" t="str">
        <f t="shared" si="19"/>
        <v>The Miracle.1.mid</v>
      </c>
      <c r="AX197" s="128" t="str">
        <f t="shared" si="20"/>
        <v>The Miracle.1</v>
      </c>
      <c r="AY197" s="122"/>
    </row>
    <row r="198" ht="15.75" customHeight="1">
      <c r="A198" s="124"/>
      <c r="B198" s="125">
        <v>0.0</v>
      </c>
      <c r="C198" s="126" t="s">
        <v>1074</v>
      </c>
      <c r="D198" s="127" t="str">
        <f t="shared" si="1"/>
        <v>Who Wants to Live Forever.5.mid</v>
      </c>
      <c r="E198" s="128" t="str">
        <f t="shared" si="2"/>
        <v>Who Wants to Live Forever.5</v>
      </c>
      <c r="F198" s="122"/>
      <c r="G198" s="125">
        <v>0.0</v>
      </c>
      <c r="H198" s="126" t="s">
        <v>1120</v>
      </c>
      <c r="I198" s="127" t="str">
        <f t="shared" si="3"/>
        <v>Who Wants to Live Forever.7.mid</v>
      </c>
      <c r="J198" s="128" t="str">
        <f t="shared" si="4"/>
        <v>Who Wants to Live Forever.7</v>
      </c>
      <c r="K198" s="122"/>
      <c r="L198" s="125">
        <v>0.0</v>
      </c>
      <c r="M198" s="126" t="s">
        <v>1149</v>
      </c>
      <c r="N198" s="127" t="str">
        <f t="shared" si="5"/>
        <v>Who Wants to Live Forever.3.mid</v>
      </c>
      <c r="O198" s="128" t="str">
        <f t="shared" si="6"/>
        <v>Who Wants to Live Forever.3</v>
      </c>
      <c r="P198" s="122"/>
      <c r="Q198" s="125">
        <v>0.0</v>
      </c>
      <c r="R198" s="126" t="s">
        <v>1219</v>
      </c>
      <c r="S198" s="127" t="str">
        <f t="shared" si="7"/>
        <v>You're My Best Friend.2.mid</v>
      </c>
      <c r="T198" s="128" t="str">
        <f t="shared" si="8"/>
        <v>You're My Best Friend.2</v>
      </c>
      <c r="U198" s="122"/>
      <c r="V198" s="125">
        <v>0.0</v>
      </c>
      <c r="W198" s="126" t="s">
        <v>1235</v>
      </c>
      <c r="X198" s="127" t="str">
        <f t="shared" si="9"/>
        <v>Who Wants to Live Forever.8.mid</v>
      </c>
      <c r="Y198" s="128" t="str">
        <f t="shared" si="10"/>
        <v>Who Wants to Live Forever.8</v>
      </c>
      <c r="Z198" s="122"/>
      <c r="AA198" s="125">
        <v>2.0</v>
      </c>
      <c r="AB198" s="126" t="s">
        <v>1237</v>
      </c>
      <c r="AC198" s="127" t="str">
        <f t="shared" si="11"/>
        <v>You're My Best Friend.1.mid</v>
      </c>
      <c r="AD198" s="128" t="str">
        <f t="shared" si="12"/>
        <v>You're My Best Friend.1</v>
      </c>
      <c r="AE198" s="122"/>
      <c r="AF198" s="125">
        <v>9.0</v>
      </c>
      <c r="AG198" s="126" t="s">
        <v>1137</v>
      </c>
      <c r="AH198" s="127" t="str">
        <f t="shared" si="13"/>
        <v>You're My Best Friend.4.mid</v>
      </c>
      <c r="AI198" s="128" t="str">
        <f t="shared" si="14"/>
        <v>You're My Best Friend.4</v>
      </c>
      <c r="AJ198" s="122"/>
      <c r="AK198" s="125">
        <v>9.0</v>
      </c>
      <c r="AL198" s="126" t="s">
        <v>1137</v>
      </c>
      <c r="AM198" s="127" t="str">
        <f t="shared" si="15"/>
        <v>You're My Best Friend.4.mid</v>
      </c>
      <c r="AN198" s="128" t="str">
        <f t="shared" si="16"/>
        <v>You're My Best Friend.4</v>
      </c>
      <c r="AO198" s="122"/>
      <c r="AP198" s="125">
        <v>47.0</v>
      </c>
      <c r="AQ198" s="126" t="s">
        <v>1214</v>
      </c>
      <c r="AR198" s="127" t="str">
        <f t="shared" si="17"/>
        <v>The Show Must Go On.4.mid</v>
      </c>
      <c r="AS198" s="128" t="str">
        <f t="shared" si="18"/>
        <v>The Show Must Go On.4</v>
      </c>
      <c r="AT198" s="122"/>
      <c r="AU198" s="125">
        <v>17.0</v>
      </c>
      <c r="AV198" s="126" t="s">
        <v>1226</v>
      </c>
      <c r="AW198" s="127" t="str">
        <f t="shared" si="19"/>
        <v>The Show Must Go On.1.mid</v>
      </c>
      <c r="AX198" s="128" t="str">
        <f t="shared" si="20"/>
        <v>The Show Must Go On.1</v>
      </c>
      <c r="AY198" s="122"/>
    </row>
    <row r="199" ht="15.75" customHeight="1">
      <c r="A199" s="124"/>
      <c r="B199" s="125">
        <v>0.0</v>
      </c>
      <c r="C199" s="126" t="s">
        <v>1217</v>
      </c>
      <c r="D199" s="127" t="str">
        <f t="shared" si="1"/>
        <v>Who Wants to Live Forever.6.mid</v>
      </c>
      <c r="E199" s="128" t="str">
        <f t="shared" si="2"/>
        <v>Who Wants to Live Forever.6</v>
      </c>
      <c r="F199" s="122"/>
      <c r="G199" s="125">
        <v>0.0</v>
      </c>
      <c r="H199" s="126" t="s">
        <v>1235</v>
      </c>
      <c r="I199" s="127" t="str">
        <f t="shared" si="3"/>
        <v>Who Wants to Live Forever.8.mid</v>
      </c>
      <c r="J199" s="128" t="str">
        <f t="shared" si="4"/>
        <v>Who Wants to Live Forever.8</v>
      </c>
      <c r="K199" s="122"/>
      <c r="L199" s="125">
        <v>0.0</v>
      </c>
      <c r="M199" s="126" t="s">
        <v>1074</v>
      </c>
      <c r="N199" s="127" t="str">
        <f t="shared" si="5"/>
        <v>Who Wants to Live Forever.5.mid</v>
      </c>
      <c r="O199" s="128" t="str">
        <f t="shared" si="6"/>
        <v>Who Wants to Live Forever.5</v>
      </c>
      <c r="P199" s="122"/>
      <c r="Q199" s="125">
        <v>0.0</v>
      </c>
      <c r="R199" s="126" t="s">
        <v>1157</v>
      </c>
      <c r="S199" s="127" t="str">
        <f t="shared" si="7"/>
        <v>You're My Best Friend.3.mid</v>
      </c>
      <c r="T199" s="128" t="str">
        <f t="shared" si="8"/>
        <v>You're My Best Friend.3</v>
      </c>
      <c r="U199" s="122"/>
      <c r="V199" s="125">
        <v>0.0</v>
      </c>
      <c r="W199" s="126" t="s">
        <v>1135</v>
      </c>
      <c r="X199" s="127" t="str">
        <f t="shared" si="9"/>
        <v>Who Wants to Live Forever.mid</v>
      </c>
      <c r="Y199" s="128" t="str">
        <f t="shared" si="10"/>
        <v>Who Wants to Live Forever</v>
      </c>
      <c r="Z199" s="122"/>
      <c r="AA199" s="125">
        <v>3.0</v>
      </c>
      <c r="AB199" s="126" t="s">
        <v>1027</v>
      </c>
      <c r="AC199" s="127" t="str">
        <f t="shared" si="11"/>
        <v>We Will Rock You.6.mid</v>
      </c>
      <c r="AD199" s="128" t="str">
        <f t="shared" si="12"/>
        <v>We Will Rock You.6</v>
      </c>
      <c r="AE199" s="122"/>
      <c r="AF199" s="125">
        <v>9.0</v>
      </c>
      <c r="AG199" s="126" t="s">
        <v>1233</v>
      </c>
      <c r="AH199" s="127" t="str">
        <f t="shared" si="13"/>
        <v>You're My Best Friend.mid</v>
      </c>
      <c r="AI199" s="128" t="str">
        <f t="shared" si="14"/>
        <v>You're My Best Friend</v>
      </c>
      <c r="AJ199" s="122"/>
      <c r="AK199" s="125">
        <v>9.0</v>
      </c>
      <c r="AL199" s="126" t="s">
        <v>1233</v>
      </c>
      <c r="AM199" s="127" t="str">
        <f t="shared" si="15"/>
        <v>You're My Best Friend.mid</v>
      </c>
      <c r="AN199" s="128" t="str">
        <f t="shared" si="16"/>
        <v>You're My Best Friend</v>
      </c>
      <c r="AO199" s="122"/>
      <c r="AP199" s="125">
        <v>47.0</v>
      </c>
      <c r="AQ199" s="126" t="s">
        <v>1221</v>
      </c>
      <c r="AR199" s="127" t="str">
        <f t="shared" si="17"/>
        <v>Too Much Love Will Kill You.2.mid</v>
      </c>
      <c r="AS199" s="128" t="str">
        <f t="shared" si="18"/>
        <v>Too Much Love Will Kill You.2</v>
      </c>
      <c r="AT199" s="122"/>
      <c r="AU199" s="125">
        <v>18.0</v>
      </c>
      <c r="AV199" s="126" t="s">
        <v>1220</v>
      </c>
      <c r="AW199" s="127" t="str">
        <f t="shared" si="19"/>
        <v>The Show Must Go On.3.mid</v>
      </c>
      <c r="AX199" s="128" t="str">
        <f t="shared" si="20"/>
        <v>The Show Must Go On.3</v>
      </c>
      <c r="AY199" s="122"/>
    </row>
    <row r="200" ht="15.75" customHeight="1">
      <c r="A200" s="124"/>
      <c r="B200" s="125">
        <v>0.0</v>
      </c>
      <c r="C200" s="126" t="s">
        <v>1120</v>
      </c>
      <c r="D200" s="127" t="str">
        <f t="shared" si="1"/>
        <v>Who Wants to Live Forever.7.mid</v>
      </c>
      <c r="E200" s="128" t="str">
        <f t="shared" si="2"/>
        <v>Who Wants to Live Forever.7</v>
      </c>
      <c r="F200" s="122"/>
      <c r="G200" s="125">
        <v>0.0</v>
      </c>
      <c r="H200" s="126" t="s">
        <v>1135</v>
      </c>
      <c r="I200" s="127" t="str">
        <f t="shared" si="3"/>
        <v>Who Wants to Live Forever.mid</v>
      </c>
      <c r="J200" s="128" t="str">
        <f t="shared" si="4"/>
        <v>Who Wants to Live Forever</v>
      </c>
      <c r="K200" s="122"/>
      <c r="L200" s="125">
        <v>0.0</v>
      </c>
      <c r="M200" s="126" t="s">
        <v>1217</v>
      </c>
      <c r="N200" s="127" t="str">
        <f t="shared" si="5"/>
        <v>Who Wants to Live Forever.6.mid</v>
      </c>
      <c r="O200" s="128" t="str">
        <f t="shared" si="6"/>
        <v>Who Wants to Live Forever.6</v>
      </c>
      <c r="P200" s="122"/>
      <c r="Q200" s="125">
        <v>0.0</v>
      </c>
      <c r="R200" s="126" t="s">
        <v>1137</v>
      </c>
      <c r="S200" s="127" t="str">
        <f t="shared" si="7"/>
        <v>You're My Best Friend.4.mid</v>
      </c>
      <c r="T200" s="128" t="str">
        <f t="shared" si="8"/>
        <v>You're My Best Friend.4</v>
      </c>
      <c r="U200" s="122"/>
      <c r="V200" s="125">
        <v>0.0</v>
      </c>
      <c r="W200" s="126" t="s">
        <v>1142</v>
      </c>
      <c r="X200" s="127" t="str">
        <f t="shared" si="9"/>
        <v>You Don't Fool Me.1.mid</v>
      </c>
      <c r="Y200" s="128" t="str">
        <f t="shared" si="10"/>
        <v>You Don't Fool Me.1</v>
      </c>
      <c r="Z200" s="122"/>
      <c r="AA200" s="125">
        <v>3.0</v>
      </c>
      <c r="AB200" s="126" t="s">
        <v>1031</v>
      </c>
      <c r="AC200" s="127" t="str">
        <f t="shared" si="11"/>
        <v>You're My Best Friend.5.mid</v>
      </c>
      <c r="AD200" s="128" t="str">
        <f t="shared" si="12"/>
        <v>You're My Best Friend.5</v>
      </c>
      <c r="AE200" s="122"/>
      <c r="AF200" s="125">
        <v>10.0</v>
      </c>
      <c r="AG200" s="126" t="s">
        <v>1215</v>
      </c>
      <c r="AH200" s="127" t="str">
        <f t="shared" si="13"/>
        <v>The Miracle.1.mid</v>
      </c>
      <c r="AI200" s="128" t="str">
        <f t="shared" si="14"/>
        <v>The Miracle.1</v>
      </c>
      <c r="AJ200" s="122"/>
      <c r="AK200" s="125">
        <v>10.0</v>
      </c>
      <c r="AL200" s="126" t="s">
        <v>1215</v>
      </c>
      <c r="AM200" s="127" t="str">
        <f t="shared" si="15"/>
        <v>The Miracle.1.mid</v>
      </c>
      <c r="AN200" s="128" t="str">
        <f t="shared" si="16"/>
        <v>The Miracle.1</v>
      </c>
      <c r="AO200" s="122"/>
      <c r="AP200" s="125">
        <v>47.0</v>
      </c>
      <c r="AQ200" s="126" t="s">
        <v>1222</v>
      </c>
      <c r="AR200" s="127" t="str">
        <f t="shared" si="17"/>
        <v>Too Much Love Will Kill You.3.mid</v>
      </c>
      <c r="AS200" s="128" t="str">
        <f t="shared" si="18"/>
        <v>Too Much Love Will Kill You.3</v>
      </c>
      <c r="AT200" s="122"/>
      <c r="AU200" s="125">
        <v>19.0</v>
      </c>
      <c r="AV200" s="126" t="s">
        <v>1224</v>
      </c>
      <c r="AW200" s="127" t="str">
        <f t="shared" si="19"/>
        <v>These Are the Days of Our Lives.1.mid</v>
      </c>
      <c r="AX200" s="128" t="str">
        <f t="shared" si="20"/>
        <v>These Are the Days of Our Lives.1</v>
      </c>
      <c r="AY200" s="122"/>
    </row>
    <row r="201" ht="15.75" customHeight="1">
      <c r="A201" s="124"/>
      <c r="B201" s="125">
        <v>0.0</v>
      </c>
      <c r="C201" s="126" t="s">
        <v>1235</v>
      </c>
      <c r="D201" s="127" t="str">
        <f t="shared" si="1"/>
        <v>Who Wants to Live Forever.8.mid</v>
      </c>
      <c r="E201" s="128" t="str">
        <f t="shared" si="2"/>
        <v>Who Wants to Live Forever.8</v>
      </c>
      <c r="F201" s="122"/>
      <c r="G201" s="125">
        <v>0.0</v>
      </c>
      <c r="H201" s="126" t="s">
        <v>1142</v>
      </c>
      <c r="I201" s="127" t="str">
        <f t="shared" si="3"/>
        <v>You Don't Fool Me.1.mid</v>
      </c>
      <c r="J201" s="128" t="str">
        <f t="shared" si="4"/>
        <v>You Don't Fool Me.1</v>
      </c>
      <c r="K201" s="122"/>
      <c r="L201" s="125">
        <v>0.0</v>
      </c>
      <c r="M201" s="126" t="s">
        <v>1120</v>
      </c>
      <c r="N201" s="127" t="str">
        <f t="shared" si="5"/>
        <v>Who Wants to Live Forever.7.mid</v>
      </c>
      <c r="O201" s="128" t="str">
        <f t="shared" si="6"/>
        <v>Who Wants to Live Forever.7</v>
      </c>
      <c r="P201" s="122"/>
      <c r="Q201" s="125">
        <v>0.0</v>
      </c>
      <c r="R201" s="126" t="s">
        <v>1233</v>
      </c>
      <c r="S201" s="127" t="str">
        <f t="shared" si="7"/>
        <v>You're My Best Friend.mid</v>
      </c>
      <c r="T201" s="128" t="str">
        <f t="shared" si="8"/>
        <v>You're My Best Friend</v>
      </c>
      <c r="U201" s="122"/>
      <c r="V201" s="125">
        <v>0.0</v>
      </c>
      <c r="W201" s="126" t="s">
        <v>1051</v>
      </c>
      <c r="X201" s="127" t="str">
        <f t="shared" si="9"/>
        <v>You Don't Fool Me.2.mid</v>
      </c>
      <c r="Y201" s="128" t="str">
        <f t="shared" si="10"/>
        <v>You Don't Fool Me.2</v>
      </c>
      <c r="Z201" s="122"/>
      <c r="AA201" s="125">
        <v>4.0</v>
      </c>
      <c r="AB201" s="126" t="s">
        <v>1122</v>
      </c>
      <c r="AC201" s="127" t="str">
        <f t="shared" si="11"/>
        <v>Love of My Life.3.mid</v>
      </c>
      <c r="AD201" s="128" t="str">
        <f t="shared" si="12"/>
        <v>Love of My Life.3</v>
      </c>
      <c r="AE201" s="122"/>
      <c r="AF201" s="125">
        <v>11.0</v>
      </c>
      <c r="AG201" s="126" t="s">
        <v>1122</v>
      </c>
      <c r="AH201" s="127" t="str">
        <f t="shared" si="13"/>
        <v>Love of My Life.3.mid</v>
      </c>
      <c r="AI201" s="128" t="str">
        <f t="shared" si="14"/>
        <v>Love of My Life.3</v>
      </c>
      <c r="AJ201" s="122"/>
      <c r="AK201" s="125">
        <v>11.0</v>
      </c>
      <c r="AL201" s="126" t="s">
        <v>1122</v>
      </c>
      <c r="AM201" s="127" t="str">
        <f t="shared" si="15"/>
        <v>Love of My Life.3.mid</v>
      </c>
      <c r="AN201" s="128" t="str">
        <f t="shared" si="16"/>
        <v>Love of My Life.3</v>
      </c>
      <c r="AO201" s="122"/>
      <c r="AP201" s="125">
        <v>47.0</v>
      </c>
      <c r="AQ201" s="126" t="s">
        <v>1227</v>
      </c>
      <c r="AR201" s="127" t="str">
        <f t="shared" si="17"/>
        <v>Under Pressure.7.mid</v>
      </c>
      <c r="AS201" s="128" t="str">
        <f t="shared" si="18"/>
        <v>Under Pressure.7</v>
      </c>
      <c r="AT201" s="122"/>
      <c r="AU201" s="125">
        <v>20.0</v>
      </c>
      <c r="AV201" s="126" t="s">
        <v>1036</v>
      </c>
      <c r="AW201" s="127" t="str">
        <f t="shared" si="19"/>
        <v>A Kind of Magic.mid</v>
      </c>
      <c r="AX201" s="128" t="str">
        <f t="shared" si="20"/>
        <v>A Kind of Magic</v>
      </c>
      <c r="AY201" s="122"/>
    </row>
    <row r="202" ht="15.75" customHeight="1">
      <c r="A202" s="124"/>
      <c r="B202" s="125">
        <v>0.0</v>
      </c>
      <c r="C202" s="126" t="s">
        <v>1135</v>
      </c>
      <c r="D202" s="127" t="str">
        <f t="shared" si="1"/>
        <v>Who Wants to Live Forever.mid</v>
      </c>
      <c r="E202" s="128" t="str">
        <f t="shared" si="2"/>
        <v>Who Wants to Live Forever</v>
      </c>
      <c r="F202" s="122"/>
      <c r="G202" s="125">
        <v>0.0</v>
      </c>
      <c r="H202" s="126" t="s">
        <v>1051</v>
      </c>
      <c r="I202" s="127" t="str">
        <f t="shared" si="3"/>
        <v>You Don't Fool Me.2.mid</v>
      </c>
      <c r="J202" s="128" t="str">
        <f t="shared" si="4"/>
        <v>You Don't Fool Me.2</v>
      </c>
      <c r="K202" s="122"/>
      <c r="L202" s="125">
        <v>0.0</v>
      </c>
      <c r="M202" s="126" t="s">
        <v>1235</v>
      </c>
      <c r="N202" s="127" t="str">
        <f t="shared" si="5"/>
        <v>Who Wants to Live Forever.8.mid</v>
      </c>
      <c r="O202" s="128" t="str">
        <f t="shared" si="6"/>
        <v>Who Wants to Live Forever.8</v>
      </c>
      <c r="P202" s="122"/>
      <c r="Q202" s="125">
        <v>1.0</v>
      </c>
      <c r="R202" s="126" t="s">
        <v>1026</v>
      </c>
      <c r="S202" s="127" t="str">
        <f t="shared" si="7"/>
        <v>A Kind of Magic.2.mid</v>
      </c>
      <c r="T202" s="128" t="str">
        <f t="shared" si="8"/>
        <v>A Kind of Magic.2</v>
      </c>
      <c r="U202" s="122"/>
      <c r="V202" s="125">
        <v>0.0</v>
      </c>
      <c r="W202" s="126" t="s">
        <v>1236</v>
      </c>
      <c r="X202" s="127" t="str">
        <f t="shared" si="9"/>
        <v>You Don't Fool Me.3.mid</v>
      </c>
      <c r="Y202" s="128" t="str">
        <f t="shared" si="10"/>
        <v>You Don't Fool Me.3</v>
      </c>
      <c r="Z202" s="122"/>
      <c r="AA202" s="125">
        <v>4.0</v>
      </c>
      <c r="AB202" s="126" t="s">
        <v>1226</v>
      </c>
      <c r="AC202" s="127" t="str">
        <f t="shared" si="11"/>
        <v>The Show Must Go On.1.mid</v>
      </c>
      <c r="AD202" s="128" t="str">
        <f t="shared" si="12"/>
        <v>The Show Must Go On.1</v>
      </c>
      <c r="AE202" s="122"/>
      <c r="AF202" s="125">
        <v>11.0</v>
      </c>
      <c r="AG202" s="126" t="s">
        <v>1226</v>
      </c>
      <c r="AH202" s="127" t="str">
        <f t="shared" si="13"/>
        <v>The Show Must Go On.1.mid</v>
      </c>
      <c r="AI202" s="128" t="str">
        <f t="shared" si="14"/>
        <v>The Show Must Go On.1</v>
      </c>
      <c r="AJ202" s="122"/>
      <c r="AK202" s="125">
        <v>11.0</v>
      </c>
      <c r="AL202" s="126" t="s">
        <v>1226</v>
      </c>
      <c r="AM202" s="127" t="str">
        <f t="shared" si="15"/>
        <v>The Show Must Go On.1.mid</v>
      </c>
      <c r="AN202" s="128" t="str">
        <f t="shared" si="16"/>
        <v>The Show Must Go On.1</v>
      </c>
      <c r="AO202" s="122"/>
      <c r="AP202" s="125">
        <v>47.0</v>
      </c>
      <c r="AQ202" s="126" t="s">
        <v>1072</v>
      </c>
      <c r="AR202" s="127" t="str">
        <f t="shared" si="17"/>
        <v>We Will Rock You.2.mid</v>
      </c>
      <c r="AS202" s="128" t="str">
        <f t="shared" si="18"/>
        <v>We Will Rock You.2</v>
      </c>
      <c r="AT202" s="122"/>
      <c r="AU202" s="125">
        <v>20.0</v>
      </c>
      <c r="AV202" s="126" t="s">
        <v>1042</v>
      </c>
      <c r="AW202" s="127" t="str">
        <f t="shared" si="19"/>
        <v>All God's People.2.mid</v>
      </c>
      <c r="AX202" s="128" t="str">
        <f t="shared" si="20"/>
        <v>All God's People.2</v>
      </c>
      <c r="AY202" s="122"/>
    </row>
    <row r="203" ht="15.75" customHeight="1">
      <c r="A203" s="124"/>
      <c r="B203" s="125">
        <v>0.0</v>
      </c>
      <c r="C203" s="126" t="s">
        <v>1142</v>
      </c>
      <c r="D203" s="127" t="str">
        <f t="shared" si="1"/>
        <v>You Don't Fool Me.1.mid</v>
      </c>
      <c r="E203" s="128" t="str">
        <f t="shared" si="2"/>
        <v>You Don't Fool Me.1</v>
      </c>
      <c r="F203" s="122"/>
      <c r="G203" s="125">
        <v>0.0</v>
      </c>
      <c r="H203" s="126" t="s">
        <v>1236</v>
      </c>
      <c r="I203" s="127" t="str">
        <f t="shared" si="3"/>
        <v>You Don't Fool Me.3.mid</v>
      </c>
      <c r="J203" s="128" t="str">
        <f t="shared" si="4"/>
        <v>You Don't Fool Me.3</v>
      </c>
      <c r="K203" s="122"/>
      <c r="L203" s="125">
        <v>0.0</v>
      </c>
      <c r="M203" s="126" t="s">
        <v>1135</v>
      </c>
      <c r="N203" s="127" t="str">
        <f t="shared" si="5"/>
        <v>Who Wants to Live Forever.mid</v>
      </c>
      <c r="O203" s="128" t="str">
        <f t="shared" si="6"/>
        <v>Who Wants to Live Forever</v>
      </c>
      <c r="P203" s="122"/>
      <c r="Q203" s="125">
        <v>2.0</v>
      </c>
      <c r="R203" s="126" t="s">
        <v>1046</v>
      </c>
      <c r="S203" s="127" t="str">
        <f t="shared" si="7"/>
        <v>Bohemian Rhapsody.4.mid</v>
      </c>
      <c r="T203" s="128" t="str">
        <f t="shared" si="8"/>
        <v>Bohemian Rhapsody.4</v>
      </c>
      <c r="U203" s="122"/>
      <c r="V203" s="125">
        <v>0.0</v>
      </c>
      <c r="W203" s="126" t="s">
        <v>1218</v>
      </c>
      <c r="X203" s="127" t="str">
        <f t="shared" si="9"/>
        <v>You Don't Fool Me.mid</v>
      </c>
      <c r="Y203" s="128" t="str">
        <f t="shared" si="10"/>
        <v>You Don't Fool Me</v>
      </c>
      <c r="Z203" s="122"/>
      <c r="AA203" s="125">
        <v>4.0</v>
      </c>
      <c r="AB203" s="126" t="s">
        <v>1230</v>
      </c>
      <c r="AC203" s="127" t="str">
        <f t="shared" si="11"/>
        <v>These Are the Days of Our Lives.4.mid</v>
      </c>
      <c r="AD203" s="128" t="str">
        <f t="shared" si="12"/>
        <v>These Are the Days of Our Lives.4</v>
      </c>
      <c r="AE203" s="122"/>
      <c r="AF203" s="125">
        <v>11.0</v>
      </c>
      <c r="AG203" s="126" t="s">
        <v>1230</v>
      </c>
      <c r="AH203" s="127" t="str">
        <f t="shared" si="13"/>
        <v>These Are the Days of Our Lives.4.mid</v>
      </c>
      <c r="AI203" s="128" t="str">
        <f t="shared" si="14"/>
        <v>These Are the Days of Our Lives.4</v>
      </c>
      <c r="AJ203" s="122"/>
      <c r="AK203" s="125">
        <v>11.0</v>
      </c>
      <c r="AL203" s="126" t="s">
        <v>1230</v>
      </c>
      <c r="AM203" s="127" t="str">
        <f t="shared" si="15"/>
        <v>These Are the Days of Our Lives.4.mid</v>
      </c>
      <c r="AN203" s="128" t="str">
        <f t="shared" si="16"/>
        <v>These Are the Days of Our Lives.4</v>
      </c>
      <c r="AO203" s="122"/>
      <c r="AP203" s="125">
        <v>47.0</v>
      </c>
      <c r="AQ203" s="126" t="s">
        <v>1235</v>
      </c>
      <c r="AR203" s="127" t="str">
        <f t="shared" si="17"/>
        <v>Who Wants to Live Forever.8.mid</v>
      </c>
      <c r="AS203" s="128" t="str">
        <f t="shared" si="18"/>
        <v>Who Wants to Live Forever.8</v>
      </c>
      <c r="AT203" s="122"/>
      <c r="AU203" s="125">
        <v>20.0</v>
      </c>
      <c r="AV203" s="126" t="s">
        <v>1087</v>
      </c>
      <c r="AW203" s="127" t="str">
        <f t="shared" si="19"/>
        <v>Bohemian Rhapsody.7.mid</v>
      </c>
      <c r="AX203" s="128" t="str">
        <f t="shared" si="20"/>
        <v>Bohemian Rhapsody.7</v>
      </c>
      <c r="AY203" s="122"/>
    </row>
    <row r="204" ht="15.75" customHeight="1">
      <c r="A204" s="124"/>
      <c r="B204" s="125">
        <v>0.0</v>
      </c>
      <c r="C204" s="126" t="s">
        <v>1051</v>
      </c>
      <c r="D204" s="127" t="str">
        <f t="shared" si="1"/>
        <v>You Don't Fool Me.2.mid</v>
      </c>
      <c r="E204" s="128" t="str">
        <f t="shared" si="2"/>
        <v>You Don't Fool Me.2</v>
      </c>
      <c r="F204" s="122"/>
      <c r="G204" s="125">
        <v>0.0</v>
      </c>
      <c r="H204" s="126" t="s">
        <v>1218</v>
      </c>
      <c r="I204" s="127" t="str">
        <f t="shared" si="3"/>
        <v>You Don't Fool Me.mid</v>
      </c>
      <c r="J204" s="128" t="str">
        <f t="shared" si="4"/>
        <v>You Don't Fool Me</v>
      </c>
      <c r="K204" s="122"/>
      <c r="L204" s="125">
        <v>0.0</v>
      </c>
      <c r="M204" s="126" t="s">
        <v>1142</v>
      </c>
      <c r="N204" s="127" t="str">
        <f t="shared" si="5"/>
        <v>You Don't Fool Me.1.mid</v>
      </c>
      <c r="O204" s="128" t="str">
        <f t="shared" si="6"/>
        <v>You Don't Fool Me.1</v>
      </c>
      <c r="P204" s="122"/>
      <c r="Q204" s="125">
        <v>2.0</v>
      </c>
      <c r="R204" s="126" t="s">
        <v>1055</v>
      </c>
      <c r="S204" s="127" t="str">
        <f t="shared" si="7"/>
        <v>Don't Stop Me Now.mid</v>
      </c>
      <c r="T204" s="128" t="str">
        <f t="shared" si="8"/>
        <v>Don't Stop Me Now</v>
      </c>
      <c r="U204" s="122"/>
      <c r="V204" s="125">
        <v>0.0</v>
      </c>
      <c r="W204" s="126" t="s">
        <v>1237</v>
      </c>
      <c r="X204" s="127" t="str">
        <f t="shared" si="9"/>
        <v>You're My Best Friend.1.mid</v>
      </c>
      <c r="Y204" s="128" t="str">
        <f t="shared" si="10"/>
        <v>You're My Best Friend.1</v>
      </c>
      <c r="Z204" s="122"/>
      <c r="AA204" s="125">
        <v>5.0</v>
      </c>
      <c r="AB204" s="126" t="s">
        <v>1048</v>
      </c>
      <c r="AC204" s="127" t="str">
        <f t="shared" si="11"/>
        <v>Another One Bites The Dust.6.mid</v>
      </c>
      <c r="AD204" s="128" t="str">
        <f t="shared" si="12"/>
        <v>Another One Bites The Dust.6</v>
      </c>
      <c r="AE204" s="122"/>
      <c r="AF204" s="125">
        <v>12.0</v>
      </c>
      <c r="AG204" s="126" t="s">
        <v>1048</v>
      </c>
      <c r="AH204" s="127" t="str">
        <f t="shared" si="13"/>
        <v>Another One Bites The Dust.6.mid</v>
      </c>
      <c r="AI204" s="128" t="str">
        <f t="shared" si="14"/>
        <v>Another One Bites The Dust.6</v>
      </c>
      <c r="AJ204" s="122"/>
      <c r="AK204" s="125">
        <v>12.0</v>
      </c>
      <c r="AL204" s="126" t="s">
        <v>1048</v>
      </c>
      <c r="AM204" s="127" t="str">
        <f t="shared" si="15"/>
        <v>Another One Bites The Dust.6.mid</v>
      </c>
      <c r="AN204" s="128" t="str">
        <f t="shared" si="16"/>
        <v>Another One Bites The Dust.6</v>
      </c>
      <c r="AO204" s="122"/>
      <c r="AP204" s="125">
        <v>48.0</v>
      </c>
      <c r="AQ204" s="126" t="s">
        <v>1229</v>
      </c>
      <c r="AR204" s="127" t="str">
        <f t="shared" si="17"/>
        <v>We Are The Champions.1.mid</v>
      </c>
      <c r="AS204" s="128" t="str">
        <f t="shared" si="18"/>
        <v>We Are The Champions.1</v>
      </c>
      <c r="AT204" s="122"/>
      <c r="AU204" s="125">
        <v>20.0</v>
      </c>
      <c r="AV204" s="126" t="s">
        <v>1139</v>
      </c>
      <c r="AW204" s="127" t="str">
        <f t="shared" si="19"/>
        <v>Heaven for Everyone.1.mid</v>
      </c>
      <c r="AX204" s="128" t="str">
        <f t="shared" si="20"/>
        <v>Heaven for Everyone.1</v>
      </c>
      <c r="AY204" s="122"/>
    </row>
    <row r="205" ht="15.75" customHeight="1">
      <c r="A205" s="124"/>
      <c r="B205" s="125">
        <v>0.0</v>
      </c>
      <c r="C205" s="126" t="s">
        <v>1236</v>
      </c>
      <c r="D205" s="127" t="str">
        <f t="shared" si="1"/>
        <v>You Don't Fool Me.3.mid</v>
      </c>
      <c r="E205" s="128" t="str">
        <f t="shared" si="2"/>
        <v>You Don't Fool Me.3</v>
      </c>
      <c r="F205" s="122"/>
      <c r="G205" s="125">
        <v>0.0</v>
      </c>
      <c r="H205" s="126" t="s">
        <v>1237</v>
      </c>
      <c r="I205" s="127" t="str">
        <f t="shared" si="3"/>
        <v>You're My Best Friend.1.mid</v>
      </c>
      <c r="J205" s="128" t="str">
        <f t="shared" si="4"/>
        <v>You're My Best Friend.1</v>
      </c>
      <c r="K205" s="122"/>
      <c r="L205" s="125">
        <v>0.0</v>
      </c>
      <c r="M205" s="126" t="s">
        <v>1051</v>
      </c>
      <c r="N205" s="127" t="str">
        <f t="shared" si="5"/>
        <v>You Don't Fool Me.2.mid</v>
      </c>
      <c r="O205" s="128" t="str">
        <f t="shared" si="6"/>
        <v>You Don't Fool Me.2</v>
      </c>
      <c r="P205" s="122"/>
      <c r="Q205" s="125">
        <v>2.0</v>
      </c>
      <c r="R205" s="126" t="s">
        <v>1215</v>
      </c>
      <c r="S205" s="127" t="str">
        <f t="shared" si="7"/>
        <v>The Miracle.1.mid</v>
      </c>
      <c r="T205" s="128" t="str">
        <f t="shared" si="8"/>
        <v>The Miracle.1</v>
      </c>
      <c r="U205" s="122"/>
      <c r="V205" s="125">
        <v>0.0</v>
      </c>
      <c r="W205" s="126" t="s">
        <v>1219</v>
      </c>
      <c r="X205" s="127" t="str">
        <f t="shared" si="9"/>
        <v>You're My Best Friend.2.mid</v>
      </c>
      <c r="Y205" s="128" t="str">
        <f t="shared" si="10"/>
        <v>You're My Best Friend.2</v>
      </c>
      <c r="Z205" s="122"/>
      <c r="AA205" s="125">
        <v>5.0</v>
      </c>
      <c r="AB205" s="126" t="s">
        <v>1053</v>
      </c>
      <c r="AC205" s="127" t="str">
        <f t="shared" si="11"/>
        <v>Crazy Little Thing Called Love.5.mid</v>
      </c>
      <c r="AD205" s="128" t="str">
        <f t="shared" si="12"/>
        <v>Crazy Little Thing Called Love.5</v>
      </c>
      <c r="AE205" s="122"/>
      <c r="AF205" s="125">
        <v>12.0</v>
      </c>
      <c r="AG205" s="126" t="s">
        <v>1063</v>
      </c>
      <c r="AH205" s="127" t="str">
        <f t="shared" si="13"/>
        <v>Good Old Fashioned Lover Boy.2.mid</v>
      </c>
      <c r="AI205" s="128" t="str">
        <f t="shared" si="14"/>
        <v>Good Old Fashioned Lover Boy.2</v>
      </c>
      <c r="AJ205" s="122"/>
      <c r="AK205" s="125">
        <v>12.0</v>
      </c>
      <c r="AL205" s="126" t="s">
        <v>1063</v>
      </c>
      <c r="AM205" s="127" t="str">
        <f t="shared" si="15"/>
        <v>Good Old Fashioned Lover Boy.2.mid</v>
      </c>
      <c r="AN205" s="128" t="str">
        <f t="shared" si="16"/>
        <v>Good Old Fashioned Lover Boy.2</v>
      </c>
      <c r="AO205" s="122"/>
      <c r="AP205" s="125">
        <v>49.0</v>
      </c>
      <c r="AQ205" s="126" t="s">
        <v>1118</v>
      </c>
      <c r="AR205" s="127" t="str">
        <f t="shared" si="17"/>
        <v>We Are the Champions.mid</v>
      </c>
      <c r="AS205" s="128" t="str">
        <f t="shared" si="18"/>
        <v>We Are the Champions</v>
      </c>
      <c r="AT205" s="122"/>
      <c r="AU205" s="125">
        <v>20.0</v>
      </c>
      <c r="AV205" s="126" t="s">
        <v>1146</v>
      </c>
      <c r="AW205" s="127" t="str">
        <f t="shared" si="19"/>
        <v>I Want to Break Free.1.mid</v>
      </c>
      <c r="AX205" s="128" t="str">
        <f t="shared" si="20"/>
        <v>I Want to Break Free.1</v>
      </c>
      <c r="AY205" s="122"/>
    </row>
    <row r="206" ht="15.75" customHeight="1">
      <c r="A206" s="124"/>
      <c r="B206" s="125">
        <v>0.0</v>
      </c>
      <c r="C206" s="126" t="s">
        <v>1218</v>
      </c>
      <c r="D206" s="127" t="str">
        <f t="shared" si="1"/>
        <v>You Don't Fool Me.mid</v>
      </c>
      <c r="E206" s="128" t="str">
        <f t="shared" si="2"/>
        <v>You Don't Fool Me</v>
      </c>
      <c r="F206" s="122"/>
      <c r="G206" s="125">
        <v>0.0</v>
      </c>
      <c r="H206" s="126" t="s">
        <v>1219</v>
      </c>
      <c r="I206" s="127" t="str">
        <f t="shared" si="3"/>
        <v>You're My Best Friend.2.mid</v>
      </c>
      <c r="J206" s="128" t="str">
        <f t="shared" si="4"/>
        <v>You're My Best Friend.2</v>
      </c>
      <c r="K206" s="122"/>
      <c r="L206" s="125">
        <v>0.0</v>
      </c>
      <c r="M206" s="126" t="s">
        <v>1236</v>
      </c>
      <c r="N206" s="127" t="str">
        <f t="shared" si="5"/>
        <v>You Don't Fool Me.3.mid</v>
      </c>
      <c r="O206" s="128" t="str">
        <f t="shared" si="6"/>
        <v>You Don't Fool Me.3</v>
      </c>
      <c r="P206" s="122"/>
      <c r="Q206" s="125">
        <v>2.0</v>
      </c>
      <c r="R206" s="126" t="s">
        <v>1049</v>
      </c>
      <c r="S206" s="127" t="str">
        <f t="shared" si="7"/>
        <v>We Are The Champions.9.mid</v>
      </c>
      <c r="T206" s="128" t="str">
        <f t="shared" si="8"/>
        <v>We Are The Champions.9</v>
      </c>
      <c r="U206" s="122"/>
      <c r="V206" s="125">
        <v>0.0</v>
      </c>
      <c r="W206" s="126" t="s">
        <v>1157</v>
      </c>
      <c r="X206" s="127" t="str">
        <f t="shared" si="9"/>
        <v>You're My Best Friend.3.mid</v>
      </c>
      <c r="Y206" s="128" t="str">
        <f t="shared" si="10"/>
        <v>You're My Best Friend.3</v>
      </c>
      <c r="Z206" s="122"/>
      <c r="AA206" s="125">
        <v>5.0</v>
      </c>
      <c r="AB206" s="126" t="s">
        <v>1056</v>
      </c>
      <c r="AC206" s="127" t="str">
        <f t="shared" si="11"/>
        <v>Fat Bottomed Girls.mid</v>
      </c>
      <c r="AD206" s="128" t="str">
        <f t="shared" si="12"/>
        <v>Fat Bottomed Girls</v>
      </c>
      <c r="AE206" s="122"/>
      <c r="AF206" s="125">
        <v>12.0</v>
      </c>
      <c r="AG206" s="126" t="s">
        <v>1065</v>
      </c>
      <c r="AH206" s="127" t="str">
        <f t="shared" si="13"/>
        <v>I Want to Break Free.3.mid</v>
      </c>
      <c r="AI206" s="128" t="str">
        <f t="shared" si="14"/>
        <v>I Want to Break Free.3</v>
      </c>
      <c r="AJ206" s="122"/>
      <c r="AK206" s="125">
        <v>12.0</v>
      </c>
      <c r="AL206" s="126" t="s">
        <v>1065</v>
      </c>
      <c r="AM206" s="127" t="str">
        <f t="shared" si="15"/>
        <v>I Want to Break Free.3.mid</v>
      </c>
      <c r="AN206" s="128" t="str">
        <f t="shared" si="16"/>
        <v>I Want to Break Free.3</v>
      </c>
      <c r="AO206" s="122"/>
      <c r="AP206" s="125">
        <v>50.0</v>
      </c>
      <c r="AQ206" s="126" t="s">
        <v>1057</v>
      </c>
      <c r="AR206" s="127" t="str">
        <f t="shared" si="17"/>
        <v>Another One Bites The Dust.7.mid</v>
      </c>
      <c r="AS206" s="128" t="str">
        <f t="shared" si="18"/>
        <v>Another One Bites The Dust.7</v>
      </c>
      <c r="AT206" s="122"/>
      <c r="AU206" s="125">
        <v>20.0</v>
      </c>
      <c r="AV206" s="126" t="s">
        <v>1144</v>
      </c>
      <c r="AW206" s="127" t="str">
        <f t="shared" si="19"/>
        <v>I Want to Break Free.2.mid</v>
      </c>
      <c r="AX206" s="128" t="str">
        <f t="shared" si="20"/>
        <v>I Want to Break Free.2</v>
      </c>
      <c r="AY206" s="122"/>
    </row>
    <row r="207" ht="15.75" customHeight="1">
      <c r="A207" s="124"/>
      <c r="B207" s="125">
        <v>0.0</v>
      </c>
      <c r="C207" s="126" t="s">
        <v>1237</v>
      </c>
      <c r="D207" s="127" t="str">
        <f t="shared" si="1"/>
        <v>You're My Best Friend.1.mid</v>
      </c>
      <c r="E207" s="128" t="str">
        <f t="shared" si="2"/>
        <v>You're My Best Friend.1</v>
      </c>
      <c r="F207" s="122"/>
      <c r="G207" s="125">
        <v>0.0</v>
      </c>
      <c r="H207" s="126" t="s">
        <v>1157</v>
      </c>
      <c r="I207" s="127" t="str">
        <f t="shared" si="3"/>
        <v>You're My Best Friend.3.mid</v>
      </c>
      <c r="J207" s="128" t="str">
        <f t="shared" si="4"/>
        <v>You're My Best Friend.3</v>
      </c>
      <c r="K207" s="122"/>
      <c r="L207" s="125">
        <v>0.0</v>
      </c>
      <c r="M207" s="126" t="s">
        <v>1218</v>
      </c>
      <c r="N207" s="127" t="str">
        <f t="shared" si="5"/>
        <v>You Don't Fool Me.mid</v>
      </c>
      <c r="O207" s="128" t="str">
        <f t="shared" si="6"/>
        <v>You Don't Fool Me</v>
      </c>
      <c r="P207" s="122"/>
      <c r="Q207" s="125">
        <v>2.0</v>
      </c>
      <c r="R207" s="126" t="s">
        <v>1051</v>
      </c>
      <c r="S207" s="127" t="str">
        <f t="shared" si="7"/>
        <v>You Don't Fool Me.2.mid</v>
      </c>
      <c r="T207" s="128" t="str">
        <f t="shared" si="8"/>
        <v>You Don't Fool Me.2</v>
      </c>
      <c r="U207" s="122"/>
      <c r="V207" s="125">
        <v>0.0</v>
      </c>
      <c r="W207" s="126" t="s">
        <v>1137</v>
      </c>
      <c r="X207" s="127" t="str">
        <f t="shared" si="9"/>
        <v>You're My Best Friend.4.mid</v>
      </c>
      <c r="Y207" s="128" t="str">
        <f t="shared" si="10"/>
        <v>You're My Best Friend.4</v>
      </c>
      <c r="Z207" s="122"/>
      <c r="AA207" s="125">
        <v>5.0</v>
      </c>
      <c r="AB207" s="126" t="s">
        <v>1063</v>
      </c>
      <c r="AC207" s="127" t="str">
        <f t="shared" si="11"/>
        <v>Good Old Fashioned Lover Boy.2.mid</v>
      </c>
      <c r="AD207" s="128" t="str">
        <f t="shared" si="12"/>
        <v>Good Old Fashioned Lover Boy.2</v>
      </c>
      <c r="AE207" s="122"/>
      <c r="AF207" s="125">
        <v>12.0</v>
      </c>
      <c r="AG207" s="126" t="s">
        <v>1124</v>
      </c>
      <c r="AH207" s="127" t="str">
        <f t="shared" si="13"/>
        <v>Procession.mid</v>
      </c>
      <c r="AI207" s="128" t="str">
        <f t="shared" si="14"/>
        <v>Procession</v>
      </c>
      <c r="AJ207" s="122"/>
      <c r="AK207" s="125">
        <v>12.0</v>
      </c>
      <c r="AL207" s="126" t="s">
        <v>1124</v>
      </c>
      <c r="AM207" s="127" t="str">
        <f t="shared" si="15"/>
        <v>Procession.mid</v>
      </c>
      <c r="AN207" s="128" t="str">
        <f t="shared" si="16"/>
        <v>Procession</v>
      </c>
      <c r="AO207" s="122"/>
      <c r="AP207" s="125">
        <v>50.0</v>
      </c>
      <c r="AQ207" s="126" t="s">
        <v>1232</v>
      </c>
      <c r="AR207" s="127" t="str">
        <f t="shared" si="17"/>
        <v>We Will Rock You.5.mid</v>
      </c>
      <c r="AS207" s="128" t="str">
        <f t="shared" si="18"/>
        <v>We Will Rock You.5</v>
      </c>
      <c r="AT207" s="122"/>
      <c r="AU207" s="125">
        <v>20.0</v>
      </c>
      <c r="AV207" s="126" t="s">
        <v>1177</v>
      </c>
      <c r="AW207" s="127" t="str">
        <f t="shared" si="19"/>
        <v>Now I'm Here.1.mid</v>
      </c>
      <c r="AX207" s="128" t="str">
        <f t="shared" si="20"/>
        <v>Now I'm Here.1</v>
      </c>
      <c r="AY207" s="122"/>
    </row>
    <row r="208" ht="15.75" customHeight="1">
      <c r="A208" s="124"/>
      <c r="B208" s="125">
        <v>0.0</v>
      </c>
      <c r="C208" s="126" t="s">
        <v>1219</v>
      </c>
      <c r="D208" s="127" t="str">
        <f t="shared" si="1"/>
        <v>You're My Best Friend.2.mid</v>
      </c>
      <c r="E208" s="128" t="str">
        <f t="shared" si="2"/>
        <v>You're My Best Friend.2</v>
      </c>
      <c r="F208" s="122"/>
      <c r="G208" s="125">
        <v>0.0</v>
      </c>
      <c r="H208" s="126" t="s">
        <v>1137</v>
      </c>
      <c r="I208" s="127" t="str">
        <f t="shared" si="3"/>
        <v>You're My Best Friend.4.mid</v>
      </c>
      <c r="J208" s="128" t="str">
        <f t="shared" si="4"/>
        <v>You're My Best Friend.4</v>
      </c>
      <c r="K208" s="122"/>
      <c r="L208" s="125">
        <v>0.0</v>
      </c>
      <c r="M208" s="126" t="s">
        <v>1237</v>
      </c>
      <c r="N208" s="127" t="str">
        <f t="shared" si="5"/>
        <v>You're My Best Friend.1.mid</v>
      </c>
      <c r="O208" s="128" t="str">
        <f t="shared" si="6"/>
        <v>You're My Best Friend.1</v>
      </c>
      <c r="P208" s="122"/>
      <c r="Q208" s="125">
        <v>2.0</v>
      </c>
      <c r="R208" s="126" t="s">
        <v>1237</v>
      </c>
      <c r="S208" s="127" t="str">
        <f t="shared" si="7"/>
        <v>You're My Best Friend.1.mid</v>
      </c>
      <c r="T208" s="128" t="str">
        <f t="shared" si="8"/>
        <v>You're My Best Friend.1</v>
      </c>
      <c r="U208" s="122"/>
      <c r="V208" s="125">
        <v>0.0</v>
      </c>
      <c r="W208" s="126" t="s">
        <v>1233</v>
      </c>
      <c r="X208" s="127" t="str">
        <f t="shared" si="9"/>
        <v>You're My Best Friend.mid</v>
      </c>
      <c r="Y208" s="128" t="str">
        <f t="shared" si="10"/>
        <v>You're My Best Friend</v>
      </c>
      <c r="Z208" s="122"/>
      <c r="AA208" s="125">
        <v>5.0</v>
      </c>
      <c r="AB208" s="126" t="s">
        <v>1065</v>
      </c>
      <c r="AC208" s="127" t="str">
        <f t="shared" si="11"/>
        <v>I Want to Break Free.3.mid</v>
      </c>
      <c r="AD208" s="128" t="str">
        <f t="shared" si="12"/>
        <v>I Want to Break Free.3</v>
      </c>
      <c r="AE208" s="122"/>
      <c r="AF208" s="125">
        <v>12.0</v>
      </c>
      <c r="AG208" s="126" t="s">
        <v>1127</v>
      </c>
      <c r="AH208" s="127" t="str">
        <f t="shared" si="13"/>
        <v>Scandal.mid</v>
      </c>
      <c r="AI208" s="128" t="str">
        <f t="shared" si="14"/>
        <v>Scandal</v>
      </c>
      <c r="AJ208" s="122"/>
      <c r="AK208" s="125">
        <v>12.0</v>
      </c>
      <c r="AL208" s="126" t="s">
        <v>1127</v>
      </c>
      <c r="AM208" s="127" t="str">
        <f t="shared" si="15"/>
        <v>Scandal.mid</v>
      </c>
      <c r="AN208" s="128" t="str">
        <f t="shared" si="16"/>
        <v>Scandal</v>
      </c>
      <c r="AO208" s="122"/>
      <c r="AP208" s="125">
        <v>51.0</v>
      </c>
      <c r="AQ208" s="126" t="s">
        <v>1027</v>
      </c>
      <c r="AR208" s="127" t="str">
        <f t="shared" si="17"/>
        <v>We Will Rock You.6.mid</v>
      </c>
      <c r="AS208" s="128" t="str">
        <f t="shared" si="18"/>
        <v>We Will Rock You.6</v>
      </c>
      <c r="AT208" s="122"/>
      <c r="AU208" s="125">
        <v>20.0</v>
      </c>
      <c r="AV208" s="126" t="s">
        <v>1195</v>
      </c>
      <c r="AW208" s="127" t="str">
        <f t="shared" si="19"/>
        <v>Save Me.1.mid</v>
      </c>
      <c r="AX208" s="128" t="str">
        <f t="shared" si="20"/>
        <v>Save Me.1</v>
      </c>
      <c r="AY208" s="122"/>
    </row>
    <row r="209" ht="15.75" customHeight="1">
      <c r="A209" s="124"/>
      <c r="B209" s="125">
        <v>0.0</v>
      </c>
      <c r="C209" s="126" t="s">
        <v>1157</v>
      </c>
      <c r="D209" s="127" t="str">
        <f t="shared" si="1"/>
        <v>You're My Best Friend.3.mid</v>
      </c>
      <c r="E209" s="128" t="str">
        <f t="shared" si="2"/>
        <v>You're My Best Friend.3</v>
      </c>
      <c r="F209" s="122"/>
      <c r="G209" s="125">
        <v>0.0</v>
      </c>
      <c r="H209" s="126" t="s">
        <v>1233</v>
      </c>
      <c r="I209" s="127" t="str">
        <f t="shared" si="3"/>
        <v>You're My Best Friend.mid</v>
      </c>
      <c r="J209" s="128" t="str">
        <f t="shared" si="4"/>
        <v>You're My Best Friend</v>
      </c>
      <c r="K209" s="122"/>
      <c r="L209" s="125">
        <v>0.0</v>
      </c>
      <c r="M209" s="126" t="s">
        <v>1219</v>
      </c>
      <c r="N209" s="127" t="str">
        <f t="shared" si="5"/>
        <v>You're My Best Friend.2.mid</v>
      </c>
      <c r="O209" s="128" t="str">
        <f t="shared" si="6"/>
        <v>You're My Best Friend.2</v>
      </c>
      <c r="P209" s="122"/>
      <c r="Q209" s="125">
        <v>3.0</v>
      </c>
      <c r="R209" s="126" t="s">
        <v>1030</v>
      </c>
      <c r="S209" s="127" t="str">
        <f t="shared" si="7"/>
        <v>A Kind of Magic.4.mid</v>
      </c>
      <c r="T209" s="128" t="str">
        <f t="shared" si="8"/>
        <v>A Kind of Magic.4</v>
      </c>
      <c r="U209" s="122"/>
      <c r="V209" s="125">
        <v>1.0</v>
      </c>
      <c r="W209" s="126" t="s">
        <v>1030</v>
      </c>
      <c r="X209" s="127" t="str">
        <f t="shared" si="9"/>
        <v>A Kind of Magic.4.mid</v>
      </c>
      <c r="Y209" s="128" t="str">
        <f t="shared" si="10"/>
        <v>A Kind of Magic.4</v>
      </c>
      <c r="Z209" s="122"/>
      <c r="AA209" s="125">
        <v>5.0</v>
      </c>
      <c r="AB209" s="126" t="s">
        <v>1068</v>
      </c>
      <c r="AC209" s="127" t="str">
        <f t="shared" si="11"/>
        <v>Killer Queen.6.mid</v>
      </c>
      <c r="AD209" s="128" t="str">
        <f t="shared" si="12"/>
        <v>Killer Queen.6</v>
      </c>
      <c r="AE209" s="122"/>
      <c r="AF209" s="125">
        <v>12.0</v>
      </c>
      <c r="AG209" s="126" t="s">
        <v>1220</v>
      </c>
      <c r="AH209" s="127" t="str">
        <f t="shared" si="13"/>
        <v>The Show Must Go On.3.mid</v>
      </c>
      <c r="AI209" s="128" t="str">
        <f t="shared" si="14"/>
        <v>The Show Must Go On.3</v>
      </c>
      <c r="AJ209" s="122"/>
      <c r="AK209" s="125">
        <v>12.0</v>
      </c>
      <c r="AL209" s="126" t="s">
        <v>1220</v>
      </c>
      <c r="AM209" s="127" t="str">
        <f t="shared" si="15"/>
        <v>The Show Must Go On.3.mid</v>
      </c>
      <c r="AN209" s="128" t="str">
        <f t="shared" si="16"/>
        <v>The Show Must Go On.3</v>
      </c>
      <c r="AO209" s="122"/>
      <c r="AP209" s="125">
        <v>52.0</v>
      </c>
      <c r="AQ209" s="126" t="s">
        <v>1234</v>
      </c>
      <c r="AR209" s="127" t="str">
        <f t="shared" si="17"/>
        <v>White Man.mid</v>
      </c>
      <c r="AS209" s="128" t="str">
        <f t="shared" si="18"/>
        <v>White Man</v>
      </c>
      <c r="AT209" s="122"/>
      <c r="AU209" s="125">
        <v>20.0</v>
      </c>
      <c r="AV209" s="126" t="s">
        <v>1216</v>
      </c>
      <c r="AW209" s="127" t="str">
        <f t="shared" si="19"/>
        <v>These Are the Days of Our Lives.3.mid</v>
      </c>
      <c r="AX209" s="128" t="str">
        <f t="shared" si="20"/>
        <v>These Are the Days of Our Lives.3</v>
      </c>
      <c r="AY209" s="122"/>
    </row>
    <row r="210" ht="15.75" customHeight="1">
      <c r="A210" s="124"/>
      <c r="B210" s="125">
        <v>0.0</v>
      </c>
      <c r="C210" s="126" t="s">
        <v>1137</v>
      </c>
      <c r="D210" s="127" t="str">
        <f t="shared" si="1"/>
        <v>You're My Best Friend.4.mid</v>
      </c>
      <c r="E210" s="128" t="str">
        <f t="shared" si="2"/>
        <v>You're My Best Friend.4</v>
      </c>
      <c r="F210" s="122"/>
      <c r="G210" s="125">
        <v>1.0</v>
      </c>
      <c r="H210" s="126" t="s">
        <v>1026</v>
      </c>
      <c r="I210" s="127" t="str">
        <f t="shared" si="3"/>
        <v>A Kind of Magic.2.mid</v>
      </c>
      <c r="J210" s="128" t="str">
        <f t="shared" si="4"/>
        <v>A Kind of Magic.2</v>
      </c>
      <c r="K210" s="122"/>
      <c r="L210" s="125">
        <v>0.0</v>
      </c>
      <c r="M210" s="126" t="s">
        <v>1157</v>
      </c>
      <c r="N210" s="127" t="str">
        <f t="shared" si="5"/>
        <v>You're My Best Friend.3.mid</v>
      </c>
      <c r="O210" s="128" t="str">
        <f t="shared" si="6"/>
        <v>You're My Best Friend.3</v>
      </c>
      <c r="P210" s="122"/>
      <c r="Q210" s="125">
        <v>3.0</v>
      </c>
      <c r="R210" s="126" t="s">
        <v>1122</v>
      </c>
      <c r="S210" s="127" t="str">
        <f t="shared" si="7"/>
        <v>Love of My Life.3.mid</v>
      </c>
      <c r="T210" s="128" t="str">
        <f t="shared" si="8"/>
        <v>Love of My Life.3</v>
      </c>
      <c r="U210" s="122"/>
      <c r="V210" s="125">
        <v>1.0</v>
      </c>
      <c r="W210" s="126" t="s">
        <v>1122</v>
      </c>
      <c r="X210" s="127" t="str">
        <f t="shared" si="9"/>
        <v>Love of My Life.3.mid</v>
      </c>
      <c r="Y210" s="128" t="str">
        <f t="shared" si="10"/>
        <v>Love of My Life.3</v>
      </c>
      <c r="Z210" s="122"/>
      <c r="AA210" s="125">
        <v>5.0</v>
      </c>
      <c r="AB210" s="126" t="s">
        <v>1124</v>
      </c>
      <c r="AC210" s="127" t="str">
        <f t="shared" si="11"/>
        <v>Procession.mid</v>
      </c>
      <c r="AD210" s="128" t="str">
        <f t="shared" si="12"/>
        <v>Procession</v>
      </c>
      <c r="AE210" s="122"/>
      <c r="AF210" s="125">
        <v>12.0</v>
      </c>
      <c r="AG210" s="126" t="s">
        <v>1224</v>
      </c>
      <c r="AH210" s="127" t="str">
        <f t="shared" si="13"/>
        <v>These Are the Days of Our Lives.1.mid</v>
      </c>
      <c r="AI210" s="128" t="str">
        <f t="shared" si="14"/>
        <v>These Are the Days of Our Lives.1</v>
      </c>
      <c r="AJ210" s="122"/>
      <c r="AK210" s="125">
        <v>12.0</v>
      </c>
      <c r="AL210" s="126" t="s">
        <v>1224</v>
      </c>
      <c r="AM210" s="127" t="str">
        <f t="shared" si="15"/>
        <v>These Are the Days of Our Lives.1.mid</v>
      </c>
      <c r="AN210" s="128" t="str">
        <f t="shared" si="16"/>
        <v>These Are the Days of Our Lives.1</v>
      </c>
      <c r="AO210" s="122"/>
      <c r="AP210" s="125">
        <v>53.0</v>
      </c>
      <c r="AQ210" s="126" t="s">
        <v>1121</v>
      </c>
      <c r="AR210" s="127" t="str">
        <f t="shared" si="17"/>
        <v>Friends Will Be Friends.3.mid</v>
      </c>
      <c r="AS210" s="128" t="str">
        <f t="shared" si="18"/>
        <v>Friends Will Be Friends.3</v>
      </c>
      <c r="AT210" s="122"/>
      <c r="AU210" s="125">
        <v>21.0</v>
      </c>
      <c r="AV210" s="126" t="s">
        <v>1230</v>
      </c>
      <c r="AW210" s="127" t="str">
        <f t="shared" si="19"/>
        <v>These Are the Days of Our Lives.4.mid</v>
      </c>
      <c r="AX210" s="128" t="str">
        <f t="shared" si="20"/>
        <v>These Are the Days of Our Lives.4</v>
      </c>
      <c r="AY210" s="122"/>
    </row>
    <row r="211" ht="15.75" customHeight="1">
      <c r="A211" s="124"/>
      <c r="B211" s="125">
        <v>0.0</v>
      </c>
      <c r="C211" s="126" t="s">
        <v>1233</v>
      </c>
      <c r="D211" s="127" t="str">
        <f t="shared" si="1"/>
        <v>You're My Best Friend.mid</v>
      </c>
      <c r="E211" s="128" t="str">
        <f t="shared" si="2"/>
        <v>You're My Best Friend</v>
      </c>
      <c r="F211" s="122"/>
      <c r="G211" s="125">
        <v>1.0</v>
      </c>
      <c r="H211" s="126" t="s">
        <v>1030</v>
      </c>
      <c r="I211" s="127" t="str">
        <f t="shared" si="3"/>
        <v>A Kind of Magic.4.mid</v>
      </c>
      <c r="J211" s="128" t="str">
        <f t="shared" si="4"/>
        <v>A Kind of Magic.4</v>
      </c>
      <c r="K211" s="122"/>
      <c r="L211" s="125">
        <v>0.0</v>
      </c>
      <c r="M211" s="126" t="s">
        <v>1137</v>
      </c>
      <c r="N211" s="127" t="str">
        <f t="shared" si="5"/>
        <v>You're My Best Friend.4.mid</v>
      </c>
      <c r="O211" s="128" t="str">
        <f t="shared" si="6"/>
        <v>You're My Best Friend.4</v>
      </c>
      <c r="P211" s="122"/>
      <c r="Q211" s="125">
        <v>3.0</v>
      </c>
      <c r="R211" s="126" t="s">
        <v>1226</v>
      </c>
      <c r="S211" s="127" t="str">
        <f t="shared" si="7"/>
        <v>The Show Must Go On.1.mid</v>
      </c>
      <c r="T211" s="128" t="str">
        <f t="shared" si="8"/>
        <v>The Show Must Go On.1</v>
      </c>
      <c r="U211" s="122"/>
      <c r="V211" s="125">
        <v>1.0</v>
      </c>
      <c r="W211" s="126" t="s">
        <v>1226</v>
      </c>
      <c r="X211" s="127" t="str">
        <f t="shared" si="9"/>
        <v>The Show Must Go On.1.mid</v>
      </c>
      <c r="Y211" s="128" t="str">
        <f t="shared" si="10"/>
        <v>The Show Must Go On.1</v>
      </c>
      <c r="Z211" s="122"/>
      <c r="AA211" s="125">
        <v>5.0</v>
      </c>
      <c r="AB211" s="126" t="s">
        <v>1127</v>
      </c>
      <c r="AC211" s="127" t="str">
        <f t="shared" si="11"/>
        <v>Scandal.mid</v>
      </c>
      <c r="AD211" s="128" t="str">
        <f t="shared" si="12"/>
        <v>Scandal</v>
      </c>
      <c r="AE211" s="122"/>
      <c r="AF211" s="125">
        <v>12.0</v>
      </c>
      <c r="AG211" s="126" t="s">
        <v>1129</v>
      </c>
      <c r="AH211" s="127" t="str">
        <f t="shared" si="13"/>
        <v>We Are The Champions.10.mid</v>
      </c>
      <c r="AI211" s="128" t="str">
        <f t="shared" si="14"/>
        <v>We Are The Champions.10</v>
      </c>
      <c r="AJ211" s="122"/>
      <c r="AK211" s="125">
        <v>12.0</v>
      </c>
      <c r="AL211" s="126" t="s">
        <v>1129</v>
      </c>
      <c r="AM211" s="127" t="str">
        <f t="shared" si="15"/>
        <v>We Are The Champions.10.mid</v>
      </c>
      <c r="AN211" s="128" t="str">
        <f t="shared" si="16"/>
        <v>We Are The Champions.10</v>
      </c>
      <c r="AO211" s="122"/>
      <c r="AP211" s="125">
        <v>53.0</v>
      </c>
      <c r="AQ211" s="126" t="s">
        <v>1223</v>
      </c>
      <c r="AR211" s="127" t="str">
        <f t="shared" si="17"/>
        <v>Too Much Love Will Kill You.mid</v>
      </c>
      <c r="AS211" s="128" t="str">
        <f t="shared" si="18"/>
        <v>Too Much Love Will Kill You</v>
      </c>
      <c r="AT211" s="122"/>
      <c r="AU211" s="125">
        <v>22.0</v>
      </c>
      <c r="AV211" s="126" t="s">
        <v>1229</v>
      </c>
      <c r="AW211" s="127" t="str">
        <f t="shared" si="19"/>
        <v>We Are The Champions.1.mid</v>
      </c>
      <c r="AX211" s="128" t="str">
        <f t="shared" si="20"/>
        <v>We Are The Champions.1</v>
      </c>
      <c r="AY211" s="122"/>
    </row>
    <row r="212" ht="15.75" customHeight="1">
      <c r="A212" s="124"/>
      <c r="B212" s="125">
        <v>1.0</v>
      </c>
      <c r="C212" s="126" t="s">
        <v>1122</v>
      </c>
      <c r="D212" s="127" t="str">
        <f t="shared" si="1"/>
        <v>Love of My Life.3.mid</v>
      </c>
      <c r="E212" s="128" t="str">
        <f t="shared" si="2"/>
        <v>Love of My Life.3</v>
      </c>
      <c r="F212" s="122"/>
      <c r="G212" s="125">
        <v>1.0</v>
      </c>
      <c r="H212" s="126" t="s">
        <v>1122</v>
      </c>
      <c r="I212" s="127" t="str">
        <f t="shared" si="3"/>
        <v>Love of My Life.3.mid</v>
      </c>
      <c r="J212" s="128" t="str">
        <f t="shared" si="4"/>
        <v>Love of My Life.3</v>
      </c>
      <c r="K212" s="122"/>
      <c r="L212" s="125">
        <v>0.0</v>
      </c>
      <c r="M212" s="126" t="s">
        <v>1031</v>
      </c>
      <c r="N212" s="127" t="str">
        <f t="shared" si="5"/>
        <v>You're My Best Friend.5.mid</v>
      </c>
      <c r="O212" s="128" t="str">
        <f t="shared" si="6"/>
        <v>You're My Best Friend.5</v>
      </c>
      <c r="P212" s="122"/>
      <c r="Q212" s="125">
        <v>3.0</v>
      </c>
      <c r="R212" s="126" t="s">
        <v>1230</v>
      </c>
      <c r="S212" s="127" t="str">
        <f t="shared" si="7"/>
        <v>These Are the Days of Our Lives.4.mid</v>
      </c>
      <c r="T212" s="128" t="str">
        <f t="shared" si="8"/>
        <v>These Are the Days of Our Lives.4</v>
      </c>
      <c r="U212" s="122"/>
      <c r="V212" s="125">
        <v>1.0</v>
      </c>
      <c r="W212" s="126" t="s">
        <v>1230</v>
      </c>
      <c r="X212" s="127" t="str">
        <f t="shared" si="9"/>
        <v>These Are the Days of Our Lives.4.mid</v>
      </c>
      <c r="Y212" s="128" t="str">
        <f t="shared" si="10"/>
        <v>These Are the Days of Our Lives.4</v>
      </c>
      <c r="Z212" s="122"/>
      <c r="AA212" s="125">
        <v>5.0</v>
      </c>
      <c r="AB212" s="126" t="s">
        <v>1220</v>
      </c>
      <c r="AC212" s="127" t="str">
        <f t="shared" si="11"/>
        <v>The Show Must Go On.3.mid</v>
      </c>
      <c r="AD212" s="128" t="str">
        <f t="shared" si="12"/>
        <v>The Show Must Go On.3</v>
      </c>
      <c r="AE212" s="122"/>
      <c r="AF212" s="125">
        <v>13.0</v>
      </c>
      <c r="AG212" s="126" t="s">
        <v>1027</v>
      </c>
      <c r="AH212" s="127" t="str">
        <f t="shared" si="13"/>
        <v>We Will Rock You.6.mid</v>
      </c>
      <c r="AI212" s="128" t="str">
        <f t="shared" si="14"/>
        <v>We Will Rock You.6</v>
      </c>
      <c r="AJ212" s="122"/>
      <c r="AK212" s="125">
        <v>13.0</v>
      </c>
      <c r="AL212" s="126" t="s">
        <v>1027</v>
      </c>
      <c r="AM212" s="127" t="str">
        <f t="shared" si="15"/>
        <v>We Will Rock You.6.mid</v>
      </c>
      <c r="AN212" s="128" t="str">
        <f t="shared" si="16"/>
        <v>We Will Rock You.6</v>
      </c>
      <c r="AO212" s="122"/>
      <c r="AP212" s="125">
        <v>53.0</v>
      </c>
      <c r="AQ212" s="126" t="s">
        <v>1236</v>
      </c>
      <c r="AR212" s="127" t="str">
        <f t="shared" si="17"/>
        <v>You Don't Fool Me.3.mid</v>
      </c>
      <c r="AS212" s="128" t="str">
        <f t="shared" si="18"/>
        <v>You Don't Fool Me.3</v>
      </c>
      <c r="AT212" s="122"/>
      <c r="AU212" s="125">
        <v>23.0</v>
      </c>
      <c r="AV212" s="126" t="s">
        <v>1027</v>
      </c>
      <c r="AW212" s="127" t="str">
        <f t="shared" si="19"/>
        <v>We Will Rock You.6.mid</v>
      </c>
      <c r="AX212" s="128" t="str">
        <f t="shared" si="20"/>
        <v>We Will Rock You.6</v>
      </c>
      <c r="AY212" s="122"/>
    </row>
    <row r="213" ht="15.75" customHeight="1">
      <c r="A213" s="124"/>
      <c r="B213" s="125">
        <v>1.0</v>
      </c>
      <c r="C213" s="126" t="s">
        <v>1226</v>
      </c>
      <c r="D213" s="127" t="str">
        <f t="shared" si="1"/>
        <v>The Show Must Go On.1.mid</v>
      </c>
      <c r="E213" s="128" t="str">
        <f t="shared" si="2"/>
        <v>The Show Must Go On.1</v>
      </c>
      <c r="F213" s="122"/>
      <c r="G213" s="125">
        <v>1.0</v>
      </c>
      <c r="H213" s="126" t="s">
        <v>1226</v>
      </c>
      <c r="I213" s="127" t="str">
        <f t="shared" si="3"/>
        <v>The Show Must Go On.1.mid</v>
      </c>
      <c r="J213" s="128" t="str">
        <f t="shared" si="4"/>
        <v>The Show Must Go On.1</v>
      </c>
      <c r="K213" s="122"/>
      <c r="L213" s="125">
        <v>0.0</v>
      </c>
      <c r="M213" s="126" t="s">
        <v>1233</v>
      </c>
      <c r="N213" s="127" t="str">
        <f t="shared" si="5"/>
        <v>You're My Best Friend.mid</v>
      </c>
      <c r="O213" s="128" t="str">
        <f t="shared" si="6"/>
        <v>You're My Best Friend</v>
      </c>
      <c r="P213" s="122"/>
      <c r="Q213" s="125">
        <v>3.0</v>
      </c>
      <c r="R213" s="126" t="s">
        <v>1027</v>
      </c>
      <c r="S213" s="127" t="str">
        <f t="shared" si="7"/>
        <v>We Will Rock You.6.mid</v>
      </c>
      <c r="T213" s="128" t="str">
        <f t="shared" si="8"/>
        <v>We Will Rock You.6</v>
      </c>
      <c r="U213" s="122"/>
      <c r="V213" s="125">
        <v>1.0</v>
      </c>
      <c r="W213" s="126" t="s">
        <v>1027</v>
      </c>
      <c r="X213" s="127" t="str">
        <f t="shared" si="9"/>
        <v>We Will Rock You.6.mid</v>
      </c>
      <c r="Y213" s="128" t="str">
        <f t="shared" si="10"/>
        <v>We Will Rock You.6</v>
      </c>
      <c r="Z213" s="122"/>
      <c r="AA213" s="125">
        <v>5.0</v>
      </c>
      <c r="AB213" s="126" t="s">
        <v>1224</v>
      </c>
      <c r="AC213" s="127" t="str">
        <f t="shared" si="11"/>
        <v>These Are the Days of Our Lives.1.mid</v>
      </c>
      <c r="AD213" s="128" t="str">
        <f t="shared" si="12"/>
        <v>These Are the Days of Our Lives.1</v>
      </c>
      <c r="AE213" s="122"/>
      <c r="AF213" s="125">
        <v>14.0</v>
      </c>
      <c r="AG213" s="126" t="s">
        <v>1237</v>
      </c>
      <c r="AH213" s="127" t="str">
        <f t="shared" si="13"/>
        <v>You're My Best Friend.1.mid</v>
      </c>
      <c r="AI213" s="128" t="str">
        <f t="shared" si="14"/>
        <v>You're My Best Friend.1</v>
      </c>
      <c r="AJ213" s="122"/>
      <c r="AK213" s="125">
        <v>14.0</v>
      </c>
      <c r="AL213" s="126" t="s">
        <v>1237</v>
      </c>
      <c r="AM213" s="127" t="str">
        <f t="shared" si="15"/>
        <v>You're My Best Friend.1.mid</v>
      </c>
      <c r="AN213" s="128" t="str">
        <f t="shared" si="16"/>
        <v>You're My Best Friend.1</v>
      </c>
      <c r="AO213" s="122"/>
      <c r="AP213" s="125">
        <v>54.0</v>
      </c>
      <c r="AQ213" s="126" t="s">
        <v>1237</v>
      </c>
      <c r="AR213" s="127" t="str">
        <f t="shared" si="17"/>
        <v>You're My Best Friend.1.mid</v>
      </c>
      <c r="AS213" s="128" t="str">
        <f t="shared" si="18"/>
        <v>You're My Best Friend.1</v>
      </c>
      <c r="AT213" s="122"/>
      <c r="AU213" s="125">
        <v>24.0</v>
      </c>
      <c r="AV213" s="126" t="s">
        <v>1237</v>
      </c>
      <c r="AW213" s="127" t="str">
        <f t="shared" si="19"/>
        <v>You're My Best Friend.1.mid</v>
      </c>
      <c r="AX213" s="128" t="str">
        <f t="shared" si="20"/>
        <v>You're My Best Friend.1</v>
      </c>
      <c r="AY213" s="122"/>
    </row>
    <row r="214" ht="15.75" customHeight="1">
      <c r="A214" s="124"/>
      <c r="B214" s="125">
        <v>1.0</v>
      </c>
      <c r="C214" s="126" t="s">
        <v>1230</v>
      </c>
      <c r="D214" s="127" t="str">
        <f t="shared" si="1"/>
        <v>These Are the Days of Our Lives.4.mid</v>
      </c>
      <c r="E214" s="128" t="str">
        <f t="shared" si="2"/>
        <v>These Are the Days of Our Lives.4</v>
      </c>
      <c r="F214" s="122"/>
      <c r="G214" s="125">
        <v>1.0</v>
      </c>
      <c r="H214" s="126" t="s">
        <v>1230</v>
      </c>
      <c r="I214" s="127" t="str">
        <f t="shared" si="3"/>
        <v>These Are the Days of Our Lives.4.mid</v>
      </c>
      <c r="J214" s="128" t="str">
        <f t="shared" si="4"/>
        <v>These Are the Days of Our Lives.4</v>
      </c>
      <c r="K214" s="122"/>
      <c r="L214" s="125">
        <v>1.0</v>
      </c>
      <c r="M214" s="126" t="s">
        <v>1026</v>
      </c>
      <c r="N214" s="127" t="str">
        <f t="shared" si="5"/>
        <v>A Kind of Magic.2.mid</v>
      </c>
      <c r="O214" s="128" t="str">
        <f t="shared" si="6"/>
        <v>A Kind of Magic.2</v>
      </c>
      <c r="P214" s="122"/>
      <c r="Q214" s="125">
        <v>3.0</v>
      </c>
      <c r="R214" s="126" t="s">
        <v>1031</v>
      </c>
      <c r="S214" s="127" t="str">
        <f t="shared" si="7"/>
        <v>You're My Best Friend.5.mid</v>
      </c>
      <c r="T214" s="128" t="str">
        <f t="shared" si="8"/>
        <v>You're My Best Friend.5</v>
      </c>
      <c r="U214" s="122"/>
      <c r="V214" s="125">
        <v>1.0</v>
      </c>
      <c r="W214" s="126" t="s">
        <v>1031</v>
      </c>
      <c r="X214" s="127" t="str">
        <f t="shared" si="9"/>
        <v>You're My Best Friend.5.mid</v>
      </c>
      <c r="Y214" s="128" t="str">
        <f t="shared" si="10"/>
        <v>You're My Best Friend.5</v>
      </c>
      <c r="Z214" s="122"/>
      <c r="AA214" s="125">
        <v>5.0</v>
      </c>
      <c r="AB214" s="126" t="s">
        <v>1129</v>
      </c>
      <c r="AC214" s="127" t="str">
        <f t="shared" si="11"/>
        <v>We Are The Champions.10.mid</v>
      </c>
      <c r="AD214" s="128" t="str">
        <f t="shared" si="12"/>
        <v>We Are The Champions.10</v>
      </c>
      <c r="AE214" s="122"/>
      <c r="AF214" s="125">
        <v>15.0</v>
      </c>
      <c r="AG214" s="126" t="s">
        <v>1031</v>
      </c>
      <c r="AH214" s="127" t="str">
        <f t="shared" si="13"/>
        <v>You're My Best Friend.5.mid</v>
      </c>
      <c r="AI214" s="128" t="str">
        <f t="shared" si="14"/>
        <v>You're My Best Friend.5</v>
      </c>
      <c r="AJ214" s="122"/>
      <c r="AK214" s="125">
        <v>15.0</v>
      </c>
      <c r="AL214" s="126" t="s">
        <v>1031</v>
      </c>
      <c r="AM214" s="127" t="str">
        <f t="shared" si="15"/>
        <v>You're My Best Friend.5.mid</v>
      </c>
      <c r="AN214" s="128" t="str">
        <f t="shared" si="16"/>
        <v>You're My Best Friend.5</v>
      </c>
      <c r="AO214" s="122"/>
      <c r="AP214" s="125">
        <v>55.0</v>
      </c>
      <c r="AQ214" s="126" t="s">
        <v>1031</v>
      </c>
      <c r="AR214" s="127" t="str">
        <f t="shared" si="17"/>
        <v>You're My Best Friend.5.mid</v>
      </c>
      <c r="AS214" s="128" t="str">
        <f t="shared" si="18"/>
        <v>You're My Best Friend.5</v>
      </c>
      <c r="AT214" s="122"/>
      <c r="AU214" s="125">
        <v>25.0</v>
      </c>
      <c r="AV214" s="126" t="s">
        <v>1031</v>
      </c>
      <c r="AW214" s="127" t="str">
        <f t="shared" si="19"/>
        <v>You're My Best Friend.5.mid</v>
      </c>
      <c r="AX214" s="128" t="str">
        <f t="shared" si="20"/>
        <v>You're My Best Friend.5</v>
      </c>
      <c r="AY214" s="122"/>
    </row>
    <row r="215" ht="15.75" customHeight="1">
      <c r="A215" s="121"/>
      <c r="B215" s="123" t="str">
        <f>IFERROR(__xludf.DUMMYFUNCTION("CONCATENATE(""CLUSTERS GENERATED: "",COUNTUNIQUE(B3:B214))"),"CLUSTERS GENERATED: 3")</f>
        <v>CLUSTERS GENERATED: 3</v>
      </c>
      <c r="C215" s="129"/>
      <c r="D215" s="129"/>
      <c r="F215" s="122"/>
      <c r="G215" s="123" t="str">
        <f>IFERROR(__xludf.DUMMYFUNCTION("CONCATENATE(""CLUSTERS GENERATED: "",COUNTUNIQUE(G3:G214))"),"CLUSTERS GENERATED: 3")</f>
        <v>CLUSTERS GENERATED: 3</v>
      </c>
      <c r="K215" s="122"/>
      <c r="L215" s="123" t="str">
        <f>IFERROR(__xludf.DUMMYFUNCTION("CONCATENATE(""CLUSTERS GENERATED: "",COUNTUNIQUE(L3:L214))"),"CLUSTERS GENERATED: 2")</f>
        <v>CLUSTERS GENERATED: 2</v>
      </c>
      <c r="P215" s="122"/>
      <c r="Q215" s="123" t="str">
        <f>IFERROR(__xludf.DUMMYFUNCTION("CONCATENATE(""CLUSTERS GENERATED: "",COUNTUNIQUE(Q3:Q214))"),"CLUSTERS GENERATED: 4")</f>
        <v>CLUSTERS GENERATED: 4</v>
      </c>
      <c r="U215" s="122"/>
      <c r="V215" s="123" t="str">
        <f>IFERROR(__xludf.DUMMYFUNCTION("CONCATENATE(""CLUSTERS GENERATED: "",COUNTUNIQUE(V3:V214))"),"CLUSTERS GENERATED: 2")</f>
        <v>CLUSTERS GENERATED: 2</v>
      </c>
      <c r="Z215" s="122"/>
      <c r="AA215" s="123" t="str">
        <f>IFERROR(__xludf.DUMMYFUNCTION("CONCATENATE(""CLUSTERS GENERATED: "",COUNTUNIQUE(AA3:AA214))"),"CLUSTERS GENERATED: 6")</f>
        <v>CLUSTERS GENERATED: 6</v>
      </c>
      <c r="AE215" s="122"/>
      <c r="AF215" s="123" t="str">
        <f>IFERROR(__xludf.DUMMYFUNCTION("CONCATENATE(""CLUSTERS GENERATED: "",COUNTUNIQUE(AF3:AF214))"),"CLUSTERS GENERATED: 16")</f>
        <v>CLUSTERS GENERATED: 16</v>
      </c>
      <c r="AJ215" s="122"/>
      <c r="AK215" s="123" t="str">
        <f>IFERROR(__xludf.DUMMYFUNCTION("CONCATENATE(""CLUSTERS GENERATED: "",COUNTUNIQUE(AK3:AK214))"),"CLUSTERS GENERATED: 16")</f>
        <v>CLUSTERS GENERATED: 16</v>
      </c>
      <c r="AO215" s="122"/>
      <c r="AP215" s="123" t="str">
        <f>IFERROR(__xludf.DUMMYFUNCTION("CONCATENATE(""CLUSTERS GENERATED: "",COUNTUNIQUE(AP3:AP214))"),"CLUSTERS GENERATED: 56")</f>
        <v>CLUSTERS GENERATED: 56</v>
      </c>
      <c r="AT215" s="122"/>
      <c r="AU215" s="123" t="str">
        <f>IFERROR(__xludf.DUMMYFUNCTION("CONCATENATE(""CLUSTERS GENERATED: "",COUNTUNIQUE(AU3:AU214))"),"CLUSTERS GENERATED: 26")</f>
        <v>CLUSTERS GENERATED: 26</v>
      </c>
      <c r="AY215" s="122"/>
    </row>
    <row r="216" ht="15.75" customHeight="1">
      <c r="A216" s="121"/>
      <c r="B216" s="121"/>
      <c r="C216" s="130"/>
      <c r="D216" s="130"/>
      <c r="E216" s="122"/>
      <c r="F216" s="122"/>
      <c r="G216" s="121"/>
      <c r="H216" s="122"/>
      <c r="I216" s="122"/>
      <c r="J216" s="122"/>
      <c r="K216" s="122"/>
      <c r="L216" s="121"/>
      <c r="M216" s="122"/>
      <c r="N216" s="122"/>
      <c r="O216" s="122"/>
      <c r="P216" s="122"/>
      <c r="Q216" s="121"/>
      <c r="R216" s="122"/>
      <c r="S216" s="122"/>
      <c r="T216" s="122"/>
      <c r="U216" s="122"/>
      <c r="V216" s="121"/>
      <c r="W216" s="122"/>
      <c r="X216" s="122"/>
      <c r="Y216" s="122"/>
      <c r="Z216" s="122"/>
      <c r="AA216" s="121"/>
      <c r="AB216" s="122"/>
      <c r="AC216" s="122"/>
      <c r="AD216" s="122"/>
      <c r="AE216" s="122"/>
      <c r="AF216" s="121"/>
      <c r="AG216" s="122"/>
      <c r="AH216" s="122"/>
      <c r="AI216" s="122"/>
      <c r="AJ216" s="122"/>
      <c r="AK216" s="121"/>
      <c r="AL216" s="122"/>
      <c r="AM216" s="122"/>
      <c r="AN216" s="122"/>
      <c r="AO216" s="122"/>
      <c r="AP216" s="121"/>
      <c r="AQ216" s="122"/>
      <c r="AR216" s="122"/>
      <c r="AS216" s="122"/>
      <c r="AT216" s="122"/>
      <c r="AU216" s="121"/>
      <c r="AV216" s="122"/>
      <c r="AW216" s="122"/>
      <c r="AX216" s="122"/>
      <c r="AY216" s="122"/>
    </row>
  </sheetData>
  <mergeCells count="10">
    <mergeCell ref="AK2:AM2"/>
    <mergeCell ref="AP2:AR2"/>
    <mergeCell ref="AU2:AW2"/>
    <mergeCell ref="B2:D2"/>
    <mergeCell ref="G2:I2"/>
    <mergeCell ref="L2:N2"/>
    <mergeCell ref="Q2:S2"/>
    <mergeCell ref="V2:X2"/>
    <mergeCell ref="AA2:AC2"/>
    <mergeCell ref="AF2:AH2"/>
  </mergeCells>
  <printOptions gridLines="1" horizontalCentered="1"/>
  <pageMargins bottom="0.0" footer="0.0" header="0.0" left="0.0" right="0.0" top="0.0"/>
  <pageSetup fitToHeight="0" cellComments="atEnd" orientation="portrait" pageOrder="overThenDown" paperHeight="9.69in" paperWidth="5.769999999999999i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hidden="1" min="2" max="3" width="12.63"/>
    <col customWidth="1" min="4" max="4" width="28.13"/>
    <col customWidth="1" min="5" max="5" width="12.63"/>
    <col customWidth="1" min="6" max="6" width="29.13"/>
  </cols>
  <sheetData>
    <row r="1" ht="15.75" customHeight="1">
      <c r="A1" s="125">
        <v>0.0</v>
      </c>
      <c r="B1" s="126" t="s">
        <v>1029</v>
      </c>
      <c r="C1" s="127" t="str">
        <f t="shared" ref="C1:C212" si="1">RIGHT(B1,LEN(B1)-66)</f>
        <v>A Kind of Magic.1.mid</v>
      </c>
      <c r="D1" s="128" t="str">
        <f t="shared" ref="D1:D212" si="2">LEFT(C1,LEN(C1)-4)</f>
        <v>A Kind of Magic.1</v>
      </c>
      <c r="E1" s="128">
        <f t="shared" ref="E1:E212" si="3">A:A</f>
        <v>0</v>
      </c>
      <c r="F1" s="128" t="str">
        <f>IFERROR(__xludf.DUMMYFUNCTION("UPPER(REGEXREPLACE(D1, ""[^a-zA-Z']"", """"))"),"AKINDOFMAGIC")</f>
        <v>AKINDOFMAGIC</v>
      </c>
      <c r="H1" s="123" t="s">
        <v>1238</v>
      </c>
      <c r="I1" s="123" t="s">
        <v>1239</v>
      </c>
      <c r="J1" s="123" t="s">
        <v>1240</v>
      </c>
      <c r="K1" s="123" t="s">
        <v>1241</v>
      </c>
      <c r="L1" s="128">
        <f>COUNTA(F1:F212)</f>
        <v>212</v>
      </c>
    </row>
    <row r="2" ht="15.75" customHeight="1">
      <c r="A2" s="125">
        <v>0.0</v>
      </c>
      <c r="B2" s="126" t="s">
        <v>1032</v>
      </c>
      <c r="C2" s="127" t="str">
        <f t="shared" si="1"/>
        <v>Another One Bites The Dust.2.mid</v>
      </c>
      <c r="D2" s="128" t="str">
        <f t="shared" si="2"/>
        <v>Another One Bites The Dust.2</v>
      </c>
      <c r="E2" s="128">
        <f t="shared" si="3"/>
        <v>0</v>
      </c>
      <c r="F2" s="128" t="str">
        <f>IFERROR(__xludf.DUMMYFUNCTION("UPPER(REGEXREPLACE(D2, ""[^a-zA-Z']"", """"))"),"ANOTHERONEBITESTHEDUST")</f>
        <v>ANOTHERONEBITESTHEDUST</v>
      </c>
      <c r="H2" s="128">
        <v>-1.0</v>
      </c>
      <c r="I2" s="128">
        <f t="shared" ref="I2:I59" si="4">COUNTUNIQUEIFS(F$1:F$213, E$1:E$213,H2)</f>
        <v>0</v>
      </c>
      <c r="J2" s="128">
        <f t="shared" ref="J2:J59" si="5">COUNTIFS(E$1:E$212,H2)</f>
        <v>0</v>
      </c>
      <c r="K2" s="123" t="s">
        <v>1242</v>
      </c>
      <c r="L2" s="128">
        <f>IFERROR(__xludf.DUMMYFUNCTION("COUNTUNIQUE(F1:F212)"),65.0)</f>
        <v>65</v>
      </c>
    </row>
    <row r="3" ht="15.75" customHeight="1">
      <c r="A3" s="125">
        <v>0.0</v>
      </c>
      <c r="B3" s="126" t="s">
        <v>1035</v>
      </c>
      <c r="C3" s="127" t="str">
        <f t="shared" si="1"/>
        <v>I'm Going Slightly Mad.3.mid</v>
      </c>
      <c r="D3" s="128" t="str">
        <f t="shared" si="2"/>
        <v>I'm Going Slightly Mad.3</v>
      </c>
      <c r="E3" s="128">
        <f t="shared" si="3"/>
        <v>0</v>
      </c>
      <c r="F3" s="128" t="str">
        <f>IFERROR(__xludf.DUMMYFUNCTION("UPPER(REGEXREPLACE(D3, ""[^a-zA-Z']"", """"))"),"I'MGOINGSLIGHTLYMAD")</f>
        <v>I'MGOINGSLIGHTLYMAD</v>
      </c>
      <c r="H3" s="128">
        <v>0.0</v>
      </c>
      <c r="I3" s="128">
        <f t="shared" si="4"/>
        <v>5</v>
      </c>
      <c r="J3" s="128">
        <f t="shared" si="5"/>
        <v>5</v>
      </c>
    </row>
    <row r="4" ht="15.75" customHeight="1">
      <c r="A4" s="125">
        <v>0.0</v>
      </c>
      <c r="B4" s="126" t="s">
        <v>1038</v>
      </c>
      <c r="C4" s="127" t="str">
        <f t="shared" si="1"/>
        <v>It's a Hard Life.1.mid</v>
      </c>
      <c r="D4" s="128" t="str">
        <f t="shared" si="2"/>
        <v>It's a Hard Life.1</v>
      </c>
      <c r="E4" s="128">
        <f t="shared" si="3"/>
        <v>0</v>
      </c>
      <c r="F4" s="128" t="str">
        <f>IFERROR(__xludf.DUMMYFUNCTION("UPPER(REGEXREPLACE(D4, ""[^a-zA-Z']"", """"))"),"IT'SAHARDLIFE")</f>
        <v>IT'SAHARDLIFE</v>
      </c>
      <c r="H4" s="128">
        <v>1.0</v>
      </c>
      <c r="I4" s="128">
        <f t="shared" si="4"/>
        <v>1</v>
      </c>
      <c r="J4" s="128">
        <f t="shared" si="5"/>
        <v>1</v>
      </c>
    </row>
    <row r="5" ht="15.75" customHeight="1">
      <c r="A5" s="125">
        <v>0.0</v>
      </c>
      <c r="B5" s="126" t="s">
        <v>1041</v>
      </c>
      <c r="C5" s="127" t="str">
        <f t="shared" si="1"/>
        <v>The Show Must Go On.mid</v>
      </c>
      <c r="D5" s="128" t="str">
        <f t="shared" si="2"/>
        <v>The Show Must Go On</v>
      </c>
      <c r="E5" s="128">
        <f t="shared" si="3"/>
        <v>0</v>
      </c>
      <c r="F5" s="128" t="str">
        <f>IFERROR(__xludf.DUMMYFUNCTION("UPPER(REGEXREPLACE(D5, ""[^a-zA-Z']"", """"))"),"THESHOWMUSTGOON")</f>
        <v>THESHOWMUSTGOON</v>
      </c>
      <c r="H5" s="128">
        <v>2.0</v>
      </c>
      <c r="I5" s="128">
        <f t="shared" si="4"/>
        <v>1</v>
      </c>
      <c r="J5" s="128">
        <f t="shared" si="5"/>
        <v>1</v>
      </c>
    </row>
    <row r="6" ht="15.75" customHeight="1">
      <c r="A6" s="125">
        <v>1.0</v>
      </c>
      <c r="B6" s="126" t="s">
        <v>1026</v>
      </c>
      <c r="C6" s="127" t="str">
        <f t="shared" si="1"/>
        <v>A Kind of Magic.2.mid</v>
      </c>
      <c r="D6" s="128" t="str">
        <f t="shared" si="2"/>
        <v>A Kind of Magic.2</v>
      </c>
      <c r="E6" s="128">
        <f t="shared" si="3"/>
        <v>1</v>
      </c>
      <c r="F6" s="128" t="str">
        <f>IFERROR(__xludf.DUMMYFUNCTION("UPPER(REGEXREPLACE(D6, ""[^a-zA-Z']"", """"))"),"AKINDOFMAGIC")</f>
        <v>AKINDOFMAGIC</v>
      </c>
      <c r="H6" s="128">
        <v>3.0</v>
      </c>
      <c r="I6" s="128">
        <f t="shared" si="4"/>
        <v>1</v>
      </c>
      <c r="J6" s="128">
        <f t="shared" si="5"/>
        <v>1</v>
      </c>
    </row>
    <row r="7" ht="15.75" customHeight="1">
      <c r="A7" s="125">
        <v>2.0</v>
      </c>
      <c r="B7" s="126" t="s">
        <v>1030</v>
      </c>
      <c r="C7" s="127" t="str">
        <f t="shared" si="1"/>
        <v>A Kind of Magic.4.mid</v>
      </c>
      <c r="D7" s="128" t="str">
        <f t="shared" si="2"/>
        <v>A Kind of Magic.4</v>
      </c>
      <c r="E7" s="128">
        <f t="shared" si="3"/>
        <v>2</v>
      </c>
      <c r="F7" s="128" t="str">
        <f>IFERROR(__xludf.DUMMYFUNCTION("UPPER(REGEXREPLACE(D7, ""[^a-zA-Z']"", """"))"),"AKINDOFMAGIC")</f>
        <v>AKINDOFMAGIC</v>
      </c>
      <c r="H7" s="128">
        <v>4.0</v>
      </c>
      <c r="I7" s="128">
        <f t="shared" si="4"/>
        <v>3</v>
      </c>
      <c r="J7" s="128">
        <f t="shared" si="5"/>
        <v>3</v>
      </c>
    </row>
    <row r="8" ht="15.75" customHeight="1">
      <c r="A8" s="125">
        <v>3.0</v>
      </c>
      <c r="B8" s="126" t="s">
        <v>1048</v>
      </c>
      <c r="C8" s="127" t="str">
        <f t="shared" si="1"/>
        <v>Another One Bites The Dust.6.mid</v>
      </c>
      <c r="D8" s="128" t="str">
        <f t="shared" si="2"/>
        <v>Another One Bites The Dust.6</v>
      </c>
      <c r="E8" s="128">
        <f t="shared" si="3"/>
        <v>3</v>
      </c>
      <c r="F8" s="128" t="str">
        <f>IFERROR(__xludf.DUMMYFUNCTION("UPPER(REGEXREPLACE(D8, ""[^a-zA-Z']"", """"))"),"ANOTHERONEBITESTHEDUST")</f>
        <v>ANOTHERONEBITESTHEDUST</v>
      </c>
      <c r="H8" s="128">
        <v>5.0</v>
      </c>
      <c r="I8" s="128">
        <f t="shared" si="4"/>
        <v>1</v>
      </c>
      <c r="J8" s="128">
        <f t="shared" si="5"/>
        <v>1</v>
      </c>
    </row>
    <row r="9" ht="15.75" customHeight="1">
      <c r="A9" s="125">
        <v>4.0</v>
      </c>
      <c r="B9" s="126" t="s">
        <v>1046</v>
      </c>
      <c r="C9" s="127" t="str">
        <f t="shared" si="1"/>
        <v>Bohemian Rhapsody.4.mid</v>
      </c>
      <c r="D9" s="128" t="str">
        <f t="shared" si="2"/>
        <v>Bohemian Rhapsody.4</v>
      </c>
      <c r="E9" s="128">
        <f t="shared" si="3"/>
        <v>4</v>
      </c>
      <c r="F9" s="128" t="str">
        <f>IFERROR(__xludf.DUMMYFUNCTION("UPPER(REGEXREPLACE(D9, ""[^a-zA-Z']"", """"))"),"BOHEMIANRHAPSODY")</f>
        <v>BOHEMIANRHAPSODY</v>
      </c>
      <c r="H9" s="128">
        <v>6.0</v>
      </c>
      <c r="I9" s="128">
        <f t="shared" si="4"/>
        <v>1</v>
      </c>
      <c r="J9" s="128">
        <f t="shared" si="5"/>
        <v>1</v>
      </c>
    </row>
    <row r="10" ht="15.75" customHeight="1">
      <c r="A10" s="125">
        <v>4.0</v>
      </c>
      <c r="B10" s="126" t="s">
        <v>1049</v>
      </c>
      <c r="C10" s="127" t="str">
        <f t="shared" si="1"/>
        <v>We Are The Champions.9.mid</v>
      </c>
      <c r="D10" s="128" t="str">
        <f t="shared" si="2"/>
        <v>We Are The Champions.9</v>
      </c>
      <c r="E10" s="128">
        <f t="shared" si="3"/>
        <v>4</v>
      </c>
      <c r="F10" s="128" t="str">
        <f>IFERROR(__xludf.DUMMYFUNCTION("UPPER(REGEXREPLACE(D10, ""[^a-zA-Z']"", """"))"),"WEARETHECHAMPIONS")</f>
        <v>WEARETHECHAMPIONS</v>
      </c>
      <c r="H10" s="128">
        <v>7.0</v>
      </c>
      <c r="I10" s="128">
        <f t="shared" si="4"/>
        <v>1</v>
      </c>
      <c r="J10" s="128">
        <f t="shared" si="5"/>
        <v>1</v>
      </c>
    </row>
    <row r="11" ht="15.75" customHeight="1">
      <c r="A11" s="125">
        <v>4.0</v>
      </c>
      <c r="B11" s="126" t="s">
        <v>1051</v>
      </c>
      <c r="C11" s="127" t="str">
        <f t="shared" si="1"/>
        <v>You Don't Fool Me.2.mid</v>
      </c>
      <c r="D11" s="128" t="str">
        <f t="shared" si="2"/>
        <v>You Don't Fool Me.2</v>
      </c>
      <c r="E11" s="128">
        <f t="shared" si="3"/>
        <v>4</v>
      </c>
      <c r="F11" s="128" t="str">
        <f>IFERROR(__xludf.DUMMYFUNCTION("UPPER(REGEXREPLACE(D11, ""[^a-zA-Z']"", """"))"),"YOUDON'TFOOLME")</f>
        <v>YOUDON'TFOOLME</v>
      </c>
      <c r="H11" s="128">
        <v>8.0</v>
      </c>
      <c r="I11" s="128">
        <f t="shared" si="4"/>
        <v>1</v>
      </c>
      <c r="J11" s="128">
        <f t="shared" si="5"/>
        <v>1</v>
      </c>
    </row>
    <row r="12" ht="15.75" customHeight="1">
      <c r="A12" s="125">
        <v>5.0</v>
      </c>
      <c r="B12" s="126" t="s">
        <v>1053</v>
      </c>
      <c r="C12" s="127" t="str">
        <f t="shared" si="1"/>
        <v>Crazy Little Thing Called Love.5.mid</v>
      </c>
      <c r="D12" s="128" t="str">
        <f t="shared" si="2"/>
        <v>Crazy Little Thing Called Love.5</v>
      </c>
      <c r="E12" s="128">
        <f t="shared" si="3"/>
        <v>5</v>
      </c>
      <c r="F12" s="128" t="str">
        <f>IFERROR(__xludf.DUMMYFUNCTION("UPPER(REGEXREPLACE(D12, ""[^a-zA-Z']"", """"))"),"CRAZYLITTLETHINGCALLEDLOVE")</f>
        <v>CRAZYLITTLETHINGCALLEDLOVE</v>
      </c>
      <c r="H12" s="128">
        <v>9.0</v>
      </c>
      <c r="I12" s="128">
        <f t="shared" si="4"/>
        <v>1</v>
      </c>
      <c r="J12" s="128">
        <f t="shared" si="5"/>
        <v>1</v>
      </c>
    </row>
    <row r="13" ht="15.75" customHeight="1">
      <c r="A13" s="125">
        <v>6.0</v>
      </c>
      <c r="B13" s="126" t="s">
        <v>1055</v>
      </c>
      <c r="C13" s="127" t="str">
        <f t="shared" si="1"/>
        <v>Don't Stop Me Now.mid</v>
      </c>
      <c r="D13" s="128" t="str">
        <f t="shared" si="2"/>
        <v>Don't Stop Me Now</v>
      </c>
      <c r="E13" s="128">
        <f t="shared" si="3"/>
        <v>6</v>
      </c>
      <c r="F13" s="128" t="str">
        <f>IFERROR(__xludf.DUMMYFUNCTION("UPPER(REGEXREPLACE(D13, ""[^a-zA-Z']"", """"))"),"DON'TSTOPMENOW")</f>
        <v>DON'TSTOPMENOW</v>
      </c>
      <c r="H13" s="128">
        <v>10.0</v>
      </c>
      <c r="I13" s="128">
        <f t="shared" si="4"/>
        <v>1</v>
      </c>
      <c r="J13" s="128">
        <f t="shared" si="5"/>
        <v>1</v>
      </c>
    </row>
    <row r="14" ht="15.75" customHeight="1">
      <c r="A14" s="125">
        <v>7.0</v>
      </c>
      <c r="B14" s="126" t="s">
        <v>1056</v>
      </c>
      <c r="C14" s="127" t="str">
        <f t="shared" si="1"/>
        <v>Fat Bottomed Girls.mid</v>
      </c>
      <c r="D14" s="128" t="str">
        <f t="shared" si="2"/>
        <v>Fat Bottomed Girls</v>
      </c>
      <c r="E14" s="128">
        <f t="shared" si="3"/>
        <v>7</v>
      </c>
      <c r="F14" s="128" t="str">
        <f>IFERROR(__xludf.DUMMYFUNCTION("UPPER(REGEXREPLACE(D14, ""[^a-zA-Z']"", """"))"),"FATBOTTOMEDGIRLS")</f>
        <v>FATBOTTOMEDGIRLS</v>
      </c>
      <c r="H14" s="128">
        <v>11.0</v>
      </c>
      <c r="I14" s="128">
        <f t="shared" si="4"/>
        <v>20</v>
      </c>
      <c r="J14" s="128">
        <f t="shared" si="5"/>
        <v>27</v>
      </c>
    </row>
    <row r="15" ht="15.75" customHeight="1">
      <c r="A15" s="125">
        <v>8.0</v>
      </c>
      <c r="B15" s="126" t="s">
        <v>1063</v>
      </c>
      <c r="C15" s="127" t="str">
        <f t="shared" si="1"/>
        <v>Good Old Fashioned Lover Boy.2.mid</v>
      </c>
      <c r="D15" s="128" t="str">
        <f t="shared" si="2"/>
        <v>Good Old Fashioned Lover Boy.2</v>
      </c>
      <c r="E15" s="128">
        <f t="shared" si="3"/>
        <v>8</v>
      </c>
      <c r="F15" s="128" t="str">
        <f>IFERROR(__xludf.DUMMYFUNCTION("UPPER(REGEXREPLACE(D15, ""[^a-zA-Z']"", """"))"),"GOODOLDFASHIONEDLOVERBOY")</f>
        <v>GOODOLDFASHIONEDLOVERBOY</v>
      </c>
      <c r="H15" s="128">
        <v>12.0</v>
      </c>
      <c r="I15" s="128">
        <f t="shared" si="4"/>
        <v>1</v>
      </c>
      <c r="J15" s="128">
        <f t="shared" si="5"/>
        <v>1</v>
      </c>
    </row>
    <row r="16" ht="15.75" customHeight="1">
      <c r="A16" s="125">
        <v>9.0</v>
      </c>
      <c r="B16" s="126" t="s">
        <v>1065</v>
      </c>
      <c r="C16" s="127" t="str">
        <f t="shared" si="1"/>
        <v>I Want to Break Free.3.mid</v>
      </c>
      <c r="D16" s="128" t="str">
        <f t="shared" si="2"/>
        <v>I Want to Break Free.3</v>
      </c>
      <c r="E16" s="128">
        <f t="shared" si="3"/>
        <v>9</v>
      </c>
      <c r="F16" s="128" t="str">
        <f>IFERROR(__xludf.DUMMYFUNCTION("UPPER(REGEXREPLACE(D16, ""[^a-zA-Z']"", """"))"),"IWANTTOBREAKFREE")</f>
        <v>IWANTTOBREAKFREE</v>
      </c>
      <c r="H16" s="128">
        <v>13.0</v>
      </c>
      <c r="I16" s="128">
        <f t="shared" si="4"/>
        <v>3</v>
      </c>
      <c r="J16" s="128">
        <f t="shared" si="5"/>
        <v>3</v>
      </c>
    </row>
    <row r="17" ht="15.75" customHeight="1">
      <c r="A17" s="125">
        <v>10.0</v>
      </c>
      <c r="B17" s="126" t="s">
        <v>1068</v>
      </c>
      <c r="C17" s="127" t="str">
        <f t="shared" si="1"/>
        <v>Killer Queen.6.mid</v>
      </c>
      <c r="D17" s="128" t="str">
        <f t="shared" si="2"/>
        <v>Killer Queen.6</v>
      </c>
      <c r="E17" s="128">
        <f t="shared" si="3"/>
        <v>10</v>
      </c>
      <c r="F17" s="128" t="str">
        <f>IFERROR(__xludf.DUMMYFUNCTION("UPPER(REGEXREPLACE(D17, ""[^a-zA-Z']"", """"))"),"KILLERQUEEN")</f>
        <v>KILLERQUEEN</v>
      </c>
      <c r="H17" s="128">
        <v>14.0</v>
      </c>
      <c r="I17" s="128">
        <f t="shared" si="4"/>
        <v>57</v>
      </c>
      <c r="J17" s="128">
        <f t="shared" si="5"/>
        <v>133</v>
      </c>
    </row>
    <row r="18" ht="15.75" customHeight="1">
      <c r="A18" s="125">
        <v>11.0</v>
      </c>
      <c r="B18" s="126" t="s">
        <v>1069</v>
      </c>
      <c r="C18" s="127" t="str">
        <f t="shared" si="1"/>
        <v>Bijou.1.mid</v>
      </c>
      <c r="D18" s="128" t="str">
        <f t="shared" si="2"/>
        <v>Bijou.1</v>
      </c>
      <c r="E18" s="128">
        <f t="shared" si="3"/>
        <v>11</v>
      </c>
      <c r="F18" s="128" t="str">
        <f>IFERROR(__xludf.DUMMYFUNCTION("UPPER(REGEXREPLACE(D18, ""[^a-zA-Z']"", """"))"),"BIJOU")</f>
        <v>BIJOU</v>
      </c>
      <c r="H18" s="128">
        <v>15.0</v>
      </c>
      <c r="I18" s="128">
        <f t="shared" si="4"/>
        <v>9</v>
      </c>
      <c r="J18" s="128">
        <f t="shared" si="5"/>
        <v>13</v>
      </c>
    </row>
    <row r="19" ht="15.75" customHeight="1">
      <c r="A19" s="125">
        <v>11.0</v>
      </c>
      <c r="B19" s="126" t="s">
        <v>1073</v>
      </c>
      <c r="C19" s="127" t="str">
        <f t="shared" si="1"/>
        <v>Bohemian Rhapsody.mid</v>
      </c>
      <c r="D19" s="128" t="str">
        <f t="shared" si="2"/>
        <v>Bohemian Rhapsody</v>
      </c>
      <c r="E19" s="128">
        <f t="shared" si="3"/>
        <v>11</v>
      </c>
      <c r="F19" s="128" t="str">
        <f>IFERROR(__xludf.DUMMYFUNCTION("UPPER(REGEXREPLACE(D19, ""[^a-zA-Z']"", """"))"),"BOHEMIANRHAPSODY")</f>
        <v>BOHEMIANRHAPSODY</v>
      </c>
      <c r="H19" s="128">
        <v>16.0</v>
      </c>
      <c r="I19" s="128">
        <f t="shared" si="4"/>
        <v>1</v>
      </c>
      <c r="J19" s="128">
        <f t="shared" si="5"/>
        <v>1</v>
      </c>
    </row>
    <row r="20" ht="15.75" customHeight="1">
      <c r="A20" s="125">
        <v>11.0</v>
      </c>
      <c r="B20" s="126" t="s">
        <v>1076</v>
      </c>
      <c r="C20" s="127" t="str">
        <f t="shared" si="1"/>
        <v>Don't Try So Hard.1.mid</v>
      </c>
      <c r="D20" s="128" t="str">
        <f t="shared" si="2"/>
        <v>Don't Try So Hard.1</v>
      </c>
      <c r="E20" s="128">
        <f t="shared" si="3"/>
        <v>11</v>
      </c>
      <c r="F20" s="128" t="str">
        <f>IFERROR(__xludf.DUMMYFUNCTION("UPPER(REGEXREPLACE(D20, ""[^a-zA-Z']"", """"))"),"DON'TTRYSOHARD")</f>
        <v>DON'TTRYSOHARD</v>
      </c>
      <c r="H20" s="128">
        <v>17.0</v>
      </c>
      <c r="I20" s="128">
        <f t="shared" si="4"/>
        <v>1</v>
      </c>
      <c r="J20" s="128">
        <f t="shared" si="5"/>
        <v>1</v>
      </c>
    </row>
    <row r="21" ht="15.75" customHeight="1">
      <c r="A21" s="125">
        <v>11.0</v>
      </c>
      <c r="B21" s="126" t="s">
        <v>1079</v>
      </c>
      <c r="C21" s="127" t="str">
        <f t="shared" si="1"/>
        <v>Don't Try So Hard.mid</v>
      </c>
      <c r="D21" s="128" t="str">
        <f t="shared" si="2"/>
        <v>Don't Try So Hard</v>
      </c>
      <c r="E21" s="128">
        <f t="shared" si="3"/>
        <v>11</v>
      </c>
      <c r="F21" s="128" t="str">
        <f>IFERROR(__xludf.DUMMYFUNCTION("UPPER(REGEXREPLACE(D21, ""[^a-zA-Z']"", """"))"),"DON'TTRYSOHARD")</f>
        <v>DON'TTRYSOHARD</v>
      </c>
      <c r="H21" s="128">
        <v>18.0</v>
      </c>
      <c r="I21" s="128">
        <f t="shared" si="4"/>
        <v>1</v>
      </c>
      <c r="J21" s="128">
        <f t="shared" si="5"/>
        <v>1</v>
      </c>
    </row>
    <row r="22" ht="15.75" customHeight="1">
      <c r="A22" s="125">
        <v>11.0</v>
      </c>
      <c r="B22" s="126" t="s">
        <v>1081</v>
      </c>
      <c r="C22" s="127" t="str">
        <f t="shared" si="1"/>
        <v>Friends Will Be Friends.2.mid</v>
      </c>
      <c r="D22" s="128" t="str">
        <f t="shared" si="2"/>
        <v>Friends Will Be Friends.2</v>
      </c>
      <c r="E22" s="128">
        <f t="shared" si="3"/>
        <v>11</v>
      </c>
      <c r="F22" s="128" t="str">
        <f>IFERROR(__xludf.DUMMYFUNCTION("UPPER(REGEXREPLACE(D22, ""[^a-zA-Z']"", """"))"),"FRIENDSWILLBEFRIENDS")</f>
        <v>FRIENDSWILLBEFRIENDS</v>
      </c>
      <c r="H22" s="128">
        <v>19.0</v>
      </c>
      <c r="I22" s="128">
        <f t="shared" si="4"/>
        <v>1</v>
      </c>
      <c r="J22" s="128">
        <f t="shared" si="5"/>
        <v>1</v>
      </c>
    </row>
    <row r="23" ht="15.75" customHeight="1">
      <c r="A23" s="125">
        <v>11.0</v>
      </c>
      <c r="B23" s="126" t="s">
        <v>1083</v>
      </c>
      <c r="C23" s="127" t="str">
        <f t="shared" si="1"/>
        <v>Friends Will Be Friends.4.mid</v>
      </c>
      <c r="D23" s="128" t="str">
        <f t="shared" si="2"/>
        <v>Friends Will Be Friends.4</v>
      </c>
      <c r="E23" s="128">
        <f t="shared" si="3"/>
        <v>11</v>
      </c>
      <c r="F23" s="128" t="str">
        <f>IFERROR(__xludf.DUMMYFUNCTION("UPPER(REGEXREPLACE(D23, ""[^a-zA-Z']"", """"))"),"FRIENDSWILLBEFRIENDS")</f>
        <v>FRIENDSWILLBEFRIENDS</v>
      </c>
      <c r="H23" s="128">
        <v>20.0</v>
      </c>
      <c r="I23" s="128">
        <f t="shared" si="4"/>
        <v>8</v>
      </c>
      <c r="J23" s="128">
        <f t="shared" si="5"/>
        <v>9</v>
      </c>
    </row>
    <row r="24" ht="15.75" customHeight="1">
      <c r="A24" s="125">
        <v>11.0</v>
      </c>
      <c r="B24" s="126" t="s">
        <v>1086</v>
      </c>
      <c r="C24" s="127" t="str">
        <f t="shared" si="1"/>
        <v>Friends Will Be Friends.mid</v>
      </c>
      <c r="D24" s="128" t="str">
        <f t="shared" si="2"/>
        <v>Friends Will Be Friends</v>
      </c>
      <c r="E24" s="128">
        <f t="shared" si="3"/>
        <v>11</v>
      </c>
      <c r="F24" s="128" t="str">
        <f>IFERROR(__xludf.DUMMYFUNCTION("UPPER(REGEXREPLACE(D24, ""[^a-zA-Z']"", """"))"),"FRIENDSWILLBEFRIENDS")</f>
        <v>FRIENDSWILLBEFRIENDS</v>
      </c>
      <c r="H24" s="128">
        <v>21.0</v>
      </c>
      <c r="I24" s="128">
        <f t="shared" si="4"/>
        <v>1</v>
      </c>
      <c r="J24" s="128">
        <f t="shared" si="5"/>
        <v>1</v>
      </c>
    </row>
    <row r="25" ht="15.75" customHeight="1">
      <c r="A25" s="125">
        <v>11.0</v>
      </c>
      <c r="B25" s="126" t="s">
        <v>1088</v>
      </c>
      <c r="C25" s="127" t="str">
        <f t="shared" si="1"/>
        <v>Headlong.mid</v>
      </c>
      <c r="D25" s="128" t="str">
        <f t="shared" si="2"/>
        <v>Headlong</v>
      </c>
      <c r="E25" s="128">
        <f t="shared" si="3"/>
        <v>11</v>
      </c>
      <c r="F25" s="128" t="str">
        <f>IFERROR(__xludf.DUMMYFUNCTION("UPPER(REGEXREPLACE(D25, ""[^a-zA-Z']"", """"))"),"HEADLONG")</f>
        <v>HEADLONG</v>
      </c>
      <c r="H25" s="128">
        <v>22.0</v>
      </c>
      <c r="I25" s="128">
        <f t="shared" si="4"/>
        <v>1</v>
      </c>
      <c r="J25" s="128">
        <f t="shared" si="5"/>
        <v>1</v>
      </c>
    </row>
    <row r="26" ht="15.75" customHeight="1">
      <c r="A26" s="125">
        <v>11.0</v>
      </c>
      <c r="B26" s="126" t="s">
        <v>1089</v>
      </c>
      <c r="C26" s="127" t="str">
        <f t="shared" si="1"/>
        <v>Innuendo.2.mid</v>
      </c>
      <c r="D26" s="128" t="str">
        <f t="shared" si="2"/>
        <v>Innuendo.2</v>
      </c>
      <c r="E26" s="128">
        <f t="shared" si="3"/>
        <v>11</v>
      </c>
      <c r="F26" s="128" t="str">
        <f>IFERROR(__xludf.DUMMYFUNCTION("UPPER(REGEXREPLACE(D26, ""[^a-zA-Z']"", """"))"),"INNUENDO")</f>
        <v>INNUENDO</v>
      </c>
      <c r="H26" s="128">
        <v>23.0</v>
      </c>
      <c r="I26" s="128">
        <f t="shared" si="4"/>
        <v>1</v>
      </c>
      <c r="J26" s="128">
        <f t="shared" si="5"/>
        <v>1</v>
      </c>
    </row>
    <row r="27" ht="15.75" customHeight="1">
      <c r="A27" s="125">
        <v>11.0</v>
      </c>
      <c r="B27" s="126" t="s">
        <v>1091</v>
      </c>
      <c r="C27" s="127" t="str">
        <f t="shared" si="1"/>
        <v>Lily of the Valley.mid</v>
      </c>
      <c r="D27" s="128" t="str">
        <f t="shared" si="2"/>
        <v>Lily of the Valley</v>
      </c>
      <c r="E27" s="128">
        <f t="shared" si="3"/>
        <v>11</v>
      </c>
      <c r="F27" s="128" t="str">
        <f>IFERROR(__xludf.DUMMYFUNCTION("UPPER(REGEXREPLACE(D27, ""[^a-zA-Z']"", """"))"),"LILYOFTHEVALLEY")</f>
        <v>LILYOFTHEVALLEY</v>
      </c>
      <c r="H27" s="128">
        <v>24.0</v>
      </c>
      <c r="I27" s="128">
        <f t="shared" si="4"/>
        <v>1</v>
      </c>
      <c r="J27" s="128">
        <f t="shared" si="5"/>
        <v>1</v>
      </c>
    </row>
    <row r="28" ht="15.75" customHeight="1">
      <c r="A28" s="125">
        <v>11.0</v>
      </c>
      <c r="B28" s="126" t="s">
        <v>1093</v>
      </c>
      <c r="C28" s="127" t="str">
        <f t="shared" si="1"/>
        <v>Living on My Own.mid</v>
      </c>
      <c r="D28" s="128" t="str">
        <f t="shared" si="2"/>
        <v>Living on My Own</v>
      </c>
      <c r="E28" s="128">
        <f t="shared" si="3"/>
        <v>11</v>
      </c>
      <c r="F28" s="128" t="str">
        <f>IFERROR(__xludf.DUMMYFUNCTION("UPPER(REGEXREPLACE(D28, ""[^a-zA-Z']"", """"))"),"LIVINGONMYOWN")</f>
        <v>LIVINGONMYOWN</v>
      </c>
      <c r="H28" s="128">
        <v>25.0</v>
      </c>
      <c r="I28" s="128">
        <f t="shared" si="4"/>
        <v>1</v>
      </c>
      <c r="J28" s="128">
        <f t="shared" si="5"/>
        <v>1</v>
      </c>
    </row>
    <row r="29" ht="15.75" customHeight="1">
      <c r="A29" s="125">
        <v>11.0</v>
      </c>
      <c r="B29" s="126" t="s">
        <v>1095</v>
      </c>
      <c r="C29" s="127" t="str">
        <f t="shared" si="1"/>
        <v>Love of My Life.2.mid</v>
      </c>
      <c r="D29" s="128" t="str">
        <f t="shared" si="2"/>
        <v>Love of My Life.2</v>
      </c>
      <c r="E29" s="128">
        <f t="shared" si="3"/>
        <v>11</v>
      </c>
      <c r="F29" s="128" t="str">
        <f>IFERROR(__xludf.DUMMYFUNCTION("UPPER(REGEXREPLACE(D29, ""[^a-zA-Z']"", """"))"),"LOVEOFMYLIFE")</f>
        <v>LOVEOFMYLIFE</v>
      </c>
      <c r="H29" s="128">
        <v>26.0</v>
      </c>
      <c r="I29" s="128">
        <f t="shared" si="4"/>
        <v>0</v>
      </c>
      <c r="J29" s="128">
        <f t="shared" si="5"/>
        <v>0</v>
      </c>
    </row>
    <row r="30" ht="15.75" customHeight="1">
      <c r="A30" s="125">
        <v>11.0</v>
      </c>
      <c r="B30" s="126" t="s">
        <v>1098</v>
      </c>
      <c r="C30" s="127" t="str">
        <f t="shared" si="1"/>
        <v>Love of My Life.mid</v>
      </c>
      <c r="D30" s="128" t="str">
        <f t="shared" si="2"/>
        <v>Love of My Life</v>
      </c>
      <c r="E30" s="128">
        <f t="shared" si="3"/>
        <v>11</v>
      </c>
      <c r="F30" s="128" t="str">
        <f>IFERROR(__xludf.DUMMYFUNCTION("UPPER(REGEXREPLACE(D30, ""[^a-zA-Z']"", """"))"),"LOVEOFMYLIFE")</f>
        <v>LOVEOFMYLIFE</v>
      </c>
      <c r="H30" s="128">
        <v>27.0</v>
      </c>
      <c r="I30" s="128">
        <f t="shared" si="4"/>
        <v>0</v>
      </c>
      <c r="J30" s="128">
        <f t="shared" si="5"/>
        <v>0</v>
      </c>
    </row>
    <row r="31" ht="15.75" customHeight="1">
      <c r="A31" s="125">
        <v>11.0</v>
      </c>
      <c r="B31" s="126" t="s">
        <v>1099</v>
      </c>
      <c r="C31" s="127" t="str">
        <f t="shared" si="1"/>
        <v>My Melancholy Blues.mid</v>
      </c>
      <c r="D31" s="128" t="str">
        <f t="shared" si="2"/>
        <v>My Melancholy Blues</v>
      </c>
      <c r="E31" s="128">
        <f t="shared" si="3"/>
        <v>11</v>
      </c>
      <c r="F31" s="128" t="str">
        <f>IFERROR(__xludf.DUMMYFUNCTION("UPPER(REGEXREPLACE(D31, ""[^a-zA-Z']"", """"))"),"MYMELANCHOLYBLUES")</f>
        <v>MYMELANCHOLYBLUES</v>
      </c>
      <c r="H31" s="128">
        <v>28.0</v>
      </c>
      <c r="I31" s="128">
        <f t="shared" si="4"/>
        <v>0</v>
      </c>
      <c r="J31" s="128">
        <f t="shared" si="5"/>
        <v>0</v>
      </c>
    </row>
    <row r="32" ht="15.75" customHeight="1">
      <c r="A32" s="125">
        <v>11.0</v>
      </c>
      <c r="B32" s="126" t="s">
        <v>1102</v>
      </c>
      <c r="C32" s="127" t="str">
        <f t="shared" si="1"/>
        <v>Now I'm Here.4.mid</v>
      </c>
      <c r="D32" s="128" t="str">
        <f t="shared" si="2"/>
        <v>Now I'm Here.4</v>
      </c>
      <c r="E32" s="128">
        <f t="shared" si="3"/>
        <v>11</v>
      </c>
      <c r="F32" s="128" t="str">
        <f>IFERROR(__xludf.DUMMYFUNCTION("UPPER(REGEXREPLACE(D32, ""[^a-zA-Z']"", """"))"),"NOWI'MHERE")</f>
        <v>NOWI'MHERE</v>
      </c>
      <c r="H32" s="128">
        <v>29.0</v>
      </c>
      <c r="I32" s="128">
        <f t="shared" si="4"/>
        <v>0</v>
      </c>
      <c r="J32" s="128">
        <f t="shared" si="5"/>
        <v>0</v>
      </c>
    </row>
    <row r="33" ht="15.75" customHeight="1">
      <c r="A33" s="125">
        <v>11.0</v>
      </c>
      <c r="B33" s="126" t="s">
        <v>1104</v>
      </c>
      <c r="C33" s="127" t="str">
        <f t="shared" si="1"/>
        <v>One Vision.mid</v>
      </c>
      <c r="D33" s="128" t="str">
        <f t="shared" si="2"/>
        <v>One Vision</v>
      </c>
      <c r="E33" s="128">
        <f t="shared" si="3"/>
        <v>11</v>
      </c>
      <c r="F33" s="128" t="str">
        <f>IFERROR(__xludf.DUMMYFUNCTION("UPPER(REGEXREPLACE(D33, ""[^a-zA-Z']"", """"))"),"ONEVISION")</f>
        <v>ONEVISION</v>
      </c>
      <c r="H33" s="128">
        <v>30.0</v>
      </c>
      <c r="I33" s="128">
        <f t="shared" si="4"/>
        <v>0</v>
      </c>
      <c r="J33" s="128">
        <f t="shared" si="5"/>
        <v>0</v>
      </c>
    </row>
    <row r="34" ht="15.75" customHeight="1">
      <c r="A34" s="125">
        <v>11.0</v>
      </c>
      <c r="B34" s="126" t="s">
        <v>1106</v>
      </c>
      <c r="C34" s="127" t="str">
        <f t="shared" si="1"/>
        <v>Save Me.2.mid</v>
      </c>
      <c r="D34" s="128" t="str">
        <f t="shared" si="2"/>
        <v>Save Me.2</v>
      </c>
      <c r="E34" s="128">
        <f t="shared" si="3"/>
        <v>11</v>
      </c>
      <c r="F34" s="128" t="str">
        <f>IFERROR(__xludf.DUMMYFUNCTION("UPPER(REGEXREPLACE(D34, ""[^a-zA-Z']"", """"))"),"SAVEME")</f>
        <v>SAVEME</v>
      </c>
      <c r="H34" s="128">
        <v>31.0</v>
      </c>
      <c r="I34" s="128">
        <f t="shared" si="4"/>
        <v>0</v>
      </c>
      <c r="J34" s="128">
        <f t="shared" si="5"/>
        <v>0</v>
      </c>
    </row>
    <row r="35" ht="15.75" customHeight="1">
      <c r="A35" s="125">
        <v>11.0</v>
      </c>
      <c r="B35" s="126" t="s">
        <v>1108</v>
      </c>
      <c r="C35" s="127" t="str">
        <f t="shared" si="1"/>
        <v>Save Me.3.mid</v>
      </c>
      <c r="D35" s="128" t="str">
        <f t="shared" si="2"/>
        <v>Save Me.3</v>
      </c>
      <c r="E35" s="128">
        <f t="shared" si="3"/>
        <v>11</v>
      </c>
      <c r="F35" s="128" t="str">
        <f>IFERROR(__xludf.DUMMYFUNCTION("UPPER(REGEXREPLACE(D35, ""[^a-zA-Z']"", """"))"),"SAVEME")</f>
        <v>SAVEME</v>
      </c>
      <c r="H35" s="128">
        <v>32.0</v>
      </c>
      <c r="I35" s="128">
        <f t="shared" si="4"/>
        <v>0</v>
      </c>
      <c r="J35" s="128">
        <f t="shared" si="5"/>
        <v>0</v>
      </c>
    </row>
    <row r="36" ht="15.75" customHeight="1">
      <c r="A36" s="125">
        <v>11.0</v>
      </c>
      <c r="B36" s="126" t="s">
        <v>1110</v>
      </c>
      <c r="C36" s="127" t="str">
        <f t="shared" si="1"/>
        <v>Scandal.1.mid</v>
      </c>
      <c r="D36" s="128" t="str">
        <f t="shared" si="2"/>
        <v>Scandal.1</v>
      </c>
      <c r="E36" s="128">
        <f t="shared" si="3"/>
        <v>11</v>
      </c>
      <c r="F36" s="128" t="str">
        <f>IFERROR(__xludf.DUMMYFUNCTION("UPPER(REGEXREPLACE(D36, ""[^a-zA-Z']"", """"))"),"SCANDAL")</f>
        <v>SCANDAL</v>
      </c>
      <c r="H36" s="128">
        <v>33.0</v>
      </c>
      <c r="I36" s="128">
        <f t="shared" si="4"/>
        <v>0</v>
      </c>
      <c r="J36" s="128">
        <f t="shared" si="5"/>
        <v>0</v>
      </c>
    </row>
    <row r="37" ht="15.75" customHeight="1">
      <c r="A37" s="125">
        <v>11.0</v>
      </c>
      <c r="B37" s="126" t="s">
        <v>1111</v>
      </c>
      <c r="C37" s="127" t="str">
        <f t="shared" si="1"/>
        <v>Spread Your Wings.1.mid</v>
      </c>
      <c r="D37" s="128" t="str">
        <f t="shared" si="2"/>
        <v>Spread Your Wings.1</v>
      </c>
      <c r="E37" s="128">
        <f t="shared" si="3"/>
        <v>11</v>
      </c>
      <c r="F37" s="128" t="str">
        <f>IFERROR(__xludf.DUMMYFUNCTION("UPPER(REGEXREPLACE(D37, ""[^a-zA-Z']"", """"))"),"SPREADYOURWINGS")</f>
        <v>SPREADYOURWINGS</v>
      </c>
      <c r="H37" s="128">
        <v>34.0</v>
      </c>
      <c r="I37" s="128">
        <f t="shared" si="4"/>
        <v>0</v>
      </c>
      <c r="J37" s="128">
        <f t="shared" si="5"/>
        <v>0</v>
      </c>
    </row>
    <row r="38" ht="15.75" customHeight="1">
      <c r="A38" s="125">
        <v>11.0</v>
      </c>
      <c r="B38" s="126" t="s">
        <v>1103</v>
      </c>
      <c r="C38" s="127" t="str">
        <f t="shared" si="1"/>
        <v>These Are the Days of Our Lives.2.mid</v>
      </c>
      <c r="D38" s="128" t="str">
        <f t="shared" si="2"/>
        <v>These Are the Days of Our Lives.2</v>
      </c>
      <c r="E38" s="128">
        <f t="shared" si="3"/>
        <v>11</v>
      </c>
      <c r="F38" s="128" t="str">
        <f>IFERROR(__xludf.DUMMYFUNCTION("UPPER(REGEXREPLACE(D38, ""[^a-zA-Z']"", """"))"),"THESEARETHEDAYSOFOURLIVES")</f>
        <v>THESEARETHEDAYSOFOURLIVES</v>
      </c>
      <c r="H38" s="128">
        <v>35.0</v>
      </c>
      <c r="I38" s="128">
        <f t="shared" si="4"/>
        <v>0</v>
      </c>
      <c r="J38" s="128">
        <f t="shared" si="5"/>
        <v>0</v>
      </c>
    </row>
    <row r="39" ht="15.75" customHeight="1">
      <c r="A39" s="125">
        <v>11.0</v>
      </c>
      <c r="B39" s="126" t="s">
        <v>1113</v>
      </c>
      <c r="C39" s="127" t="str">
        <f t="shared" si="1"/>
        <v>Under Pressure.4.mid</v>
      </c>
      <c r="D39" s="128" t="str">
        <f t="shared" si="2"/>
        <v>Under Pressure.4</v>
      </c>
      <c r="E39" s="128">
        <f t="shared" si="3"/>
        <v>11</v>
      </c>
      <c r="F39" s="128" t="str">
        <f>IFERROR(__xludf.DUMMYFUNCTION("UPPER(REGEXREPLACE(D39, ""[^a-zA-Z']"", """"))"),"UNDERPRESSURE")</f>
        <v>UNDERPRESSURE</v>
      </c>
      <c r="H39" s="128">
        <v>36.0</v>
      </c>
      <c r="I39" s="128">
        <f t="shared" si="4"/>
        <v>0</v>
      </c>
      <c r="J39" s="128">
        <f t="shared" si="5"/>
        <v>0</v>
      </c>
    </row>
    <row r="40" ht="15.75" customHeight="1">
      <c r="A40" s="125">
        <v>11.0</v>
      </c>
      <c r="B40" s="126" t="s">
        <v>1085</v>
      </c>
      <c r="C40" s="127" t="str">
        <f t="shared" si="1"/>
        <v>Under Pressure.5.mid</v>
      </c>
      <c r="D40" s="128" t="str">
        <f t="shared" si="2"/>
        <v>Under Pressure.5</v>
      </c>
      <c r="E40" s="128">
        <f t="shared" si="3"/>
        <v>11</v>
      </c>
      <c r="F40" s="128" t="str">
        <f>IFERROR(__xludf.DUMMYFUNCTION("UPPER(REGEXREPLACE(D40, ""[^a-zA-Z']"", """"))"),"UNDERPRESSURE")</f>
        <v>UNDERPRESSURE</v>
      </c>
      <c r="H40" s="128">
        <v>37.0</v>
      </c>
      <c r="I40" s="128">
        <f t="shared" si="4"/>
        <v>0</v>
      </c>
      <c r="J40" s="128">
        <f t="shared" si="5"/>
        <v>0</v>
      </c>
    </row>
    <row r="41" ht="15.75" customHeight="1">
      <c r="A41" s="125">
        <v>11.0</v>
      </c>
      <c r="B41" s="126" t="s">
        <v>1117</v>
      </c>
      <c r="C41" s="127" t="str">
        <f t="shared" si="1"/>
        <v>Under Pressure.mid</v>
      </c>
      <c r="D41" s="128" t="str">
        <f t="shared" si="2"/>
        <v>Under Pressure</v>
      </c>
      <c r="E41" s="128">
        <f t="shared" si="3"/>
        <v>11</v>
      </c>
      <c r="F41" s="128" t="str">
        <f>IFERROR(__xludf.DUMMYFUNCTION("UPPER(REGEXREPLACE(D41, ""[^a-zA-Z']"", """"))"),"UNDERPRESSURE")</f>
        <v>UNDERPRESSURE</v>
      </c>
      <c r="H41" s="128">
        <v>38.0</v>
      </c>
      <c r="I41" s="128">
        <f t="shared" si="4"/>
        <v>0</v>
      </c>
      <c r="J41" s="128">
        <f t="shared" si="5"/>
        <v>0</v>
      </c>
    </row>
    <row r="42" ht="15.75" customHeight="1">
      <c r="A42" s="125">
        <v>11.0</v>
      </c>
      <c r="B42" s="126" t="s">
        <v>1118</v>
      </c>
      <c r="C42" s="127" t="str">
        <f t="shared" si="1"/>
        <v>We Are the Champions.mid</v>
      </c>
      <c r="D42" s="128" t="str">
        <f t="shared" si="2"/>
        <v>We Are the Champions</v>
      </c>
      <c r="E42" s="128">
        <f t="shared" si="3"/>
        <v>11</v>
      </c>
      <c r="F42" s="128" t="str">
        <f>IFERROR(__xludf.DUMMYFUNCTION("UPPER(REGEXREPLACE(D42, ""[^a-zA-Z']"", """"))"),"WEARETHECHAMPIONS")</f>
        <v>WEARETHECHAMPIONS</v>
      </c>
      <c r="H42" s="128">
        <v>39.0</v>
      </c>
      <c r="I42" s="128">
        <f t="shared" si="4"/>
        <v>0</v>
      </c>
      <c r="J42" s="128">
        <f t="shared" si="5"/>
        <v>0</v>
      </c>
    </row>
    <row r="43" ht="15.75" customHeight="1">
      <c r="A43" s="125">
        <v>11.0</v>
      </c>
      <c r="B43" s="126" t="s">
        <v>1072</v>
      </c>
      <c r="C43" s="127" t="str">
        <f t="shared" si="1"/>
        <v>We Will Rock You.2.mid</v>
      </c>
      <c r="D43" s="128" t="str">
        <f t="shared" si="2"/>
        <v>We Will Rock You.2</v>
      </c>
      <c r="E43" s="128">
        <f t="shared" si="3"/>
        <v>11</v>
      </c>
      <c r="F43" s="128" t="str">
        <f>IFERROR(__xludf.DUMMYFUNCTION("UPPER(REGEXREPLACE(D43, ""[^a-zA-Z']"", """"))"),"WEWILLROCKYOU")</f>
        <v>WEWILLROCKYOU</v>
      </c>
      <c r="H43" s="128">
        <v>40.0</v>
      </c>
      <c r="I43" s="128">
        <f t="shared" si="4"/>
        <v>0</v>
      </c>
      <c r="J43" s="128">
        <f t="shared" si="5"/>
        <v>0</v>
      </c>
    </row>
    <row r="44" ht="15.75" customHeight="1">
      <c r="A44" s="125">
        <v>11.0</v>
      </c>
      <c r="B44" s="126" t="s">
        <v>1120</v>
      </c>
      <c r="C44" s="127" t="str">
        <f t="shared" si="1"/>
        <v>Who Wants to Live Forever.7.mid</v>
      </c>
      <c r="D44" s="128" t="str">
        <f t="shared" si="2"/>
        <v>Who Wants to Live Forever.7</v>
      </c>
      <c r="E44" s="128">
        <f t="shared" si="3"/>
        <v>11</v>
      </c>
      <c r="F44" s="128" t="str">
        <f>IFERROR(__xludf.DUMMYFUNCTION("UPPER(REGEXREPLACE(D44, ""[^a-zA-Z']"", """"))"),"WHOWANTSTOLIVEFOREVER")</f>
        <v>WHOWANTSTOLIVEFOREVER</v>
      </c>
      <c r="H44" s="128">
        <v>41.0</v>
      </c>
      <c r="I44" s="128">
        <f t="shared" si="4"/>
        <v>0</v>
      </c>
      <c r="J44" s="128">
        <f t="shared" si="5"/>
        <v>0</v>
      </c>
    </row>
    <row r="45" ht="15.75" customHeight="1">
      <c r="A45" s="125">
        <v>12.0</v>
      </c>
      <c r="B45" s="126" t="s">
        <v>1122</v>
      </c>
      <c r="C45" s="127" t="str">
        <f t="shared" si="1"/>
        <v>Love of My Life.3.mid</v>
      </c>
      <c r="D45" s="128" t="str">
        <f t="shared" si="2"/>
        <v>Love of My Life.3</v>
      </c>
      <c r="E45" s="128">
        <f t="shared" si="3"/>
        <v>12</v>
      </c>
      <c r="F45" s="128" t="str">
        <f>IFERROR(__xludf.DUMMYFUNCTION("UPPER(REGEXREPLACE(D45, ""[^a-zA-Z']"", """"))"),"LOVEOFMYLIFE")</f>
        <v>LOVEOFMYLIFE</v>
      </c>
      <c r="H45" s="128">
        <v>42.0</v>
      </c>
      <c r="I45" s="128">
        <f t="shared" si="4"/>
        <v>0</v>
      </c>
      <c r="J45" s="128">
        <f t="shared" si="5"/>
        <v>0</v>
      </c>
    </row>
    <row r="46" ht="15.75" customHeight="1">
      <c r="A46" s="125">
        <v>13.0</v>
      </c>
      <c r="B46" s="126" t="s">
        <v>1124</v>
      </c>
      <c r="C46" s="127" t="str">
        <f t="shared" si="1"/>
        <v>Procession.mid</v>
      </c>
      <c r="D46" s="128" t="str">
        <f t="shared" si="2"/>
        <v>Procession</v>
      </c>
      <c r="E46" s="128">
        <f t="shared" si="3"/>
        <v>13</v>
      </c>
      <c r="F46" s="128" t="str">
        <f>IFERROR(__xludf.DUMMYFUNCTION("UPPER(REGEXREPLACE(D46, ""[^a-zA-Z']"", """"))"),"PROCESSION")</f>
        <v>PROCESSION</v>
      </c>
      <c r="H46" s="128">
        <v>43.0</v>
      </c>
      <c r="I46" s="128">
        <f t="shared" si="4"/>
        <v>0</v>
      </c>
      <c r="J46" s="128">
        <f t="shared" si="5"/>
        <v>0</v>
      </c>
    </row>
    <row r="47" ht="15.75" customHeight="1">
      <c r="A47" s="125">
        <v>13.0</v>
      </c>
      <c r="B47" s="126" t="s">
        <v>1127</v>
      </c>
      <c r="C47" s="127" t="str">
        <f t="shared" si="1"/>
        <v>Scandal.mid</v>
      </c>
      <c r="D47" s="128" t="str">
        <f t="shared" si="2"/>
        <v>Scandal</v>
      </c>
      <c r="E47" s="128">
        <f t="shared" si="3"/>
        <v>13</v>
      </c>
      <c r="F47" s="128" t="str">
        <f>IFERROR(__xludf.DUMMYFUNCTION("UPPER(REGEXREPLACE(D47, ""[^a-zA-Z']"", """"))"),"SCANDAL")</f>
        <v>SCANDAL</v>
      </c>
      <c r="H47" s="128">
        <v>44.0</v>
      </c>
      <c r="I47" s="128">
        <f t="shared" si="4"/>
        <v>0</v>
      </c>
      <c r="J47" s="128">
        <f t="shared" si="5"/>
        <v>0</v>
      </c>
    </row>
    <row r="48" ht="15.75" customHeight="1">
      <c r="A48" s="125">
        <v>13.0</v>
      </c>
      <c r="B48" s="126" t="s">
        <v>1129</v>
      </c>
      <c r="C48" s="127" t="str">
        <f t="shared" si="1"/>
        <v>We Are The Champions.10.mid</v>
      </c>
      <c r="D48" s="128" t="str">
        <f t="shared" si="2"/>
        <v>We Are The Champions.10</v>
      </c>
      <c r="E48" s="128">
        <f t="shared" si="3"/>
        <v>13</v>
      </c>
      <c r="F48" s="128" t="str">
        <f>IFERROR(__xludf.DUMMYFUNCTION("UPPER(REGEXREPLACE(D48, ""[^a-zA-Z']"", """"))"),"WEARETHECHAMPIONS")</f>
        <v>WEARETHECHAMPIONS</v>
      </c>
      <c r="H48" s="128">
        <v>45.0</v>
      </c>
      <c r="I48" s="128">
        <f t="shared" si="4"/>
        <v>0</v>
      </c>
      <c r="J48" s="128">
        <f t="shared" si="5"/>
        <v>0</v>
      </c>
    </row>
    <row r="49" ht="15.75" customHeight="1">
      <c r="A49" s="125">
        <v>14.0</v>
      </c>
      <c r="B49" s="126" t="s">
        <v>1028</v>
      </c>
      <c r="C49" s="127" t="str">
        <f t="shared" si="1"/>
        <v>'39.mid</v>
      </c>
      <c r="D49" s="128" t="str">
        <f t="shared" si="2"/>
        <v>'39</v>
      </c>
      <c r="E49" s="128">
        <f t="shared" si="3"/>
        <v>14</v>
      </c>
      <c r="F49" s="128" t="str">
        <f>IFERROR(__xludf.DUMMYFUNCTION("UPPER(REGEXREPLACE(D49, ""[^a-zA-Z']"", """"))"),"'")</f>
        <v>'</v>
      </c>
      <c r="H49" s="128">
        <v>46.0</v>
      </c>
      <c r="I49" s="128">
        <f t="shared" si="4"/>
        <v>0</v>
      </c>
      <c r="J49" s="128">
        <f t="shared" si="5"/>
        <v>0</v>
      </c>
    </row>
    <row r="50" ht="15.75" customHeight="1">
      <c r="A50" s="125">
        <v>14.0</v>
      </c>
      <c r="B50" s="126" t="s">
        <v>1033</v>
      </c>
      <c r="C50" s="127" t="str">
        <f t="shared" si="1"/>
        <v>A Kind of Magic.3.mid</v>
      </c>
      <c r="D50" s="128" t="str">
        <f t="shared" si="2"/>
        <v>A Kind of Magic.3</v>
      </c>
      <c r="E50" s="128">
        <f t="shared" si="3"/>
        <v>14</v>
      </c>
      <c r="F50" s="128" t="str">
        <f>IFERROR(__xludf.DUMMYFUNCTION("UPPER(REGEXREPLACE(D50, ""[^a-zA-Z']"", """"))"),"AKINDOFMAGIC")</f>
        <v>AKINDOFMAGIC</v>
      </c>
      <c r="H50" s="128">
        <v>47.0</v>
      </c>
      <c r="I50" s="128">
        <f t="shared" si="4"/>
        <v>0</v>
      </c>
      <c r="J50" s="128">
        <f t="shared" si="5"/>
        <v>0</v>
      </c>
    </row>
    <row r="51" ht="15.75" customHeight="1">
      <c r="A51" s="125">
        <v>14.0</v>
      </c>
      <c r="B51" s="126" t="s">
        <v>1039</v>
      </c>
      <c r="C51" s="127" t="str">
        <f t="shared" si="1"/>
        <v>All God's People.1.mid</v>
      </c>
      <c r="D51" s="128" t="str">
        <f t="shared" si="2"/>
        <v>All God's People.1</v>
      </c>
      <c r="E51" s="128">
        <f t="shared" si="3"/>
        <v>14</v>
      </c>
      <c r="F51" s="128" t="str">
        <f>IFERROR(__xludf.DUMMYFUNCTION("UPPER(REGEXREPLACE(D51, ""[^a-zA-Z']"", """"))"),"ALLGOD'SPEOPLE")</f>
        <v>ALLGOD'SPEOPLE</v>
      </c>
      <c r="H51" s="128">
        <v>48.0</v>
      </c>
      <c r="I51" s="128">
        <f t="shared" si="4"/>
        <v>0</v>
      </c>
      <c r="J51" s="128">
        <f t="shared" si="5"/>
        <v>0</v>
      </c>
    </row>
    <row r="52" ht="15.75" customHeight="1">
      <c r="A52" s="125">
        <v>14.0</v>
      </c>
      <c r="B52" s="126" t="s">
        <v>1044</v>
      </c>
      <c r="C52" s="127" t="str">
        <f t="shared" si="1"/>
        <v>All God's People.mid</v>
      </c>
      <c r="D52" s="128" t="str">
        <f t="shared" si="2"/>
        <v>All God's People</v>
      </c>
      <c r="E52" s="128">
        <f t="shared" si="3"/>
        <v>14</v>
      </c>
      <c r="F52" s="128" t="str">
        <f>IFERROR(__xludf.DUMMYFUNCTION("UPPER(REGEXREPLACE(D52, ""[^a-zA-Z']"", """"))"),"ALLGOD'SPEOPLE")</f>
        <v>ALLGOD'SPEOPLE</v>
      </c>
      <c r="H52" s="128">
        <v>49.0</v>
      </c>
      <c r="I52" s="128">
        <f t="shared" si="4"/>
        <v>0</v>
      </c>
      <c r="J52" s="128">
        <f t="shared" si="5"/>
        <v>0</v>
      </c>
    </row>
    <row r="53" ht="15.75" customHeight="1">
      <c r="A53" s="125">
        <v>14.0</v>
      </c>
      <c r="B53" s="126" t="s">
        <v>1034</v>
      </c>
      <c r="C53" s="127" t="str">
        <f t="shared" si="1"/>
        <v>Another One Bites The Dust.1.mid</v>
      </c>
      <c r="D53" s="128" t="str">
        <f t="shared" si="2"/>
        <v>Another One Bites The Dust.1</v>
      </c>
      <c r="E53" s="128">
        <f t="shared" si="3"/>
        <v>14</v>
      </c>
      <c r="F53" s="128" t="str">
        <f>IFERROR(__xludf.DUMMYFUNCTION("UPPER(REGEXREPLACE(D53, ""[^a-zA-Z']"", """"))"),"ANOTHERONEBITESTHEDUST")</f>
        <v>ANOTHERONEBITESTHEDUST</v>
      </c>
      <c r="H53" s="128">
        <v>50.0</v>
      </c>
      <c r="I53" s="128">
        <f t="shared" si="4"/>
        <v>0</v>
      </c>
      <c r="J53" s="128">
        <f t="shared" si="5"/>
        <v>0</v>
      </c>
    </row>
    <row r="54" ht="15.75" customHeight="1">
      <c r="A54" s="125">
        <v>14.0</v>
      </c>
      <c r="B54" s="126" t="s">
        <v>1050</v>
      </c>
      <c r="C54" s="127" t="str">
        <f t="shared" si="1"/>
        <v>Another One Bites The Dust.3.mid</v>
      </c>
      <c r="D54" s="128" t="str">
        <f t="shared" si="2"/>
        <v>Another One Bites The Dust.3</v>
      </c>
      <c r="E54" s="128">
        <f t="shared" si="3"/>
        <v>14</v>
      </c>
      <c r="F54" s="128" t="str">
        <f>IFERROR(__xludf.DUMMYFUNCTION("UPPER(REGEXREPLACE(D54, ""[^a-zA-Z']"", """"))"),"ANOTHERONEBITESTHEDUST")</f>
        <v>ANOTHERONEBITESTHEDUST</v>
      </c>
      <c r="H54" s="128">
        <v>51.0</v>
      </c>
      <c r="I54" s="128">
        <f t="shared" si="4"/>
        <v>0</v>
      </c>
      <c r="J54" s="128">
        <f t="shared" si="5"/>
        <v>0</v>
      </c>
    </row>
    <row r="55" ht="15.75" customHeight="1">
      <c r="A55" s="125">
        <v>14.0</v>
      </c>
      <c r="B55" s="126" t="s">
        <v>1052</v>
      </c>
      <c r="C55" s="127" t="str">
        <f t="shared" si="1"/>
        <v>Another One Bites The Dust.4.mid</v>
      </c>
      <c r="D55" s="128" t="str">
        <f t="shared" si="2"/>
        <v>Another One Bites The Dust.4</v>
      </c>
      <c r="E55" s="128">
        <f t="shared" si="3"/>
        <v>14</v>
      </c>
      <c r="F55" s="128" t="str">
        <f>IFERROR(__xludf.DUMMYFUNCTION("UPPER(REGEXREPLACE(D55, ""[^a-zA-Z']"", """"))"),"ANOTHERONEBITESTHEDUST")</f>
        <v>ANOTHERONEBITESTHEDUST</v>
      </c>
      <c r="H55" s="128">
        <v>52.0</v>
      </c>
      <c r="I55" s="128">
        <f t="shared" si="4"/>
        <v>0</v>
      </c>
      <c r="J55" s="128">
        <f t="shared" si="5"/>
        <v>0</v>
      </c>
    </row>
    <row r="56" ht="15.75" customHeight="1">
      <c r="A56" s="125">
        <v>14.0</v>
      </c>
      <c r="B56" s="126" t="s">
        <v>1054</v>
      </c>
      <c r="C56" s="127" t="str">
        <f t="shared" si="1"/>
        <v>Another One Bites The Dust.5.mid</v>
      </c>
      <c r="D56" s="128" t="str">
        <f t="shared" si="2"/>
        <v>Another One Bites The Dust.5</v>
      </c>
      <c r="E56" s="128">
        <f t="shared" si="3"/>
        <v>14</v>
      </c>
      <c r="F56" s="128" t="str">
        <f>IFERROR(__xludf.DUMMYFUNCTION("UPPER(REGEXREPLACE(D56, ""[^a-zA-Z']"", """"))"),"ANOTHERONEBITESTHEDUST")</f>
        <v>ANOTHERONEBITESTHEDUST</v>
      </c>
      <c r="H56" s="128">
        <v>53.0</v>
      </c>
      <c r="I56" s="128">
        <f t="shared" si="4"/>
        <v>0</v>
      </c>
      <c r="J56" s="128">
        <f t="shared" si="5"/>
        <v>0</v>
      </c>
    </row>
    <row r="57" ht="15.75" customHeight="1">
      <c r="A57" s="125">
        <v>14.0</v>
      </c>
      <c r="B57" s="126" t="s">
        <v>1057</v>
      </c>
      <c r="C57" s="127" t="str">
        <f t="shared" si="1"/>
        <v>Another One Bites The Dust.7.mid</v>
      </c>
      <c r="D57" s="128" t="str">
        <f t="shared" si="2"/>
        <v>Another One Bites The Dust.7</v>
      </c>
      <c r="E57" s="128">
        <f t="shared" si="3"/>
        <v>14</v>
      </c>
      <c r="F57" s="128" t="str">
        <f>IFERROR(__xludf.DUMMYFUNCTION("UPPER(REGEXREPLACE(D57, ""[^a-zA-Z']"", """"))"),"ANOTHERONEBITESTHEDUST")</f>
        <v>ANOTHERONEBITESTHEDUST</v>
      </c>
      <c r="H57" s="128">
        <v>54.0</v>
      </c>
      <c r="I57" s="128">
        <f t="shared" si="4"/>
        <v>0</v>
      </c>
      <c r="J57" s="128">
        <f t="shared" si="5"/>
        <v>0</v>
      </c>
    </row>
    <row r="58" ht="15.75" customHeight="1">
      <c r="A58" s="125">
        <v>14.0</v>
      </c>
      <c r="B58" s="126" t="s">
        <v>1060</v>
      </c>
      <c r="C58" s="127" t="str">
        <f t="shared" si="1"/>
        <v>Another One Bites The Dust.mid</v>
      </c>
      <c r="D58" s="128" t="str">
        <f t="shared" si="2"/>
        <v>Another One Bites The Dust</v>
      </c>
      <c r="E58" s="128">
        <f t="shared" si="3"/>
        <v>14</v>
      </c>
      <c r="F58" s="128" t="str">
        <f>IFERROR(__xludf.DUMMYFUNCTION("UPPER(REGEXREPLACE(D58, ""[^a-zA-Z']"", """"))"),"ANOTHERONEBITESTHEDUST")</f>
        <v>ANOTHERONEBITESTHEDUST</v>
      </c>
      <c r="H58" s="128">
        <v>55.0</v>
      </c>
      <c r="I58" s="128">
        <f t="shared" si="4"/>
        <v>0</v>
      </c>
      <c r="J58" s="128">
        <f t="shared" si="5"/>
        <v>0</v>
      </c>
    </row>
    <row r="59" ht="15.75" customHeight="1">
      <c r="A59" s="125">
        <v>14.0</v>
      </c>
      <c r="B59" s="126" t="s">
        <v>1066</v>
      </c>
      <c r="C59" s="127" t="str">
        <f t="shared" si="1"/>
        <v>Bicycle Race.mid</v>
      </c>
      <c r="D59" s="128" t="str">
        <f t="shared" si="2"/>
        <v>Bicycle Race</v>
      </c>
      <c r="E59" s="128">
        <f t="shared" si="3"/>
        <v>14</v>
      </c>
      <c r="F59" s="128" t="str">
        <f>IFERROR(__xludf.DUMMYFUNCTION("UPPER(REGEXREPLACE(D59, ""[^a-zA-Z']"", """"))"),"BICYCLERACE")</f>
        <v>BICYCLERACE</v>
      </c>
      <c r="H59" s="128">
        <v>56.0</v>
      </c>
      <c r="I59" s="128">
        <f t="shared" si="4"/>
        <v>0</v>
      </c>
      <c r="J59" s="128">
        <f t="shared" si="5"/>
        <v>0</v>
      </c>
    </row>
    <row r="60" ht="15.75" customHeight="1">
      <c r="A60" s="125">
        <v>14.0</v>
      </c>
      <c r="B60" s="126" t="s">
        <v>1071</v>
      </c>
      <c r="C60" s="127" t="str">
        <f t="shared" si="1"/>
        <v>Bijou.mid</v>
      </c>
      <c r="D60" s="128" t="str">
        <f t="shared" si="2"/>
        <v>Bijou</v>
      </c>
      <c r="E60" s="128">
        <f t="shared" si="3"/>
        <v>14</v>
      </c>
      <c r="F60" s="128" t="str">
        <f>IFERROR(__xludf.DUMMYFUNCTION("UPPER(REGEXREPLACE(D60, ""[^a-zA-Z']"", """"))"),"BIJOU")</f>
        <v>BIJOU</v>
      </c>
    </row>
    <row r="61" ht="15.75" customHeight="1">
      <c r="A61" s="125">
        <v>14.0</v>
      </c>
      <c r="B61" s="126" t="s">
        <v>1058</v>
      </c>
      <c r="C61" s="127" t="str">
        <f t="shared" si="1"/>
        <v>Bohemian Rhapsody.1.mid</v>
      </c>
      <c r="D61" s="128" t="str">
        <f t="shared" si="2"/>
        <v>Bohemian Rhapsody.1</v>
      </c>
      <c r="E61" s="128">
        <f t="shared" si="3"/>
        <v>14</v>
      </c>
      <c r="F61" s="128" t="str">
        <f>IFERROR(__xludf.DUMMYFUNCTION("UPPER(REGEXREPLACE(D61, ""[^a-zA-Z']"", """"))"),"BOHEMIANRHAPSODY")</f>
        <v>BOHEMIANRHAPSODY</v>
      </c>
    </row>
    <row r="62" ht="15.75" customHeight="1">
      <c r="A62" s="125">
        <v>14.0</v>
      </c>
      <c r="B62" s="126" t="s">
        <v>1077</v>
      </c>
      <c r="C62" s="127" t="str">
        <f t="shared" si="1"/>
        <v>Bohemian Rhapsody.2.mid</v>
      </c>
      <c r="D62" s="128" t="str">
        <f t="shared" si="2"/>
        <v>Bohemian Rhapsody.2</v>
      </c>
      <c r="E62" s="128">
        <f t="shared" si="3"/>
        <v>14</v>
      </c>
      <c r="F62" s="128" t="str">
        <f>IFERROR(__xludf.DUMMYFUNCTION("UPPER(REGEXREPLACE(D62, ""[^a-zA-Z']"", """"))"),"BOHEMIANRHAPSODY")</f>
        <v>BOHEMIANRHAPSODY</v>
      </c>
    </row>
    <row r="63" ht="15.75" customHeight="1">
      <c r="A63" s="125">
        <v>14.0</v>
      </c>
      <c r="B63" s="126" t="s">
        <v>1037</v>
      </c>
      <c r="C63" s="127" t="str">
        <f t="shared" si="1"/>
        <v>Bohemian Rhapsody.3.mid</v>
      </c>
      <c r="D63" s="128" t="str">
        <f t="shared" si="2"/>
        <v>Bohemian Rhapsody.3</v>
      </c>
      <c r="E63" s="128">
        <f t="shared" si="3"/>
        <v>14</v>
      </c>
      <c r="F63" s="128" t="str">
        <f>IFERROR(__xludf.DUMMYFUNCTION("UPPER(REGEXREPLACE(D63, ""[^a-zA-Z']"", """"))"),"BOHEMIANRHAPSODY")</f>
        <v>BOHEMIANRHAPSODY</v>
      </c>
    </row>
    <row r="64" ht="15.75" customHeight="1">
      <c r="A64" s="125">
        <v>14.0</v>
      </c>
      <c r="B64" s="126" t="s">
        <v>1082</v>
      </c>
      <c r="C64" s="127" t="str">
        <f t="shared" si="1"/>
        <v>Bohemian Rhapsody.5.mid</v>
      </c>
      <c r="D64" s="128" t="str">
        <f t="shared" si="2"/>
        <v>Bohemian Rhapsody.5</v>
      </c>
      <c r="E64" s="128">
        <f t="shared" si="3"/>
        <v>14</v>
      </c>
      <c r="F64" s="128" t="str">
        <f>IFERROR(__xludf.DUMMYFUNCTION("UPPER(REGEXREPLACE(D64, ""[^a-zA-Z']"", """"))"),"BOHEMIANRHAPSODY")</f>
        <v>BOHEMIANRHAPSODY</v>
      </c>
    </row>
    <row r="65" ht="15.75" customHeight="1">
      <c r="A65" s="125">
        <v>14.0</v>
      </c>
      <c r="B65" s="126" t="s">
        <v>1084</v>
      </c>
      <c r="C65" s="127" t="str">
        <f t="shared" si="1"/>
        <v>Bohemian Rhapsody.6.mid</v>
      </c>
      <c r="D65" s="128" t="str">
        <f t="shared" si="2"/>
        <v>Bohemian Rhapsody.6</v>
      </c>
      <c r="E65" s="128">
        <f t="shared" si="3"/>
        <v>14</v>
      </c>
      <c r="F65" s="128" t="str">
        <f>IFERROR(__xludf.DUMMYFUNCTION("UPPER(REGEXREPLACE(D65, ""[^a-zA-Z']"", """"))"),"BOHEMIANRHAPSODY")</f>
        <v>BOHEMIANRHAPSODY</v>
      </c>
    </row>
    <row r="66" ht="15.75" customHeight="1">
      <c r="A66" s="125">
        <v>14.0</v>
      </c>
      <c r="B66" s="126" t="s">
        <v>1092</v>
      </c>
      <c r="C66" s="127" t="str">
        <f t="shared" si="1"/>
        <v>Crazy Little Thing Called Love.2.mid</v>
      </c>
      <c r="D66" s="128" t="str">
        <f t="shared" si="2"/>
        <v>Crazy Little Thing Called Love.2</v>
      </c>
      <c r="E66" s="128">
        <f t="shared" si="3"/>
        <v>14</v>
      </c>
      <c r="F66" s="128" t="str">
        <f>IFERROR(__xludf.DUMMYFUNCTION("UPPER(REGEXREPLACE(D66, ""[^a-zA-Z']"", """"))"),"CRAZYLITTLETHINGCALLEDLOVE")</f>
        <v>CRAZYLITTLETHINGCALLEDLOVE</v>
      </c>
    </row>
    <row r="67" ht="15.75" customHeight="1">
      <c r="A67" s="125">
        <v>14.0</v>
      </c>
      <c r="B67" s="126" t="s">
        <v>1094</v>
      </c>
      <c r="C67" s="127" t="str">
        <f t="shared" si="1"/>
        <v>Crazy Little Thing Called Love.3.mid</v>
      </c>
      <c r="D67" s="128" t="str">
        <f t="shared" si="2"/>
        <v>Crazy Little Thing Called Love.3</v>
      </c>
      <c r="E67" s="128">
        <f t="shared" si="3"/>
        <v>14</v>
      </c>
      <c r="F67" s="128" t="str">
        <f>IFERROR(__xludf.DUMMYFUNCTION("UPPER(REGEXREPLACE(D67, ""[^a-zA-Z']"", """"))"),"CRAZYLITTLETHINGCALLEDLOVE")</f>
        <v>CRAZYLITTLETHINGCALLEDLOVE</v>
      </c>
    </row>
    <row r="68" ht="15.75" customHeight="1">
      <c r="A68" s="125">
        <v>14.0</v>
      </c>
      <c r="B68" s="126" t="s">
        <v>1097</v>
      </c>
      <c r="C68" s="127" t="str">
        <f t="shared" si="1"/>
        <v>Death on Two Legs (Dedicated to ...).mid</v>
      </c>
      <c r="D68" s="128" t="str">
        <f t="shared" si="2"/>
        <v>Death on Two Legs (Dedicated to ...)</v>
      </c>
      <c r="E68" s="128">
        <f t="shared" si="3"/>
        <v>14</v>
      </c>
      <c r="F68" s="128" t="str">
        <f>IFERROR(__xludf.DUMMYFUNCTION("UPPER(REGEXREPLACE(D68, ""[^a-zA-Z']"", """"))"),"DEATHONTWOLEGSDEDICATEDTO")</f>
        <v>DEATHONTWOLEGSDEDICATEDTO</v>
      </c>
    </row>
    <row r="69" ht="15.75" customHeight="1">
      <c r="A69" s="125">
        <v>14.0</v>
      </c>
      <c r="B69" s="126" t="s">
        <v>1105</v>
      </c>
      <c r="C69" s="127" t="str">
        <f t="shared" si="1"/>
        <v>Death on Two Legs (Dedicated To...).mid</v>
      </c>
      <c r="D69" s="128" t="str">
        <f t="shared" si="2"/>
        <v>Death on Two Legs (Dedicated To...)</v>
      </c>
      <c r="E69" s="128">
        <f t="shared" si="3"/>
        <v>14</v>
      </c>
      <c r="F69" s="128" t="str">
        <f>IFERROR(__xludf.DUMMYFUNCTION("UPPER(REGEXREPLACE(D69, ""[^a-zA-Z']"", """"))"),"DEATHONTWOLEGSDEDICATEDTO")</f>
        <v>DEATHONTWOLEGSDEDICATEDTO</v>
      </c>
    </row>
    <row r="70" ht="15.75" customHeight="1">
      <c r="A70" s="125">
        <v>14.0</v>
      </c>
      <c r="B70" s="126" t="s">
        <v>1107</v>
      </c>
      <c r="C70" s="127" t="str">
        <f t="shared" si="1"/>
        <v>Doing All Right.1.mid</v>
      </c>
      <c r="D70" s="128" t="str">
        <f t="shared" si="2"/>
        <v>Doing All Right.1</v>
      </c>
      <c r="E70" s="128">
        <f t="shared" si="3"/>
        <v>14</v>
      </c>
      <c r="F70" s="128" t="str">
        <f>IFERROR(__xludf.DUMMYFUNCTION("UPPER(REGEXREPLACE(D70, ""[^a-zA-Z']"", """"))"),"DOINGALLRIGHT")</f>
        <v>DOINGALLRIGHT</v>
      </c>
    </row>
    <row r="71" ht="15.75" customHeight="1">
      <c r="A71" s="125">
        <v>14.0</v>
      </c>
      <c r="B71" s="126" t="s">
        <v>1109</v>
      </c>
      <c r="C71" s="127" t="str">
        <f t="shared" si="1"/>
        <v>Doing All Right.mid</v>
      </c>
      <c r="D71" s="128" t="str">
        <f t="shared" si="2"/>
        <v>Doing All Right</v>
      </c>
      <c r="E71" s="128">
        <f t="shared" si="3"/>
        <v>14</v>
      </c>
      <c r="F71" s="128" t="str">
        <f>IFERROR(__xludf.DUMMYFUNCTION("UPPER(REGEXREPLACE(D71, ""[^a-zA-Z']"", """"))"),"DOINGALLRIGHT")</f>
        <v>DOINGALLRIGHT</v>
      </c>
    </row>
    <row r="72" ht="15.75" customHeight="1">
      <c r="A72" s="125">
        <v>14.0</v>
      </c>
      <c r="B72" s="126" t="s">
        <v>1101</v>
      </c>
      <c r="C72" s="127" t="str">
        <f t="shared" si="1"/>
        <v>Don't Stop Me Now.1.mid</v>
      </c>
      <c r="D72" s="128" t="str">
        <f t="shared" si="2"/>
        <v>Don't Stop Me Now.1</v>
      </c>
      <c r="E72" s="128">
        <f t="shared" si="3"/>
        <v>14</v>
      </c>
      <c r="F72" s="128" t="str">
        <f>IFERROR(__xludf.DUMMYFUNCTION("UPPER(REGEXREPLACE(D72, ""[^a-zA-Z']"", """"))"),"DON'TSTOPMENOW")</f>
        <v>DON'TSTOPMENOW</v>
      </c>
    </row>
    <row r="73" ht="15.75" customHeight="1">
      <c r="A73" s="125">
        <v>14.0</v>
      </c>
      <c r="B73" s="126" t="s">
        <v>1112</v>
      </c>
      <c r="C73" s="127" t="str">
        <f t="shared" si="1"/>
        <v>Don't Try So Hard.2.mid</v>
      </c>
      <c r="D73" s="128" t="str">
        <f t="shared" si="2"/>
        <v>Don't Try So Hard.2</v>
      </c>
      <c r="E73" s="128">
        <f t="shared" si="3"/>
        <v>14</v>
      </c>
      <c r="F73" s="128" t="str">
        <f>IFERROR(__xludf.DUMMYFUNCTION("UPPER(REGEXREPLACE(D73, ""[^a-zA-Z']"", """"))"),"DON'TTRYSOHARD")</f>
        <v>DON'TTRYSOHARD</v>
      </c>
    </row>
    <row r="74" ht="15.75" customHeight="1">
      <c r="A74" s="125">
        <v>14.0</v>
      </c>
      <c r="B74" s="126" t="s">
        <v>1115</v>
      </c>
      <c r="C74" s="127" t="str">
        <f t="shared" si="1"/>
        <v>Father to Son.1.mid</v>
      </c>
      <c r="D74" s="128" t="str">
        <f t="shared" si="2"/>
        <v>Father to Son.1</v>
      </c>
      <c r="E74" s="128">
        <f t="shared" si="3"/>
        <v>14</v>
      </c>
      <c r="F74" s="128" t="str">
        <f>IFERROR(__xludf.DUMMYFUNCTION("UPPER(REGEXREPLACE(D74, ""[^a-zA-Z']"", """"))"),"FATHERTOSON")</f>
        <v>FATHERTOSON</v>
      </c>
    </row>
    <row r="75" ht="15.75" customHeight="1">
      <c r="A75" s="125">
        <v>14.0</v>
      </c>
      <c r="B75" s="126" t="s">
        <v>1040</v>
      </c>
      <c r="C75" s="127" t="str">
        <f t="shared" si="1"/>
        <v>Father to Son.mid</v>
      </c>
      <c r="D75" s="128" t="str">
        <f t="shared" si="2"/>
        <v>Father to Son</v>
      </c>
      <c r="E75" s="128">
        <f t="shared" si="3"/>
        <v>14</v>
      </c>
      <c r="F75" s="128" t="str">
        <f>IFERROR(__xludf.DUMMYFUNCTION("UPPER(REGEXREPLACE(D75, ""[^a-zA-Z']"", """"))"),"FATHERTOSON")</f>
        <v>FATHERTOSON</v>
      </c>
    </row>
    <row r="76" ht="15.75" customHeight="1">
      <c r="A76" s="125">
        <v>14.0</v>
      </c>
      <c r="B76" s="126" t="s">
        <v>1119</v>
      </c>
      <c r="C76" s="127" t="str">
        <f t="shared" si="1"/>
        <v>Friends Will Be Friends.1.mid</v>
      </c>
      <c r="D76" s="128" t="str">
        <f t="shared" si="2"/>
        <v>Friends Will Be Friends.1</v>
      </c>
      <c r="E76" s="128">
        <f t="shared" si="3"/>
        <v>14</v>
      </c>
      <c r="F76" s="128" t="str">
        <f>IFERROR(__xludf.DUMMYFUNCTION("UPPER(REGEXREPLACE(D76, ""[^a-zA-Z']"", """"))"),"FRIENDSWILLBEFRIENDS")</f>
        <v>FRIENDSWILLBEFRIENDS</v>
      </c>
    </row>
    <row r="77" ht="15.75" customHeight="1">
      <c r="A77" s="125">
        <v>14.0</v>
      </c>
      <c r="B77" s="126" t="s">
        <v>1121</v>
      </c>
      <c r="C77" s="127" t="str">
        <f t="shared" si="1"/>
        <v>Friends Will Be Friends.3.mid</v>
      </c>
      <c r="D77" s="128" t="str">
        <f t="shared" si="2"/>
        <v>Friends Will Be Friends.3</v>
      </c>
      <c r="E77" s="128">
        <f t="shared" si="3"/>
        <v>14</v>
      </c>
      <c r="F77" s="128" t="str">
        <f>IFERROR(__xludf.DUMMYFUNCTION("UPPER(REGEXREPLACE(D77, ""[^a-zA-Z']"", """"))"),"FRIENDSWILLBEFRIENDS")</f>
        <v>FRIENDSWILLBEFRIENDS</v>
      </c>
    </row>
    <row r="78" ht="15.75" customHeight="1">
      <c r="A78" s="125">
        <v>14.0</v>
      </c>
      <c r="B78" s="126" t="s">
        <v>1125</v>
      </c>
      <c r="C78" s="127" t="str">
        <f t="shared" si="1"/>
        <v>Friends Will Be Friends.5.mid</v>
      </c>
      <c r="D78" s="128" t="str">
        <f t="shared" si="2"/>
        <v>Friends Will Be Friends.5</v>
      </c>
      <c r="E78" s="128">
        <f t="shared" si="3"/>
        <v>14</v>
      </c>
      <c r="F78" s="128" t="str">
        <f>IFERROR(__xludf.DUMMYFUNCTION("UPPER(REGEXREPLACE(D78, ""[^a-zA-Z']"", """"))"),"FRIENDSWILLBEFRIENDS")</f>
        <v>FRIENDSWILLBEFRIENDS</v>
      </c>
    </row>
    <row r="79" ht="15.75" customHeight="1">
      <c r="A79" s="125">
        <v>14.0</v>
      </c>
      <c r="B79" s="126" t="s">
        <v>1114</v>
      </c>
      <c r="C79" s="127" t="str">
        <f t="shared" si="1"/>
        <v>Friends Will Be Friends.6.mid</v>
      </c>
      <c r="D79" s="128" t="str">
        <f t="shared" si="2"/>
        <v>Friends Will Be Friends.6</v>
      </c>
      <c r="E79" s="128">
        <f t="shared" si="3"/>
        <v>14</v>
      </c>
      <c r="F79" s="128" t="str">
        <f>IFERROR(__xludf.DUMMYFUNCTION("UPPER(REGEXREPLACE(D79, ""[^a-zA-Z']"", """"))"),"FRIENDSWILLBEFRIENDS")</f>
        <v>FRIENDSWILLBEFRIENDS</v>
      </c>
    </row>
    <row r="80" ht="15.75" customHeight="1">
      <c r="A80" s="125">
        <v>14.0</v>
      </c>
      <c r="B80" s="126" t="s">
        <v>1131</v>
      </c>
      <c r="C80" s="127" t="str">
        <f t="shared" si="1"/>
        <v>Fun It.mid</v>
      </c>
      <c r="D80" s="128" t="str">
        <f t="shared" si="2"/>
        <v>Fun It</v>
      </c>
      <c r="E80" s="128">
        <f t="shared" si="3"/>
        <v>14</v>
      </c>
      <c r="F80" s="128" t="str">
        <f>IFERROR(__xludf.DUMMYFUNCTION("UPPER(REGEXREPLACE(D80, ""[^a-zA-Z']"", """"))"),"FUNIT")</f>
        <v>FUNIT</v>
      </c>
    </row>
    <row r="81" ht="15.75" customHeight="1">
      <c r="A81" s="125">
        <v>14.0</v>
      </c>
      <c r="B81" s="126" t="s">
        <v>1123</v>
      </c>
      <c r="C81" s="127" t="str">
        <f t="shared" si="1"/>
        <v>Good Old Fashioned Lover Boy.1.mid</v>
      </c>
      <c r="D81" s="128" t="str">
        <f t="shared" si="2"/>
        <v>Good Old Fashioned Lover Boy.1</v>
      </c>
      <c r="E81" s="128">
        <f t="shared" si="3"/>
        <v>14</v>
      </c>
      <c r="F81" s="128" t="str">
        <f>IFERROR(__xludf.DUMMYFUNCTION("UPPER(REGEXREPLACE(D81, ""[^a-zA-Z']"", """"))"),"GOODOLDFASHIONEDLOVERBOY")</f>
        <v>GOODOLDFASHIONEDLOVERBOY</v>
      </c>
    </row>
    <row r="82" ht="15.75" customHeight="1">
      <c r="A82" s="125">
        <v>14.0</v>
      </c>
      <c r="B82" s="126" t="s">
        <v>1134</v>
      </c>
      <c r="C82" s="127" t="str">
        <f t="shared" si="1"/>
        <v>Good Old Fashioned Lover Boy.mid</v>
      </c>
      <c r="D82" s="128" t="str">
        <f t="shared" si="2"/>
        <v>Good Old Fashioned Lover Boy</v>
      </c>
      <c r="E82" s="128">
        <f t="shared" si="3"/>
        <v>14</v>
      </c>
      <c r="F82" s="128" t="str">
        <f>IFERROR(__xludf.DUMMYFUNCTION("UPPER(REGEXREPLACE(D82, ""[^a-zA-Z']"", """"))"),"GOODOLDFASHIONEDLOVERBOY")</f>
        <v>GOODOLDFASHIONEDLOVERBOY</v>
      </c>
    </row>
    <row r="83" ht="15.75" customHeight="1">
      <c r="A83" s="125">
        <v>14.0</v>
      </c>
      <c r="B83" s="126" t="s">
        <v>1136</v>
      </c>
      <c r="C83" s="127" t="str">
        <f t="shared" si="1"/>
        <v>Hammer to Fall.mid</v>
      </c>
      <c r="D83" s="128" t="str">
        <f t="shared" si="2"/>
        <v>Hammer to Fall</v>
      </c>
      <c r="E83" s="128">
        <f t="shared" si="3"/>
        <v>14</v>
      </c>
      <c r="F83" s="128" t="str">
        <f>IFERROR(__xludf.DUMMYFUNCTION("UPPER(REGEXREPLACE(D83, ""[^a-zA-Z']"", """"))"),"HAMMERTOFALL")</f>
        <v>HAMMERTOFALL</v>
      </c>
    </row>
    <row r="84" ht="15.75" customHeight="1">
      <c r="A84" s="125">
        <v>14.0</v>
      </c>
      <c r="B84" s="126" t="s">
        <v>1138</v>
      </c>
      <c r="C84" s="127" t="str">
        <f t="shared" si="1"/>
        <v>Headlong.1.mid</v>
      </c>
      <c r="D84" s="128" t="str">
        <f t="shared" si="2"/>
        <v>Headlong.1</v>
      </c>
      <c r="E84" s="128">
        <f t="shared" si="3"/>
        <v>14</v>
      </c>
      <c r="F84" s="128" t="str">
        <f>IFERROR(__xludf.DUMMYFUNCTION("UPPER(REGEXREPLACE(D84, ""[^a-zA-Z']"", """"))"),"HEADLONG")</f>
        <v>HEADLONG</v>
      </c>
    </row>
    <row r="85" ht="15.75" customHeight="1">
      <c r="A85" s="125">
        <v>14.0</v>
      </c>
      <c r="B85" s="126" t="s">
        <v>1140</v>
      </c>
      <c r="C85" s="127" t="str">
        <f t="shared" si="1"/>
        <v>Heaven for Everyone.mid</v>
      </c>
      <c r="D85" s="128" t="str">
        <f t="shared" si="2"/>
        <v>Heaven for Everyone</v>
      </c>
      <c r="E85" s="128">
        <f t="shared" si="3"/>
        <v>14</v>
      </c>
      <c r="F85" s="128" t="str">
        <f>IFERROR(__xludf.DUMMYFUNCTION("UPPER(REGEXREPLACE(D85, ""[^a-zA-Z']"", """"))"),"HEAVENFOREVERYONE")</f>
        <v>HEAVENFOREVERYONE</v>
      </c>
    </row>
    <row r="86" ht="15.75" customHeight="1">
      <c r="A86" s="125">
        <v>14.0</v>
      </c>
      <c r="B86" s="126" t="s">
        <v>1043</v>
      </c>
      <c r="C86" s="127" t="str">
        <f t="shared" si="1"/>
        <v>I Can't Live With You.1.mid</v>
      </c>
      <c r="D86" s="128" t="str">
        <f t="shared" si="2"/>
        <v>I Can't Live With You.1</v>
      </c>
      <c r="E86" s="128">
        <f t="shared" si="3"/>
        <v>14</v>
      </c>
      <c r="F86" s="128" t="str">
        <f>IFERROR(__xludf.DUMMYFUNCTION("UPPER(REGEXREPLACE(D86, ""[^a-zA-Z']"", """"))"),"ICAN'TLIVEWITHYOU")</f>
        <v>ICAN'TLIVEWITHYOU</v>
      </c>
    </row>
    <row r="87" ht="15.75" customHeight="1">
      <c r="A87" s="125">
        <v>14.0</v>
      </c>
      <c r="B87" s="126" t="s">
        <v>1061</v>
      </c>
      <c r="C87" s="127" t="str">
        <f t="shared" si="1"/>
        <v>I Want It All.1.mid</v>
      </c>
      <c r="D87" s="128" t="str">
        <f t="shared" si="2"/>
        <v>I Want It All.1</v>
      </c>
      <c r="E87" s="128">
        <f t="shared" si="3"/>
        <v>14</v>
      </c>
      <c r="F87" s="128" t="str">
        <f>IFERROR(__xludf.DUMMYFUNCTION("UPPER(REGEXREPLACE(D87, ""[^a-zA-Z']"", """"))"),"IWANTITALL")</f>
        <v>IWANTITALL</v>
      </c>
    </row>
    <row r="88" ht="15.75" customHeight="1">
      <c r="A88" s="125">
        <v>14.0</v>
      </c>
      <c r="B88" s="126" t="s">
        <v>1145</v>
      </c>
      <c r="C88" s="127" t="str">
        <f t="shared" si="1"/>
        <v>I Want It All.mid</v>
      </c>
      <c r="D88" s="128" t="str">
        <f t="shared" si="2"/>
        <v>I Want It All</v>
      </c>
      <c r="E88" s="128">
        <f t="shared" si="3"/>
        <v>14</v>
      </c>
      <c r="F88" s="128" t="str">
        <f>IFERROR(__xludf.DUMMYFUNCTION("UPPER(REGEXREPLACE(D88, ""[^a-zA-Z']"", """"))"),"IWANTITALL")</f>
        <v>IWANTITALL</v>
      </c>
    </row>
    <row r="89" ht="15.75" customHeight="1">
      <c r="A89" s="125">
        <v>14.0</v>
      </c>
      <c r="B89" s="126" t="s">
        <v>1126</v>
      </c>
      <c r="C89" s="127" t="str">
        <f t="shared" si="1"/>
        <v>I Want to Break Free.mid</v>
      </c>
      <c r="D89" s="128" t="str">
        <f t="shared" si="2"/>
        <v>I Want to Break Free</v>
      </c>
      <c r="E89" s="128">
        <f t="shared" si="3"/>
        <v>14</v>
      </c>
      <c r="F89" s="128" t="str">
        <f>IFERROR(__xludf.DUMMYFUNCTION("UPPER(REGEXREPLACE(D89, ""[^a-zA-Z']"", """"))"),"IWANTTOBREAKFREE")</f>
        <v>IWANTTOBREAKFREE</v>
      </c>
    </row>
    <row r="90" ht="15.75" customHeight="1">
      <c r="A90" s="125">
        <v>14.0</v>
      </c>
      <c r="B90" s="126" t="s">
        <v>1150</v>
      </c>
      <c r="C90" s="127" t="str">
        <f t="shared" si="1"/>
        <v>I Was Born to Love You.mid</v>
      </c>
      <c r="D90" s="128" t="str">
        <f t="shared" si="2"/>
        <v>I Was Born to Love You</v>
      </c>
      <c r="E90" s="128">
        <f t="shared" si="3"/>
        <v>14</v>
      </c>
      <c r="F90" s="128" t="str">
        <f>IFERROR(__xludf.DUMMYFUNCTION("UPPER(REGEXREPLACE(D90, ""[^a-zA-Z']"", """"))"),"IWASBORNTOLOVEYOU")</f>
        <v>IWASBORNTOLOVEYOU</v>
      </c>
    </row>
    <row r="91" ht="15.75" customHeight="1">
      <c r="A91" s="125">
        <v>14.0</v>
      </c>
      <c r="B91" s="126" t="s">
        <v>1045</v>
      </c>
      <c r="C91" s="127" t="str">
        <f t="shared" si="1"/>
        <v>I'm Going Slightly Mad.1.mid</v>
      </c>
      <c r="D91" s="128" t="str">
        <f t="shared" si="2"/>
        <v>I'm Going Slightly Mad.1</v>
      </c>
      <c r="E91" s="128">
        <f t="shared" si="3"/>
        <v>14</v>
      </c>
      <c r="F91" s="128" t="str">
        <f>IFERROR(__xludf.DUMMYFUNCTION("UPPER(REGEXREPLACE(D91, ""[^a-zA-Z']"", """"))"),"I'MGOINGSLIGHTLYMAD")</f>
        <v>I'MGOINGSLIGHTLYMAD</v>
      </c>
    </row>
    <row r="92" ht="15.75" customHeight="1">
      <c r="A92" s="125">
        <v>14.0</v>
      </c>
      <c r="B92" s="126" t="s">
        <v>1147</v>
      </c>
      <c r="C92" s="127" t="str">
        <f t="shared" si="1"/>
        <v>I'm Going Slightly Mad.2.mid</v>
      </c>
      <c r="D92" s="128" t="str">
        <f t="shared" si="2"/>
        <v>I'm Going Slightly Mad.2</v>
      </c>
      <c r="E92" s="128">
        <f t="shared" si="3"/>
        <v>14</v>
      </c>
      <c r="F92" s="128" t="str">
        <f>IFERROR(__xludf.DUMMYFUNCTION("UPPER(REGEXREPLACE(D92, ""[^a-zA-Z']"", """"))"),"I'MGOINGSLIGHTLYMAD")</f>
        <v>I'MGOINGSLIGHTLYMAD</v>
      </c>
    </row>
    <row r="93" ht="15.75" customHeight="1">
      <c r="A93" s="125">
        <v>14.0</v>
      </c>
      <c r="B93" s="126" t="s">
        <v>1151</v>
      </c>
      <c r="C93" s="127" t="str">
        <f t="shared" si="1"/>
        <v>I'm Going Slightly Mad.mid</v>
      </c>
      <c r="D93" s="128" t="str">
        <f t="shared" si="2"/>
        <v>I'm Going Slightly Mad</v>
      </c>
      <c r="E93" s="128">
        <f t="shared" si="3"/>
        <v>14</v>
      </c>
      <c r="F93" s="128" t="str">
        <f>IFERROR(__xludf.DUMMYFUNCTION("UPPER(REGEXREPLACE(D93, ""[^a-zA-Z']"", """"))"),"I'MGOINGSLIGHTLYMAD")</f>
        <v>I'MGOINGSLIGHTLYMAD</v>
      </c>
    </row>
    <row r="94" ht="15.75" customHeight="1">
      <c r="A94" s="125">
        <v>14.0</v>
      </c>
      <c r="B94" s="126" t="s">
        <v>1152</v>
      </c>
      <c r="C94" s="127" t="str">
        <f t="shared" si="1"/>
        <v>In Only Seven Days.mid</v>
      </c>
      <c r="D94" s="128" t="str">
        <f t="shared" si="2"/>
        <v>In Only Seven Days</v>
      </c>
      <c r="E94" s="128">
        <f t="shared" si="3"/>
        <v>14</v>
      </c>
      <c r="F94" s="128" t="str">
        <f>IFERROR(__xludf.DUMMYFUNCTION("UPPER(REGEXREPLACE(D94, ""[^a-zA-Z']"", """"))"),"INONLYSEVENDAYS")</f>
        <v>INONLYSEVENDAYS</v>
      </c>
    </row>
    <row r="95" ht="15.75" customHeight="1">
      <c r="A95" s="125">
        <v>14.0</v>
      </c>
      <c r="B95" s="126" t="s">
        <v>1128</v>
      </c>
      <c r="C95" s="127" t="str">
        <f t="shared" si="1"/>
        <v>Innuendo.1.mid</v>
      </c>
      <c r="D95" s="128" t="str">
        <f t="shared" si="2"/>
        <v>Innuendo.1</v>
      </c>
      <c r="E95" s="128">
        <f t="shared" si="3"/>
        <v>14</v>
      </c>
      <c r="F95" s="128" t="str">
        <f>IFERROR(__xludf.DUMMYFUNCTION("UPPER(REGEXREPLACE(D95, ""[^a-zA-Z']"", """"))"),"INNUENDO")</f>
        <v>INNUENDO</v>
      </c>
    </row>
    <row r="96" ht="15.75" customHeight="1">
      <c r="A96" s="125">
        <v>14.0</v>
      </c>
      <c r="B96" s="126" t="s">
        <v>1064</v>
      </c>
      <c r="C96" s="127" t="str">
        <f t="shared" si="1"/>
        <v>Innuendo.mid</v>
      </c>
      <c r="D96" s="128" t="str">
        <f t="shared" si="2"/>
        <v>Innuendo</v>
      </c>
      <c r="E96" s="128">
        <f t="shared" si="3"/>
        <v>14</v>
      </c>
      <c r="F96" s="128" t="str">
        <f>IFERROR(__xludf.DUMMYFUNCTION("UPPER(REGEXREPLACE(D96, ""[^a-zA-Z']"", """"))"),"INNUENDO")</f>
        <v>INNUENDO</v>
      </c>
    </row>
    <row r="97" ht="15.75" customHeight="1">
      <c r="A97" s="125">
        <v>14.0</v>
      </c>
      <c r="B97" s="126" t="s">
        <v>1158</v>
      </c>
      <c r="C97" s="127" t="str">
        <f t="shared" si="1"/>
        <v>It's a Hard Life.2.mid</v>
      </c>
      <c r="D97" s="128" t="str">
        <f t="shared" si="2"/>
        <v>It's a Hard Life.2</v>
      </c>
      <c r="E97" s="128">
        <f t="shared" si="3"/>
        <v>14</v>
      </c>
      <c r="F97" s="128" t="str">
        <f>IFERROR(__xludf.DUMMYFUNCTION("UPPER(REGEXREPLACE(D97, ""[^a-zA-Z']"", """"))"),"IT'SAHARDLIFE")</f>
        <v>IT'SAHARDLIFE</v>
      </c>
    </row>
    <row r="98" ht="15.75" customHeight="1">
      <c r="A98" s="125">
        <v>14.0</v>
      </c>
      <c r="B98" s="126" t="s">
        <v>1141</v>
      </c>
      <c r="C98" s="127" t="str">
        <f t="shared" si="1"/>
        <v>It's a Hard Life.mid</v>
      </c>
      <c r="D98" s="128" t="str">
        <f t="shared" si="2"/>
        <v>It's a Hard Life</v>
      </c>
      <c r="E98" s="128">
        <f t="shared" si="3"/>
        <v>14</v>
      </c>
      <c r="F98" s="128" t="str">
        <f>IFERROR(__xludf.DUMMYFUNCTION("UPPER(REGEXREPLACE(D98, ""[^a-zA-Z']"", """"))"),"IT'SAHARDLIFE")</f>
        <v>IT'SAHARDLIFE</v>
      </c>
    </row>
    <row r="99" ht="15.75" customHeight="1">
      <c r="A99" s="125">
        <v>14.0</v>
      </c>
      <c r="B99" s="126" t="s">
        <v>1159</v>
      </c>
      <c r="C99" s="127" t="str">
        <f t="shared" si="1"/>
        <v>Keep Yourself Alive.mid</v>
      </c>
      <c r="D99" s="128" t="str">
        <f t="shared" si="2"/>
        <v>Keep Yourself Alive</v>
      </c>
      <c r="E99" s="128">
        <f t="shared" si="3"/>
        <v>14</v>
      </c>
      <c r="F99" s="128" t="str">
        <f>IFERROR(__xludf.DUMMYFUNCTION("UPPER(REGEXREPLACE(D99, ""[^a-zA-Z']"", """"))"),"KEEPYOURSELFALIVE")</f>
        <v>KEEPYOURSELFALIVE</v>
      </c>
    </row>
    <row r="100" ht="15.75" customHeight="1">
      <c r="A100" s="125">
        <v>14.0</v>
      </c>
      <c r="B100" s="126" t="s">
        <v>1160</v>
      </c>
      <c r="C100" s="127" t="str">
        <f t="shared" si="1"/>
        <v>Killer Queen.1.mid</v>
      </c>
      <c r="D100" s="128" t="str">
        <f t="shared" si="2"/>
        <v>Killer Queen.1</v>
      </c>
      <c r="E100" s="128">
        <f t="shared" si="3"/>
        <v>14</v>
      </c>
      <c r="F100" s="128" t="str">
        <f>IFERROR(__xludf.DUMMYFUNCTION("UPPER(REGEXREPLACE(D100, ""[^a-zA-Z']"", """"))"),"KILLERQUEEN")</f>
        <v>KILLERQUEEN</v>
      </c>
    </row>
    <row r="101" ht="15.75" customHeight="1">
      <c r="A101" s="125">
        <v>14.0</v>
      </c>
      <c r="B101" s="126" t="s">
        <v>1130</v>
      </c>
      <c r="C101" s="127" t="str">
        <f t="shared" si="1"/>
        <v>Killer Queen.2.mid</v>
      </c>
      <c r="D101" s="128" t="str">
        <f t="shared" si="2"/>
        <v>Killer Queen.2</v>
      </c>
      <c r="E101" s="128">
        <f t="shared" si="3"/>
        <v>14</v>
      </c>
      <c r="F101" s="128" t="str">
        <f>IFERROR(__xludf.DUMMYFUNCTION("UPPER(REGEXREPLACE(D101, ""[^a-zA-Z']"", """"))"),"KILLERQUEEN")</f>
        <v>KILLERQUEEN</v>
      </c>
    </row>
    <row r="102" ht="15.75" customHeight="1">
      <c r="A102" s="125">
        <v>14.0</v>
      </c>
      <c r="B102" s="126" t="s">
        <v>1161</v>
      </c>
      <c r="C102" s="127" t="str">
        <f t="shared" si="1"/>
        <v>Killer Queen.3.mid</v>
      </c>
      <c r="D102" s="128" t="str">
        <f t="shared" si="2"/>
        <v>Killer Queen.3</v>
      </c>
      <c r="E102" s="128">
        <f t="shared" si="3"/>
        <v>14</v>
      </c>
      <c r="F102" s="128" t="str">
        <f>IFERROR(__xludf.DUMMYFUNCTION("UPPER(REGEXREPLACE(D102, ""[^a-zA-Z']"", """"))"),"KILLERQUEEN")</f>
        <v>KILLERQUEEN</v>
      </c>
    </row>
    <row r="103" ht="15.75" customHeight="1">
      <c r="A103" s="125">
        <v>14.0</v>
      </c>
      <c r="B103" s="126" t="s">
        <v>1163</v>
      </c>
      <c r="C103" s="127" t="str">
        <f t="shared" si="1"/>
        <v>Killer Queen.4.mid</v>
      </c>
      <c r="D103" s="128" t="str">
        <f t="shared" si="2"/>
        <v>Killer Queen.4</v>
      </c>
      <c r="E103" s="128">
        <f t="shared" si="3"/>
        <v>14</v>
      </c>
      <c r="F103" s="128" t="str">
        <f>IFERROR(__xludf.DUMMYFUNCTION("UPPER(REGEXREPLACE(D103, ""[^a-zA-Z']"", """"))"),"KILLERQUEEN")</f>
        <v>KILLERQUEEN</v>
      </c>
    </row>
    <row r="104" ht="15.75" customHeight="1">
      <c r="A104" s="125">
        <v>14.0</v>
      </c>
      <c r="B104" s="126" t="s">
        <v>1162</v>
      </c>
      <c r="C104" s="127" t="str">
        <f t="shared" si="1"/>
        <v>Killer Queen.5.mid</v>
      </c>
      <c r="D104" s="128" t="str">
        <f t="shared" si="2"/>
        <v>Killer Queen.5</v>
      </c>
      <c r="E104" s="128">
        <f t="shared" si="3"/>
        <v>14</v>
      </c>
      <c r="F104" s="128" t="str">
        <f>IFERROR(__xludf.DUMMYFUNCTION("UPPER(REGEXREPLACE(D104, ""[^a-zA-Z']"", """"))"),"KILLERQUEEN")</f>
        <v>KILLERQUEEN</v>
      </c>
    </row>
    <row r="105" ht="15.75" customHeight="1">
      <c r="A105" s="125">
        <v>14.0</v>
      </c>
      <c r="B105" s="126" t="s">
        <v>1165</v>
      </c>
      <c r="C105" s="127" t="str">
        <f t="shared" si="1"/>
        <v>Killer Queen.mid</v>
      </c>
      <c r="D105" s="128" t="str">
        <f t="shared" si="2"/>
        <v>Killer Queen</v>
      </c>
      <c r="E105" s="128">
        <f t="shared" si="3"/>
        <v>14</v>
      </c>
      <c r="F105" s="128" t="str">
        <f>IFERROR(__xludf.DUMMYFUNCTION("UPPER(REGEXREPLACE(D105, ""[^a-zA-Z']"", """"))"),"KILLERQUEEN")</f>
        <v>KILLERQUEEN</v>
      </c>
    </row>
    <row r="106" ht="15.75" customHeight="1">
      <c r="A106" s="125">
        <v>14.0</v>
      </c>
      <c r="B106" s="126" t="s">
        <v>1167</v>
      </c>
      <c r="C106" s="127" t="str">
        <f t="shared" si="1"/>
        <v>Love of My Life.1.mid</v>
      </c>
      <c r="D106" s="128" t="str">
        <f t="shared" si="2"/>
        <v>Love of My Life.1</v>
      </c>
      <c r="E106" s="128">
        <f t="shared" si="3"/>
        <v>14</v>
      </c>
      <c r="F106" s="128" t="str">
        <f>IFERROR(__xludf.DUMMYFUNCTION("UPPER(REGEXREPLACE(D106, ""[^a-zA-Z']"", """"))"),"LOVEOFMYLIFE")</f>
        <v>LOVEOFMYLIFE</v>
      </c>
    </row>
    <row r="107" ht="15.75" customHeight="1">
      <c r="A107" s="125">
        <v>14.0</v>
      </c>
      <c r="B107" s="126" t="s">
        <v>1169</v>
      </c>
      <c r="C107" s="127" t="str">
        <f t="shared" si="1"/>
        <v>Made in Heaven.mid</v>
      </c>
      <c r="D107" s="128" t="str">
        <f t="shared" si="2"/>
        <v>Made in Heaven</v>
      </c>
      <c r="E107" s="128">
        <f t="shared" si="3"/>
        <v>14</v>
      </c>
      <c r="F107" s="128" t="str">
        <f>IFERROR(__xludf.DUMMYFUNCTION("UPPER(REGEXREPLACE(D107, ""[^a-zA-Z']"", """"))"),"MADEINHEAVEN")</f>
        <v>MADEINHEAVEN</v>
      </c>
    </row>
    <row r="108" ht="15.75" customHeight="1">
      <c r="A108" s="125">
        <v>14.0</v>
      </c>
      <c r="B108" s="126" t="s">
        <v>1171</v>
      </c>
      <c r="C108" s="127" t="str">
        <f t="shared" si="1"/>
        <v>Mother Love.mid</v>
      </c>
      <c r="D108" s="128" t="str">
        <f t="shared" si="2"/>
        <v>Mother Love</v>
      </c>
      <c r="E108" s="128">
        <f t="shared" si="3"/>
        <v>14</v>
      </c>
      <c r="F108" s="128" t="str">
        <f>IFERROR(__xludf.DUMMYFUNCTION("UPPER(REGEXREPLACE(D108, ""[^a-zA-Z']"", """"))"),"MOTHERLOVE")</f>
        <v>MOTHERLOVE</v>
      </c>
    </row>
    <row r="109" ht="15.75" customHeight="1">
      <c r="A109" s="125">
        <v>14.0</v>
      </c>
      <c r="B109" s="126" t="s">
        <v>1168</v>
      </c>
      <c r="C109" s="127" t="str">
        <f t="shared" si="1"/>
        <v>My Life Has Been Saved.1.mid</v>
      </c>
      <c r="D109" s="128" t="str">
        <f t="shared" si="2"/>
        <v>My Life Has Been Saved.1</v>
      </c>
      <c r="E109" s="128">
        <f t="shared" si="3"/>
        <v>14</v>
      </c>
      <c r="F109" s="128" t="str">
        <f>IFERROR(__xludf.DUMMYFUNCTION("UPPER(REGEXREPLACE(D109, ""[^a-zA-Z']"", """"))"),"MYLIFEHASBEENSAVED")</f>
        <v>MYLIFEHASBEENSAVED</v>
      </c>
    </row>
    <row r="110" ht="15.75" customHeight="1">
      <c r="A110" s="125">
        <v>14.0</v>
      </c>
      <c r="B110" s="126" t="s">
        <v>1173</v>
      </c>
      <c r="C110" s="127" t="str">
        <f t="shared" si="1"/>
        <v>My Life Has Been Saved.mid</v>
      </c>
      <c r="D110" s="128" t="str">
        <f t="shared" si="2"/>
        <v>My Life Has Been Saved</v>
      </c>
      <c r="E110" s="128">
        <f t="shared" si="3"/>
        <v>14</v>
      </c>
      <c r="F110" s="128" t="str">
        <f>IFERROR(__xludf.DUMMYFUNCTION("UPPER(REGEXREPLACE(D110, ""[^a-zA-Z']"", """"))"),"MYLIFEHASBEENSAVED")</f>
        <v>MYLIFEHASBEENSAVED</v>
      </c>
    </row>
    <row r="111" ht="15.75" customHeight="1">
      <c r="A111" s="125">
        <v>14.0</v>
      </c>
      <c r="B111" s="126" t="s">
        <v>1176</v>
      </c>
      <c r="C111" s="127" t="str">
        <f t="shared" si="1"/>
        <v>Never More.mid</v>
      </c>
      <c r="D111" s="128" t="str">
        <f t="shared" si="2"/>
        <v>Never More</v>
      </c>
      <c r="E111" s="128">
        <f t="shared" si="3"/>
        <v>14</v>
      </c>
      <c r="F111" s="128" t="str">
        <f>IFERROR(__xludf.DUMMYFUNCTION("UPPER(REGEXREPLACE(D111, ""[^a-zA-Z']"", """"))"),"NEVERMORE")</f>
        <v>NEVERMORE</v>
      </c>
    </row>
    <row r="112" ht="15.75" customHeight="1">
      <c r="A112" s="125">
        <v>14.0</v>
      </c>
      <c r="B112" s="126" t="s">
        <v>1179</v>
      </c>
      <c r="C112" s="127" t="str">
        <f t="shared" si="1"/>
        <v>Now I'm Here.2.mid</v>
      </c>
      <c r="D112" s="128" t="str">
        <f t="shared" si="2"/>
        <v>Now I'm Here.2</v>
      </c>
      <c r="E112" s="128">
        <f t="shared" si="3"/>
        <v>14</v>
      </c>
      <c r="F112" s="128" t="str">
        <f>IFERROR(__xludf.DUMMYFUNCTION("UPPER(REGEXREPLACE(D112, ""[^a-zA-Z']"", """"))"),"NOWI'MHERE")</f>
        <v>NOWI'MHERE</v>
      </c>
    </row>
    <row r="113" ht="15.75" customHeight="1">
      <c r="A113" s="125">
        <v>14.0</v>
      </c>
      <c r="B113" s="126" t="s">
        <v>1181</v>
      </c>
      <c r="C113" s="127" t="str">
        <f t="shared" si="1"/>
        <v>Now I'm Here.3.mid</v>
      </c>
      <c r="D113" s="128" t="str">
        <f t="shared" si="2"/>
        <v>Now I'm Here.3</v>
      </c>
      <c r="E113" s="128">
        <f t="shared" si="3"/>
        <v>14</v>
      </c>
      <c r="F113" s="128" t="str">
        <f>IFERROR(__xludf.DUMMYFUNCTION("UPPER(REGEXREPLACE(D113, ""[^a-zA-Z']"", """"))"),"NOWI'MHERE")</f>
        <v>NOWI'MHERE</v>
      </c>
    </row>
    <row r="114" ht="15.75" customHeight="1">
      <c r="A114" s="125">
        <v>14.0</v>
      </c>
      <c r="B114" s="126" t="s">
        <v>1183</v>
      </c>
      <c r="C114" s="127" t="str">
        <f t="shared" si="1"/>
        <v>Now I'm Here.mid</v>
      </c>
      <c r="D114" s="128" t="str">
        <f t="shared" si="2"/>
        <v>Now I'm Here</v>
      </c>
      <c r="E114" s="128">
        <f t="shared" si="3"/>
        <v>14</v>
      </c>
      <c r="F114" s="128" t="str">
        <f>IFERROR(__xludf.DUMMYFUNCTION("UPPER(REGEXREPLACE(D114, ""[^a-zA-Z']"", """"))"),"NOWI'MHERE")</f>
        <v>NOWI'MHERE</v>
      </c>
    </row>
    <row r="115" ht="15.75" customHeight="1">
      <c r="A115" s="125">
        <v>14.0</v>
      </c>
      <c r="B115" s="126" t="s">
        <v>1172</v>
      </c>
      <c r="C115" s="127" t="str">
        <f t="shared" si="1"/>
        <v>One Year of Love.1.mid</v>
      </c>
      <c r="D115" s="128" t="str">
        <f t="shared" si="2"/>
        <v>One Year of Love.1</v>
      </c>
      <c r="E115" s="128">
        <f t="shared" si="3"/>
        <v>14</v>
      </c>
      <c r="F115" s="128" t="str">
        <f>IFERROR(__xludf.DUMMYFUNCTION("UPPER(REGEXREPLACE(D115, ""[^a-zA-Z']"", """"))"),"ONEYEAROFLOVE")</f>
        <v>ONEYEAROFLOVE</v>
      </c>
    </row>
    <row r="116" ht="15.75" customHeight="1">
      <c r="A116" s="125">
        <v>14.0</v>
      </c>
      <c r="B116" s="126" t="s">
        <v>1184</v>
      </c>
      <c r="C116" s="127" t="str">
        <f t="shared" si="1"/>
        <v>One Year of Love.mid</v>
      </c>
      <c r="D116" s="128" t="str">
        <f t="shared" si="2"/>
        <v>One Year of Love</v>
      </c>
      <c r="E116" s="128">
        <f t="shared" si="3"/>
        <v>14</v>
      </c>
      <c r="F116" s="128" t="str">
        <f>IFERROR(__xludf.DUMMYFUNCTION("UPPER(REGEXREPLACE(D116, ""[^a-zA-Z']"", """"))"),"ONEYEAROFLOVE")</f>
        <v>ONEYEAROFLOVE</v>
      </c>
    </row>
    <row r="117" ht="15.75" customHeight="1">
      <c r="A117" s="125">
        <v>14.0</v>
      </c>
      <c r="B117" s="126" t="s">
        <v>1185</v>
      </c>
      <c r="C117" s="127" t="str">
        <f t="shared" si="1"/>
        <v>Play the Game.1.mid</v>
      </c>
      <c r="D117" s="128" t="str">
        <f t="shared" si="2"/>
        <v>Play the Game.1</v>
      </c>
      <c r="E117" s="128">
        <f t="shared" si="3"/>
        <v>14</v>
      </c>
      <c r="F117" s="128" t="str">
        <f>IFERROR(__xludf.DUMMYFUNCTION("UPPER(REGEXREPLACE(D117, ""[^a-zA-Z']"", """"))"),"PLAYTHEGAME")</f>
        <v>PLAYTHEGAME</v>
      </c>
    </row>
    <row r="118" ht="15.75" customHeight="1">
      <c r="A118" s="125">
        <v>14.0</v>
      </c>
      <c r="B118" s="126" t="s">
        <v>1186</v>
      </c>
      <c r="C118" s="127" t="str">
        <f t="shared" si="1"/>
        <v>Play the Game.mid</v>
      </c>
      <c r="D118" s="128" t="str">
        <f t="shared" si="2"/>
        <v>Play the Game</v>
      </c>
      <c r="E118" s="128">
        <f t="shared" si="3"/>
        <v>14</v>
      </c>
      <c r="F118" s="128" t="str">
        <f>IFERROR(__xludf.DUMMYFUNCTION("UPPER(REGEXREPLACE(D118, ""[^a-zA-Z']"", """"))"),"PLAYTHEGAME")</f>
        <v>PLAYTHEGAME</v>
      </c>
    </row>
    <row r="119" ht="15.75" customHeight="1">
      <c r="A119" s="125">
        <v>14.0</v>
      </c>
      <c r="B119" s="126" t="s">
        <v>1075</v>
      </c>
      <c r="C119" s="127" t="str">
        <f t="shared" si="1"/>
        <v>Princes of the Universe.1.mid</v>
      </c>
      <c r="D119" s="128" t="str">
        <f t="shared" si="2"/>
        <v>Princes of the Universe.1</v>
      </c>
      <c r="E119" s="128">
        <f t="shared" si="3"/>
        <v>14</v>
      </c>
      <c r="F119" s="128" t="str">
        <f>IFERROR(__xludf.DUMMYFUNCTION("UPPER(REGEXREPLACE(D119, ""[^a-zA-Z']"", """"))"),"PRINCESOFTHEUNIVERSE")</f>
        <v>PRINCESOFTHEUNIVERSE</v>
      </c>
    </row>
    <row r="120" ht="15.75" customHeight="1">
      <c r="A120" s="125">
        <v>14.0</v>
      </c>
      <c r="B120" s="126" t="s">
        <v>1187</v>
      </c>
      <c r="C120" s="127" t="str">
        <f t="shared" si="1"/>
        <v>Princes of the Universe.mid</v>
      </c>
      <c r="D120" s="128" t="str">
        <f t="shared" si="2"/>
        <v>Princes of the Universe</v>
      </c>
      <c r="E120" s="128">
        <f t="shared" si="3"/>
        <v>14</v>
      </c>
      <c r="F120" s="128" t="str">
        <f>IFERROR(__xludf.DUMMYFUNCTION("UPPER(REGEXREPLACE(D120, ""[^a-zA-Z']"", """"))"),"PRINCESOFTHEUNIVERSE")</f>
        <v>PRINCESOFTHEUNIVERSE</v>
      </c>
    </row>
    <row r="121" ht="15.75" customHeight="1">
      <c r="A121" s="125">
        <v>14.0</v>
      </c>
      <c r="B121" s="126" t="s">
        <v>1188</v>
      </c>
      <c r="C121" s="127" t="str">
        <f t="shared" si="1"/>
        <v>Radio Ga Ga.1.mid</v>
      </c>
      <c r="D121" s="128" t="str">
        <f t="shared" si="2"/>
        <v>Radio Ga Ga.1</v>
      </c>
      <c r="E121" s="128">
        <f t="shared" si="3"/>
        <v>14</v>
      </c>
      <c r="F121" s="128" t="str">
        <f>IFERROR(__xludf.DUMMYFUNCTION("UPPER(REGEXREPLACE(D121, ""[^a-zA-Z']"", """"))"),"RADIOGAGA")</f>
        <v>RADIOGAGA</v>
      </c>
    </row>
    <row r="122" ht="15.75" customHeight="1">
      <c r="A122" s="125">
        <v>14.0</v>
      </c>
      <c r="B122" s="126" t="s">
        <v>1189</v>
      </c>
      <c r="C122" s="127" t="str">
        <f t="shared" si="1"/>
        <v>Radio Ga Ga.2.mid</v>
      </c>
      <c r="D122" s="128" t="str">
        <f t="shared" si="2"/>
        <v>Radio Ga Ga.2</v>
      </c>
      <c r="E122" s="128">
        <f t="shared" si="3"/>
        <v>14</v>
      </c>
      <c r="F122" s="128" t="str">
        <f>IFERROR(__xludf.DUMMYFUNCTION("UPPER(REGEXREPLACE(D122, ""[^a-zA-Z']"", """"))"),"RADIOGAGA")</f>
        <v>RADIOGAGA</v>
      </c>
    </row>
    <row r="123" ht="15.75" customHeight="1">
      <c r="A123" s="125">
        <v>14.0</v>
      </c>
      <c r="B123" s="126" t="s">
        <v>1067</v>
      </c>
      <c r="C123" s="127" t="str">
        <f t="shared" si="1"/>
        <v>Radio Ga Ga.3.mid</v>
      </c>
      <c r="D123" s="128" t="str">
        <f t="shared" si="2"/>
        <v>Radio Ga Ga.3</v>
      </c>
      <c r="E123" s="128">
        <f t="shared" si="3"/>
        <v>14</v>
      </c>
      <c r="F123" s="128" t="str">
        <f>IFERROR(__xludf.DUMMYFUNCTION("UPPER(REGEXREPLACE(D123, ""[^a-zA-Z']"", """"))"),"RADIOGAGA")</f>
        <v>RADIOGAGA</v>
      </c>
    </row>
    <row r="124" ht="15.75" customHeight="1">
      <c r="A124" s="125">
        <v>14.0</v>
      </c>
      <c r="B124" s="126" t="s">
        <v>1078</v>
      </c>
      <c r="C124" s="127" t="str">
        <f t="shared" si="1"/>
        <v>Radio Ga Ga.5.mid</v>
      </c>
      <c r="D124" s="128" t="str">
        <f t="shared" si="2"/>
        <v>Radio Ga Ga.5</v>
      </c>
      <c r="E124" s="128">
        <f t="shared" si="3"/>
        <v>14</v>
      </c>
      <c r="F124" s="128" t="str">
        <f>IFERROR(__xludf.DUMMYFUNCTION("UPPER(REGEXREPLACE(D124, ""[^a-zA-Z']"", """"))"),"RADIOGAGA")</f>
        <v>RADIOGAGA</v>
      </c>
    </row>
    <row r="125" ht="15.75" customHeight="1">
      <c r="A125" s="125">
        <v>14.0</v>
      </c>
      <c r="B125" s="126" t="s">
        <v>1174</v>
      </c>
      <c r="C125" s="127" t="str">
        <f t="shared" si="1"/>
        <v>Radio Ga Ga.6.mid</v>
      </c>
      <c r="D125" s="128" t="str">
        <f t="shared" si="2"/>
        <v>Radio Ga Ga.6</v>
      </c>
      <c r="E125" s="128">
        <f t="shared" si="3"/>
        <v>14</v>
      </c>
      <c r="F125" s="128" t="str">
        <f>IFERROR(__xludf.DUMMYFUNCTION("UPPER(REGEXREPLACE(D125, ""[^a-zA-Z']"", """"))"),"RADIOGAGA")</f>
        <v>RADIOGAGA</v>
      </c>
    </row>
    <row r="126" ht="15.75" customHeight="1">
      <c r="A126" s="125">
        <v>14.0</v>
      </c>
      <c r="B126" s="126" t="s">
        <v>1190</v>
      </c>
      <c r="C126" s="127" t="str">
        <f t="shared" si="1"/>
        <v>Radio Ga Ga.7.mid</v>
      </c>
      <c r="D126" s="128" t="str">
        <f t="shared" si="2"/>
        <v>Radio Ga Ga.7</v>
      </c>
      <c r="E126" s="128">
        <f t="shared" si="3"/>
        <v>14</v>
      </c>
      <c r="F126" s="128" t="str">
        <f>IFERROR(__xludf.DUMMYFUNCTION("UPPER(REGEXREPLACE(D126, ""[^a-zA-Z']"", """"))"),"RADIOGAGA")</f>
        <v>RADIOGAGA</v>
      </c>
    </row>
    <row r="127" ht="15.75" customHeight="1">
      <c r="A127" s="125">
        <v>14.0</v>
      </c>
      <c r="B127" s="126" t="s">
        <v>1191</v>
      </c>
      <c r="C127" s="127" t="str">
        <f t="shared" si="1"/>
        <v>Radio Ga Ga.8.mid</v>
      </c>
      <c r="D127" s="128" t="str">
        <f t="shared" si="2"/>
        <v>Radio Ga Ga.8</v>
      </c>
      <c r="E127" s="128">
        <f t="shared" si="3"/>
        <v>14</v>
      </c>
      <c r="F127" s="128" t="str">
        <f>IFERROR(__xludf.DUMMYFUNCTION("UPPER(REGEXREPLACE(D127, ""[^a-zA-Z']"", """"))"),"RADIOGAGA")</f>
        <v>RADIOGAGA</v>
      </c>
    </row>
    <row r="128" ht="15.75" customHeight="1">
      <c r="A128" s="125">
        <v>14.0</v>
      </c>
      <c r="B128" s="126" t="s">
        <v>1193</v>
      </c>
      <c r="C128" s="127" t="str">
        <f t="shared" si="1"/>
        <v>Rain Must Fall.mid</v>
      </c>
      <c r="D128" s="128" t="str">
        <f t="shared" si="2"/>
        <v>Rain Must Fall</v>
      </c>
      <c r="E128" s="128">
        <f t="shared" si="3"/>
        <v>14</v>
      </c>
      <c r="F128" s="128" t="str">
        <f>IFERROR(__xludf.DUMMYFUNCTION("UPPER(REGEXREPLACE(D128, ""[^a-zA-Z']"", """"))"),"RAINMUSTFALL")</f>
        <v>RAINMUSTFALL</v>
      </c>
    </row>
    <row r="129" ht="15.75" customHeight="1">
      <c r="A129" s="125">
        <v>14.0</v>
      </c>
      <c r="B129" s="126" t="s">
        <v>1182</v>
      </c>
      <c r="C129" s="127" t="str">
        <f t="shared" si="1"/>
        <v>Save Me.mid</v>
      </c>
      <c r="D129" s="128" t="str">
        <f t="shared" si="2"/>
        <v>Save Me</v>
      </c>
      <c r="E129" s="128">
        <f t="shared" si="3"/>
        <v>14</v>
      </c>
      <c r="F129" s="128" t="str">
        <f>IFERROR(__xludf.DUMMYFUNCTION("UPPER(REGEXREPLACE(D129, ""[^a-zA-Z']"", """"))"),"SAVEME")</f>
        <v>SAVEME</v>
      </c>
    </row>
    <row r="130" ht="15.75" customHeight="1">
      <c r="A130" s="125">
        <v>14.0</v>
      </c>
      <c r="B130" s="126" t="s">
        <v>1200</v>
      </c>
      <c r="C130" s="127" t="str">
        <f t="shared" si="1"/>
        <v>Seven Seas of Rhye.1.mid</v>
      </c>
      <c r="D130" s="128" t="str">
        <f t="shared" si="2"/>
        <v>Seven Seas of Rhye.1</v>
      </c>
      <c r="E130" s="128">
        <f t="shared" si="3"/>
        <v>14</v>
      </c>
      <c r="F130" s="128" t="str">
        <f>IFERROR(__xludf.DUMMYFUNCTION("UPPER(REGEXREPLACE(D130, ""[^a-zA-Z']"", """"))"),"SEVENSEASOFRHYE")</f>
        <v>SEVENSEASOFRHYE</v>
      </c>
    </row>
    <row r="131" ht="15.75" customHeight="1">
      <c r="A131" s="125">
        <v>14.0</v>
      </c>
      <c r="B131" s="126" t="s">
        <v>1192</v>
      </c>
      <c r="C131" s="127" t="str">
        <f t="shared" si="1"/>
        <v>Seven Seas of Rhye.mid</v>
      </c>
      <c r="D131" s="128" t="str">
        <f t="shared" si="2"/>
        <v>Seven Seas of Rhye</v>
      </c>
      <c r="E131" s="128">
        <f t="shared" si="3"/>
        <v>14</v>
      </c>
      <c r="F131" s="128" t="str">
        <f>IFERROR(__xludf.DUMMYFUNCTION("UPPER(REGEXREPLACE(D131, ""[^a-zA-Z']"", """"))"),"SEVENSEASOFRHYE")</f>
        <v>SEVENSEASOFRHYE</v>
      </c>
    </row>
    <row r="132" ht="15.75" customHeight="1">
      <c r="A132" s="125">
        <v>14.0</v>
      </c>
      <c r="B132" s="126" t="s">
        <v>1080</v>
      </c>
      <c r="C132" s="127" t="str">
        <f t="shared" si="1"/>
        <v>Somebody to Love.1.mid</v>
      </c>
      <c r="D132" s="128" t="str">
        <f t="shared" si="2"/>
        <v>Somebody to Love.1</v>
      </c>
      <c r="E132" s="128">
        <f t="shared" si="3"/>
        <v>14</v>
      </c>
      <c r="F132" s="128" t="str">
        <f>IFERROR(__xludf.DUMMYFUNCTION("UPPER(REGEXREPLACE(D132, ""[^a-zA-Z']"", """"))"),"SOMEBODYTOLOVE")</f>
        <v>SOMEBODYTOLOVE</v>
      </c>
    </row>
    <row r="133" ht="15.75" customHeight="1">
      <c r="A133" s="125">
        <v>14.0</v>
      </c>
      <c r="B133" s="126" t="s">
        <v>1201</v>
      </c>
      <c r="C133" s="127" t="str">
        <f t="shared" si="1"/>
        <v>Somebody to Love.2.mid</v>
      </c>
      <c r="D133" s="128" t="str">
        <f t="shared" si="2"/>
        <v>Somebody to Love.2</v>
      </c>
      <c r="E133" s="128">
        <f t="shared" si="3"/>
        <v>14</v>
      </c>
      <c r="F133" s="128" t="str">
        <f>IFERROR(__xludf.DUMMYFUNCTION("UPPER(REGEXREPLACE(D133, ""[^a-zA-Z']"", """"))"),"SOMEBODYTOLOVE")</f>
        <v>SOMEBODYTOLOVE</v>
      </c>
    </row>
    <row r="134" ht="15.75" customHeight="1">
      <c r="A134" s="125">
        <v>14.0</v>
      </c>
      <c r="B134" s="126" t="s">
        <v>1202</v>
      </c>
      <c r="C134" s="127" t="str">
        <f t="shared" si="1"/>
        <v>Somebody to Love.3.mid</v>
      </c>
      <c r="D134" s="128" t="str">
        <f t="shared" si="2"/>
        <v>Somebody to Love.3</v>
      </c>
      <c r="E134" s="128">
        <f t="shared" si="3"/>
        <v>14</v>
      </c>
      <c r="F134" s="128" t="str">
        <f>IFERROR(__xludf.DUMMYFUNCTION("UPPER(REGEXREPLACE(D134, ""[^a-zA-Z']"", """"))"),"SOMEBODYTOLOVE")</f>
        <v>SOMEBODYTOLOVE</v>
      </c>
    </row>
    <row r="135" ht="15.75" customHeight="1">
      <c r="A135" s="125">
        <v>14.0</v>
      </c>
      <c r="B135" s="126" t="s">
        <v>1203</v>
      </c>
      <c r="C135" s="127" t="str">
        <f t="shared" si="1"/>
        <v>Somebody to Love.4.mid</v>
      </c>
      <c r="D135" s="128" t="str">
        <f t="shared" si="2"/>
        <v>Somebody to Love.4</v>
      </c>
      <c r="E135" s="128">
        <f t="shared" si="3"/>
        <v>14</v>
      </c>
      <c r="F135" s="128" t="str">
        <f>IFERROR(__xludf.DUMMYFUNCTION("UPPER(REGEXREPLACE(D135, ""[^a-zA-Z']"", """"))"),"SOMEBODYTOLOVE")</f>
        <v>SOMEBODYTOLOVE</v>
      </c>
    </row>
    <row r="136" ht="15.75" customHeight="1">
      <c r="A136" s="125">
        <v>14.0</v>
      </c>
      <c r="B136" s="126" t="s">
        <v>1204</v>
      </c>
      <c r="C136" s="127" t="str">
        <f t="shared" si="1"/>
        <v>Somebody to Love.5.mid</v>
      </c>
      <c r="D136" s="128" t="str">
        <f t="shared" si="2"/>
        <v>Somebody to Love.5</v>
      </c>
      <c r="E136" s="128">
        <f t="shared" si="3"/>
        <v>14</v>
      </c>
      <c r="F136" s="128" t="str">
        <f>IFERROR(__xludf.DUMMYFUNCTION("UPPER(REGEXREPLACE(D136, ""[^a-zA-Z']"", """"))"),"SOMEBODYTOLOVE")</f>
        <v>SOMEBODYTOLOVE</v>
      </c>
    </row>
    <row r="137" ht="15.75" customHeight="1">
      <c r="A137" s="125">
        <v>14.0</v>
      </c>
      <c r="B137" s="126" t="s">
        <v>1164</v>
      </c>
      <c r="C137" s="127" t="str">
        <f t="shared" si="1"/>
        <v>Somebody to Love.6.mid</v>
      </c>
      <c r="D137" s="128" t="str">
        <f t="shared" si="2"/>
        <v>Somebody to Love.6</v>
      </c>
      <c r="E137" s="128">
        <f t="shared" si="3"/>
        <v>14</v>
      </c>
      <c r="F137" s="128" t="str">
        <f>IFERROR(__xludf.DUMMYFUNCTION("UPPER(REGEXREPLACE(D137, ""[^a-zA-Z']"", """"))"),"SOMEBODYTOLOVE")</f>
        <v>SOMEBODYTOLOVE</v>
      </c>
    </row>
    <row r="138" ht="15.75" customHeight="1">
      <c r="A138" s="125">
        <v>14.0</v>
      </c>
      <c r="B138" s="126" t="s">
        <v>1070</v>
      </c>
      <c r="C138" s="127" t="str">
        <f t="shared" si="1"/>
        <v>Son and Daughter.1.mid</v>
      </c>
      <c r="D138" s="128" t="str">
        <f t="shared" si="2"/>
        <v>Son and Daughter.1</v>
      </c>
      <c r="E138" s="128">
        <f t="shared" si="3"/>
        <v>14</v>
      </c>
      <c r="F138" s="128" t="str">
        <f>IFERROR(__xludf.DUMMYFUNCTION("UPPER(REGEXREPLACE(D138, ""[^a-zA-Z']"", """"))"),"SONANDDAUGHTER")</f>
        <v>SONANDDAUGHTER</v>
      </c>
    </row>
    <row r="139" ht="15.75" customHeight="1">
      <c r="A139" s="125">
        <v>14.0</v>
      </c>
      <c r="B139" s="126" t="s">
        <v>1205</v>
      </c>
      <c r="C139" s="127" t="str">
        <f t="shared" si="1"/>
        <v>Son and Daughter.mid</v>
      </c>
      <c r="D139" s="128" t="str">
        <f t="shared" si="2"/>
        <v>Son and Daughter</v>
      </c>
      <c r="E139" s="128">
        <f t="shared" si="3"/>
        <v>14</v>
      </c>
      <c r="F139" s="128" t="str">
        <f>IFERROR(__xludf.DUMMYFUNCTION("UPPER(REGEXREPLACE(D139, ""[^a-zA-Z']"", """"))"),"SONANDDAUGHTER")</f>
        <v>SONANDDAUGHTER</v>
      </c>
    </row>
    <row r="140" ht="15.75" customHeight="1">
      <c r="A140" s="125">
        <v>14.0</v>
      </c>
      <c r="B140" s="126" t="s">
        <v>1207</v>
      </c>
      <c r="C140" s="127" t="str">
        <f t="shared" si="1"/>
        <v>The Great Pretender.mid</v>
      </c>
      <c r="D140" s="128" t="str">
        <f t="shared" si="2"/>
        <v>The Great Pretender</v>
      </c>
      <c r="E140" s="128">
        <f t="shared" si="3"/>
        <v>14</v>
      </c>
      <c r="F140" s="128" t="str">
        <f>IFERROR(__xludf.DUMMYFUNCTION("UPPER(REGEXREPLACE(D140, ""[^a-zA-Z']"", """"))"),"THEGREATPRETENDER")</f>
        <v>THEGREATPRETENDER</v>
      </c>
    </row>
    <row r="141" ht="15.75" customHeight="1">
      <c r="A141" s="125">
        <v>14.0</v>
      </c>
      <c r="B141" s="126" t="s">
        <v>1208</v>
      </c>
      <c r="C141" s="127" t="str">
        <f t="shared" si="1"/>
        <v>The Invisible Man.1.mid</v>
      </c>
      <c r="D141" s="128" t="str">
        <f t="shared" si="2"/>
        <v>The Invisible Man.1</v>
      </c>
      <c r="E141" s="128">
        <f t="shared" si="3"/>
        <v>14</v>
      </c>
      <c r="F141" s="128" t="str">
        <f>IFERROR(__xludf.DUMMYFUNCTION("UPPER(REGEXREPLACE(D141, ""[^a-zA-Z']"", """"))"),"THEINVISIBLEMAN")</f>
        <v>THEINVISIBLEMAN</v>
      </c>
    </row>
    <row r="142" ht="15.75" customHeight="1">
      <c r="A142" s="125">
        <v>14.0</v>
      </c>
      <c r="B142" s="126" t="s">
        <v>1209</v>
      </c>
      <c r="C142" s="127" t="str">
        <f t="shared" si="1"/>
        <v>The Invisible Man.2.mid</v>
      </c>
      <c r="D142" s="128" t="str">
        <f t="shared" si="2"/>
        <v>The Invisible Man.2</v>
      </c>
      <c r="E142" s="128">
        <f t="shared" si="3"/>
        <v>14</v>
      </c>
      <c r="F142" s="128" t="str">
        <f>IFERROR(__xludf.DUMMYFUNCTION("UPPER(REGEXREPLACE(D142, ""[^a-zA-Z']"", """"))"),"THEINVISIBLEMAN")</f>
        <v>THEINVISIBLEMAN</v>
      </c>
    </row>
    <row r="143" ht="15.75" customHeight="1">
      <c r="A143" s="125">
        <v>14.0</v>
      </c>
      <c r="B143" s="126" t="s">
        <v>1210</v>
      </c>
      <c r="C143" s="127" t="str">
        <f t="shared" si="1"/>
        <v>The Invisible Man.mid</v>
      </c>
      <c r="D143" s="128" t="str">
        <f t="shared" si="2"/>
        <v>The Invisible Man</v>
      </c>
      <c r="E143" s="128">
        <f t="shared" si="3"/>
        <v>14</v>
      </c>
      <c r="F143" s="128" t="str">
        <f>IFERROR(__xludf.DUMMYFUNCTION("UPPER(REGEXREPLACE(D143, ""[^a-zA-Z']"", """"))"),"THEINVISIBLEMAN")</f>
        <v>THEINVISIBLEMAN</v>
      </c>
    </row>
    <row r="144" ht="15.75" customHeight="1">
      <c r="A144" s="125">
        <v>14.0</v>
      </c>
      <c r="B144" s="126" t="s">
        <v>1116</v>
      </c>
      <c r="C144" s="127" t="str">
        <f t="shared" si="1"/>
        <v>The Miracle.2.mid</v>
      </c>
      <c r="D144" s="128" t="str">
        <f t="shared" si="2"/>
        <v>The Miracle.2</v>
      </c>
      <c r="E144" s="128">
        <f t="shared" si="3"/>
        <v>14</v>
      </c>
      <c r="F144" s="128" t="str">
        <f>IFERROR(__xludf.DUMMYFUNCTION("UPPER(REGEXREPLACE(D144, ""[^a-zA-Z']"", """"))"),"THEMIRACLE")</f>
        <v>THEMIRACLE</v>
      </c>
    </row>
    <row r="145" ht="15.75" customHeight="1">
      <c r="A145" s="125">
        <v>14.0</v>
      </c>
      <c r="B145" s="126" t="s">
        <v>1211</v>
      </c>
      <c r="C145" s="127" t="str">
        <f t="shared" si="1"/>
        <v>The Miracle.3.mid</v>
      </c>
      <c r="D145" s="128" t="str">
        <f t="shared" si="2"/>
        <v>The Miracle.3</v>
      </c>
      <c r="E145" s="128">
        <f t="shared" si="3"/>
        <v>14</v>
      </c>
      <c r="F145" s="128" t="str">
        <f>IFERROR(__xludf.DUMMYFUNCTION("UPPER(REGEXREPLACE(D145, ""[^a-zA-Z']"", """"))"),"THEMIRACLE")</f>
        <v>THEMIRACLE</v>
      </c>
    </row>
    <row r="146" ht="15.75" customHeight="1">
      <c r="A146" s="125">
        <v>14.0</v>
      </c>
      <c r="B146" s="126" t="s">
        <v>1194</v>
      </c>
      <c r="C146" s="127" t="str">
        <f t="shared" si="1"/>
        <v>The Miracle.4.mid</v>
      </c>
      <c r="D146" s="128" t="str">
        <f t="shared" si="2"/>
        <v>The Miracle.4</v>
      </c>
      <c r="E146" s="128">
        <f t="shared" si="3"/>
        <v>14</v>
      </c>
      <c r="F146" s="128" t="str">
        <f>IFERROR(__xludf.DUMMYFUNCTION("UPPER(REGEXREPLACE(D146, ""[^a-zA-Z']"", """"))"),"THEMIRACLE")</f>
        <v>THEMIRACLE</v>
      </c>
    </row>
    <row r="147" ht="15.75" customHeight="1">
      <c r="A147" s="125">
        <v>14.0</v>
      </c>
      <c r="B147" s="126" t="s">
        <v>1047</v>
      </c>
      <c r="C147" s="127" t="str">
        <f t="shared" si="1"/>
        <v>The Miracle.5.mid</v>
      </c>
      <c r="D147" s="128" t="str">
        <f t="shared" si="2"/>
        <v>The Miracle.5</v>
      </c>
      <c r="E147" s="128">
        <f t="shared" si="3"/>
        <v>14</v>
      </c>
      <c r="F147" s="128" t="str">
        <f>IFERROR(__xludf.DUMMYFUNCTION("UPPER(REGEXREPLACE(D147, ""[^a-zA-Z']"", """"))"),"THEMIRACLE")</f>
        <v>THEMIRACLE</v>
      </c>
    </row>
    <row r="148" ht="15.75" customHeight="1">
      <c r="A148" s="125">
        <v>14.0</v>
      </c>
      <c r="B148" s="126" t="s">
        <v>1213</v>
      </c>
      <c r="C148" s="127" t="str">
        <f t="shared" si="1"/>
        <v>The Show Must Go On.2.mid</v>
      </c>
      <c r="D148" s="128" t="str">
        <f t="shared" si="2"/>
        <v>The Show Must Go On.2</v>
      </c>
      <c r="E148" s="128">
        <f t="shared" si="3"/>
        <v>14</v>
      </c>
      <c r="F148" s="128" t="str">
        <f>IFERROR(__xludf.DUMMYFUNCTION("UPPER(REGEXREPLACE(D148, ""[^a-zA-Z']"", """"))"),"THESHOWMUSTGOON")</f>
        <v>THESHOWMUSTGOON</v>
      </c>
    </row>
    <row r="149" ht="15.75" customHeight="1">
      <c r="A149" s="125">
        <v>14.0</v>
      </c>
      <c r="B149" s="126" t="s">
        <v>1214</v>
      </c>
      <c r="C149" s="127" t="str">
        <f t="shared" si="1"/>
        <v>The Show Must Go On.4.mid</v>
      </c>
      <c r="D149" s="128" t="str">
        <f t="shared" si="2"/>
        <v>The Show Must Go On.4</v>
      </c>
      <c r="E149" s="128">
        <f t="shared" si="3"/>
        <v>14</v>
      </c>
      <c r="F149" s="128" t="str">
        <f>IFERROR(__xludf.DUMMYFUNCTION("UPPER(REGEXREPLACE(D149, ""[^a-zA-Z']"", """"))"),"THESHOWMUSTGOON")</f>
        <v>THESHOWMUSTGOON</v>
      </c>
    </row>
    <row r="150" ht="15.75" customHeight="1">
      <c r="A150" s="125">
        <v>14.0</v>
      </c>
      <c r="B150" s="126" t="s">
        <v>1196</v>
      </c>
      <c r="C150" s="127" t="str">
        <f t="shared" si="1"/>
        <v>These Are the Days of Our Lives.mid</v>
      </c>
      <c r="D150" s="128" t="str">
        <f t="shared" si="2"/>
        <v>These Are the Days of Our Lives</v>
      </c>
      <c r="E150" s="128">
        <f t="shared" si="3"/>
        <v>14</v>
      </c>
      <c r="F150" s="128" t="str">
        <f>IFERROR(__xludf.DUMMYFUNCTION("UPPER(REGEXREPLACE(D150, ""[^a-zA-Z']"", """"))"),"THESEARETHEDAYSOFOURLIVES")</f>
        <v>THESEARETHEDAYSOFOURLIVES</v>
      </c>
    </row>
    <row r="151" ht="15.75" customHeight="1">
      <c r="A151" s="125">
        <v>14.0</v>
      </c>
      <c r="B151" s="126" t="s">
        <v>1197</v>
      </c>
      <c r="C151" s="127" t="str">
        <f t="shared" si="1"/>
        <v>Too Much Love Will Kill You.1.mid</v>
      </c>
      <c r="D151" s="128" t="str">
        <f t="shared" si="2"/>
        <v>Too Much Love Will Kill You.1</v>
      </c>
      <c r="E151" s="128">
        <f t="shared" si="3"/>
        <v>14</v>
      </c>
      <c r="F151" s="128" t="str">
        <f>IFERROR(__xludf.DUMMYFUNCTION("UPPER(REGEXREPLACE(D151, ""[^a-zA-Z']"", """"))"),"TOOMUCHLOVEWILLKILLYOU")</f>
        <v>TOOMUCHLOVEWILLKILLYOU</v>
      </c>
    </row>
    <row r="152" ht="15.75" customHeight="1">
      <c r="A152" s="125">
        <v>14.0</v>
      </c>
      <c r="B152" s="126" t="s">
        <v>1221</v>
      </c>
      <c r="C152" s="127" t="str">
        <f t="shared" si="1"/>
        <v>Too Much Love Will Kill You.2.mid</v>
      </c>
      <c r="D152" s="128" t="str">
        <f t="shared" si="2"/>
        <v>Too Much Love Will Kill You.2</v>
      </c>
      <c r="E152" s="128">
        <f t="shared" si="3"/>
        <v>14</v>
      </c>
      <c r="F152" s="128" t="str">
        <f>IFERROR(__xludf.DUMMYFUNCTION("UPPER(REGEXREPLACE(D152, ""[^a-zA-Z']"", """"))"),"TOOMUCHLOVEWILLKILLYOU")</f>
        <v>TOOMUCHLOVEWILLKILLYOU</v>
      </c>
    </row>
    <row r="153" ht="15.75" customHeight="1">
      <c r="A153" s="125">
        <v>14.0</v>
      </c>
      <c r="B153" s="126" t="s">
        <v>1222</v>
      </c>
      <c r="C153" s="127" t="str">
        <f t="shared" si="1"/>
        <v>Too Much Love Will Kill You.3.mid</v>
      </c>
      <c r="D153" s="128" t="str">
        <f t="shared" si="2"/>
        <v>Too Much Love Will Kill You.3</v>
      </c>
      <c r="E153" s="128">
        <f t="shared" si="3"/>
        <v>14</v>
      </c>
      <c r="F153" s="128" t="str">
        <f>IFERROR(__xludf.DUMMYFUNCTION("UPPER(REGEXREPLACE(D153, ""[^a-zA-Z']"", """"))"),"TOOMUCHLOVEWILLKILLYOU")</f>
        <v>TOOMUCHLOVEWILLKILLYOU</v>
      </c>
    </row>
    <row r="154" ht="15.75" customHeight="1">
      <c r="A154" s="125">
        <v>14.0</v>
      </c>
      <c r="B154" s="126" t="s">
        <v>1223</v>
      </c>
      <c r="C154" s="127" t="str">
        <f t="shared" si="1"/>
        <v>Too Much Love Will Kill You.mid</v>
      </c>
      <c r="D154" s="128" t="str">
        <f t="shared" si="2"/>
        <v>Too Much Love Will Kill You</v>
      </c>
      <c r="E154" s="128">
        <f t="shared" si="3"/>
        <v>14</v>
      </c>
      <c r="F154" s="128" t="str">
        <f>IFERROR(__xludf.DUMMYFUNCTION("UPPER(REGEXREPLACE(D154, ""[^a-zA-Z']"", """"))"),"TOOMUCHLOVEWILLKILLYOU")</f>
        <v>TOOMUCHLOVEWILLKILLYOU</v>
      </c>
    </row>
    <row r="155" ht="15.75" customHeight="1">
      <c r="A155" s="125">
        <v>14.0</v>
      </c>
      <c r="B155" s="126" t="s">
        <v>1225</v>
      </c>
      <c r="C155" s="127" t="str">
        <f t="shared" si="1"/>
        <v>Under Pressure.1.mid</v>
      </c>
      <c r="D155" s="128" t="str">
        <f t="shared" si="2"/>
        <v>Under Pressure.1</v>
      </c>
      <c r="E155" s="128">
        <f t="shared" si="3"/>
        <v>14</v>
      </c>
      <c r="F155" s="128" t="str">
        <f>IFERROR(__xludf.DUMMYFUNCTION("UPPER(REGEXREPLACE(D155, ""[^a-zA-Z']"", """"))"),"UNDERPRESSURE")</f>
        <v>UNDERPRESSURE</v>
      </c>
    </row>
    <row r="156" ht="15.75" customHeight="1">
      <c r="A156" s="125">
        <v>14.0</v>
      </c>
      <c r="B156" s="126" t="s">
        <v>1170</v>
      </c>
      <c r="C156" s="127" t="str">
        <f t="shared" si="1"/>
        <v>Under Pressure.3.mid</v>
      </c>
      <c r="D156" s="128" t="str">
        <f t="shared" si="2"/>
        <v>Under Pressure.3</v>
      </c>
      <c r="E156" s="128">
        <f t="shared" si="3"/>
        <v>14</v>
      </c>
      <c r="F156" s="128" t="str">
        <f>IFERROR(__xludf.DUMMYFUNCTION("UPPER(REGEXREPLACE(D156, ""[^a-zA-Z']"", """"))"),"UNDERPRESSURE")</f>
        <v>UNDERPRESSURE</v>
      </c>
    </row>
    <row r="157" ht="15.75" customHeight="1">
      <c r="A157" s="125">
        <v>14.0</v>
      </c>
      <c r="B157" s="126" t="s">
        <v>1153</v>
      </c>
      <c r="C157" s="127" t="str">
        <f t="shared" si="1"/>
        <v>Under Pressure.6.mid</v>
      </c>
      <c r="D157" s="128" t="str">
        <f t="shared" si="2"/>
        <v>Under Pressure.6</v>
      </c>
      <c r="E157" s="128">
        <f t="shared" si="3"/>
        <v>14</v>
      </c>
      <c r="F157" s="128" t="str">
        <f>IFERROR(__xludf.DUMMYFUNCTION("UPPER(REGEXREPLACE(D157, ""[^a-zA-Z']"", """"))"),"UNDERPRESSURE")</f>
        <v>UNDERPRESSURE</v>
      </c>
    </row>
    <row r="158" ht="15.75" customHeight="1">
      <c r="A158" s="125">
        <v>14.0</v>
      </c>
      <c r="B158" s="126" t="s">
        <v>1227</v>
      </c>
      <c r="C158" s="127" t="str">
        <f t="shared" si="1"/>
        <v>Under Pressure.7.mid</v>
      </c>
      <c r="D158" s="128" t="str">
        <f t="shared" si="2"/>
        <v>Under Pressure.7</v>
      </c>
      <c r="E158" s="128">
        <f t="shared" si="3"/>
        <v>14</v>
      </c>
      <c r="F158" s="128" t="str">
        <f>IFERROR(__xludf.DUMMYFUNCTION("UPPER(REGEXREPLACE(D158, ""[^a-zA-Z']"", """"))"),"UNDERPRESSURE")</f>
        <v>UNDERPRESSURE</v>
      </c>
    </row>
    <row r="159" ht="15.75" customHeight="1">
      <c r="A159" s="125">
        <v>14.0</v>
      </c>
      <c r="B159" s="126" t="s">
        <v>1198</v>
      </c>
      <c r="C159" s="127" t="str">
        <f t="shared" si="1"/>
        <v>We Are The Champions.3.mid</v>
      </c>
      <c r="D159" s="128" t="str">
        <f t="shared" si="2"/>
        <v>We Are The Champions.3</v>
      </c>
      <c r="E159" s="128">
        <f t="shared" si="3"/>
        <v>14</v>
      </c>
      <c r="F159" s="128" t="str">
        <f>IFERROR(__xludf.DUMMYFUNCTION("UPPER(REGEXREPLACE(D159, ""[^a-zA-Z']"", """"))"),"WEARETHECHAMPIONS")</f>
        <v>WEARETHECHAMPIONS</v>
      </c>
    </row>
    <row r="160" ht="15.75" customHeight="1">
      <c r="A160" s="125">
        <v>14.0</v>
      </c>
      <c r="B160" s="126" t="s">
        <v>1228</v>
      </c>
      <c r="C160" s="127" t="str">
        <f t="shared" si="1"/>
        <v>We Are The Champions.5.mid</v>
      </c>
      <c r="D160" s="128" t="str">
        <f t="shared" si="2"/>
        <v>We Are The Champions.5</v>
      </c>
      <c r="E160" s="128">
        <f t="shared" si="3"/>
        <v>14</v>
      </c>
      <c r="F160" s="128" t="str">
        <f>IFERROR(__xludf.DUMMYFUNCTION("UPPER(REGEXREPLACE(D160, ""[^a-zA-Z']"", """"))"),"WEARETHECHAMPIONS")</f>
        <v>WEARETHECHAMPIONS</v>
      </c>
    </row>
    <row r="161" ht="15.75" customHeight="1">
      <c r="A161" s="125">
        <v>14.0</v>
      </c>
      <c r="B161" s="126" t="s">
        <v>1154</v>
      </c>
      <c r="C161" s="127" t="str">
        <f t="shared" si="1"/>
        <v>We Are The Champions.6.mid</v>
      </c>
      <c r="D161" s="128" t="str">
        <f t="shared" si="2"/>
        <v>We Are The Champions.6</v>
      </c>
      <c r="E161" s="128">
        <f t="shared" si="3"/>
        <v>14</v>
      </c>
      <c r="F161" s="128" t="str">
        <f>IFERROR(__xludf.DUMMYFUNCTION("UPPER(REGEXREPLACE(D161, ""[^a-zA-Z']"", """"))"),"WEARETHECHAMPIONS")</f>
        <v>WEARETHECHAMPIONS</v>
      </c>
    </row>
    <row r="162" ht="15.75" customHeight="1">
      <c r="A162" s="125">
        <v>14.0</v>
      </c>
      <c r="B162" s="126" t="s">
        <v>1166</v>
      </c>
      <c r="C162" s="127" t="str">
        <f t="shared" si="1"/>
        <v>We Are The Champions.8.mid</v>
      </c>
      <c r="D162" s="128" t="str">
        <f t="shared" si="2"/>
        <v>We Are The Champions.8</v>
      </c>
      <c r="E162" s="128">
        <f t="shared" si="3"/>
        <v>14</v>
      </c>
      <c r="F162" s="128" t="str">
        <f>IFERROR(__xludf.DUMMYFUNCTION("UPPER(REGEXREPLACE(D162, ""[^a-zA-Z']"", """"))"),"WEARETHECHAMPIONS")</f>
        <v>WEARETHECHAMPIONS</v>
      </c>
    </row>
    <row r="163" ht="15.75" customHeight="1">
      <c r="A163" s="125">
        <v>14.0</v>
      </c>
      <c r="B163" s="126" t="s">
        <v>1133</v>
      </c>
      <c r="C163" s="127" t="str">
        <f t="shared" si="1"/>
        <v>We Will Rock You.1.mid</v>
      </c>
      <c r="D163" s="128" t="str">
        <f t="shared" si="2"/>
        <v>We Will Rock You.1</v>
      </c>
      <c r="E163" s="128">
        <f t="shared" si="3"/>
        <v>14</v>
      </c>
      <c r="F163" s="128" t="str">
        <f>IFERROR(__xludf.DUMMYFUNCTION("UPPER(REGEXREPLACE(D163, ""[^a-zA-Z']"", """"))"),"WEWILLROCKYOU")</f>
        <v>WEWILLROCKYOU</v>
      </c>
    </row>
    <row r="164" ht="15.75" customHeight="1">
      <c r="A164" s="125">
        <v>14.0</v>
      </c>
      <c r="B164" s="126" t="s">
        <v>1199</v>
      </c>
      <c r="C164" s="127" t="str">
        <f t="shared" si="1"/>
        <v>We Will Rock You.3.mid</v>
      </c>
      <c r="D164" s="128" t="str">
        <f t="shared" si="2"/>
        <v>We Will Rock You.3</v>
      </c>
      <c r="E164" s="128">
        <f t="shared" si="3"/>
        <v>14</v>
      </c>
      <c r="F164" s="128" t="str">
        <f>IFERROR(__xludf.DUMMYFUNCTION("UPPER(REGEXREPLACE(D164, ""[^a-zA-Z']"", """"))"),"WEWILLROCKYOU")</f>
        <v>WEWILLROCKYOU</v>
      </c>
    </row>
    <row r="165" ht="15.75" customHeight="1">
      <c r="A165" s="125">
        <v>14.0</v>
      </c>
      <c r="B165" s="126" t="s">
        <v>1155</v>
      </c>
      <c r="C165" s="127" t="str">
        <f t="shared" si="1"/>
        <v>We Will Rock You.4.mid</v>
      </c>
      <c r="D165" s="128" t="str">
        <f t="shared" si="2"/>
        <v>We Will Rock You.4</v>
      </c>
      <c r="E165" s="128">
        <f t="shared" si="3"/>
        <v>14</v>
      </c>
      <c r="F165" s="128" t="str">
        <f>IFERROR(__xludf.DUMMYFUNCTION("UPPER(REGEXREPLACE(D165, ""[^a-zA-Z']"", """"))"),"WEWILLROCKYOU")</f>
        <v>WEWILLROCKYOU</v>
      </c>
    </row>
    <row r="166" ht="15.75" customHeight="1">
      <c r="A166" s="125">
        <v>14.0</v>
      </c>
      <c r="B166" s="126" t="s">
        <v>1232</v>
      </c>
      <c r="C166" s="127" t="str">
        <f t="shared" si="1"/>
        <v>We Will Rock You.5.mid</v>
      </c>
      <c r="D166" s="128" t="str">
        <f t="shared" si="2"/>
        <v>We Will Rock You.5</v>
      </c>
      <c r="E166" s="128">
        <f t="shared" si="3"/>
        <v>14</v>
      </c>
      <c r="F166" s="128" t="str">
        <f>IFERROR(__xludf.DUMMYFUNCTION("UPPER(REGEXREPLACE(D166, ""[^a-zA-Z']"", """"))"),"WEWILLROCKYOU")</f>
        <v>WEWILLROCKYOU</v>
      </c>
    </row>
    <row r="167" ht="15.75" customHeight="1">
      <c r="A167" s="125">
        <v>14.0</v>
      </c>
      <c r="B167" s="126" t="s">
        <v>1148</v>
      </c>
      <c r="C167" s="127" t="str">
        <f t="shared" si="1"/>
        <v>We Will Rock You.mid</v>
      </c>
      <c r="D167" s="128" t="str">
        <f t="shared" si="2"/>
        <v>We Will Rock You</v>
      </c>
      <c r="E167" s="128">
        <f t="shared" si="3"/>
        <v>14</v>
      </c>
      <c r="F167" s="128" t="str">
        <f>IFERROR(__xludf.DUMMYFUNCTION("UPPER(REGEXREPLACE(D167, ""[^a-zA-Z']"", """"))"),"WEWILLROCKYOU")</f>
        <v>WEWILLROCKYOU</v>
      </c>
    </row>
    <row r="168" ht="15.75" customHeight="1">
      <c r="A168" s="125">
        <v>14.0</v>
      </c>
      <c r="B168" s="126" t="s">
        <v>1234</v>
      </c>
      <c r="C168" s="127" t="str">
        <f t="shared" si="1"/>
        <v>White Man.mid</v>
      </c>
      <c r="D168" s="128" t="str">
        <f t="shared" si="2"/>
        <v>White Man</v>
      </c>
      <c r="E168" s="128">
        <f t="shared" si="3"/>
        <v>14</v>
      </c>
      <c r="F168" s="128" t="str">
        <f>IFERROR(__xludf.DUMMYFUNCTION("UPPER(REGEXREPLACE(D168, ""[^a-zA-Z']"", """"))"),"WHITEMAN")</f>
        <v>WHITEMAN</v>
      </c>
    </row>
    <row r="169" ht="15.75" customHeight="1">
      <c r="A169" s="125">
        <v>14.0</v>
      </c>
      <c r="B169" s="126" t="s">
        <v>1156</v>
      </c>
      <c r="C169" s="127" t="str">
        <f t="shared" si="1"/>
        <v>Who Wants to Live Forever.2.mid</v>
      </c>
      <c r="D169" s="128" t="str">
        <f t="shared" si="2"/>
        <v>Who Wants to Live Forever.2</v>
      </c>
      <c r="E169" s="128">
        <f t="shared" si="3"/>
        <v>14</v>
      </c>
      <c r="F169" s="128" t="str">
        <f>IFERROR(__xludf.DUMMYFUNCTION("UPPER(REGEXREPLACE(D169, ""[^a-zA-Z']"", """"))"),"WHOWANTSTOLIVEFOREVER")</f>
        <v>WHOWANTSTOLIVEFOREVER</v>
      </c>
    </row>
    <row r="170" ht="15.75" customHeight="1">
      <c r="A170" s="125">
        <v>14.0</v>
      </c>
      <c r="B170" s="126" t="s">
        <v>1149</v>
      </c>
      <c r="C170" s="127" t="str">
        <f t="shared" si="1"/>
        <v>Who Wants to Live Forever.3.mid</v>
      </c>
      <c r="D170" s="128" t="str">
        <f t="shared" si="2"/>
        <v>Who Wants to Live Forever.3</v>
      </c>
      <c r="E170" s="128">
        <f t="shared" si="3"/>
        <v>14</v>
      </c>
      <c r="F170" s="128" t="str">
        <f>IFERROR(__xludf.DUMMYFUNCTION("UPPER(REGEXREPLACE(D170, ""[^a-zA-Z']"", """"))"),"WHOWANTSTOLIVEFOREVER")</f>
        <v>WHOWANTSTOLIVEFOREVER</v>
      </c>
    </row>
    <row r="171" ht="15.75" customHeight="1">
      <c r="A171" s="125">
        <v>14.0</v>
      </c>
      <c r="B171" s="126" t="s">
        <v>1074</v>
      </c>
      <c r="C171" s="127" t="str">
        <f t="shared" si="1"/>
        <v>Who Wants to Live Forever.5.mid</v>
      </c>
      <c r="D171" s="128" t="str">
        <f t="shared" si="2"/>
        <v>Who Wants to Live Forever.5</v>
      </c>
      <c r="E171" s="128">
        <f t="shared" si="3"/>
        <v>14</v>
      </c>
      <c r="F171" s="128" t="str">
        <f>IFERROR(__xludf.DUMMYFUNCTION("UPPER(REGEXREPLACE(D171, ""[^a-zA-Z']"", """"))"),"WHOWANTSTOLIVEFOREVER")</f>
        <v>WHOWANTSTOLIVEFOREVER</v>
      </c>
    </row>
    <row r="172" ht="15.75" customHeight="1">
      <c r="A172" s="125">
        <v>14.0</v>
      </c>
      <c r="B172" s="126" t="s">
        <v>1217</v>
      </c>
      <c r="C172" s="127" t="str">
        <f t="shared" si="1"/>
        <v>Who Wants to Live Forever.6.mid</v>
      </c>
      <c r="D172" s="128" t="str">
        <f t="shared" si="2"/>
        <v>Who Wants to Live Forever.6</v>
      </c>
      <c r="E172" s="128">
        <f t="shared" si="3"/>
        <v>14</v>
      </c>
      <c r="F172" s="128" t="str">
        <f>IFERROR(__xludf.DUMMYFUNCTION("UPPER(REGEXREPLACE(D172, ""[^a-zA-Z']"", """"))"),"WHOWANTSTOLIVEFOREVER")</f>
        <v>WHOWANTSTOLIVEFOREVER</v>
      </c>
    </row>
    <row r="173" ht="15.75" customHeight="1">
      <c r="A173" s="125">
        <v>14.0</v>
      </c>
      <c r="B173" s="126" t="s">
        <v>1235</v>
      </c>
      <c r="C173" s="127" t="str">
        <f t="shared" si="1"/>
        <v>Who Wants to Live Forever.8.mid</v>
      </c>
      <c r="D173" s="128" t="str">
        <f t="shared" si="2"/>
        <v>Who Wants to Live Forever.8</v>
      </c>
      <c r="E173" s="128">
        <f t="shared" si="3"/>
        <v>14</v>
      </c>
      <c r="F173" s="128" t="str">
        <f>IFERROR(__xludf.DUMMYFUNCTION("UPPER(REGEXREPLACE(D173, ""[^a-zA-Z']"", """"))"),"WHOWANTSTOLIVEFOREVER")</f>
        <v>WHOWANTSTOLIVEFOREVER</v>
      </c>
    </row>
    <row r="174" ht="15.75" customHeight="1">
      <c r="A174" s="125">
        <v>14.0</v>
      </c>
      <c r="B174" s="126" t="s">
        <v>1135</v>
      </c>
      <c r="C174" s="127" t="str">
        <f t="shared" si="1"/>
        <v>Who Wants to Live Forever.mid</v>
      </c>
      <c r="D174" s="128" t="str">
        <f t="shared" si="2"/>
        <v>Who Wants to Live Forever</v>
      </c>
      <c r="E174" s="128">
        <f t="shared" si="3"/>
        <v>14</v>
      </c>
      <c r="F174" s="128" t="str">
        <f>IFERROR(__xludf.DUMMYFUNCTION("UPPER(REGEXREPLACE(D174, ""[^a-zA-Z']"", """"))"),"WHOWANTSTOLIVEFOREVER")</f>
        <v>WHOWANTSTOLIVEFOREVER</v>
      </c>
    </row>
    <row r="175" ht="15.75" customHeight="1">
      <c r="A175" s="125">
        <v>14.0</v>
      </c>
      <c r="B175" s="126" t="s">
        <v>1142</v>
      </c>
      <c r="C175" s="127" t="str">
        <f t="shared" si="1"/>
        <v>You Don't Fool Me.1.mid</v>
      </c>
      <c r="D175" s="128" t="str">
        <f t="shared" si="2"/>
        <v>You Don't Fool Me.1</v>
      </c>
      <c r="E175" s="128">
        <f t="shared" si="3"/>
        <v>14</v>
      </c>
      <c r="F175" s="128" t="str">
        <f>IFERROR(__xludf.DUMMYFUNCTION("UPPER(REGEXREPLACE(D175, ""[^a-zA-Z']"", """"))"),"YOUDON'TFOOLME")</f>
        <v>YOUDON'TFOOLME</v>
      </c>
    </row>
    <row r="176" ht="15.75" customHeight="1">
      <c r="A176" s="125">
        <v>14.0</v>
      </c>
      <c r="B176" s="126" t="s">
        <v>1236</v>
      </c>
      <c r="C176" s="127" t="str">
        <f t="shared" si="1"/>
        <v>You Don't Fool Me.3.mid</v>
      </c>
      <c r="D176" s="128" t="str">
        <f t="shared" si="2"/>
        <v>You Don't Fool Me.3</v>
      </c>
      <c r="E176" s="128">
        <f t="shared" si="3"/>
        <v>14</v>
      </c>
      <c r="F176" s="128" t="str">
        <f>IFERROR(__xludf.DUMMYFUNCTION("UPPER(REGEXREPLACE(D176, ""[^a-zA-Z']"", """"))"),"YOUDON'TFOOLME")</f>
        <v>YOUDON'TFOOLME</v>
      </c>
    </row>
    <row r="177" ht="15.75" customHeight="1">
      <c r="A177" s="125">
        <v>14.0</v>
      </c>
      <c r="B177" s="126" t="s">
        <v>1218</v>
      </c>
      <c r="C177" s="127" t="str">
        <f t="shared" si="1"/>
        <v>You Don't Fool Me.mid</v>
      </c>
      <c r="D177" s="128" t="str">
        <f t="shared" si="2"/>
        <v>You Don't Fool Me</v>
      </c>
      <c r="E177" s="128">
        <f t="shared" si="3"/>
        <v>14</v>
      </c>
      <c r="F177" s="128" t="str">
        <f>IFERROR(__xludf.DUMMYFUNCTION("UPPER(REGEXREPLACE(D177, ""[^a-zA-Z']"", """"))"),"YOUDON'TFOOLME")</f>
        <v>YOUDON'TFOOLME</v>
      </c>
    </row>
    <row r="178" ht="15.75" customHeight="1">
      <c r="A178" s="125">
        <v>14.0</v>
      </c>
      <c r="B178" s="126" t="s">
        <v>1219</v>
      </c>
      <c r="C178" s="127" t="str">
        <f t="shared" si="1"/>
        <v>You're My Best Friend.2.mid</v>
      </c>
      <c r="D178" s="128" t="str">
        <f t="shared" si="2"/>
        <v>You're My Best Friend.2</v>
      </c>
      <c r="E178" s="128">
        <f t="shared" si="3"/>
        <v>14</v>
      </c>
      <c r="F178" s="128" t="str">
        <f>IFERROR(__xludf.DUMMYFUNCTION("UPPER(REGEXREPLACE(D178, ""[^a-zA-Z']"", """"))"),"YOU'REMYBESTFRIEND")</f>
        <v>YOU'REMYBESTFRIEND</v>
      </c>
    </row>
    <row r="179" ht="15.75" customHeight="1">
      <c r="A179" s="125">
        <v>14.0</v>
      </c>
      <c r="B179" s="126" t="s">
        <v>1157</v>
      </c>
      <c r="C179" s="127" t="str">
        <f t="shared" si="1"/>
        <v>You're My Best Friend.3.mid</v>
      </c>
      <c r="D179" s="128" t="str">
        <f t="shared" si="2"/>
        <v>You're My Best Friend.3</v>
      </c>
      <c r="E179" s="128">
        <f t="shared" si="3"/>
        <v>14</v>
      </c>
      <c r="F179" s="128" t="str">
        <f>IFERROR(__xludf.DUMMYFUNCTION("UPPER(REGEXREPLACE(D179, ""[^a-zA-Z']"", """"))"),"YOU'REMYBESTFRIEND")</f>
        <v>YOU'REMYBESTFRIEND</v>
      </c>
    </row>
    <row r="180" ht="15.75" customHeight="1">
      <c r="A180" s="125">
        <v>14.0</v>
      </c>
      <c r="B180" s="126" t="s">
        <v>1137</v>
      </c>
      <c r="C180" s="127" t="str">
        <f t="shared" si="1"/>
        <v>You're My Best Friend.4.mid</v>
      </c>
      <c r="D180" s="128" t="str">
        <f t="shared" si="2"/>
        <v>You're My Best Friend.4</v>
      </c>
      <c r="E180" s="128">
        <f t="shared" si="3"/>
        <v>14</v>
      </c>
      <c r="F180" s="128" t="str">
        <f>IFERROR(__xludf.DUMMYFUNCTION("UPPER(REGEXREPLACE(D180, ""[^a-zA-Z']"", """"))"),"YOU'REMYBESTFRIEND")</f>
        <v>YOU'REMYBESTFRIEND</v>
      </c>
    </row>
    <row r="181" ht="15.75" customHeight="1">
      <c r="A181" s="125">
        <v>14.0</v>
      </c>
      <c r="B181" s="126" t="s">
        <v>1233</v>
      </c>
      <c r="C181" s="127" t="str">
        <f t="shared" si="1"/>
        <v>You're My Best Friend.mid</v>
      </c>
      <c r="D181" s="128" t="str">
        <f t="shared" si="2"/>
        <v>You're My Best Friend</v>
      </c>
      <c r="E181" s="128">
        <f t="shared" si="3"/>
        <v>14</v>
      </c>
      <c r="F181" s="128" t="str">
        <f>IFERROR(__xludf.DUMMYFUNCTION("UPPER(REGEXREPLACE(D181, ""[^a-zA-Z']"", """"))"),"YOU'REMYBESTFRIEND")</f>
        <v>YOU'REMYBESTFRIEND</v>
      </c>
    </row>
    <row r="182" ht="15.75" customHeight="1">
      <c r="A182" s="125">
        <v>15.0</v>
      </c>
      <c r="B182" s="126" t="s">
        <v>1059</v>
      </c>
      <c r="C182" s="127" t="str">
        <f t="shared" si="1"/>
        <v>Bicycle Race.1.mid</v>
      </c>
      <c r="D182" s="128" t="str">
        <f t="shared" si="2"/>
        <v>Bicycle Race.1</v>
      </c>
      <c r="E182" s="128">
        <f t="shared" si="3"/>
        <v>15</v>
      </c>
      <c r="F182" s="128" t="str">
        <f>IFERROR(__xludf.DUMMYFUNCTION("UPPER(REGEXREPLACE(D182, ""[^a-zA-Z']"", """"))"),"BICYCLERACE")</f>
        <v>BICYCLERACE</v>
      </c>
    </row>
    <row r="183" ht="15.75" customHeight="1">
      <c r="A183" s="125">
        <v>15.0</v>
      </c>
      <c r="B183" s="126" t="s">
        <v>1090</v>
      </c>
      <c r="C183" s="127" t="str">
        <f t="shared" si="1"/>
        <v>Crazy Little Thing Called Love.1.mid</v>
      </c>
      <c r="D183" s="128" t="str">
        <f t="shared" si="2"/>
        <v>Crazy Little Thing Called Love.1</v>
      </c>
      <c r="E183" s="128">
        <f t="shared" si="3"/>
        <v>15</v>
      </c>
      <c r="F183" s="128" t="str">
        <f>IFERROR(__xludf.DUMMYFUNCTION("UPPER(REGEXREPLACE(D183, ""[^a-zA-Z']"", """"))"),"CRAZYLITTLETHINGCALLEDLOVE")</f>
        <v>CRAZYLITTLETHINGCALLEDLOVE</v>
      </c>
    </row>
    <row r="184" ht="15.75" customHeight="1">
      <c r="A184" s="125">
        <v>15.0</v>
      </c>
      <c r="B184" s="126" t="s">
        <v>1096</v>
      </c>
      <c r="C184" s="127" t="str">
        <f t="shared" si="1"/>
        <v>Crazy Little Thing Called Love.4.mid</v>
      </c>
      <c r="D184" s="128" t="str">
        <f t="shared" si="2"/>
        <v>Crazy Little Thing Called Love.4</v>
      </c>
      <c r="E184" s="128">
        <f t="shared" si="3"/>
        <v>15</v>
      </c>
      <c r="F184" s="128" t="str">
        <f>IFERROR(__xludf.DUMMYFUNCTION("UPPER(REGEXREPLACE(D184, ""[^a-zA-Z']"", """"))"),"CRAZYLITTLETHINGCALLEDLOVE")</f>
        <v>CRAZYLITTLETHINGCALLEDLOVE</v>
      </c>
    </row>
    <row r="185" ht="15.75" customHeight="1">
      <c r="A185" s="125">
        <v>15.0</v>
      </c>
      <c r="B185" s="126" t="s">
        <v>1100</v>
      </c>
      <c r="C185" s="127" t="str">
        <f t="shared" si="1"/>
        <v>Crazy Little Thing Called Love.6.mid</v>
      </c>
      <c r="D185" s="128" t="str">
        <f t="shared" si="2"/>
        <v>Crazy Little Thing Called Love.6</v>
      </c>
      <c r="E185" s="128">
        <f t="shared" si="3"/>
        <v>15</v>
      </c>
      <c r="F185" s="128" t="str">
        <f>IFERROR(__xludf.DUMMYFUNCTION("UPPER(REGEXREPLACE(D185, ""[^a-zA-Z']"", """"))"),"CRAZYLITTLETHINGCALLEDLOVE")</f>
        <v>CRAZYLITTLETHINGCALLEDLOVE</v>
      </c>
    </row>
    <row r="186" ht="15.75" customHeight="1">
      <c r="A186" s="125">
        <v>15.0</v>
      </c>
      <c r="B186" s="126" t="s">
        <v>1143</v>
      </c>
      <c r="C186" s="127" t="str">
        <f t="shared" si="1"/>
        <v>I Can't Live With You.mid</v>
      </c>
      <c r="D186" s="128" t="str">
        <f t="shared" si="2"/>
        <v>I Can't Live With You</v>
      </c>
      <c r="E186" s="128">
        <f t="shared" si="3"/>
        <v>15</v>
      </c>
      <c r="F186" s="128" t="str">
        <f>IFERROR(__xludf.DUMMYFUNCTION("UPPER(REGEXREPLACE(D186, ""[^a-zA-Z']"", """"))"),"ICAN'TLIVEWITHYOU")</f>
        <v>ICAN'TLIVEWITHYOU</v>
      </c>
    </row>
    <row r="187" ht="15.75" customHeight="1">
      <c r="A187" s="125">
        <v>15.0</v>
      </c>
      <c r="B187" s="126" t="s">
        <v>1178</v>
      </c>
      <c r="C187" s="127" t="str">
        <f t="shared" si="1"/>
        <v>Radio Ga Ga.4.mid</v>
      </c>
      <c r="D187" s="128" t="str">
        <f t="shared" si="2"/>
        <v>Radio Ga Ga.4</v>
      </c>
      <c r="E187" s="128">
        <f t="shared" si="3"/>
        <v>15</v>
      </c>
      <c r="F187" s="128" t="str">
        <f>IFERROR(__xludf.DUMMYFUNCTION("UPPER(REGEXREPLACE(D187, ""[^a-zA-Z']"", """"))"),"RADIOGAGA")</f>
        <v>RADIOGAGA</v>
      </c>
    </row>
    <row r="188" ht="15.75" customHeight="1">
      <c r="A188" s="125">
        <v>15.0</v>
      </c>
      <c r="B188" s="126" t="s">
        <v>1180</v>
      </c>
      <c r="C188" s="127" t="str">
        <f t="shared" si="1"/>
        <v>Radio Ga Ga.mid</v>
      </c>
      <c r="D188" s="128" t="str">
        <f t="shared" si="2"/>
        <v>Radio Ga Ga</v>
      </c>
      <c r="E188" s="128">
        <f t="shared" si="3"/>
        <v>15</v>
      </c>
      <c r="F188" s="128" t="str">
        <f>IFERROR(__xludf.DUMMYFUNCTION("UPPER(REGEXREPLACE(D188, ""[^a-zA-Z']"", """"))"),"RADIOGAGA")</f>
        <v>RADIOGAGA</v>
      </c>
    </row>
    <row r="189" ht="15.75" customHeight="1">
      <c r="A189" s="125">
        <v>15.0</v>
      </c>
      <c r="B189" s="126" t="s">
        <v>1062</v>
      </c>
      <c r="C189" s="127" t="str">
        <f t="shared" si="1"/>
        <v>Somebody to Love.mid</v>
      </c>
      <c r="D189" s="128" t="str">
        <f t="shared" si="2"/>
        <v>Somebody to Love</v>
      </c>
      <c r="E189" s="128">
        <f t="shared" si="3"/>
        <v>15</v>
      </c>
      <c r="F189" s="128" t="str">
        <f>IFERROR(__xludf.DUMMYFUNCTION("UPPER(REGEXREPLACE(D189, ""[^a-zA-Z']"", """"))"),"SOMEBODYTOLOVE")</f>
        <v>SOMEBODYTOLOVE</v>
      </c>
    </row>
    <row r="190" ht="15.75" customHeight="1">
      <c r="A190" s="125">
        <v>15.0</v>
      </c>
      <c r="B190" s="126" t="s">
        <v>1206</v>
      </c>
      <c r="C190" s="127" t="str">
        <f t="shared" si="1"/>
        <v>Spread Your Wings.mid</v>
      </c>
      <c r="D190" s="128" t="str">
        <f t="shared" si="2"/>
        <v>Spread Your Wings</v>
      </c>
      <c r="E190" s="128">
        <f t="shared" si="3"/>
        <v>15</v>
      </c>
      <c r="F190" s="128" t="str">
        <f>IFERROR(__xludf.DUMMYFUNCTION("UPPER(REGEXREPLACE(D190, ""[^a-zA-Z']"", """"))"),"SPREADYOURWINGS")</f>
        <v>SPREADYOURWINGS</v>
      </c>
    </row>
    <row r="191" ht="15.75" customHeight="1">
      <c r="A191" s="125">
        <v>15.0</v>
      </c>
      <c r="B191" s="126" t="s">
        <v>1212</v>
      </c>
      <c r="C191" s="127" t="str">
        <f t="shared" si="1"/>
        <v>The Miracle.mid</v>
      </c>
      <c r="D191" s="128" t="str">
        <f t="shared" si="2"/>
        <v>The Miracle</v>
      </c>
      <c r="E191" s="128">
        <f t="shared" si="3"/>
        <v>15</v>
      </c>
      <c r="F191" s="128" t="str">
        <f>IFERROR(__xludf.DUMMYFUNCTION("UPPER(REGEXREPLACE(D191, ""[^a-zA-Z']"", """"))"),"THEMIRACLE")</f>
        <v>THEMIRACLE</v>
      </c>
    </row>
    <row r="192" ht="15.75" customHeight="1">
      <c r="A192" s="125">
        <v>15.0</v>
      </c>
      <c r="B192" s="126" t="s">
        <v>1132</v>
      </c>
      <c r="C192" s="127" t="str">
        <f t="shared" si="1"/>
        <v>We Are The Champions.2.mid</v>
      </c>
      <c r="D192" s="128" t="str">
        <f t="shared" si="2"/>
        <v>We Are The Champions.2</v>
      </c>
      <c r="E192" s="128">
        <f t="shared" si="3"/>
        <v>15</v>
      </c>
      <c r="F192" s="128" t="str">
        <f>IFERROR(__xludf.DUMMYFUNCTION("UPPER(REGEXREPLACE(D192, ""[^a-zA-Z']"", """"))"),"WEARETHECHAMPIONS")</f>
        <v>WEARETHECHAMPIONS</v>
      </c>
    </row>
    <row r="193" ht="15.75" customHeight="1">
      <c r="A193" s="125">
        <v>15.0</v>
      </c>
      <c r="B193" s="126" t="s">
        <v>1231</v>
      </c>
      <c r="C193" s="127" t="str">
        <f t="shared" si="1"/>
        <v>We Are The Champions.4.mid</v>
      </c>
      <c r="D193" s="128" t="str">
        <f t="shared" si="2"/>
        <v>We Are The Champions.4</v>
      </c>
      <c r="E193" s="128">
        <f t="shared" si="3"/>
        <v>15</v>
      </c>
      <c r="F193" s="128" t="str">
        <f>IFERROR(__xludf.DUMMYFUNCTION("UPPER(REGEXREPLACE(D193, ""[^a-zA-Z']"", """"))"),"WEARETHECHAMPIONS")</f>
        <v>WEARETHECHAMPIONS</v>
      </c>
    </row>
    <row r="194" ht="15.75" customHeight="1">
      <c r="A194" s="125">
        <v>15.0</v>
      </c>
      <c r="B194" s="126" t="s">
        <v>1175</v>
      </c>
      <c r="C194" s="127" t="str">
        <f t="shared" si="1"/>
        <v>Who Wants to Live Forever.1.mid</v>
      </c>
      <c r="D194" s="128" t="str">
        <f t="shared" si="2"/>
        <v>Who Wants to Live Forever.1</v>
      </c>
      <c r="E194" s="128">
        <f t="shared" si="3"/>
        <v>15</v>
      </c>
      <c r="F194" s="128" t="str">
        <f>IFERROR(__xludf.DUMMYFUNCTION("UPPER(REGEXREPLACE(D194, ""[^a-zA-Z']"", """"))"),"WHOWANTSTOLIVEFOREVER")</f>
        <v>WHOWANTSTOLIVEFOREVER</v>
      </c>
    </row>
    <row r="195" ht="15.75" customHeight="1">
      <c r="A195" s="125">
        <v>16.0</v>
      </c>
      <c r="B195" s="126" t="s">
        <v>1215</v>
      </c>
      <c r="C195" s="127" t="str">
        <f t="shared" si="1"/>
        <v>The Miracle.1.mid</v>
      </c>
      <c r="D195" s="128" t="str">
        <f t="shared" si="2"/>
        <v>The Miracle.1</v>
      </c>
      <c r="E195" s="128">
        <f t="shared" si="3"/>
        <v>16</v>
      </c>
      <c r="F195" s="128" t="str">
        <f>IFERROR(__xludf.DUMMYFUNCTION("UPPER(REGEXREPLACE(D195, ""[^a-zA-Z']"", """"))"),"THEMIRACLE")</f>
        <v>THEMIRACLE</v>
      </c>
    </row>
    <row r="196" ht="15.75" customHeight="1">
      <c r="A196" s="125">
        <v>17.0</v>
      </c>
      <c r="B196" s="126" t="s">
        <v>1226</v>
      </c>
      <c r="C196" s="127" t="str">
        <f t="shared" si="1"/>
        <v>The Show Must Go On.1.mid</v>
      </c>
      <c r="D196" s="128" t="str">
        <f t="shared" si="2"/>
        <v>The Show Must Go On.1</v>
      </c>
      <c r="E196" s="128">
        <f t="shared" si="3"/>
        <v>17</v>
      </c>
      <c r="F196" s="128" t="str">
        <f>IFERROR(__xludf.DUMMYFUNCTION("UPPER(REGEXREPLACE(D196, ""[^a-zA-Z']"", """"))"),"THESHOWMUSTGOON")</f>
        <v>THESHOWMUSTGOON</v>
      </c>
    </row>
    <row r="197" ht="15.75" customHeight="1">
      <c r="A197" s="125">
        <v>18.0</v>
      </c>
      <c r="B197" s="126" t="s">
        <v>1220</v>
      </c>
      <c r="C197" s="127" t="str">
        <f t="shared" si="1"/>
        <v>The Show Must Go On.3.mid</v>
      </c>
      <c r="D197" s="128" t="str">
        <f t="shared" si="2"/>
        <v>The Show Must Go On.3</v>
      </c>
      <c r="E197" s="128">
        <f t="shared" si="3"/>
        <v>18</v>
      </c>
      <c r="F197" s="128" t="str">
        <f>IFERROR(__xludf.DUMMYFUNCTION("UPPER(REGEXREPLACE(D197, ""[^a-zA-Z']"", """"))"),"THESHOWMUSTGOON")</f>
        <v>THESHOWMUSTGOON</v>
      </c>
    </row>
    <row r="198" ht="15.75" customHeight="1">
      <c r="A198" s="125">
        <v>19.0</v>
      </c>
      <c r="B198" s="126" t="s">
        <v>1224</v>
      </c>
      <c r="C198" s="127" t="str">
        <f t="shared" si="1"/>
        <v>These Are the Days of Our Lives.1.mid</v>
      </c>
      <c r="D198" s="128" t="str">
        <f t="shared" si="2"/>
        <v>These Are the Days of Our Lives.1</v>
      </c>
      <c r="E198" s="128">
        <f t="shared" si="3"/>
        <v>19</v>
      </c>
      <c r="F198" s="128" t="str">
        <f>IFERROR(__xludf.DUMMYFUNCTION("UPPER(REGEXREPLACE(D198, ""[^a-zA-Z']"", """"))"),"THESEARETHEDAYSOFOURLIVES")</f>
        <v>THESEARETHEDAYSOFOURLIVES</v>
      </c>
    </row>
    <row r="199" ht="15.75" customHeight="1">
      <c r="A199" s="125">
        <v>20.0</v>
      </c>
      <c r="B199" s="126" t="s">
        <v>1036</v>
      </c>
      <c r="C199" s="127" t="str">
        <f t="shared" si="1"/>
        <v>A Kind of Magic.mid</v>
      </c>
      <c r="D199" s="128" t="str">
        <f t="shared" si="2"/>
        <v>A Kind of Magic</v>
      </c>
      <c r="E199" s="128">
        <f t="shared" si="3"/>
        <v>20</v>
      </c>
      <c r="F199" s="128" t="str">
        <f>IFERROR(__xludf.DUMMYFUNCTION("UPPER(REGEXREPLACE(D199, ""[^a-zA-Z']"", """"))"),"AKINDOFMAGIC")</f>
        <v>AKINDOFMAGIC</v>
      </c>
    </row>
    <row r="200" ht="15.75" customHeight="1">
      <c r="A200" s="125">
        <v>20.0</v>
      </c>
      <c r="B200" s="126" t="s">
        <v>1042</v>
      </c>
      <c r="C200" s="127" t="str">
        <f t="shared" si="1"/>
        <v>All God's People.2.mid</v>
      </c>
      <c r="D200" s="128" t="str">
        <f t="shared" si="2"/>
        <v>All God's People.2</v>
      </c>
      <c r="E200" s="128">
        <f t="shared" si="3"/>
        <v>20</v>
      </c>
      <c r="F200" s="128" t="str">
        <f>IFERROR(__xludf.DUMMYFUNCTION("UPPER(REGEXREPLACE(D200, ""[^a-zA-Z']"", """"))"),"ALLGOD'SPEOPLE")</f>
        <v>ALLGOD'SPEOPLE</v>
      </c>
    </row>
    <row r="201" ht="15.75" customHeight="1">
      <c r="A201" s="125">
        <v>20.0</v>
      </c>
      <c r="B201" s="126" t="s">
        <v>1087</v>
      </c>
      <c r="C201" s="127" t="str">
        <f t="shared" si="1"/>
        <v>Bohemian Rhapsody.7.mid</v>
      </c>
      <c r="D201" s="128" t="str">
        <f t="shared" si="2"/>
        <v>Bohemian Rhapsody.7</v>
      </c>
      <c r="E201" s="128">
        <f t="shared" si="3"/>
        <v>20</v>
      </c>
      <c r="F201" s="128" t="str">
        <f>IFERROR(__xludf.DUMMYFUNCTION("UPPER(REGEXREPLACE(D201, ""[^a-zA-Z']"", """"))"),"BOHEMIANRHAPSODY")</f>
        <v>BOHEMIANRHAPSODY</v>
      </c>
    </row>
    <row r="202" ht="15.75" customHeight="1">
      <c r="A202" s="125">
        <v>20.0</v>
      </c>
      <c r="B202" s="126" t="s">
        <v>1139</v>
      </c>
      <c r="C202" s="127" t="str">
        <f t="shared" si="1"/>
        <v>Heaven for Everyone.1.mid</v>
      </c>
      <c r="D202" s="128" t="str">
        <f t="shared" si="2"/>
        <v>Heaven for Everyone.1</v>
      </c>
      <c r="E202" s="128">
        <f t="shared" si="3"/>
        <v>20</v>
      </c>
      <c r="F202" s="128" t="str">
        <f>IFERROR(__xludf.DUMMYFUNCTION("UPPER(REGEXREPLACE(D202, ""[^a-zA-Z']"", """"))"),"HEAVENFOREVERYONE")</f>
        <v>HEAVENFOREVERYONE</v>
      </c>
    </row>
    <row r="203" ht="15.75" customHeight="1">
      <c r="A203" s="125">
        <v>20.0</v>
      </c>
      <c r="B203" s="126" t="s">
        <v>1146</v>
      </c>
      <c r="C203" s="127" t="str">
        <f t="shared" si="1"/>
        <v>I Want to Break Free.1.mid</v>
      </c>
      <c r="D203" s="128" t="str">
        <f t="shared" si="2"/>
        <v>I Want to Break Free.1</v>
      </c>
      <c r="E203" s="128">
        <f t="shared" si="3"/>
        <v>20</v>
      </c>
      <c r="F203" s="128" t="str">
        <f>IFERROR(__xludf.DUMMYFUNCTION("UPPER(REGEXREPLACE(D203, ""[^a-zA-Z']"", """"))"),"IWANTTOBREAKFREE")</f>
        <v>IWANTTOBREAKFREE</v>
      </c>
    </row>
    <row r="204" ht="15.75" customHeight="1">
      <c r="A204" s="125">
        <v>20.0</v>
      </c>
      <c r="B204" s="126" t="s">
        <v>1144</v>
      </c>
      <c r="C204" s="127" t="str">
        <f t="shared" si="1"/>
        <v>I Want to Break Free.2.mid</v>
      </c>
      <c r="D204" s="128" t="str">
        <f t="shared" si="2"/>
        <v>I Want to Break Free.2</v>
      </c>
      <c r="E204" s="128">
        <f t="shared" si="3"/>
        <v>20</v>
      </c>
      <c r="F204" s="128" t="str">
        <f>IFERROR(__xludf.DUMMYFUNCTION("UPPER(REGEXREPLACE(D204, ""[^a-zA-Z']"", """"))"),"IWANTTOBREAKFREE")</f>
        <v>IWANTTOBREAKFREE</v>
      </c>
    </row>
    <row r="205" ht="15.75" customHeight="1">
      <c r="A205" s="125">
        <v>20.0</v>
      </c>
      <c r="B205" s="126" t="s">
        <v>1177</v>
      </c>
      <c r="C205" s="127" t="str">
        <f t="shared" si="1"/>
        <v>Now I'm Here.1.mid</v>
      </c>
      <c r="D205" s="128" t="str">
        <f t="shared" si="2"/>
        <v>Now I'm Here.1</v>
      </c>
      <c r="E205" s="128">
        <f t="shared" si="3"/>
        <v>20</v>
      </c>
      <c r="F205" s="128" t="str">
        <f>IFERROR(__xludf.DUMMYFUNCTION("UPPER(REGEXREPLACE(D205, ""[^a-zA-Z']"", """"))"),"NOWI'MHERE")</f>
        <v>NOWI'MHERE</v>
      </c>
    </row>
    <row r="206" ht="15.75" customHeight="1">
      <c r="A206" s="125">
        <v>20.0</v>
      </c>
      <c r="B206" s="126" t="s">
        <v>1195</v>
      </c>
      <c r="C206" s="127" t="str">
        <f t="shared" si="1"/>
        <v>Save Me.1.mid</v>
      </c>
      <c r="D206" s="128" t="str">
        <f t="shared" si="2"/>
        <v>Save Me.1</v>
      </c>
      <c r="E206" s="128">
        <f t="shared" si="3"/>
        <v>20</v>
      </c>
      <c r="F206" s="128" t="str">
        <f>IFERROR(__xludf.DUMMYFUNCTION("UPPER(REGEXREPLACE(D206, ""[^a-zA-Z']"", """"))"),"SAVEME")</f>
        <v>SAVEME</v>
      </c>
    </row>
    <row r="207" ht="15.75" customHeight="1">
      <c r="A207" s="125">
        <v>20.0</v>
      </c>
      <c r="B207" s="126" t="s">
        <v>1216</v>
      </c>
      <c r="C207" s="127" t="str">
        <f t="shared" si="1"/>
        <v>These Are the Days of Our Lives.3.mid</v>
      </c>
      <c r="D207" s="128" t="str">
        <f t="shared" si="2"/>
        <v>These Are the Days of Our Lives.3</v>
      </c>
      <c r="E207" s="128">
        <f t="shared" si="3"/>
        <v>20</v>
      </c>
      <c r="F207" s="128" t="str">
        <f>IFERROR(__xludf.DUMMYFUNCTION("UPPER(REGEXREPLACE(D207, ""[^a-zA-Z']"", """"))"),"THESEARETHEDAYSOFOURLIVES")</f>
        <v>THESEARETHEDAYSOFOURLIVES</v>
      </c>
    </row>
    <row r="208" ht="15.75" customHeight="1">
      <c r="A208" s="125">
        <v>21.0</v>
      </c>
      <c r="B208" s="126" t="s">
        <v>1230</v>
      </c>
      <c r="C208" s="127" t="str">
        <f t="shared" si="1"/>
        <v>These Are the Days of Our Lives.4.mid</v>
      </c>
      <c r="D208" s="128" t="str">
        <f t="shared" si="2"/>
        <v>These Are the Days of Our Lives.4</v>
      </c>
      <c r="E208" s="128">
        <f t="shared" si="3"/>
        <v>21</v>
      </c>
      <c r="F208" s="128" t="str">
        <f>IFERROR(__xludf.DUMMYFUNCTION("UPPER(REGEXREPLACE(D208, ""[^a-zA-Z']"", """"))"),"THESEARETHEDAYSOFOURLIVES")</f>
        <v>THESEARETHEDAYSOFOURLIVES</v>
      </c>
    </row>
    <row r="209" ht="15.75" customHeight="1">
      <c r="A209" s="125">
        <v>22.0</v>
      </c>
      <c r="B209" s="126" t="s">
        <v>1229</v>
      </c>
      <c r="C209" s="127" t="str">
        <f t="shared" si="1"/>
        <v>We Are The Champions.1.mid</v>
      </c>
      <c r="D209" s="128" t="str">
        <f t="shared" si="2"/>
        <v>We Are The Champions.1</v>
      </c>
      <c r="E209" s="128">
        <f t="shared" si="3"/>
        <v>22</v>
      </c>
      <c r="F209" s="128" t="str">
        <f>IFERROR(__xludf.DUMMYFUNCTION("UPPER(REGEXREPLACE(D209, ""[^a-zA-Z']"", """"))"),"WEARETHECHAMPIONS")</f>
        <v>WEARETHECHAMPIONS</v>
      </c>
    </row>
    <row r="210" ht="15.75" customHeight="1">
      <c r="A210" s="125">
        <v>23.0</v>
      </c>
      <c r="B210" s="126" t="s">
        <v>1027</v>
      </c>
      <c r="C210" s="127" t="str">
        <f t="shared" si="1"/>
        <v>We Will Rock You.6.mid</v>
      </c>
      <c r="D210" s="128" t="str">
        <f t="shared" si="2"/>
        <v>We Will Rock You.6</v>
      </c>
      <c r="E210" s="128">
        <f t="shared" si="3"/>
        <v>23</v>
      </c>
      <c r="F210" s="128" t="str">
        <f>IFERROR(__xludf.DUMMYFUNCTION("UPPER(REGEXREPLACE(D210, ""[^a-zA-Z']"", """"))"),"WEWILLROCKYOU")</f>
        <v>WEWILLROCKYOU</v>
      </c>
    </row>
    <row r="211" ht="15.75" customHeight="1">
      <c r="A211" s="125">
        <v>24.0</v>
      </c>
      <c r="B211" s="126" t="s">
        <v>1237</v>
      </c>
      <c r="C211" s="127" t="str">
        <f t="shared" si="1"/>
        <v>You're My Best Friend.1.mid</v>
      </c>
      <c r="D211" s="128" t="str">
        <f t="shared" si="2"/>
        <v>You're My Best Friend.1</v>
      </c>
      <c r="E211" s="128">
        <f t="shared" si="3"/>
        <v>24</v>
      </c>
      <c r="F211" s="128" t="str">
        <f>IFERROR(__xludf.DUMMYFUNCTION("UPPER(REGEXREPLACE(D211, ""[^a-zA-Z']"", """"))"),"YOU'REMYBESTFRIEND")</f>
        <v>YOU'REMYBESTFRIEND</v>
      </c>
    </row>
    <row r="212" ht="15.75" customHeight="1">
      <c r="A212" s="125">
        <v>25.0</v>
      </c>
      <c r="B212" s="126" t="s">
        <v>1031</v>
      </c>
      <c r="C212" s="127" t="str">
        <f t="shared" si="1"/>
        <v>You're My Best Friend.5.mid</v>
      </c>
      <c r="D212" s="128" t="str">
        <f t="shared" si="2"/>
        <v>You're My Best Friend.5</v>
      </c>
      <c r="E212" s="128">
        <f t="shared" si="3"/>
        <v>25</v>
      </c>
      <c r="F212" s="128" t="str">
        <f>IFERROR(__xludf.DUMMYFUNCTION("UPPER(REGEXREPLACE(D212, ""[^a-zA-Z']"", """"))"),"YOU'REMYBESTFRIEND")</f>
        <v>YOU'REMYBESTFRIEND</v>
      </c>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